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0640" windowHeight="1176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0"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<sst xmlns="http://schemas.openxmlformats.org/spreadsheetml/2006/main" count="6095" uniqueCount="1409">
  <si>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</si>
  <si>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</si>
  <si>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</si>
  <si>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</si>
  <si>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</si>
  <si>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</si>
  <si>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</si>
  <si>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</si>
  <si>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</si>
  <si>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</si>
  <si>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</si>
  <si>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</si>
  <si>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</si>
  <si>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</si>
  <si>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</si>
  <si>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</si>
  <si>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</si>
  <si>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</si>
  <si>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</si>
  <si>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</si>
  <si>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</si>
  <si>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</si>
  <si>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</si>
  <si>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</si>
  <si>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</si>
  <si>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</si>
  <si>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</si>
  <si>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</si>
  <si>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</si>
  <si>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</si>
  <si>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</si>
  <si>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</si>
  <si>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</si>
  <si>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</si>
  <si>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</si>
  <si>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</si>
  <si>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</si>
  <si>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</si>
  <si>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</si>
  <si>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</si>
  <si>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</si>
  <si>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</si>
  <si>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</si>
  <si>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</si>
  <si>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</si>
  <si>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</si>
  <si>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</si>
  <si>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</si>
  <si>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</si>
  <si>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</si>
  <si>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</si>
  <si>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</si>
  <si>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</si>
  <si>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</si>
  <si>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</si>
  <si>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</si>
  <si>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</si>
  <si>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</si>
  <si>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</si>
  <si>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</si>
  <si>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</si>
  <si>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</si>
  <si>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</si>
  <si>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</si>
  <si>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</si>
  <si>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</si>
  <si>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</si>
  <si>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</si>
  <si>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</si>
  <si>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</si>
  <si>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</si>
  <si>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</si>
  <si>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</si>
  <si>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</si>
  <si>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</si>
  <si>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</si>
  <si>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</si>
  <si>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</si>
  <si>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</si>
  <si>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</si>
  <si>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</si>
  <si>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</si>
  <si>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</si>
  <si>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</si>
  <si>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</si>
  <si>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</si>
  <si>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</si>
  <si>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</si>
  <si>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</si>
  <si>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</si>
  <si>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</si>
  <si>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</si>
  <si>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</si>
  <si>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</si>
  <si>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</si>
  <si>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</si>
  <si>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</si>
  <si>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</si>
  <si>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</si>
  <si>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</si>
  <si>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</si>
  <si>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</si>
  <si>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</si>
  <si>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</si>
  <si>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</si>
  <si>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</si>
  <si>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</si>
  <si>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</si>
  <si>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</si>
  <si>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</si>
  <si>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</si>
  <si>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</si>
  <si>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</si>
  <si>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</si>
  <si>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</si>
  <si>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</si>
  <si>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</si>
  <si>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</si>
  <si>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</si>
  <si>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</si>
  <si>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</si>
  <si>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</si>
  <si>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</si>
  <si>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</si>
  <si>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</si>
  <si>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</si>
  <si>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</si>
  <si>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</si>
  <si>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</si>
  <si>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</si>
  <si>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</si>
  <si>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</si>
  <si>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</si>
  <si>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</si>
  <si>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</si>
  <si>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</si>
  <si>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</si>
  <si>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</si>
  <si>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</si>
  <si>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</si>
  <si>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</si>
  <si>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</si>
  <si>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</si>
  <si>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</si>
  <si>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</si>
  <si>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</si>
  <si>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</si>
  <si>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</si>
  <si>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</si>
  <si>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</si>
  <si>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</si>
  <si>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</si>
  <si>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</si>
  <si>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</si>
  <si>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</si>
  <si>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</si>
  <si>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</si>
  <si>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</si>
  <si>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</si>
  <si>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</si>
  <si>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</si>
  <si>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</si>
  <si>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</si>
  <si>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</si>
  <si>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</si>
  <si>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</si>
  <si>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</si>
  <si>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</si>
  <si>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</si>
  <si>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</si>
  <si>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</si>
  <si>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</si>
  <si>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</si>
  <si>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</si>
  <si>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</si>
  <si>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</si>
  <si>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</si>
  <si>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</si>
  <si>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</si>
  <si>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</si>
  <si>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</si>
  <si>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</si>
  <si>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</si>
  <si>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</si>
  <si>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</si>
  <si>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</si>
  <si>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</si>
  <si>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</si>
  <si>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</si>
  <si>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</si>
  <si>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</si>
  <si>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</si>
  <si>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</si>
  <si>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</si>
  <si>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</si>
  <si>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</si>
  <si>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</si>
  <si>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</si>
  <si>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</si>
  <si>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</si>
  <si>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</si>
  <si>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</si>
  <si>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</si>
  <si>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</si>
  <si>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</si>
  <si>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</si>
  <si>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</si>
  <si>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</si>
  <si>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</si>
  <si>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</si>
  <si>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</si>
  <si>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</si>
  <si>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</si>
  <si>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</si>
  <si>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</si>
  <si>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</si>
  <si>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</si>
  <si>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</si>
  <si>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</si>
  <si>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</si>
  <si>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</si>
  <si>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</si>
  <si>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</si>
  <si>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</si>
  <si>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</si>
  <si>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</si>
  <si>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</si>
  <si>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</si>
  <si>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</si>
  <si>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</si>
  <si>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</si>
  <si>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</si>
  <si>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</si>
  <si>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</si>
  <si>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biz_retail</t>
  </si>
  <si>
    <t>biz_agriculture</t>
  </si>
  <si>
    <t>fooding1st</t>
  </si>
  <si>
    <t>ingredientfacts</t>
  </si>
  <si>
    <t>lab_grownmeat</t>
  </si>
  <si>
    <t>phill59316885</t>
  </si>
  <si>
    <t>proveg_int</t>
  </si>
  <si>
    <t>albionau</t>
  </si>
  <si>
    <t>ahasidim</t>
  </si>
  <si>
    <t>agreenerworld</t>
  </si>
  <si>
    <t>eatableadv</t>
  </si>
  <si>
    <t>pstvclimate</t>
  </si>
  <si>
    <t>anikabockisch</t>
  </si>
  <si>
    <t>geneticliteracy</t>
  </si>
  <si>
    <t>futuremeattech1</t>
  </si>
  <si>
    <t>ark_royal0909</t>
  </si>
  <si>
    <t>docassar</t>
  </si>
  <si>
    <t>ra_mc</t>
  </si>
  <si>
    <t>luutremendous</t>
  </si>
  <si>
    <t>meatech3d</t>
  </si>
  <si>
    <t>craftmeati</t>
  </si>
  <si>
    <t>cellsrevolved</t>
  </si>
  <si>
    <t>martymi90</t>
  </si>
  <si>
    <t>groenewegenleo</t>
  </si>
  <si>
    <t>damienclarkson</t>
  </si>
  <si>
    <t>halimantik</t>
  </si>
  <si>
    <t>bygora_official</t>
  </si>
  <si>
    <t>agreenerworlduk</t>
  </si>
  <si>
    <t>cmsymp</t>
  </si>
  <si>
    <t>inspirasiv</t>
  </si>
  <si>
    <t>shorewalker1</t>
  </si>
  <si>
    <t>daily_research</t>
  </si>
  <si>
    <t>the_teh_news</t>
  </si>
  <si>
    <t>pengejarbayang</t>
  </si>
  <si>
    <t>alvinrio_1501</t>
  </si>
  <si>
    <t>mysubuh</t>
  </si>
  <si>
    <t>darakasiwi</t>
  </si>
  <si>
    <t>bizcommunity</t>
  </si>
  <si>
    <t>innovatrending</t>
  </si>
  <si>
    <t>thecounter</t>
  </si>
  <si>
    <t>joefassler</t>
  </si>
  <si>
    <t>theeconomist</t>
  </si>
  <si>
    <t>rom</t>
  </si>
  <si>
    <t>protein_report</t>
  </si>
  <si>
    <t>mtffilm</t>
  </si>
  <si>
    <t>mosa_meat</t>
  </si>
  <si>
    <t>hana_soul_hack</t>
  </si>
  <si>
    <t>plantbasednews</t>
  </si>
  <si>
    <t>jptechcrunch</t>
  </si>
  <si>
    <t>bluenaluinc</t>
  </si>
  <si>
    <t>surveycircle</t>
  </si>
  <si>
    <t>Mentions</t>
  </si>
  <si>
    <t>MentionsInRetweet</t>
  </si>
  <si>
    <t>Retweet</t>
  </si>
  <si>
    <t>Japanese scientists work up an appetite for lab-grown #Wagyu beef https://t.co/MjlHuRCZV4 via @Biz_Retail #CulturedMeat #LabgrownMeat</t>
  </si>
  <si>
    <t>Japanese scientists work up an appetite for lab-grown #Wagyu beef https://t.co/j3j35ZqNjh via @Biz_Retail #CulturedMeat #LabgrownMeat</t>
  </si>
  <si>
    <t>Flexitarian and cell-cultured movements advance #plantbased eating, says @innovatrending
https://t.co/EKEcAkfQ3t 
#protein #culturedmeat #diet #flexitarian</t>
  </si>
  <si>
    <t>Germany’s youth are open to Cultured Meat | https://t.co/aqvfJOnBJV https://t.co/cFdiC93TEn 
#vegan #culturedmeat #cleanmeat #labgrownmeat</t>
  </si>
  <si>
    <t>What are the alternatives to the #AnimalProtein that dominates dietary habits? _xD83E__xDD14_Mushrooms, #algae, and #CulturedMeat are key areas which offer untapped potential. _xD83D__xDE80_ The #NewFoodConference focuses on the promising alternative sources of protein. ➡️ https://t.co/gHdn7aaIOm</t>
  </si>
  <si>
    <t>Proud to partner with #ashtonkutcher to advance #cultivatedmeat ! 
#3dprinting #bioprinting #culturedmeat #cellbased #cellag #cleanmeat #cleantech #foodtech #foodofthefuture #sustainablefood #sustainableinnovation $MITC https://t.co/dPAUIc2gJs</t>
  </si>
  <si>
    <t>"Don't believe the #LabMeat hype." This fascinating article by @joefassler in @TheCounter highlights the technological shortcomings of this 'silver-bullet sustainable solution'--and why the lab-meat bubble could be about to burst https://t.co/GnSrbMpKhz #labmeat #culturedmeat</t>
  </si>
  <si>
    <t>Don't miss out! _xD83D__xDC49_ The Cultured Meat Symposium will be streaming Live From San Francisco covering topics of Scalability and Sustainability. @cmsymp #futurefood #foodtech #culturedmeat #cultivatedmeat #cellbasedmeat #2021CMS
 https://t.co/lWYkCfXOpB</t>
  </si>
  <si>
    <t>Tune in to learn more, and keep an eye out over the next few days for more about cultured and lab-grown meat (it’s fascinating stuff!) #culturedmeat #sustainability (3/3)</t>
  </si>
  <si>
    <t>Cultured meat has arrived at the main German news on #television (starting at min 23:50) _xD83D__xDCFA_: https://t.co/l7iQXsZzlL
Our members #OSPIN GmbH and #Celltainer Biotech BV are also working on this topic.
#culturedmeat #biotechnology #newfood #sustainablefood #sustainability https://t.co/Ry3BJyd01m</t>
  </si>
  <si>
    <t>Companies across the globe are vying to bring #culturedmeat to supermarkets — but there are still some major hurdles to get over. @TheEconomist https://t.co/w1Bgi6vxf6</t>
  </si>
  <si>
    <t>No #culturedmeat company is producing at scale — or making money yet. Here's why. @TheEconomist https://t.co/7g2LcJXyOo</t>
  </si>
  <si>
    <t>Join @FutureMeatTech1  at Israel’s AgriFood Summit on cutting-edge #technology being used to #transform the #food and #ag industries and fight #world #climate. @Rom Kshuk will share how we are leading the #culturedmeat sector by enabling #scalable production of #cultivatedmeat &amp;gt; https://t.co/7Cz3eOOJql</t>
  </si>
  <si>
    <t>#MeaTech3D is participating in today’s Alliance Bernstein - Digestible Disruption Conference 2021 at 10:30 a.m. EDT. 
Join us for #culturedmeat sector updates and MeaTech’s role in it. Investors interested in attending  should contact their Bernstein sales representative. $MITC https://t.co/FAqVkBuYsw</t>
  </si>
  <si>
    <t>cultured meat via NodeXL https://t.co/9ux1BijkNr
@craftmeati
@bluenaluinc
@theeconomist
@jptechcrunch
@plantbasednews
@ra_mc
@hana_soul_hack
@mosa_meat
@mtffilm
@protein_report
Top hashtags:
#techcrunchjp
#culturedmeat
#rebiolution
#cellularagriculture
#bionformation /</t>
  </si>
  <si>
    <t>Catch #MeaTech presenting on the Innovative Food Technologies panel at the Global #AgTech Virtual Conference on October 14, 2021 at 10 a.m. EDT. https://t.co/l2wwBuBWxc
#3Dprinting #bioprinting #cellag #cultivatedmeat #culturedmeat #foodtech #sustainable  #innovation $MITC https://t.co/WhEFlZVkYw</t>
  </si>
  <si>
    <t>Just went live, so here is you chance to be one of the first _xD83E__xDD47_ applicants for a super exciting Chief Of Staff position at @CellulaREvolution, one of the UK's most innovative companies! _xD83D__xDC69_‍_xD83D__xDD2C__xD83D__xDD2C_
https://t.co/v8LsRj9p9Q
 #biotechnology #chiefofstaff #innovation #culturedmeat</t>
  </si>
  <si>
    <t>Just went live, so here is you chance to be one of the first _xD83E__xDD47_ applicants for a super exciting Chief Of Staff position at @CellulaREvolution, one of the UK's most innovative companies! _xD83D__xDC69_‍_xD83D__xDD2C__xD83D__xDD2C_
https://t.co/T4L6t3PLhX
 #biotechnology #chiefofstaff #innovation #culturedmeat</t>
  </si>
  <si>
    <t>Setelah isu C19, terbitlah isu #climatechange
Sudah tertulis di point 6. Upayanya adalah penggunaan kendaraan pribadi akan di batasi dan di Point 8, nanti kita dibatasi mengkonsumsi daging merah di ganti dengan #culturedmeat 
https://t.co/Iv3qQilvgq</t>
  </si>
  <si>
    <t>Check out our new article about "Cultured Meat"
Just click here https://t.co/K9UIB91Zhu
#culturedmeat #invitromeat #novelfood #sustainablefood #sustainability #bygora https://t.co/B5LNqJ8QMX</t>
  </si>
  <si>
    <t>"Don't believe the hype..."
This fascinating article by @joefassler in @TheCounter highlights some significant technological shortcomings and asks if the #LabGrownMeat bubble could be about to burst_xD83D__xDC49_ https://t.co/qmG4uUsAB5 #labmeat #culturedmeat #fakemeat #farmingUK</t>
  </si>
  <si>
    <t>Seats are filling up for the upcoming Cultured Meat Symposium. Learn more about the event and register for in-person or online tickets now. https://t.co/t3V64y0bpL #culturedmeat #cultivatedmeat #cellbasedmeat #cleanmeat</t>
  </si>
  <si>
    <t>Haa, jom dengar perkongsian daripada Saudara Faizzuan mengenai inovasi daging kultur dan proses pembuatannya. Semoga bermanfaat!
#culturedmeat #sainsmakanan #fstukm #TERASWatanKita #UniversitiWatanKita #UKMHebat #SharingInspirasi #KitaGengInspi  #ActionInReality #sains #UKM</t>
  </si>
  <si>
    <t>Big if true: Actual #ManufacturedMeat defies biological/industrial limits. "The cost of cultivation facilities will always be too burdensome, and the cost of growth media will always be too high, for the economics of #CulturedMeat to make sense."
https://t.co/qujGjlLYbL</t>
  </si>
  <si>
    <t>Note that #CulturedMeat is different from #PlantBasedMeat. The latter tastes increasingly good and is getting cheaper all the time. Yay! (Confirmed-carnivore me has moved to vegan sausages, and is hoping for affordable, tasty, non-animal everything).
https://t.co/M8DnwbyEUI</t>
  </si>
  <si>
    <t>Participants needed for online survey!
Topic: "What is your perception on the topic of cultured meat?" https://t.co/rhxyQZEpWu via @SurveyCircle
#CulturedMeat #InVitroMeat #CleanMeat #SocialMedia #instagram #meat #survey #surveycircle https://t.co/FEXzSzS9IU</t>
  </si>
  <si>
    <t>Cultured Meat
.
.
 #meat #culturedmeat #steak #foodie #bbq #instafood #chicken #delicious #foodstagram #grill #foodphotography #dinner #ai #yummy #burger #meatlover #barbecue #carne #tech #pork #science #foodblogger #foodlover #grilling #wagyu #homemade #lunch #brisket #cooking https://t.co/3LmrO5GaJF</t>
  </si>
  <si>
    <t>Japanese scientists work up an appetite for lab-grown #Wagyu beef https://t.co/zMuq2h1aAq via @Biz_Retail #CulturedMeat #LabgrownMeat</t>
  </si>
  <si>
    <t>https://labgrownmeat.com/ https://labgrownmeat.com/open-to-cultured-meat/</t>
  </si>
  <si>
    <t>bizcommunity.com</t>
  </si>
  <si>
    <t>foodingredientsfirst.com</t>
  </si>
  <si>
    <t>labgrownmeat.com labgrownmeat.com</t>
  </si>
  <si>
    <t>proveg.com</t>
  </si>
  <si>
    <t>twitter.com</t>
  </si>
  <si>
    <t>thecounter.org</t>
  </si>
  <si>
    <t>cms21.io</t>
  </si>
  <si>
    <t>linkedin.com</t>
  </si>
  <si>
    <t>geneticliteracyproject.org</t>
  </si>
  <si>
    <t>nodexlgraphgallery.org</t>
  </si>
  <si>
    <t>m-vest.com</t>
  </si>
  <si>
    <t>who.int</t>
  </si>
  <si>
    <t>bygora.com</t>
  </si>
  <si>
    <t>eventbrite.com</t>
  </si>
  <si>
    <t>substack.com</t>
  </si>
  <si>
    <t>surveycircle.com</t>
  </si>
  <si>
    <t>wagyu culturedmeat labgrownmeat</t>
  </si>
  <si>
    <t>plantbased protein culturedmeat diet flexitarian</t>
  </si>
  <si>
    <t>plantbased</t>
  </si>
  <si>
    <t>vegan culturedmeat cleanmeat labgrownmeat</t>
  </si>
  <si>
    <t>vegan culturedmeat</t>
  </si>
  <si>
    <t>animalprotein algae culturedmeat newfoodconference</t>
  </si>
  <si>
    <t>ashtonkutcher cultivatedmeat 3dprinting bioprinting culturedmeat cellbased cellag cleanmeat cleantech foodtech foodofthefuture sustainablefood sustainableinnovation</t>
  </si>
  <si>
    <t>labmeat labmeat culturedmeat</t>
  </si>
  <si>
    <t>futurefood foodtech culturedmeat cultivatedmeat cellbasedmeat 2021cms</t>
  </si>
  <si>
    <t>culturedmeat sustainability</t>
  </si>
  <si>
    <t>television ospin celltainer culturedmeat biotechnology newfood sustainablefood sustainability</t>
  </si>
  <si>
    <t>culturedmeat</t>
  </si>
  <si>
    <t>technology transform food ag world climate culturedmeat scalable cultivatedmeat</t>
  </si>
  <si>
    <t>meatech3d culturedmeat</t>
  </si>
  <si>
    <t>techcrunchjp culturedmeat rebiolution cellularagriculture bionformation</t>
  </si>
  <si>
    <t>meatech agtech 3dprinting bioprinting cellag cultivatedmeat culturedmeat foodtech sustainable innovation</t>
  </si>
  <si>
    <t>biotechnology chiefofstaff innovation culturedmeat</t>
  </si>
  <si>
    <t>climatechange culturedmeat</t>
  </si>
  <si>
    <t>culturedmeat invitromeat novelfood sustainablefood sustainability bygora</t>
  </si>
  <si>
    <t>labgrownmeat labmeat culturedmeat fakemeat farminguk</t>
  </si>
  <si>
    <t>culturedmeat cultivatedmeat cellbasedmeat cleanmeat</t>
  </si>
  <si>
    <t>culturedmeat sainsmakanan fstukm teraswatankita universitiwatankita ukmhebat sharinginspirasi kitagenginspi actioninreality sains ukm</t>
  </si>
  <si>
    <t>manufacturedmeat culturedmeat</t>
  </si>
  <si>
    <t>culturedmeat plantbasedmeat</t>
  </si>
  <si>
    <t>culturedmeat invitromeat cleanmeat socialmedia instagram meat survey surveycircle</t>
  </si>
  <si>
    <t>meat culturedmeat steak foodie bbq instafood chicken delicious foodstagram grill foodphotography dinner ai yummy burger meatlover barbecue carne tech pork science foodblogger foodlover grilling wagyu homemade lunch brisket cooking</t>
  </si>
  <si>
    <t>14:45:24</t>
  </si>
  <si>
    <t>14:45:25</t>
  </si>
  <si>
    <t>14:57:02</t>
  </si>
  <si>
    <t>16:41:35</t>
  </si>
  <si>
    <t>21:38:45</t>
  </si>
  <si>
    <t>15:17:23</t>
  </si>
  <si>
    <t>18:00:27</t>
  </si>
  <si>
    <t>18:22:10</t>
  </si>
  <si>
    <t>09:53:55</t>
  </si>
  <si>
    <t>14:00:34</t>
  </si>
  <si>
    <t>15:01:19</t>
  </si>
  <si>
    <t>21:59:36</t>
  </si>
  <si>
    <t>06:52:47</t>
  </si>
  <si>
    <t>13:00:21</t>
  </si>
  <si>
    <t>12:28:54</t>
  </si>
  <si>
    <t>09:05:56</t>
  </si>
  <si>
    <t>12:30:50</t>
  </si>
  <si>
    <t>21:08:38</t>
  </si>
  <si>
    <t>20:04:06</t>
  </si>
  <si>
    <t>00:13:31</t>
  </si>
  <si>
    <t>14:35:03</t>
  </si>
  <si>
    <t>12:30:05</t>
  </si>
  <si>
    <t>15:30:04</t>
  </si>
  <si>
    <t>13:19:23</t>
  </si>
  <si>
    <t>13:24:25</t>
  </si>
  <si>
    <t>13:24:41</t>
  </si>
  <si>
    <t>12:08:02</t>
  </si>
  <si>
    <t>14:09:58</t>
  </si>
  <si>
    <t>12:08:14</t>
  </si>
  <si>
    <t>21:37:39</t>
  </si>
  <si>
    <t>04:56:55</t>
  </si>
  <si>
    <t>07:38:45</t>
  </si>
  <si>
    <t>12:20:22</t>
  </si>
  <si>
    <t>23:47:53</t>
  </si>
  <si>
    <t>06:40:11</t>
  </si>
  <si>
    <t>09:17:09</t>
  </si>
  <si>
    <t>09:17:10</t>
  </si>
  <si>
    <t>13:47:25</t>
  </si>
  <si>
    <t>13:59:34</t>
  </si>
  <si>
    <t>16:42:38</t>
  </si>
  <si>
    <t>16:45:06</t>
  </si>
  <si>
    <t>04:37:55</t>
  </si>
  <si>
    <t>16:48:29</t>
  </si>
  <si>
    <t>1446486893982584836</t>
  </si>
  <si>
    <t>1446486896415236096</t>
  </si>
  <si>
    <t>1446127431669014528</t>
  </si>
  <si>
    <t>1446516131154604033</t>
  </si>
  <si>
    <t>1267208920986238977</t>
  </si>
  <si>
    <t>1446857332240048131</t>
  </si>
  <si>
    <t>1446898369243324423</t>
  </si>
  <si>
    <t>1446903830730485761</t>
  </si>
  <si>
    <t>1447138317095604225</t>
  </si>
  <si>
    <t>1447200385731600390</t>
  </si>
  <si>
    <t>1447578061436854274</t>
  </si>
  <si>
    <t>1447683328040079363</t>
  </si>
  <si>
    <t>1447817506635362305</t>
  </si>
  <si>
    <t>1447547618607964163</t>
  </si>
  <si>
    <t>1447902093948375044</t>
  </si>
  <si>
    <t>1448213401453350912</t>
  </si>
  <si>
    <t>1448264970014105601</t>
  </si>
  <si>
    <t>1448032889485107204</t>
  </si>
  <si>
    <t>1448379038314246150</t>
  </si>
  <si>
    <t>1448441803535958021</t>
  </si>
  <si>
    <t>1446121902804664324</t>
  </si>
  <si>
    <t>1448264778066051073</t>
  </si>
  <si>
    <t>1448310075425234948</t>
  </si>
  <si>
    <t>1448277186239152130</t>
  </si>
  <si>
    <t>1448640840637812739</t>
  </si>
  <si>
    <t>1448640908015058944</t>
  </si>
  <si>
    <t>1448621617165316103</t>
  </si>
  <si>
    <t>1448652302772965382</t>
  </si>
  <si>
    <t>1448621669585670153</t>
  </si>
  <si>
    <t>1448764966627168257</t>
  </si>
  <si>
    <t>1448875513196396544</t>
  </si>
  <si>
    <t>1448916237820612647</t>
  </si>
  <si>
    <t>1448987108559970307</t>
  </si>
  <si>
    <t>1449160128414978051</t>
  </si>
  <si>
    <t>1449263887413432322</t>
  </si>
  <si>
    <t>1449303390882656257</t>
  </si>
  <si>
    <t>1449303393260900359</t>
  </si>
  <si>
    <t>1449371405691330561</t>
  </si>
  <si>
    <t>1449374461631807495</t>
  </si>
  <si>
    <t>1449415497380810752</t>
  </si>
  <si>
    <t>1449416121942114311</t>
  </si>
  <si>
    <t>1448870729496236032</t>
  </si>
  <si>
    <t>1449416971645177857</t>
  </si>
  <si>
    <t>1446486891554091008</t>
  </si>
  <si>
    <t>1447683220821082113</t>
  </si>
  <si>
    <t>1449263883323994113</t>
  </si>
  <si>
    <t/>
  </si>
  <si>
    <t>1336149980579471360</t>
  </si>
  <si>
    <t>1006606339991146496</t>
  </si>
  <si>
    <t>92916193</t>
  </si>
  <si>
    <t>en</t>
  </si>
  <si>
    <t>in</t>
  </si>
  <si>
    <t>1446115448035020808</t>
  </si>
  <si>
    <t>Bizcommunity.com</t>
  </si>
  <si>
    <t>Twitter Web App</t>
  </si>
  <si>
    <t>Twitter for Android</t>
  </si>
  <si>
    <t>Hootsuite Inc.</t>
  </si>
  <si>
    <t>Metricool</t>
  </si>
  <si>
    <t>Echobox</t>
  </si>
  <si>
    <t>Twitter for iPhone</t>
  </si>
  <si>
    <t>Zapier.com</t>
  </si>
  <si>
    <t>SurveyCircle Updates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</si>
  <si>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</si>
  <si>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</si>
  <si>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</si>
  <si>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</si>
  <si>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</si>
  <si>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</si>
  <si>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</si>
  <si>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</si>
  <si>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</si>
  <si>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</si>
  <si>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</si>
  <si>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</si>
  <si>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</si>
  <si>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</si>
  <si>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</si>
  <si>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</si>
  <si>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</si>
  <si>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</si>
  <si>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</si>
  <si>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</si>
  <si>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</si>
  <si>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</si>
  <si>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Bizcommunity Retail</t>
  </si>
  <si>
    <t>Bizcom Agriculture</t>
  </si>
  <si>
    <t>FoodIngredients1st</t>
  </si>
  <si>
    <t>Innova Market Insights</t>
  </si>
  <si>
    <t>IFAC</t>
  </si>
  <si>
    <t>Lab Grown Meat</t>
  </si>
  <si>
    <t>Nefilian7x</t>
  </si>
  <si>
    <t>ProVeg International</t>
  </si>
  <si>
    <t>Michael Smith</t>
  </si>
  <si>
    <t>Amir Hasidim</t>
  </si>
  <si>
    <t>MeaTech</t>
  </si>
  <si>
    <t>A Greener World</t>
  </si>
  <si>
    <t>The Counter</t>
  </si>
  <si>
    <t>Joe Fassler</t>
  </si>
  <si>
    <t>Eatable Adventures</t>
  </si>
  <si>
    <t>Cultured Meat Symposium</t>
  </si>
  <si>
    <t>A Positive Climate Podcast</t>
  </si>
  <si>
    <t>Bio-PAT e.V.</t>
  </si>
  <si>
    <t>Genetic Literacy Project</t>
  </si>
  <si>
    <t>The Economist</t>
  </si>
  <si>
    <t>Future Meat Technologies</t>
  </si>
  <si>
    <t>Rom https://mastodon.social/@rpf</t>
  </si>
  <si>
    <t>_xD835__xDC9C__xD835__xDCE1__xD835__xDCDA_ ℛ_xD835__xDCDE__xD835__xDCE8__xD835__xDCD0__xD835__xDCDB_ ™®</t>
  </si>
  <si>
    <t>Nasir Assar, Ph.D.</t>
  </si>
  <si>
    <t>Protein Report</t>
  </si>
  <si>
    <t>Roberto</t>
  </si>
  <si>
    <t>MEAT THE FUTURE</t>
  </si>
  <si>
    <t>Mosa Meat</t>
  </si>
  <si>
    <t>ハナビン</t>
  </si>
  <si>
    <t>Plant Based News</t>
  </si>
  <si>
    <t>TechCrunch Japan</t>
  </si>
  <si>
    <t>BlueNalu</t>
  </si>
  <si>
    <t>CraftmeatI</t>
  </si>
  <si>
    <t>LuuLuuTremendous</t>
  </si>
  <si>
    <t>CellulaREvolution</t>
  </si>
  <si>
    <t>Leo Groenewegen</t>
  </si>
  <si>
    <t>Martina Miotto</t>
  </si>
  <si>
    <t>Damien Clarkson</t>
  </si>
  <si>
    <t>AGreenerWorldUK</t>
  </si>
  <si>
    <t>Inspirasi Varsiti</t>
  </si>
  <si>
    <t>David Walker _xD83D__xDC63_</t>
  </si>
  <si>
    <t>Daily Research @SurveyCircle</t>
  </si>
  <si>
    <t>SurveyCircle | Research for All</t>
  </si>
  <si>
    <t>Tech News</t>
  </si>
  <si>
    <t>Jempol Cantengan</t>
  </si>
  <si>
    <t>アルヴィン</t>
  </si>
  <si>
    <t>Blavatsky</t>
  </si>
  <si>
    <t>166145031</t>
  </si>
  <si>
    <t>190301236</t>
  </si>
  <si>
    <t>710019200719450112</t>
  </si>
  <si>
    <t>1070270569659154432</t>
  </si>
  <si>
    <t>730117286904930304</t>
  </si>
  <si>
    <t>1213538346070265857</t>
  </si>
  <si>
    <t>1327133794244186115</t>
  </si>
  <si>
    <t>847069094264410112</t>
  </si>
  <si>
    <t>2662116038</t>
  </si>
  <si>
    <t>18507336</t>
  </si>
  <si>
    <t>1176051784000913408</t>
  </si>
  <si>
    <t>25523484</t>
  </si>
  <si>
    <t>2304121598</t>
  </si>
  <si>
    <t>208577687</t>
  </si>
  <si>
    <t>3069682431</t>
  </si>
  <si>
    <t>976485082922934272</t>
  </si>
  <si>
    <t>1265888580016181248</t>
  </si>
  <si>
    <t>469509187</t>
  </si>
  <si>
    <t>5988062</t>
  </si>
  <si>
    <t>1391331531306766343</t>
  </si>
  <si>
    <t>649713</t>
  </si>
  <si>
    <t>817548286261235712</t>
  </si>
  <si>
    <t>47893228</t>
  </si>
  <si>
    <t>443891125</t>
  </si>
  <si>
    <t>132290512</t>
  </si>
  <si>
    <t>784854687170256896</t>
  </si>
  <si>
    <t>787929135423299584</t>
  </si>
  <si>
    <t>1405089740550930434</t>
  </si>
  <si>
    <t>3235113399</t>
  </si>
  <si>
    <t>286106104</t>
  </si>
  <si>
    <t>1004396257551486977</t>
  </si>
  <si>
    <t>1037062420731232256</t>
  </si>
  <si>
    <t>1336813108938018816</t>
  </si>
  <si>
    <t>983664467350376448</t>
  </si>
  <si>
    <t>1166348398217351171</t>
  </si>
  <si>
    <t>2979669857</t>
  </si>
  <si>
    <t>20183832</t>
  </si>
  <si>
    <t>2535998491</t>
  </si>
  <si>
    <t>998373180837265409</t>
  </si>
  <si>
    <t>1313747547945611266</t>
  </si>
  <si>
    <t>1037759763902353409</t>
  </si>
  <si>
    <t>900625214320644097</t>
  </si>
  <si>
    <t>726063474921582592</t>
  </si>
  <si>
    <t>1436909281283088387</t>
  </si>
  <si>
    <t>1119557301021446144</t>
  </si>
  <si>
    <t>3249664333</t>
  </si>
  <si>
    <t>2797961335</t>
  </si>
  <si>
    <t>13770242</t>
  </si>
  <si>
    <t>@Bizcommunity's daily news for retail &amp; consumer goods in South Africa! Sign up for press offices; subscribe to newsletters. Email: retailnews@bizcommunity.com</t>
  </si>
  <si>
    <t>Online platform for the agriculture, horticulture &amp; forestry industries to share B2B news, views and valuable content. Sign up for our newsletter!</t>
  </si>
  <si>
    <t>#FoodIngredientsFirst is the leading international publisher on food #ingredients. 
Stay up to date with our newsletters: https://t.co/m32QmlAuzA</t>
  </si>
  <si>
    <t>Innova Market Insights is a global knowledge leader in the food and beverage industry.
Stay up to date with our newsletters: https://t.co/1IN7c04XKX</t>
  </si>
  <si>
    <t>The official Twitter page for the International Food Additives Council (IFAC), promoting the benefits of food ingredients.</t>
  </si>
  <si>
    <t>Everything you need to know about Lab-Grown Meat.</t>
  </si>
  <si>
    <t>Free Education,Renewables,stoicism,Basic Income,science,space,animals,non dairy,vegetarian,Artist,pro vaccine, no dms #JohnsonOut</t>
  </si>
  <si>
    <t>Leading international food awareness organisation with a mission to reduce global animal consumption by 50% by the year 2040. _xD83C__xDF0E_ #ProVeg_xD83C__xDF31_
_xD83D__xDCE7_ comms@proveg.com</t>
  </si>
  <si>
    <t>Loves dogs. Loves all animals(uncooked). Vegan.</t>
  </si>
  <si>
    <t>Dad, Husband, Wine maker, Carpenter, Gardener 
Tech Entrepreneur &amp; Investor
Managing Director at BioSphere Capital</t>
  </si>
  <si>
    <t>Cell-based meat #3Dprinting #beef #cleanmeat #bioprinting #cellag #culturedmeat #cultivatedmeat #cellbased listed on the NASDAQ $MITC</t>
  </si>
  <si>
    <t>Nonprofit home of #CertifiedbyAGW labels. Sign up to download our free guide, demystify food labels &amp; make greener choices: https://t.co/Pjxj3RFPiY</t>
  </si>
  <si>
    <t>Nonprofit newsroom investigating the forces shaping how and what America eats.</t>
  </si>
  <si>
    <t>Deputy editor, @TheCounter. "By Heart," @TheAtlantic. Editor, LIGHT THE DARK. Novel forthcoming @penguinbooks. Scripps Fellow @CUBoulder. _xD83C__xDFB6_@hausofeels.</t>
  </si>
  <si>
    <t>Building Tomorrow's Food Companies _xD83C__xDF0E_
LinkedIn: https://t.co/mBBIlEsely
Facebook: https://t.co/RPhI53jFyv
_xD83C__xDDEC__xD83C__xDDE7_ @FoodpreneursCOM</t>
  </si>
  <si>
    <t>The Cultured Meat Symposium discusses the future of cell-based meat, poultry, and seafood technology. October 22-23, 2021.</t>
  </si>
  <si>
    <t>An uplifting podcast focussed on the cool ways to tackle climate change from Alex McIntosh and Nick Zeltzer. Listen here: https://t.co/hNeMq4S2LD</t>
  </si>
  <si>
    <t>Bio-PAT is a cooperation network in the field of bioprocess analytical technologies (PAT) for improved bioprocess characterization in various applications.</t>
  </si>
  <si>
    <t>The Genetic Literacy Project fosters dialogue about the scientific, social and ethical implications of human and agricultural genetics.</t>
  </si>
  <si>
    <t>News and analysis with a global perspective. Subscribe here: https://t.co/9NsWz7HVY1</t>
  </si>
  <si>
    <t>Future Meat Technologies is a Food-Tech company that advances a distributive manufacturing platform for a cost-efficient, non-GMO production of cultured meat.</t>
  </si>
  <si>
    <t>I **DO NOT** HAVE A FACEBOOK, INSTAGRAM or WHATSAPP account. Tweets are ephemeral. Reach me at https://t.co/s9Aizn5hqG</t>
  </si>
  <si>
    <t>ただの社畜。
株/ソシャゲ/漫画/アニメ/Vtuber　
_xD83C__xDDEF__xD83C__xDDF5__xD83C__xDDFA__xD83C__xDDF8__xD83C__xDDEE__xD83C__xDDF1__xD83C__xDDEE__xD83C__xDDF3_ GOLD/SPAC/
NNOX/INVZ/REE/MITC/SDGR/KL/FSR
あんスタ/シャニライ　／　
ロウきゅーぶ！/俺妹/最遊記/ふたりべや/ハッピーシュガーライフ</t>
  </si>
  <si>
    <t>Seasoned and effective business consultant, data Scientist, college professor, economist, and a financial advisor.</t>
  </si>
  <si>
    <t>Advancing protein literacy for safer, more sustainable food systems. Protein economy news and industry platform.</t>
  </si>
  <si>
    <t>A revolution is coming to your plate. It’s real meat harvested from cells, without animal slaughter. #meatthefuture</t>
  </si>
  <si>
    <t>Pioneering a cleaner, kinder way of making beef.</t>
  </si>
  <si>
    <t>サイバーパンクなおじさん
digital hermit</t>
  </si>
  <si>
    <t>_xD83C__xDFC6_ The world's leading award-winning vegan news media &amp; plant-based health education platform. Founders by @klausmitchell &amp; @robbielockie _xD83C__xDFF3_️‍_xD83C__xDF08__xD83C__xDFF3_️‍⚧️</t>
  </si>
  <si>
    <t>最新のテクノロジーとスタートアップ・Webに関するニュースを配信するブログメディア「TechCrunch Japan」の公式アカウントです #tctokyo</t>
  </si>
  <si>
    <t>Cell-cultured seafood company, satisfying the global appetite for seafood in a fresh, sustainable and humane way. #EatBlue</t>
  </si>
  <si>
    <t>Europes Space competitors: @arianegroup: Reusable launchers, @rollsroyce: Nuclear powered starships</t>
  </si>
  <si>
    <t>CellulaREvolution aims to be the leader in continuous cell manufacturing</t>
  </si>
  <si>
    <t>CEO @cellsrevolved - Biotech Entrepreneur - #CulturedMeat - #kweekvlees - #odlatkött</t>
  </si>
  <si>
    <t>CSO &amp; Co-Founder of CellulaREvolution</t>
  </si>
  <si>
    <t>Co-Founder of pet care startup @thepackpet &amp; @vevolution_ technology platform. Host of The Plant Based Business Podcast. _xD83C__xDF31_Vegan &amp; pet parent to Blossom _xD83D__xDC36_</t>
  </si>
  <si>
    <t>penjual barang antik</t>
  </si>
  <si>
    <t>Dua rakaat sebelum Sholat subuh itu lebih baik dari dunia dan seisinya</t>
  </si>
  <si>
    <t>Legal notice
bygora GmbH
Ettaler Str 21
82061 Neuried
Germany
VAT ID: DE815894965
Geschäftsführer: Michael Koid
Kontakt: info@bygora.com</t>
  </si>
  <si>
    <t>Home of the UK and Europe's Leading Food Labels: Certified Animal Welfare Approved by AGW, Certified Grassfed by AGW and Certified Non-GMO by AGW</t>
  </si>
  <si>
    <t>Editor, content creator for reports on economics, business, policy. My firm Shorewalker DMS can raise your publication's impact.
All opinions started elsewhere.</t>
  </si>
  <si>
    <t>Your daily dose of new online #research on https://t.co/I60CCPNLKU. Join @SurveyCircle to recruit #survey participants and to support exciting research.</t>
  </si>
  <si>
    <t>World‘s largest community for mutual support in online #research. Enabling #students, #PhDstudents, #founders and #startups to find #survey participants.</t>
  </si>
  <si>
    <t>_xD83D__xDCF0_ Daily Tech news
_xD83E__xDD16_ New Innovations
_xD83D__xDC7D_ Science and Technology
_xD83D__xDC8C_ DM for credit or removal request (no copyright infringement intended).</t>
  </si>
  <si>
    <t>biar susah yg penting SOMBONG.._xD83D__xDE1C_</t>
  </si>
  <si>
    <t>Wake up sheeple</t>
  </si>
  <si>
    <t>NON PARTISAN</t>
  </si>
  <si>
    <t>The biggest multi-industry B2B site showcasing professional audiences in Africa; content marketing specialists; 490,000 readers; 5,7m newsletters per month</t>
  </si>
  <si>
    <t>South Africa</t>
  </si>
  <si>
    <t>Arnhem, The Netherlands</t>
  </si>
  <si>
    <t>The Netherlands &amp; worldwide</t>
  </si>
  <si>
    <t>Washington, DC</t>
  </si>
  <si>
    <t>Berlin, Germany</t>
  </si>
  <si>
    <t>Cotswolds</t>
  </si>
  <si>
    <t>Israel</t>
  </si>
  <si>
    <t>Farms across the U.S. &amp; Canada</t>
  </si>
  <si>
    <t>New York, NY</t>
  </si>
  <si>
    <t>Denver, CO</t>
  </si>
  <si>
    <t>Madrid _xD83C__xDDEA__xD83C__xDDF8_</t>
  </si>
  <si>
    <t>San Francisco</t>
  </si>
  <si>
    <t>Sydney, New South Wales</t>
  </si>
  <si>
    <t>Berlin</t>
  </si>
  <si>
    <t>London</t>
  </si>
  <si>
    <t>Rehovot, Israel</t>
  </si>
  <si>
    <t>Delta Quadrant</t>
  </si>
  <si>
    <t>日本</t>
  </si>
  <si>
    <t>Jamestown, NC</t>
  </si>
  <si>
    <t xml:space="preserve">Canada </t>
  </si>
  <si>
    <t>The Netherlands</t>
  </si>
  <si>
    <t>London, England</t>
  </si>
  <si>
    <t>Tokyo</t>
  </si>
  <si>
    <t>San Diego, CA</t>
  </si>
  <si>
    <t>North East, England</t>
  </si>
  <si>
    <t>Newcastle Upon Tyne, England</t>
  </si>
  <si>
    <t>Jakarta Selatan, DKI Jakarta</t>
  </si>
  <si>
    <t>Munich</t>
  </si>
  <si>
    <t>Woolacombe</t>
  </si>
  <si>
    <t>Melbourne, Australia</t>
  </si>
  <si>
    <t>Made in Mannheim. Made with Love.</t>
  </si>
  <si>
    <t>Indonesia</t>
  </si>
  <si>
    <t>Surabaya</t>
  </si>
  <si>
    <t>Bavaria</t>
  </si>
  <si>
    <t>Open Twitter Page for This Person</t>
  </si>
  <si>
    <t>biz_retail
Japanese scientists work up an
appetite for lab-grown #Wagyu beef
https://t.co/MjlHuRCZV4 via @Biz_Retail
#CulturedMeat #LabgrownMeat</t>
  </si>
  <si>
    <t>biz_agriculture
Japanese scientists work up an
appetite for lab-grown #Wagyu beef
https://t.co/j3j35ZqNjh via @Biz_Retail
#CulturedMeat #LabgrownMeat</t>
  </si>
  <si>
    <t>fooding1st
Flexitarian and cell-cultured movements
advance #plantbased eating, says
@innovatrending https://t.co/EKEcAkfQ3t
#protein #culturedmeat #diet #flexitarian</t>
  </si>
  <si>
    <t xml:space="preserve">innovatrending
</t>
  </si>
  <si>
    <t>ingredientfacts
Flexitarian and cell-cultured movements
advance #plantbased eating, says
@innovatrending https://t.co/EKEcAkfQ3t
#protein #culturedmeat #diet #flexitarian</t>
  </si>
  <si>
    <t>lab_grownmeat
Germany’s youth are open to Cultured
Meat | https://t.co/aqvfJOnBJV
https://t.co/cFdiC93TEn #vegan
#culturedmeat #cleanmeat #labgrownmeat</t>
  </si>
  <si>
    <t>phill59316885
Germany’s youth are open to Cultured
Meat | https://t.co/aqvfJOnBJV
https://t.co/cFdiC93TEn #vegan
#culturedmeat #cleanmeat #labgrownmeat</t>
  </si>
  <si>
    <t>proveg_int
What are the alternatives to the
#AnimalProtein that dominates dietary
habits? _xD83E__xDD14_Mushrooms, #algae, and
#CulturedMeat are key areas which
offer untapped potential. _xD83D__xDE80_ The
#NewFoodConference focuses on the
promising alternative sources of
protein. ➡️ https://t.co/gHdn7aaIOm</t>
  </si>
  <si>
    <t>albionau
What are the alternatives to the
#AnimalProtein that dominates dietary
habits? _xD83E__xDD14_Mushrooms, #algae, and
#CulturedMeat are key areas which
offer untapped potential. _xD83D__xDE80_ The
#NewFoodConference focuses on the
promising alternative sources of
protein. ➡️ https://t.co/gHdn7aaIOm</t>
  </si>
  <si>
    <t>ahasidim
Proud to partner with #ashtonkutcher
to advance #cultivatedmeat ! #3dprinting
#bioprinting #culturedmeat #cellbased
#cellag #cleanmeat #cleantech #foodtech
#foodofthefuture #sustainablefood
#sustainableinnovation $MITC https://t.co/dPAUIc2gJs</t>
  </si>
  <si>
    <t>meatech3d
Catch #MeaTech presenting on the
Innovative Food Technologies panel
at the Global #AgTech Virtual Conference
on October 14, 2021 at 10 a.m.
EDT. https://t.co/l2wwBuBWxc #3Dprinting
#bioprinting #cellag #cultivatedmeat
#culturedmeat #foodtech #sustainable
#innovation $MITC https://t.co/WhEFlZVkYw</t>
  </si>
  <si>
    <t>agreenerworld
"Don't believe the #LabMeat hype."
This fascinating article by @joefassler
in @TheCounter highlights the technological
shortcomings of this 'silver-bullet
sustainable solution'--and why
the lab-meat bubble could be about
to burst https://t.co/GnSrbMpKhz
#labmeat #culturedmeat</t>
  </si>
  <si>
    <t xml:space="preserve">thecounter
</t>
  </si>
  <si>
    <t xml:space="preserve">joefassler
</t>
  </si>
  <si>
    <t>eatableadv
Don't miss out! _xD83D__xDC49_ The Cultured
Meat Symposium will be streaming
Live From San Francisco covering
topics of Scalability and Sustainability.
@cmsymp #futurefood #foodtech #culturedmeat
#cultivatedmeat #cellbasedmeat
#2021CMS  https://t.co/lWYkCfXOpB</t>
  </si>
  <si>
    <t>cmsymp
Seats are filling up for the upcoming
Cultured Meat Symposium. Learn
more about the event and register
for in-person or online tickets
now. https://t.co/t3V64y0bpL #culturedmeat
#cultivatedmeat #cellbasedmeat
#cleanmeat</t>
  </si>
  <si>
    <t>pstvclimate
Tune in to learn more, and keep
an eye out over the next few days
for more about cultured and lab-grown
meat (it’s fascinating stuff!)
#culturedmeat #sustainability (3/3)</t>
  </si>
  <si>
    <t>anikabockisch
Cultured meat has arrived at the
main German news on #television
(starting at min 23:50) _xD83D__xDCFA_: https://t.co/l7iQXsZzlL
Our members #OSPIN GmbH and #Celltainer
Biotech BV are also working on
this topic. #culturedmeat #biotechnology
#newfood #sustainablefood #sustainability
https://t.co/Ry3BJyd01m</t>
  </si>
  <si>
    <t>geneticliteracy
No #culturedmeat company is producing
at scale — or making money yet.
Here's why. @TheEconomist https://t.co/7g2LcJXyOo</t>
  </si>
  <si>
    <t xml:space="preserve">theeconomist
</t>
  </si>
  <si>
    <t>futuremeattech1
Join @FutureMeatTech1 at Israel’s
AgriFood Summit on cutting-edge
#technology being used to #transform
the #food and #ag industries and
fight #world #climate. @Rom Kshuk
will share how we are leading the
#culturedmeat sector by enabling
#scalable production of #cultivatedmeat
&amp;gt; https://t.co/7Cz3eOOJql</t>
  </si>
  <si>
    <t xml:space="preserve">rom
</t>
  </si>
  <si>
    <t>ark_royal0909
#MeaTech3D is participating in
today’s Alliance Bernstein - Digestible
Disruption Conference 2021 at 10:30
a.m. EDT. Join us for #culturedmeat
sector updates and MeaTech’s role
in it. Investors interested in
attending should contact their
Bernstein sales representative.
$MITC https://t.co/FAqVkBuYsw</t>
  </si>
  <si>
    <t>docassar
cultured meat via NodeXL https://t.co/9ux1BijkNr
@craftmeati @bluenaluinc @theeconomist
@jptechcrunch @plantbasednews @ra_mc
@hana_soul_hack @mosa_meat @mtffilm
@protein_report Top hashtags: #techcrunchjp
#culturedmeat #rebiolution #cellularagriculture
#bionformation /</t>
  </si>
  <si>
    <t xml:space="preserve">protein_report
</t>
  </si>
  <si>
    <t>ra_mc
cultured meat via NodeXL https://t.co/9ux1BijkNr
@craftmeati @bluenaluinc @theeconomist
@jptechcrunch @plantbasednews @ra_mc
@hana_soul_hack @mosa_meat @mtffilm
@protein_report Top hashtags: #techcrunchjp
#culturedmeat #rebiolution #cellularagriculture
#bionformation /</t>
  </si>
  <si>
    <t xml:space="preserve">mtffilm
</t>
  </si>
  <si>
    <t xml:space="preserve">mosa_meat
</t>
  </si>
  <si>
    <t xml:space="preserve">hana_soul_hack
</t>
  </si>
  <si>
    <t xml:space="preserve">plantbasednews
</t>
  </si>
  <si>
    <t xml:space="preserve">jptechcrunch
</t>
  </si>
  <si>
    <t xml:space="preserve">bluenaluinc
</t>
  </si>
  <si>
    <t>craftmeati
Just went live, so here is you
chance to be one of the first _xD83E__xDD47_
applicants for a super exciting
Chief Of Staff position at @CellulaREvolution,
one of the UK's most innovative
companies! _xD83D__xDC69_‍_xD83D__xDD2C__xD83D__xDD2C_ https://t.co/T4L6t3PLhX
#biotechnology #chiefofstaff #innovation
#culturedmeat</t>
  </si>
  <si>
    <t>luutremendous
Catch #MeaTech presenting on the
Innovative Food Technologies panel
at the Global #AgTech Virtual Conference
on October 14, 2021 at 10 a.m.
EDT. https://t.co/l2wwBuBWxc #3Dprinting
#bioprinting #cellag #cultivatedmeat
#culturedmeat #foodtech #sustainable
#innovation $MITC https://t.co/WhEFlZVkYw</t>
  </si>
  <si>
    <t>cellsrevolved
Just went live, so here is you
chance to be one of the first _xD83E__xDD47_
applicants for a super exciting
Chief Of Staff position at @CellulaREvolution,
one of the UK's most innovative
companies! _xD83D__xDC69_‍_xD83D__xDD2C__xD83D__xDD2C_ https://t.co/v8LsRj9p9Q
#biotechnology #chiefofstaff #innovation
#culturedmeat</t>
  </si>
  <si>
    <t>groenewegenleo
Just went live, so here is you
chance to be one of the first _xD83E__xDD47_
applicants for a super exciting
Chief Of Staff position at @CellulaREvolution,
one of the UK's most innovative
companies! _xD83D__xDC69_‍_xD83D__xDD2C__xD83D__xDD2C_ https://t.co/T4L6t3PLhX
#biotechnology #chiefofstaff #innovation
#culturedmeat</t>
  </si>
  <si>
    <t>martymi90
Just went live, so here is you
chance to be one of the first _xD83E__xDD47_
applicants for a super exciting
Chief Of Staff position at @CellulaREvolution,
one of the UK's most innovative
companies! _xD83D__xDC69_‍_xD83D__xDD2C__xD83D__xDD2C_ https://t.co/v8LsRj9p9Q
#biotechnology #chiefofstaff #innovation
#culturedmeat</t>
  </si>
  <si>
    <t>damienclarkson
Just went live, so here is you
chance to be one of the first _xD83E__xDD47_
applicants for a super exciting
Chief Of Staff position at @CellulaREvolution,
one of the UK's most innovative
companies! _xD83D__xDC69_‍_xD83D__xDD2C__xD83D__xDD2C_ https://t.co/T4L6t3PLhX
#biotechnology #chiefofstaff #innovation
#culturedmeat</t>
  </si>
  <si>
    <t>halimantik
Setelah isu C19, terbitlah isu
#climatechange Sudah tertulis di
point 6. Upayanya adalah penggunaan
kendaraan pribadi akan di batasi
dan di Point 8, nanti kita dibatasi
mengkonsumsi daging merah di ganti
dengan #culturedmeat https://t.co/Iv3qQilvgq</t>
  </si>
  <si>
    <t>mysubuh
Setelah isu C19, terbitlah isu
#climatechange Sudah tertulis di
point 6. Upayanya adalah penggunaan
kendaraan pribadi akan di batasi
dan di Point 8, nanti kita dibatasi
mengkonsumsi daging merah di ganti
dengan #culturedmeat https://t.co/Iv3qQilvgq</t>
  </si>
  <si>
    <t>bygora_official
Check out our new article about
"Cultured Meat" Just click here
https://t.co/K9UIB91Zhu #culturedmeat
#invitromeat #novelfood #sustainablefood
#sustainability #bygora https://t.co/B5LNqJ8QMX</t>
  </si>
  <si>
    <t>agreenerworlduk
"Don't believe the hype..." This
fascinating article by @joefassler
in @TheCounter highlights some
significant technological shortcomings
and asks if the #LabGrownMeat bubble
could be about to burst_xD83D__xDC49_ https://t.co/qmG4uUsAB5
#labmeat #culturedmeat #fakemeat
#farmingUK</t>
  </si>
  <si>
    <t>inspirasiv
Haa, jom dengar perkongsian daripada
Saudara Faizzuan mengenai inovasi
daging kultur dan proses pembuatannya.
Semoga bermanfaat! #culturedmeat
#sainsmakanan #fstukm #TERASWatanKita
#UniversitiWatanKita #UKMHebat
#SharingInspirasi #KitaGengInspi
#ActionInReality #sains #UKM</t>
  </si>
  <si>
    <t>shorewalker1
Note that #CulturedMeat is different
from #PlantBasedMeat. The latter
tastes increasingly good and is
getting cheaper all the time. Yay!
(Confirmed-carnivore me has moved
to vegan sausages, and is hoping
for affordable, tasty, non-animal
everything). https://t.co/M8DnwbyEUI</t>
  </si>
  <si>
    <t>daily_research
Participants needed for online
survey! Topic: "What is your perception
on the topic of cultured meat?"
https://t.co/rhxyQZEpWu via @SurveyCircle
#CulturedMeat #InVitroMeat #CleanMeat
#SocialMedia #instagram #meat #survey
#surveycircle https://t.co/FEXzSzS9IU</t>
  </si>
  <si>
    <t xml:space="preserve">surveycircle
</t>
  </si>
  <si>
    <t>the_teh_news
Cultured Meat . . #meat #culturedmeat
#steak #foodie #bbq #instafood
#chicken #delicious #foodstagram
#grill #foodphotography #dinner
#ai #yummy #burger #meatlover #barbecue
#carne #tech #pork #science #foodblogger
#foodlover #grilling #wagyu #homemade
#lunch #brisket #cooking https://t.co/3LmrO5GaJF</t>
  </si>
  <si>
    <t>pengejarbayang
Setelah isu C19, terbitlah isu
#climatechange Sudah tertulis di
point 6. Upayanya adalah penggunaan
kendaraan pribadi akan di batasi
dan di Point 8, nanti kita dibatasi
mengkonsumsi daging merah di ganti
dengan #culturedmeat https://t.co/Iv3qQilvgq</t>
  </si>
  <si>
    <t>alvinrio_1501
Setelah isu C19, terbitlah isu
#climatechange Sudah tertulis di
point 6. Upayanya adalah penggunaan
kendaraan pribadi akan di batasi
dan di Point 8, nanti kita dibatasi
mengkonsumsi daging merah di ganti
dengan #culturedmeat https://t.co/Iv3qQilvgq</t>
  </si>
  <si>
    <t>darakasiwi
Setelah isu C19, terbitlah isu
#climatechange Sudah tertulis di
point 6. Upayanya adalah penggunaan
kendaraan pribadi akan di batasi
dan di Point 8, nanti kita dibatasi
mengkonsumsi daging merah di ganti
dengan #culturedmeat https://t.co/Iv3qQilvgq</t>
  </si>
  <si>
    <t>bizcommunity
Japanese scientists work up an
appetite for lab-grown #Wagyu beef
https://t.co/zMuq2h1aAq via @Biz_Retail
#CulturedMeat #LabgrownMeat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</si>
  <si>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</si>
  <si>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</si>
  <si>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</si>
  <si>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</si>
  <si>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</si>
  <si>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</si>
  <si>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</si>
  <si>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</si>
  <si>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</si>
  <si>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</si>
  <si>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</si>
  <si>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</si>
  <si>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</si>
  <si>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</si>
  <si>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</si>
  <si>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</si>
  <si>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</si>
  <si>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</si>
  <si>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</si>
  <si>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</si>
  <si>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</si>
  <si>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</si>
  <si>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</si>
  <si>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</si>
  <si>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</si>
  <si>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</si>
  <si>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</si>
  <si>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</si>
  <si>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</si>
  <si>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</si>
  <si>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</si>
  <si>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</si>
  <si>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https://www.linkedin.com/slink?code=eYxyEG3F</t>
  </si>
  <si>
    <t>https://www.who.int/news/item/11-10-2021-who-s-10-calls-for-climate-action-to-assure-sustained-recovery-from-covid-19</t>
  </si>
  <si>
    <t>https://thecounter.org/lab-grown-cultivated-meat-cost-at-scale/</t>
  </si>
  <si>
    <t>https://www.bizcommunity.com/Article/108/162/220909.html</t>
  </si>
  <si>
    <t>https://m-vest.com/events/global-agtech?utm_source=press_release&amp;utm_medium=pr&amp;utm_term=presenters</t>
  </si>
  <si>
    <t>https://nodexlgraphgallery.org/Pages/Graph.aspx?graphID=264394</t>
  </si>
  <si>
    <t>https://twitter.com/Calcalistech/status/1446115448035020808</t>
  </si>
  <si>
    <t>https://proveg.com/blog/nfc-at-anuga-protein-of-the-future/?utm_source=Facebook&amp;utm_medium=Social&amp;utm_campaign=NFC_GeneralBlog</t>
  </si>
  <si>
    <t>https://labgrownmeat.com/</t>
  </si>
  <si>
    <t>https://labgrownmeat.com/open-to-cultured-meat/</t>
  </si>
  <si>
    <t>Entire Graph Count</t>
  </si>
  <si>
    <t>Top URLs in Tweet in G1</t>
  </si>
  <si>
    <t>https://geneticliteracyproject.org/2021/10/11/a-future-in-which-meat-no-longer-requires-animal-slaughter-there-are-some-barriers-to-that-goal/?utm_medium=Social&amp;utm_source=Twitter#Echobox=1633926322</t>
  </si>
  <si>
    <t>https://geneticliteracyproject.org/2021/10/11/a-future-in-which-meat-no-longer-requires-animal-slaughter-there-are-some-barriers-to-that-goal/?utm_medium=Social&amp;utm_source=Twitter#Echobox=1633926304-1</t>
  </si>
  <si>
    <t>Top URLs in Tweet in G2</t>
  </si>
  <si>
    <t>G1 Count</t>
  </si>
  <si>
    <t>Top URLs in Tweet in G3</t>
  </si>
  <si>
    <t>G2 Count</t>
  </si>
  <si>
    <t>https://www.linkedin.com/slink?code=dNAPHtUG</t>
  </si>
  <si>
    <t>https://bygora.com/2021/10/cultured-meat/</t>
  </si>
  <si>
    <t>https://astralcodexten.substack.com/p/bay-area-plant-based-meat-reviews</t>
  </si>
  <si>
    <t>Top URLs in Tweet in G4</t>
  </si>
  <si>
    <t>G3 Count</t>
  </si>
  <si>
    <t>Top URLs in Tweet in G5</t>
  </si>
  <si>
    <t>G4 Count</t>
  </si>
  <si>
    <t>Top URLs in Tweet in G6</t>
  </si>
  <si>
    <t>G5 Count</t>
  </si>
  <si>
    <t>https://www.foodingredientsfirst.com/news/flexitarian-and-cell-cultured-movements-advance-plant-based-eating-says-innova-market-insights.html#.YV8KaEy-8mY.twitter</t>
  </si>
  <si>
    <t>Top URLs in Tweet in G7</t>
  </si>
  <si>
    <t>G6 Count</t>
  </si>
  <si>
    <t>Top URLs in Tweet in G8</t>
  </si>
  <si>
    <t>G7 Count</t>
  </si>
  <si>
    <t>https://www.surveycircle.com/en/surveys/?sr=r3#2b6d962de6ae</t>
  </si>
  <si>
    <t>Top URLs in Tweet in G9</t>
  </si>
  <si>
    <t>G8 Count</t>
  </si>
  <si>
    <t>Top URLs in Tweet in G10</t>
  </si>
  <si>
    <t>G9 Count</t>
  </si>
  <si>
    <t>https://www.eventbrite.com/e/cultured-meat-symposium-2021-tickets-148260090923</t>
  </si>
  <si>
    <t>https://cms21.io</t>
  </si>
  <si>
    <t>G10 Count</t>
  </si>
  <si>
    <t>Top URLs in Tweet</t>
  </si>
  <si>
    <t>https://nodexlgraphgallery.org/Pages/Graph.aspx?graphID=264394 https://geneticliteracyproject.org/2021/10/11/a-future-in-which-meat-no-longer-requires-animal-slaughter-there-are-some-barriers-to-that-goal/?utm_medium=Social&amp;utm_source=Twitter#Echobox=1633926322 https://geneticliteracyproject.org/2021/10/11/a-future-in-which-meat-no-longer-requires-animal-slaughter-there-are-some-barriers-to-that-goal/?utm_medium=Social&amp;utm_source=Twitter#Echobox=1633926304-1</t>
  </si>
  <si>
    <t>https://www.linkedin.com/slink?code=eYxyEG3F https://m-vest.com/events/global-agtech?utm_source=press_release&amp;utm_medium=pr&amp;utm_term=presenters https://twitter.com/Calcalistech/status/1446115448035020808</t>
  </si>
  <si>
    <t>https://www.linkedin.com/slink?code=dNAPHtUG https://bygora.com/2021/10/cultured-meat/ https://astralcodexten.substack.com/p/bay-area-plant-based-meat-reviews https://thecounter.org/lab-grown-cultivated-meat-cost-at-scale/</t>
  </si>
  <si>
    <t>https://www.eventbrite.com/e/cultured-meat-symposium-2021-tickets-148260090923 https://cms21.io</t>
  </si>
  <si>
    <t>Top Domains in Tweet in Entire Graph</t>
  </si>
  <si>
    <t>labgrownmeat.com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</si>
  <si>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</si>
  <si>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</si>
  <si>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</si>
  <si>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</si>
  <si>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</si>
  <si>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</si>
  <si>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</si>
  <si>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</si>
  <si>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</si>
  <si>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</si>
  <si>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</si>
  <si>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geneticliteracyproject.org</t>
  </si>
  <si>
    <t>linkedin.com m-vest.com twitter.com</t>
  </si>
  <si>
    <t>linkedin.com bygora.com substack.com thecounter.org</t>
  </si>
  <si>
    <t>eventbrite.com cms21.io</t>
  </si>
  <si>
    <t>Top Hashtags in Tweet in Entire Graph</t>
  </si>
  <si>
    <t>innovation</t>
  </si>
  <si>
    <t>biotechnology</t>
  </si>
  <si>
    <t>cultivatedmeat</t>
  </si>
  <si>
    <t>chiefofstaff</t>
  </si>
  <si>
    <t>climatechange</t>
  </si>
  <si>
    <t>cleanmeat</t>
  </si>
  <si>
    <t>labgrownmeat</t>
  </si>
  <si>
    <t>foodtech</t>
  </si>
  <si>
    <t>wagyu</t>
  </si>
  <si>
    <t>Top Hashtags in Tweet in G1</t>
  </si>
  <si>
    <t>techcrunchjp</t>
  </si>
  <si>
    <t>rebiolution</t>
  </si>
  <si>
    <t>cellularagriculture</t>
  </si>
  <si>
    <t>bionformation</t>
  </si>
  <si>
    <t>Top Hashtags in Tweet in G2</t>
  </si>
  <si>
    <t>3dprinting</t>
  </si>
  <si>
    <t>bioprinting</t>
  </si>
  <si>
    <t>cellag</t>
  </si>
  <si>
    <t>Top Hashtags in Tweet in G3</t>
  </si>
  <si>
    <t>sustainability</t>
  </si>
  <si>
    <t>sustainablefood</t>
  </si>
  <si>
    <t>television</t>
  </si>
  <si>
    <t>ospin</t>
  </si>
  <si>
    <t>celltainer</t>
  </si>
  <si>
    <t>newfood</t>
  </si>
  <si>
    <t>invitromeat</t>
  </si>
  <si>
    <t>novelfood</t>
  </si>
  <si>
    <t>Top Hashtags in Tweet in G4</t>
  </si>
  <si>
    <t>Top Hashtags in Tweet in G5</t>
  </si>
  <si>
    <t>labmeat</t>
  </si>
  <si>
    <t>fakemeat</t>
  </si>
  <si>
    <t>farminguk</t>
  </si>
  <si>
    <t>Top Hashtags in Tweet in G6</t>
  </si>
  <si>
    <t>protein</t>
  </si>
  <si>
    <t>diet</t>
  </si>
  <si>
    <t>flexitarian</t>
  </si>
  <si>
    <t>Top Hashtags in Tweet in G7</t>
  </si>
  <si>
    <t>Top Hashtags in Tweet in G8</t>
  </si>
  <si>
    <t>socialmedia</t>
  </si>
  <si>
    <t>instagram</t>
  </si>
  <si>
    <t>meat</t>
  </si>
  <si>
    <t>survey</t>
  </si>
  <si>
    <t>Top Hashtags in Tweet in G9</t>
  </si>
  <si>
    <t>technology</t>
  </si>
  <si>
    <t>transform</t>
  </si>
  <si>
    <t>food</t>
  </si>
  <si>
    <t>ag</t>
  </si>
  <si>
    <t>world</t>
  </si>
  <si>
    <t>climate</t>
  </si>
  <si>
    <t>scalable</t>
  </si>
  <si>
    <t>Top Hashtags in Tweet in G10</t>
  </si>
  <si>
    <t>cellbasedmeat</t>
  </si>
  <si>
    <t>futurefood</t>
  </si>
  <si>
    <t>2021cms</t>
  </si>
  <si>
    <t>Top Hashtags in Tweet</t>
  </si>
  <si>
    <t>culturedmeat techcrunchjp rebiolution cellularagriculture bionformation</t>
  </si>
  <si>
    <t>culturedmeat innovation biotechnology chiefofstaff 3dprinting bioprinting cellag cultivatedmeat foodtech meatech3d</t>
  </si>
  <si>
    <t>culturedmeat sustainability sustainablefood television ospin celltainer biotechnology newfood invitromeat novelfood</t>
  </si>
  <si>
    <t>labmeat culturedmeat labgrownmeat fakemeat farminguk</t>
  </si>
  <si>
    <t>culturedmeat cultivatedmeat cellbasedmeat cleanmeat futurefood foodtech 2021cms</t>
  </si>
  <si>
    <t>Top Words in Tweet in Entire Graph</t>
  </si>
  <si>
    <t>#culturedmeat</t>
  </si>
  <si>
    <t>di</t>
  </si>
  <si>
    <t>cultured</t>
  </si>
  <si>
    <t>one</t>
  </si>
  <si>
    <t>isu</t>
  </si>
  <si>
    <t>point</t>
  </si>
  <si>
    <t>s</t>
  </si>
  <si>
    <t>innovative</t>
  </si>
  <si>
    <t>#innovation</t>
  </si>
  <si>
    <t>Top Words in Tweet in G1</t>
  </si>
  <si>
    <t>nodexl</t>
  </si>
  <si>
    <t>Top Words in Tweet in G2</t>
  </si>
  <si>
    <t>mitc</t>
  </si>
  <si>
    <t>went</t>
  </si>
  <si>
    <t>live</t>
  </si>
  <si>
    <t>here</t>
  </si>
  <si>
    <t>chance</t>
  </si>
  <si>
    <t>first</t>
  </si>
  <si>
    <t>Top Words in Tweet in G3</t>
  </si>
  <si>
    <t>#sustainability</t>
  </si>
  <si>
    <t>more</t>
  </si>
  <si>
    <t>out</t>
  </si>
  <si>
    <t>3</t>
  </si>
  <si>
    <t>#sustainablefood</t>
  </si>
  <si>
    <t>cost</t>
  </si>
  <si>
    <t>always</t>
  </si>
  <si>
    <t>Top Words in Tweet in G4</t>
  </si>
  <si>
    <t>setelah</t>
  </si>
  <si>
    <t>c19</t>
  </si>
  <si>
    <t>terbitlah</t>
  </si>
  <si>
    <t>#climatechange</t>
  </si>
  <si>
    <t>sudah</t>
  </si>
  <si>
    <t>tertulis</t>
  </si>
  <si>
    <t>6</t>
  </si>
  <si>
    <t>Top Words in Tweet in G5</t>
  </si>
  <si>
    <t>#labmeat</t>
  </si>
  <si>
    <t>believe</t>
  </si>
  <si>
    <t>hype</t>
  </si>
  <si>
    <t>fascinating</t>
  </si>
  <si>
    <t>article</t>
  </si>
  <si>
    <t>highlights</t>
  </si>
  <si>
    <t>technological</t>
  </si>
  <si>
    <t>shortcomings</t>
  </si>
  <si>
    <t>Top Words in Tweet in G6</t>
  </si>
  <si>
    <t>cell</t>
  </si>
  <si>
    <t>movements</t>
  </si>
  <si>
    <t>advance</t>
  </si>
  <si>
    <t>#plantbased</t>
  </si>
  <si>
    <t>eating</t>
  </si>
  <si>
    <t>#protein</t>
  </si>
  <si>
    <t>Top Words in Tweet in G7</t>
  </si>
  <si>
    <t>japanese</t>
  </si>
  <si>
    <t>scientists</t>
  </si>
  <si>
    <t>work</t>
  </si>
  <si>
    <t>up</t>
  </si>
  <si>
    <t>appetite</t>
  </si>
  <si>
    <t>lab</t>
  </si>
  <si>
    <t>grown</t>
  </si>
  <si>
    <t>#wagyu</t>
  </si>
  <si>
    <t>beef</t>
  </si>
  <si>
    <t>Top Words in Tweet in G8</t>
  </si>
  <si>
    <t>topic</t>
  </si>
  <si>
    <t>Top Words in Tweet in G9</t>
  </si>
  <si>
    <t>Top Words in Tweet in G10</t>
  </si>
  <si>
    <t>symposium</t>
  </si>
  <si>
    <t>#cultivatedmeat</t>
  </si>
  <si>
    <t>#cellbasedmeat</t>
  </si>
  <si>
    <t>Top Words in Tweet</t>
  </si>
  <si>
    <t>theeconomist #culturedmeat cultured meat nodexl craftmeati bluenaluinc jptechcrunch plantbasednews ra_mc</t>
  </si>
  <si>
    <t>#culturedmeat one innovative #innovation mitc went live here chance first</t>
  </si>
  <si>
    <t>#culturedmeat cultured meat #sustainability more out 3 #sustainablefood cost always</t>
  </si>
  <si>
    <t>di isu point setelah c19 terbitlah #climatechange sudah tertulis 6</t>
  </si>
  <si>
    <t>#labmeat believe hype fascinating article joefassler thecounter highlights technological shortcomings</t>
  </si>
  <si>
    <t>flexitarian cell cultured movements advance #plantbased eating innovatrending #protein #culturedmeat</t>
  </si>
  <si>
    <t>japanese scientists work up appetite lab grown #wagyu beef biz_retail</t>
  </si>
  <si>
    <t>cultured meat symposium #culturedmeat #cultivatedmeat #cellbasedmeat</t>
  </si>
  <si>
    <t>alternatives #animalprotein dominates dietary habits mushrooms #algae #culturedmeat key areas</t>
  </si>
  <si>
    <t>germany s youth open cultured meat #vegan #culturedmeat #cleanmeat #labgrownmeat</t>
  </si>
  <si>
    <t>Top Word Pairs in Tweet in Entire Graph</t>
  </si>
  <si>
    <t>di,point</t>
  </si>
  <si>
    <t>cultured,meat</t>
  </si>
  <si>
    <t>went,live</t>
  </si>
  <si>
    <t>live,here</t>
  </si>
  <si>
    <t>here,chance</t>
  </si>
  <si>
    <t>chance,one</t>
  </si>
  <si>
    <t>one,first</t>
  </si>
  <si>
    <t>first,applicants</t>
  </si>
  <si>
    <t>applicants,super</t>
  </si>
  <si>
    <t>super,exciting</t>
  </si>
  <si>
    <t>Top Word Pairs in Tweet in G1</t>
  </si>
  <si>
    <t>meat,nodexl</t>
  </si>
  <si>
    <t>nodexl,craftmeati</t>
  </si>
  <si>
    <t>craftmeati,bluenaluinc</t>
  </si>
  <si>
    <t>bluenaluinc,theeconomist</t>
  </si>
  <si>
    <t>theeconomist,jptechcrunch</t>
  </si>
  <si>
    <t>jptechcrunch,plantbasednews</t>
  </si>
  <si>
    <t>plantbasednews,ra_mc</t>
  </si>
  <si>
    <t>ra_mc,hana_soul_hack</t>
  </si>
  <si>
    <t>hana_soul_hack,mosa_meat</t>
  </si>
  <si>
    <t>Top Word Pairs in Tweet in G2</t>
  </si>
  <si>
    <t>exciting,chief</t>
  </si>
  <si>
    <t>chief,staff</t>
  </si>
  <si>
    <t>Top Word Pairs in Tweet in G3</t>
  </si>
  <si>
    <t>#sustainablefood,#sustainability</t>
  </si>
  <si>
    <t>Top Word Pairs in Tweet in G4</t>
  </si>
  <si>
    <t>setelah,isu</t>
  </si>
  <si>
    <t>isu,c19</t>
  </si>
  <si>
    <t>c19,terbitlah</t>
  </si>
  <si>
    <t>terbitlah,isu</t>
  </si>
  <si>
    <t>isu,#climatechange</t>
  </si>
  <si>
    <t>#climatechange,sudah</t>
  </si>
  <si>
    <t>sudah,tertulis</t>
  </si>
  <si>
    <t>tertulis,di</t>
  </si>
  <si>
    <t>point,6</t>
  </si>
  <si>
    <t>Top Word Pairs in Tweet in G5</t>
  </si>
  <si>
    <t>hype,fascinating</t>
  </si>
  <si>
    <t>fascinating,article</t>
  </si>
  <si>
    <t>article,joefassler</t>
  </si>
  <si>
    <t>joefassler,thecounter</t>
  </si>
  <si>
    <t>thecounter,highlights</t>
  </si>
  <si>
    <t>technological,shortcomings</t>
  </si>
  <si>
    <t>bubble,burst</t>
  </si>
  <si>
    <t>burst,#labmeat</t>
  </si>
  <si>
    <t>#labmeat,#culturedmeat</t>
  </si>
  <si>
    <t>Top Word Pairs in Tweet in G6</t>
  </si>
  <si>
    <t>flexitarian,cell</t>
  </si>
  <si>
    <t>cell,cultured</t>
  </si>
  <si>
    <t>cultured,movements</t>
  </si>
  <si>
    <t>movements,advance</t>
  </si>
  <si>
    <t>advance,#plantbased</t>
  </si>
  <si>
    <t>#plantbased,eating</t>
  </si>
  <si>
    <t>eating,innovatrending</t>
  </si>
  <si>
    <t>innovatrending,#protein</t>
  </si>
  <si>
    <t>#protein,#culturedmeat</t>
  </si>
  <si>
    <t>#culturedmeat,#diet</t>
  </si>
  <si>
    <t>Top Word Pairs in Tweet in G7</t>
  </si>
  <si>
    <t>japanese,scientists</t>
  </si>
  <si>
    <t>scientists,work</t>
  </si>
  <si>
    <t>work,up</t>
  </si>
  <si>
    <t>up,appetite</t>
  </si>
  <si>
    <t>appetite,lab</t>
  </si>
  <si>
    <t>lab,grown</t>
  </si>
  <si>
    <t>grown,#wagyu</t>
  </si>
  <si>
    <t>#wagyu,beef</t>
  </si>
  <si>
    <t>beef,biz_retail</t>
  </si>
  <si>
    <t>biz_retail,#culturedmeat</t>
  </si>
  <si>
    <t>Top Word Pairs in Tweet in G8</t>
  </si>
  <si>
    <t>Top Word Pairs in Tweet in G9</t>
  </si>
  <si>
    <t>Top Word Pairs in Tweet in G10</t>
  </si>
  <si>
    <t>meat,symposium</t>
  </si>
  <si>
    <t>#culturedmeat,#cultivatedmeat</t>
  </si>
  <si>
    <t>#cultivatedmeat,#cellbasedmeat</t>
  </si>
  <si>
    <t>Top Word Pairs in Tweet</t>
  </si>
  <si>
    <t>cultured,meat  meat,nodexl  nodexl,craftmeati  craftmeati,bluenaluinc  bluenaluinc,theeconomist  theeconomist,jptechcrunch  jptechcrunch,plantbasednews  plantbasednews,ra_mc  ra_mc,hana_soul_hack  hana_soul_hack,mosa_meat</t>
  </si>
  <si>
    <t>went,live  live,here  here,chance  chance,one  one,first  first,applicants  applicants,super  super,exciting  exciting,chief  chief,staff</t>
  </si>
  <si>
    <t>cultured,meat  #sustainablefood,#sustainability</t>
  </si>
  <si>
    <t>di,point  setelah,isu  isu,c19  c19,terbitlah  terbitlah,isu  isu,#climatechange  #climatechange,sudah  sudah,tertulis  tertulis,di  point,6</t>
  </si>
  <si>
    <t>hype,fascinating  fascinating,article  article,joefassler  joefassler,thecounter  thecounter,highlights  technological,shortcomings  bubble,burst  burst,#labmeat  #labmeat,#culturedmeat</t>
  </si>
  <si>
    <t>flexitarian,cell  cell,cultured  cultured,movements  movements,advance  advance,#plantbased  #plantbased,eating  eating,innovatrending  innovatrending,#protein  #protein,#culturedmeat  #culturedmeat,#diet</t>
  </si>
  <si>
    <t>japanese,scientists  scientists,work  work,up  up,appetite  appetite,lab  lab,grown  grown,#wagyu  #wagyu,beef  beef,biz_retail  biz_retail,#culturedmeat</t>
  </si>
  <si>
    <t>cultured,meat  meat,symposium  #culturedmeat,#cultivatedmeat  #cultivatedmeat,#cellbasedmeat</t>
  </si>
  <si>
    <t>alternatives,#animalprotein  #animalprotein,dominates  dominates,dietary  dietary,habits  habits,mushrooms  mushrooms,#algae  #algae,#culturedmeat  #culturedmeat,key  key,areas  areas,offer</t>
  </si>
  <si>
    <t>germany,s  s,youth  youth,open  open,cultured  cultured,meat  meat,#vegan  #vegan,#culturedmeat  #culturedmeat,#cleanmeat  #cleanmeat,#labgrownmeat</t>
  </si>
  <si>
    <t>Top Replied-To in Entire Graph</t>
  </si>
  <si>
    <t>Top Mentioned in Entire Graph</t>
  </si>
  <si>
    <t>cellularevolution</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</si>
  <si>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</si>
  <si>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</si>
  <si>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</si>
  <si>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</si>
  <si>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</si>
  <si>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</si>
  <si>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</si>
  <si>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</si>
  <si>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</si>
  <si>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</si>
  <si>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</si>
  <si>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</si>
  <si>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</si>
  <si>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</si>
  <si>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</si>
  <si>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</si>
  <si>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</si>
  <si>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</si>
  <si>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</si>
  <si>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</si>
  <si>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</si>
  <si>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</si>
  <si>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theeconomist craftmeati bluenaluinc jptechcrunch plantbasednews ra_mc hana_soul_hack mosa_meat mtffilm protein_report</t>
  </si>
  <si>
    <t>joefassler thecounter</t>
  </si>
  <si>
    <t>futuremeattech1 rom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</si>
  <si>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</si>
  <si>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</si>
  <si>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</si>
  <si>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</si>
  <si>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</si>
  <si>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</si>
  <si>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</si>
  <si>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</si>
  <si>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</si>
  <si>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</si>
  <si>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</si>
  <si>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</si>
  <si>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theeconomist jptechcrunch ra_mc geneticliteracy plantbasednews hana_soul_hack protein_report docassar mtffilm bluenaluinc</t>
  </si>
  <si>
    <t>damienclarkson craftmeati luutremendous ahasidim meatech3d groenewegenleo ark_royal0909 cellsrevolved martymi90</t>
  </si>
  <si>
    <t>shorewalker1 inspirasiv anikabockisch pstvclimate bygora_official the_teh_news</t>
  </si>
  <si>
    <t>alvinrio_1501 pengejarbayang darakasiwi mysubuh halimantik</t>
  </si>
  <si>
    <t>thecounter agreenerworld joefassler agreenerworlduk</t>
  </si>
  <si>
    <t>fooding1st innovatrending ingredientfacts</t>
  </si>
  <si>
    <t>bizcommunity biz_retail biz_agriculture</t>
  </si>
  <si>
    <t>daily_research surveycircle</t>
  </si>
  <si>
    <t>rom futuremeattech1</t>
  </si>
  <si>
    <t>eatableadv cmsymp</t>
  </si>
  <si>
    <t>albionau proveg_int</t>
  </si>
  <si>
    <t>phill59316885 lab_grownmeat</t>
  </si>
  <si>
    <t>Top URLs in Tweet by Count</t>
  </si>
  <si>
    <t>https://m-vest.com/events/global-agtech?utm_source=press_release&amp;utm_medium=pr&amp;utm_term=presenters https://twitter.com/Calcalistech/status/1446115448035020808</t>
  </si>
  <si>
    <t>https://geneticliteracyproject.org/2021/10/11/a-future-in-which-meat-no-longer-requires-animal-slaughter-there-are-some-barriers-to-that-goal/?utm_medium=Social&amp;utm_source=Twitter#Echobox=1633926322 https://geneticliteracyproject.org/2021/10/11/a-future-in-which-meat-no-longer-requires-animal-slaughter-there-are-some-barriers-to-that-goal/?utm_medium=Social&amp;utm_source=Twitter#Echobox=1633926304-1</t>
  </si>
  <si>
    <t>https://astralcodexten.substack.com/p/bay-area-plant-based-meat-reviews https://thecounter.org/lab-grown-cultivated-meat-cost-at-scale/</t>
  </si>
  <si>
    <t>Top URLs in Tweet by Salience</t>
  </si>
  <si>
    <t>Top Domains in Tweet by Count</t>
  </si>
  <si>
    <t>m-vest.com twitter.com</t>
  </si>
  <si>
    <t>substack.com thecounter.org</t>
  </si>
  <si>
    <t>Top Domains in Tweet by Salience</t>
  </si>
  <si>
    <t>Top Hashtags in Tweet by Count</t>
  </si>
  <si>
    <t>ashtonkutcher cultivatedmeat 3dprinting bioprinting culturedmeat cellbased cellag cleanmeat cleantech foodtech</t>
  </si>
  <si>
    <t>culturedmeat 3dprinting bioprinting cellag cultivatedmeat foodtech meatech agtech sustainable innovation</t>
  </si>
  <si>
    <t>labmeat culturedmeat</t>
  </si>
  <si>
    <t>culturedmeat biotechnology chiefofstaff innovation meatech3d</t>
  </si>
  <si>
    <t>culturedmeat sainsmakanan fstukm teraswatankita universitiwatankita ukmhebat sharinginspirasi kitagenginspi actioninreality sains</t>
  </si>
  <si>
    <t>culturedmeat plantbasedmeat manufacturedmeat</t>
  </si>
  <si>
    <t>meat culturedmeat steak foodie bbq instafood chicken delicious foodstagram grill</t>
  </si>
  <si>
    <t>Top Hashtags in Tweet by Salience</t>
  </si>
  <si>
    <t>meatech agtech sustainable innovation meatech3d ashtonkutcher cellbased cleanmeat cleantech foodofthefuture</t>
  </si>
  <si>
    <t>meatech3d biotechnology chiefofstaff innovation culturedmeat</t>
  </si>
  <si>
    <t>plantbasedmeat manufacturedmeat culturedmeat</t>
  </si>
  <si>
    <t>Top Words in Tweet by Count</t>
  </si>
  <si>
    <t>japanese scientists work up appetite lab grown #wagyu beef via</t>
  </si>
  <si>
    <t>flexitarian cell cultured movements advance #plantbased eating innovatrending #protein #diet</t>
  </si>
  <si>
    <t>germany s youth open cultured meat #vegan #cleanmeat #labgrownmeat</t>
  </si>
  <si>
    <t>alternatives #animalprotein dominates dietary habits mushrooms #algae key areas offer</t>
  </si>
  <si>
    <t>proud partner #ashtonkutcher advance #cultivatedmeat #3dprinting #bioprinting #cellbased #cellag #cleanmeat</t>
  </si>
  <si>
    <t>mitc conference 2021 10 m edt #3dprinting #bioprinting #cellag #cultivatedmeat</t>
  </si>
  <si>
    <t>miss out cultured meat symposium streaming live san francisco covering</t>
  </si>
  <si>
    <t>seats filling up upcoming cultured meat symposium learn more event</t>
  </si>
  <si>
    <t>more 3 tune learn keep eye out over next few</t>
  </si>
  <si>
    <t>cultured meat arrived main german news #television starting min 23</t>
  </si>
  <si>
    <t>theeconomist company producing scale making money here's companies globe vying</t>
  </si>
  <si>
    <t>join futuremeattech1 israel s agrifood summit cutting edge #technology being</t>
  </si>
  <si>
    <t>s bernstein #meatech3d participating today alliance digestible disruption conference 2021</t>
  </si>
  <si>
    <t>cultured meat via nodexl craftmeati bluenaluinc theeconomist jptechcrunch plantbasednews ra_mc</t>
  </si>
  <si>
    <t>one went live here chance first applicants super exciting chief</t>
  </si>
  <si>
    <t>catch #meatech presenting innovative food technologies panel global #agtech virtual</t>
  </si>
  <si>
    <t>check out new article cultured meat click here #invitromeat #novelfood</t>
  </si>
  <si>
    <t>believe hype fascinating article joefassler thecounter highlights significant technological shortcomings</t>
  </si>
  <si>
    <t>haa jom dengar perkongsian daripada saudara faizzuan mengenai inovasi daging</t>
  </si>
  <si>
    <t>cost always note different #plantbasedmeat latter tastes increasingly good getting</t>
  </si>
  <si>
    <t>topic participants needed online survey perception cultured meat via surveycircle</t>
  </si>
  <si>
    <t>cultured meat #meat #steak #foodie #bbq #instafood #chicken #delicious #foodstagram</t>
  </si>
  <si>
    <t>Top Words in Tweet by Salience</t>
  </si>
  <si>
    <t>s bernstein catch #meatech presenting innovative food technologies panel global</t>
  </si>
  <si>
    <t>company producing scale making money here's companies globe vying bring</t>
  </si>
  <si>
    <t>s bernstein one #meatech3d participating today alliance digestible disruption conference</t>
  </si>
  <si>
    <t>Top Word Pairs in Tweet by Count</t>
  </si>
  <si>
    <t>japanese,scientists  scientists,work  work,up  up,appetite  appetite,lab  lab,grown  grown,#wagyu  #wagyu,beef  beef,via  via,biz_retail</t>
  </si>
  <si>
    <t>proud,partner  partner,#ashtonkutcher  #ashtonkutcher,advance  advance,#cultivatedmeat  #cultivatedmeat,#3dprinting  #3dprinting,#bioprinting  #bioprinting,#culturedmeat  #culturedmeat,#cellbased  #cellbased,#cellag  #cellag,#cleanmeat</t>
  </si>
  <si>
    <t>2021,10  m,edt  #3dprinting,#bioprinting  catch,#meatech  #meatech,presenting  presenting,innovative  innovative,food  food,technologies  technologies,panel  panel,global</t>
  </si>
  <si>
    <t>believe,#labmeat  #labmeat,hype  hype,fascinating  fascinating,article  article,joefassler  joefassler,thecounter  thecounter,highlights  highlights,technological  technological,shortcomings  shortcomings,'silver</t>
  </si>
  <si>
    <t>miss,out  out,cultured  cultured,meat  meat,symposium  symposium,streaming  streaming,live  live,san  san,francisco  francisco,covering  covering,topics</t>
  </si>
  <si>
    <t>seats,filling  filling,up  up,upcoming  upcoming,cultured  cultured,meat  meat,symposium  symposium,learn  learn,more  more,event  event,register</t>
  </si>
  <si>
    <t>tune,learn  learn,more  more,keep  keep,eye  eye,out  out,over  over,next  next,few  few,days  days,more</t>
  </si>
  <si>
    <t>cultured,meat  meat,arrived  arrived,main  main,german  german,news  news,#television  #television,starting  starting,min  min,23  23,50</t>
  </si>
  <si>
    <t>#culturedmeat,company  company,producing  producing,scale  scale,making  making,money  money,here's  here's,theeconomist  companies,globe  globe,vying  vying,bring</t>
  </si>
  <si>
    <t>join,futuremeattech1  futuremeattech1,israel  israel,s  s,agrifood  agrifood,summit  summit,cutting  cutting,edge  edge,#technology  #technology,being  being,used</t>
  </si>
  <si>
    <t>#meatech3d,participating  participating,today  today,s  s,alliance  alliance,bernstein  bernstein,digestible  digestible,disruption  disruption,conference  conference,2021  2021,10</t>
  </si>
  <si>
    <t>cultured,meat  meat,via  via,nodexl  nodexl,craftmeati  craftmeati,bluenaluinc  bluenaluinc,theeconomist  theeconomist,jptechcrunch  jptechcrunch,plantbasednews  plantbasednews,ra_mc  ra_mc,hana_soul_hack</t>
  </si>
  <si>
    <t>catch,#meatech  #meatech,presenting  presenting,innovative  innovative,food  food,technologies  technologies,panel  panel,global  global,#agtech  #agtech,virtual  virtual,conference</t>
  </si>
  <si>
    <t>check,out  out,new  new,article  article,cultured  cultured,meat  meat,click  click,here  here,#culturedmeat  #culturedmeat,#invitromeat  #invitromeat,#novelfood</t>
  </si>
  <si>
    <t>believe,hype  hype,fascinating  fascinating,article  article,joefassler  joefassler,thecounter  thecounter,highlights  highlights,significant  significant,technological  technological,shortcomings  shortcomings,asks</t>
  </si>
  <si>
    <t>haa,jom  jom,dengar  dengar,perkongsian  perkongsian,daripada  daripada,saudara  saudara,faizzuan  faizzuan,mengenai  mengenai,inovasi  inovasi,daging  daging,kultur</t>
  </si>
  <si>
    <t>note,#culturedmeat  #culturedmeat,different  different,#plantbasedmeat  #plantbasedmeat,latter  latter,tastes  tastes,increasingly  increasingly,good  good,getting  getting,cheaper  cheaper,time</t>
  </si>
  <si>
    <t>participants,needed  needed,online  online,survey  survey,topic  topic,perception  perception,topic  topic,cultured  cultured,meat  meat,via  via,surveycircle</t>
  </si>
  <si>
    <t>cultured,meat  meat,#meat  #meat,#culturedmeat  #culturedmeat,#steak  #steak,#foodie  #foodie,#bbq  #bbq,#instafood  #instafood,#chicken  #chicken,#delicious  #delicious,#foodstagram</t>
  </si>
  <si>
    <t>Top Word Pairs in Tweet by Salience</t>
  </si>
  <si>
    <t>Word</t>
  </si>
  <si>
    <t>Sentiment List#1</t>
  </si>
  <si>
    <t>Sentiment List#2</t>
  </si>
  <si>
    <t>Sentiment List#3</t>
  </si>
  <si>
    <t>Words in Sentiment List#1</t>
  </si>
  <si>
    <t>Words in Sentiment List#2</t>
  </si>
  <si>
    <t>Words in Sentiment List#3</t>
  </si>
  <si>
    <t>Non-categorized Words</t>
  </si>
  <si>
    <t>Total Words</t>
  </si>
  <si>
    <t>companies</t>
  </si>
  <si>
    <t>#biotechnology</t>
  </si>
  <si>
    <t>dan</t>
  </si>
  <si>
    <t>daging</t>
  </si>
  <si>
    <t>#cleanmeat</t>
  </si>
  <si>
    <t>#labgrownmeat</t>
  </si>
  <si>
    <t>applicants</t>
  </si>
  <si>
    <t>super</t>
  </si>
  <si>
    <t>exciting</t>
  </si>
  <si>
    <t>chief</t>
  </si>
  <si>
    <t>staff</t>
  </si>
  <si>
    <t>position</t>
  </si>
  <si>
    <t>uk's</t>
  </si>
  <si>
    <t>#chiefofstaff</t>
  </si>
  <si>
    <t>bernstein</t>
  </si>
  <si>
    <t>upayanya</t>
  </si>
  <si>
    <t>adalah</t>
  </si>
  <si>
    <t>penggunaan</t>
  </si>
  <si>
    <t>kendaraan</t>
  </si>
  <si>
    <t>pribadi</t>
  </si>
  <si>
    <t>akan</t>
  </si>
  <si>
    <t>batasi</t>
  </si>
  <si>
    <t>8</t>
  </si>
  <si>
    <t>nanti</t>
  </si>
  <si>
    <t>kita</t>
  </si>
  <si>
    <t>dibatasi</t>
  </si>
  <si>
    <t>mengkonsumsi</t>
  </si>
  <si>
    <t>merah</t>
  </si>
  <si>
    <t>ganti</t>
  </si>
  <si>
    <t>dengan</t>
  </si>
  <si>
    <t>conference</t>
  </si>
  <si>
    <t>2021</t>
  </si>
  <si>
    <t>10</t>
  </si>
  <si>
    <t>m</t>
  </si>
  <si>
    <t>edt</t>
  </si>
  <si>
    <t>#foodtech</t>
  </si>
  <si>
    <t>#3dprinting</t>
  </si>
  <si>
    <t>#bioprinting</t>
  </si>
  <si>
    <t>#cellag</t>
  </si>
  <si>
    <t>join</t>
  </si>
  <si>
    <t>sector</t>
  </si>
  <si>
    <t>#meatech3d</t>
  </si>
  <si>
    <t>participating</t>
  </si>
  <si>
    <t>today</t>
  </si>
  <si>
    <t>alliance</t>
  </si>
  <si>
    <t>digestible</t>
  </si>
  <si>
    <t>disruption</t>
  </si>
  <si>
    <t>30</t>
  </si>
  <si>
    <t>updates</t>
  </si>
  <si>
    <t>meatech</t>
  </si>
  <si>
    <t>role</t>
  </si>
  <si>
    <t>investors</t>
  </si>
  <si>
    <t>interested</t>
  </si>
  <si>
    <t>attending</t>
  </si>
  <si>
    <t>contact</t>
  </si>
  <si>
    <t>sales</t>
  </si>
  <si>
    <t>representative</t>
  </si>
  <si>
    <t>#meat</t>
  </si>
  <si>
    <t>online</t>
  </si>
  <si>
    <t>#invitromeat</t>
  </si>
  <si>
    <t>bubble</t>
  </si>
  <si>
    <t>burst</t>
  </si>
  <si>
    <t>catch</t>
  </si>
  <si>
    <t>#meatech</t>
  </si>
  <si>
    <t>presenting</t>
  </si>
  <si>
    <t>technologies</t>
  </si>
  <si>
    <t>panel</t>
  </si>
  <si>
    <t>global</t>
  </si>
  <si>
    <t>#agtech</t>
  </si>
  <si>
    <t>virtual</t>
  </si>
  <si>
    <t>october</t>
  </si>
  <si>
    <t>14</t>
  </si>
  <si>
    <t>#sustainable</t>
  </si>
  <si>
    <t>top</t>
  </si>
  <si>
    <t>hashtags</t>
  </si>
  <si>
    <t>#techcrunchjp</t>
  </si>
  <si>
    <t>#rebiolution</t>
  </si>
  <si>
    <t>#cellularagriculture</t>
  </si>
  <si>
    <t>#bionformation</t>
  </si>
  <si>
    <t>over</t>
  </si>
  <si>
    <t>learn</t>
  </si>
  <si>
    <t>proud</t>
  </si>
  <si>
    <t>partner</t>
  </si>
  <si>
    <t>#ashtonkutcher</t>
  </si>
  <si>
    <t>#cellbased</t>
  </si>
  <si>
    <t>#cleantech</t>
  </si>
  <si>
    <t>#foodofthefuture</t>
  </si>
  <si>
    <t>#sustainableinnovation</t>
  </si>
  <si>
    <t>alternatives</t>
  </si>
  <si>
    <t>#animalprotein</t>
  </si>
  <si>
    <t>dominates</t>
  </si>
  <si>
    <t>dietary</t>
  </si>
  <si>
    <t>habits</t>
  </si>
  <si>
    <t>mushrooms</t>
  </si>
  <si>
    <t>#algae</t>
  </si>
  <si>
    <t>key</t>
  </si>
  <si>
    <t>areas</t>
  </si>
  <si>
    <t>offer</t>
  </si>
  <si>
    <t>untapped</t>
  </si>
  <si>
    <t>potential</t>
  </si>
  <si>
    <t>#newfoodconference</t>
  </si>
  <si>
    <t>focuses</t>
  </si>
  <si>
    <t>promising</t>
  </si>
  <si>
    <t>alternative</t>
  </si>
  <si>
    <t>sources</t>
  </si>
  <si>
    <t>germany</t>
  </si>
  <si>
    <t>youth</t>
  </si>
  <si>
    <t>open</t>
  </si>
  <si>
    <t>#vegan</t>
  </si>
  <si>
    <t>#diet</t>
  </si>
  <si>
    <t>#flexitarian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</si>
  <si>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</si>
  <si>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</si>
  <si>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</si>
  <si>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</si>
  <si>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</si>
  <si>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</si>
  <si>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</si>
  <si>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</si>
  <si>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</si>
  <si>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</si>
  <si>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</si>
  <si>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</si>
  <si>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</si>
  <si>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</si>
  <si>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</si>
  <si>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</si>
  <si>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</si>
  <si>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</si>
  <si>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</si>
  <si>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</si>
  <si>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</si>
  <si>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</si>
  <si>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</si>
  <si>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</si>
  <si>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</si>
  <si>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</si>
  <si>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</si>
  <si>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</si>
  <si>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</si>
  <si>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</si>
  <si>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</si>
  <si>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</si>
  <si>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</si>
  <si>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</si>
  <si>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</si>
  <si>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</si>
  <si>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</si>
  <si>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</si>
  <si>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</si>
  <si>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</si>
  <si>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</si>
  <si>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</si>
  <si>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</si>
  <si>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</si>
  <si>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</si>
  <si>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</si>
  <si>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</si>
  <si>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</si>
  <si>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</si>
  <si>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</si>
  <si>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</si>
  <si>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</si>
  <si>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</si>
  <si>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</si>
  <si>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</si>
  <si>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</si>
  <si>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</si>
  <si>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</si>
  <si>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</si>
  <si>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</si>
  <si>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</si>
  <si>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</si>
  <si>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</si>
  <si>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</si>
  <si>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</si>
  <si>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</si>
  <si>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</si>
  <si>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2020</t>
  </si>
  <si>
    <t>May</t>
  </si>
  <si>
    <t>31-May</t>
  </si>
  <si>
    <t>9 PM</t>
  </si>
  <si>
    <t>Oct</t>
  </si>
  <si>
    <t>7-Oct</t>
  </si>
  <si>
    <t>2 PM</t>
  </si>
  <si>
    <t>8-Oct</t>
  </si>
  <si>
    <t>4 PM</t>
  </si>
  <si>
    <t>9-Oct</t>
  </si>
  <si>
    <t>3 PM</t>
  </si>
  <si>
    <t>6 PM</t>
  </si>
  <si>
    <t>10-Oct</t>
  </si>
  <si>
    <t>9 AM</t>
  </si>
  <si>
    <t>11-Oct</t>
  </si>
  <si>
    <t>1 PM</t>
  </si>
  <si>
    <t>12-Oct</t>
  </si>
  <si>
    <t>6 AM</t>
  </si>
  <si>
    <t>12 PM</t>
  </si>
  <si>
    <t>13-Oct</t>
  </si>
  <si>
    <t>8 PM</t>
  </si>
  <si>
    <t>14-Oct</t>
  </si>
  <si>
    <t>12 AM</t>
  </si>
  <si>
    <t>15-Oct</t>
  </si>
  <si>
    <t>4 AM</t>
  </si>
  <si>
    <t>7 AM</t>
  </si>
  <si>
    <t>11 PM</t>
  </si>
  <si>
    <t>16-Oct</t>
  </si>
  <si>
    <t>Green</t>
  </si>
  <si>
    <t>131, 62, 0</t>
  </si>
  <si>
    <t>Red</t>
  </si>
  <si>
    <t>G1: theeconomist #culturedmeat cultured meat nodexl craftmeati bluenaluinc jptechcrunch plantbasednews ra_mc</t>
  </si>
  <si>
    <t>G2: #culturedmeat one innovative #innovation mitc went live here chance first</t>
  </si>
  <si>
    <t>G3: #culturedmeat cultured meat #sustainability more out 3 #sustainablefood cost always</t>
  </si>
  <si>
    <t>G4: di isu point setelah c19 terbitlah #climatechange sudah tertulis 6</t>
  </si>
  <si>
    <t>G5: #labmeat believe hype fascinating article joefassler thecounter highlights technological shortcomings</t>
  </si>
  <si>
    <t>G6: flexitarian cell cultured movements advance #plantbased eating innovatrending #protein #culturedmeat</t>
  </si>
  <si>
    <t>G7: japanese scientists work up appetite lab grown #wagyu beef biz_retail</t>
  </si>
  <si>
    <t>G8: topic</t>
  </si>
  <si>
    <t>G10: cultured meat symposium #culturedmeat #cultivatedmeat #cellbasedmeat</t>
  </si>
  <si>
    <t>G11: alternatives #animalprotein dominates dietary habits mushrooms #algae #culturedmeat key areas</t>
  </si>
  <si>
    <t>G12: germany s youth open cultured meat #vegan #culturedmeat #cleanmeat #labgrownmeat</t>
  </si>
  <si>
    <t>Edge Weight▓1▓3▓0▓True▓Green▓Red▓▓Edge Weight▓1▓1▓0▓3▓10▓False▓Edge Weight▓1▓3▓0▓32▓6▓False▓▓0▓0▓0▓True▓Black▓Black▓▓Followers▓3▓143075▓0▓162▓1000▓False▓▓0▓0▓0▓0▓0▓False▓▓0▓0▓0▓0▓0▓False▓▓0▓0▓0▓0▓0▓False</t>
  </si>
  <si>
    <t>Subgraph</t>
  </si>
  <si>
    <t>GraphSource░TwitterSearch▓GraphTerm░#culturedmeat▓ImportDescription░The graph represents a network of 51 Twitter users whose recent tweets contained "#culturedmeat", or who were replied to or mentioned in those tweets, taken from a data set limited to a maximum of 18,000 tweets.  The network was obtained from Twitter on Sunday, 17 October 2021 at 10:01 UTC.
The tweets in the network were tweeted over the 7-day, 23-hour, 14-minute period from Friday, 08 October 2021 at 14:45 UTC to Saturday, 16 October 2021 at 13:59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"mentions".▓ImportSuggestedTitle░#culturedmeat Twitter NodeXL SNA Map and Report for Sunday, 17 October 2021 at 10:00 UTC▓ImportSuggestedFileNameNoExtension░2021-10-17 10-00-46 NodeXL Twitter Search #culturedmeat▓GroupingDescription░The graph's vertices were grouped by cluster using the Clauset-Newman-Moore cluster algorithm.▓LayoutAlgorithm░The graph was laid out using the Harel-Koren Fast Multiscale layout algorithm.▓GraphDirectedness░The graph is directed.</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</si>
  <si>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</si>
  <si>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t>
  </si>
  <si>
    <t xml:space="preserve">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t>
  </si>
  <si>
    <t xml:space="preserve">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t>
  </si>
  <si>
    <t>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t>
  </si>
  <si>
    <t xml:space="preserve">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t>
  </si>
  <si>
    <t>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t>
  </si>
  <si>
    <t>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t>
  </si>
  <si>
    <t>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t>
  </si>
  <si>
    <t>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t>
  </si>
  <si>
    <t>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t>
  </si>
  <si>
    <t xml:space="preserve">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t>
  </si>
  <si>
    <t>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t>
  </si>
  <si>
    <t>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t>
  </si>
  <si>
    <t>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
  </si>
  <si>
    <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</si>
  <si>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</si>
  <si>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51 Twitter users whose recent tweets contained "#culturedmeat", or who were replied to or mentioned in those tweets, taken from a data set limited to a maximum of 18,000 tweets.  The network was obtained from Twitter on Sunday, 17 October 2021 at 10:01 UTC.
The tweets in the network were tweeted over the 7-day, 23-hour, 14-minute period from Friday, 08 October 2021 at 14:45 UTC to Saturday, 16 October 2021 at 13:59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</si>
  <si>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</si>
  <si>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</si>
  <si>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https://nodexlgraphgallery.org/Pages/Graph.aspx?graphID=264471</t>
  </si>
  <si>
    <t>https://nodexlgraphgallery.org/Images/Image.ashx?graphID=264471&amp;type=f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</si>
</sst>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5">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4"/>
      <tableStyleElement type="headerRow" dxfId="503"/>
    </tableStyle>
    <tableStyle name="NodeXL Table" pivot="0" count="1">
      <tableStyleElement type="headerRow" dxfId="50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250387"/>
        <c:axId val="48035756"/>
      </c:barChart>
      <c:catAx>
        <c:axId val="202503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035756"/>
        <c:crosses val="autoZero"/>
        <c:auto val="1"/>
        <c:lblOffset val="100"/>
        <c:noMultiLvlLbl val="0"/>
      </c:catAx>
      <c:valAx>
        <c:axId val="48035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50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#culturedmeat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2"/>
                <c:pt idx="0">
                  <c:v>9 PM
31-May
May
2020</c:v>
                </c:pt>
                <c:pt idx="1">
                  <c:v>2 PM
7-Oct
Oct
2021</c:v>
                </c:pt>
                <c:pt idx="2">
                  <c:v>2 PM
8-Oct</c:v>
                </c:pt>
                <c:pt idx="3">
                  <c:v>4 PM</c:v>
                </c:pt>
                <c:pt idx="4">
                  <c:v>3 PM
9-Oct</c:v>
                </c:pt>
                <c:pt idx="5">
                  <c:v>6 PM</c:v>
                </c:pt>
                <c:pt idx="6">
                  <c:v>9 AM
10-Oct</c:v>
                </c:pt>
                <c:pt idx="7">
                  <c:v>2 PM</c:v>
                </c:pt>
                <c:pt idx="8">
                  <c:v>1 PM
11-Oct</c:v>
                </c:pt>
                <c:pt idx="9">
                  <c:v>3 PM</c:v>
                </c:pt>
                <c:pt idx="10">
                  <c:v>9 PM</c:v>
                </c:pt>
                <c:pt idx="11">
                  <c:v>6 AM
12-Oct</c:v>
                </c:pt>
                <c:pt idx="12">
                  <c:v>12 PM</c:v>
                </c:pt>
                <c:pt idx="13">
                  <c:v>9 PM</c:v>
                </c:pt>
                <c:pt idx="14">
                  <c:v>9 AM
13-Oct</c:v>
                </c:pt>
                <c:pt idx="15">
                  <c:v>12 PM</c:v>
                </c:pt>
                <c:pt idx="16">
                  <c:v>1 PM</c:v>
                </c:pt>
                <c:pt idx="17">
                  <c:v>3 PM</c:v>
                </c:pt>
                <c:pt idx="18">
                  <c:v>8 PM</c:v>
                </c:pt>
                <c:pt idx="19">
                  <c:v>12 AM
14-Oct</c:v>
                </c:pt>
                <c:pt idx="20">
                  <c:v>12 PM</c:v>
                </c:pt>
                <c:pt idx="21">
                  <c:v>1 PM</c:v>
                </c:pt>
                <c:pt idx="22">
                  <c:v>2 PM</c:v>
                </c:pt>
                <c:pt idx="23">
                  <c:v>9 PM</c:v>
                </c:pt>
                <c:pt idx="24">
                  <c:v>4 AM
15-Oct</c:v>
                </c:pt>
                <c:pt idx="25">
                  <c:v>7 AM</c:v>
                </c:pt>
                <c:pt idx="26">
                  <c:v>12 PM</c:v>
                </c:pt>
                <c:pt idx="27">
                  <c:v>11 PM</c:v>
                </c:pt>
                <c:pt idx="28">
                  <c:v>6 AM
16-Oct</c:v>
                </c:pt>
                <c:pt idx="29">
                  <c:v>9 AM</c:v>
                </c:pt>
                <c:pt idx="30">
                  <c:v>1 PM</c:v>
                </c:pt>
                <c:pt idx="31">
                  <c:v>4 PM</c:v>
                </c:pt>
              </c:strCache>
            </c:strRef>
          </c:cat>
          <c:val>
            <c:numRef>
              <c:f>'Time Series'!$B$26:$B$73</c:f>
              <c:numCache>
                <c:formatCode>General</c:formatCode>
                <c:ptCount val="32"/>
                <c:pt idx="0">
                  <c:v>1</c:v>
                </c:pt>
                <c:pt idx="1">
                  <c:v>2</c:v>
                </c:pt>
                <c:pt idx="2">
                  <c:v>3</c:v>
                </c:pt>
                <c:pt idx="3">
                  <c:v>1</c:v>
                </c:pt>
                <c:pt idx="4">
                  <c:v>1</c:v>
                </c:pt>
                <c:pt idx="5">
                  <c:v>2</c:v>
                </c:pt>
                <c:pt idx="6">
                  <c:v>1</c:v>
                </c:pt>
                <c:pt idx="7">
                  <c:v>1</c:v>
                </c:pt>
                <c:pt idx="8">
                  <c:v>1</c:v>
                </c:pt>
                <c:pt idx="9">
                  <c:v>1</c:v>
                </c:pt>
                <c:pt idx="10">
                  <c:v>1</c:v>
                </c:pt>
                <c:pt idx="11">
                  <c:v>1</c:v>
                </c:pt>
                <c:pt idx="12">
                  <c:v>1</c:v>
                </c:pt>
                <c:pt idx="13">
                  <c:v>1</c:v>
                </c:pt>
                <c:pt idx="14">
                  <c:v>1</c:v>
                </c:pt>
                <c:pt idx="15">
                  <c:v>2</c:v>
                </c:pt>
                <c:pt idx="16">
                  <c:v>1</c:v>
                </c:pt>
                <c:pt idx="17">
                  <c:v>1</c:v>
                </c:pt>
                <c:pt idx="18">
                  <c:v>1</c:v>
                </c:pt>
                <c:pt idx="19">
                  <c:v>1</c:v>
                </c:pt>
                <c:pt idx="20">
                  <c:v>2</c:v>
                </c:pt>
                <c:pt idx="21">
                  <c:v>2</c:v>
                </c:pt>
                <c:pt idx="22">
                  <c:v>1</c:v>
                </c:pt>
                <c:pt idx="23">
                  <c:v>1</c:v>
                </c:pt>
                <c:pt idx="24">
                  <c:v>2</c:v>
                </c:pt>
                <c:pt idx="25">
                  <c:v>1</c:v>
                </c:pt>
                <c:pt idx="26">
                  <c:v>1</c:v>
                </c:pt>
                <c:pt idx="27">
                  <c:v>1</c:v>
                </c:pt>
                <c:pt idx="28">
                  <c:v>1</c:v>
                </c:pt>
                <c:pt idx="29">
                  <c:v>2</c:v>
                </c:pt>
                <c:pt idx="30">
                  <c:v>2</c:v>
                </c:pt>
                <c:pt idx="31">
                  <c:v>3</c:v>
                </c:pt>
              </c:numCache>
            </c:numRef>
          </c:val>
        </c:ser>
        <c:axId val="29501789"/>
        <c:axId val="64189510"/>
      </c:barChart>
      <c:catAx>
        <c:axId val="29501789"/>
        <c:scaling>
          <c:orientation val="minMax"/>
        </c:scaling>
        <c:axPos val="b"/>
        <c:delete val="0"/>
        <c:numFmt formatCode="General" sourceLinked="1"/>
        <c:majorTickMark val="out"/>
        <c:minorTickMark val="none"/>
        <c:tickLblPos val="nextTo"/>
        <c:crossAx val="64189510"/>
        <c:crosses val="autoZero"/>
        <c:auto val="1"/>
        <c:lblOffset val="100"/>
        <c:noMultiLvlLbl val="0"/>
      </c:catAx>
      <c:valAx>
        <c:axId val="64189510"/>
        <c:scaling>
          <c:orientation val="minMax"/>
        </c:scaling>
        <c:axPos val="l"/>
        <c:majorGridlines/>
        <c:delete val="0"/>
        <c:numFmt formatCode="General" sourceLinked="1"/>
        <c:majorTickMark val="out"/>
        <c:minorTickMark val="none"/>
        <c:tickLblPos val="nextTo"/>
        <c:crossAx val="295017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668621"/>
        <c:axId val="65690998"/>
      </c:barChart>
      <c:catAx>
        <c:axId val="296686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690998"/>
        <c:crosses val="autoZero"/>
        <c:auto val="1"/>
        <c:lblOffset val="100"/>
        <c:noMultiLvlLbl val="0"/>
      </c:catAx>
      <c:valAx>
        <c:axId val="65690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68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348071"/>
        <c:axId val="19370592"/>
      </c:barChart>
      <c:catAx>
        <c:axId val="543480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370592"/>
        <c:crosses val="autoZero"/>
        <c:auto val="1"/>
        <c:lblOffset val="100"/>
        <c:noMultiLvlLbl val="0"/>
      </c:catAx>
      <c:valAx>
        <c:axId val="19370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48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117601"/>
        <c:axId val="25514090"/>
      </c:barChart>
      <c:catAx>
        <c:axId val="401176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514090"/>
        <c:crosses val="autoZero"/>
        <c:auto val="1"/>
        <c:lblOffset val="100"/>
        <c:noMultiLvlLbl val="0"/>
      </c:catAx>
      <c:valAx>
        <c:axId val="25514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17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300219"/>
        <c:axId val="53375380"/>
      </c:barChart>
      <c:catAx>
        <c:axId val="283002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375380"/>
        <c:crosses val="autoZero"/>
        <c:auto val="1"/>
        <c:lblOffset val="100"/>
        <c:noMultiLvlLbl val="0"/>
      </c:catAx>
      <c:valAx>
        <c:axId val="53375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00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616373"/>
        <c:axId val="28438494"/>
      </c:barChart>
      <c:catAx>
        <c:axId val="106163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438494"/>
        <c:crosses val="autoZero"/>
        <c:auto val="1"/>
        <c:lblOffset val="100"/>
        <c:noMultiLvlLbl val="0"/>
      </c:catAx>
      <c:valAx>
        <c:axId val="28438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6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619855"/>
        <c:axId val="21816648"/>
      </c:barChart>
      <c:catAx>
        <c:axId val="546198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816648"/>
        <c:crosses val="autoZero"/>
        <c:auto val="1"/>
        <c:lblOffset val="100"/>
        <c:noMultiLvlLbl val="0"/>
      </c:catAx>
      <c:valAx>
        <c:axId val="21816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198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132105"/>
        <c:axId val="22318034"/>
      </c:barChart>
      <c:catAx>
        <c:axId val="621321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318034"/>
        <c:crosses val="autoZero"/>
        <c:auto val="1"/>
        <c:lblOffset val="100"/>
        <c:noMultiLvlLbl val="0"/>
      </c:catAx>
      <c:valAx>
        <c:axId val="22318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32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644579"/>
        <c:axId val="62930300"/>
      </c:barChart>
      <c:catAx>
        <c:axId val="66644579"/>
        <c:scaling>
          <c:orientation val="minMax"/>
        </c:scaling>
        <c:axPos val="b"/>
        <c:delete val="1"/>
        <c:majorTickMark val="out"/>
        <c:minorTickMark val="none"/>
        <c:tickLblPos val="none"/>
        <c:crossAx val="62930300"/>
        <c:crosses val="autoZero"/>
        <c:auto val="1"/>
        <c:lblOffset val="100"/>
        <c:noMultiLvlLbl val="0"/>
      </c:catAx>
      <c:valAx>
        <c:axId val="62930300"/>
        <c:scaling>
          <c:orientation val="minMax"/>
        </c:scaling>
        <c:axPos val="l"/>
        <c:delete val="1"/>
        <c:majorTickMark val="out"/>
        <c:minorTickMark val="none"/>
        <c:tickLblPos val="none"/>
        <c:crossAx val="666445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bizcommunit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biz_retai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biz_agricultur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fooding1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innovatrendin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ingredientfact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lab_grownmea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phill59316885"/>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proveg_in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albiona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ahasidi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meatech3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agreenerworl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thecount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joefassl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atablead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cmsymp"/>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stvclimat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nikabockisc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geneticliterac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theeconomis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futuremeattech1"/>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ro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ark_royal0909"/>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docassa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protein_repor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ra_mc"/>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mtffil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osa_mea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hana_soul_hac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plantbasednew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jptechcrunch"/>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bluenaluinc"/>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craftmeat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luutremendou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cellsrevolve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groenewegenle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martymi9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amienclarks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halimanti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mysubuh"/>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bygora_officia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agreenerworlduk"/>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inspirasiv"/>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shorewalker1"/>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daily_research"/>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surveycircl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the_teh_new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pengejarbaya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alvinrio_15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darakasiw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Doc Assar" refreshedVersion="7">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7">
        <s v="wagyu culturedmeat labgrownmeat"/>
        <s v="plantbased protein culturedmeat diet flexitarian"/>
        <s v="plantbased"/>
        <s v="vegan culturedmeat cleanmeat labgrownmeat"/>
        <s v="vegan culturedmeat"/>
        <s v="animalprotein algae culturedmeat newfoodconference"/>
        <s v="ashtonkutcher cultivatedmeat 3dprinting bioprinting culturedmeat cellbased cellag cleanmeat cleantech foodtech foodofthefuture sustainablefood sustainableinnovation"/>
        <s v="labmeat labmeat culturedmeat"/>
        <s v="futurefood foodtech culturedmeat cultivatedmeat cellbasedmeat 2021cms"/>
        <s v="culturedmeat sustainability"/>
        <s v="television ospin celltainer culturedmeat biotechnology newfood sustainablefood sustainability"/>
        <s v="culturedmeat"/>
        <s v="technology transform food ag world climate culturedmeat scalable cultivatedmeat"/>
        <s v="meatech3d culturedmeat"/>
        <s v="techcrunchjp culturedmeat rebiolution cellularagriculture bionformation"/>
        <m/>
        <s v="meatech agtech 3dprinting bioprinting cellag cultivatedmeat culturedmeat foodtech sustainable innovation"/>
        <s v="biotechnology chiefofstaff innovation culturedmeat"/>
        <s v="climatechange culturedmeat"/>
        <s v="culturedmeat invitromeat novelfood sustainablefood sustainability bygora"/>
        <s v="labgrownmeat labmeat culturedmeat fakemeat farminguk"/>
        <s v="culturedmeat cultivatedmeat cellbasedmeat cleanmeat"/>
        <s v="culturedmeat sainsmakanan fstukm teraswatankita universitiwatankita ukmhebat sharinginspirasi kitagenginspi actioninreality sains ukm"/>
        <s v="manufacturedmeat culturedmeat"/>
        <s v="culturedmeat plantbasedmeat"/>
        <s v="culturedmeat invitromeat cleanmeat socialmedia instagram meat survey surveycircle"/>
        <s v="meat culturedmeat steak foodie bbq instafood chicken delicious foodstagram grill foodphotography dinner ai yummy burger meatlover barbecue carne tech pork science foodblogger foodlover grilling wagyu homemade lunch brisket cook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1-10-08T14:45:24.000"/>
        <d v="2021-10-08T14:45:25.000"/>
        <d v="2021-10-07T14:57:02.000"/>
        <d v="2021-10-08T16:41:35.000"/>
        <d v="2020-05-31T21:38:45.000"/>
        <d v="2021-10-09T15:17:23.000"/>
        <d v="2021-10-09T18:00:27.000"/>
        <d v="2021-10-09T18:22:10.000"/>
        <d v="2021-10-10T09:53:55.000"/>
        <d v="2021-10-10T14:00:34.000"/>
        <d v="2021-10-11T15:01:19.000"/>
        <d v="2021-10-11T21:59:36.000"/>
        <d v="2021-10-12T06:52:47.000"/>
        <d v="2021-10-11T13:00:21.000"/>
        <d v="2021-10-12T12:28:54.000"/>
        <d v="2021-10-13T09:05:56.000"/>
        <d v="2021-10-13T12:30:50.000"/>
        <d v="2021-10-12T21:08:38.000"/>
        <d v="2021-10-13T20:04:06.000"/>
        <d v="2021-10-14T00:13:31.000"/>
        <d v="2021-10-07T14:35:03.000"/>
        <d v="2021-10-13T12:30:05.000"/>
        <d v="2021-10-13T15:30:04.000"/>
        <d v="2021-10-13T13:19:23.000"/>
        <d v="2021-10-14T13:24:25.000"/>
        <d v="2021-10-14T13:24:41.000"/>
        <d v="2021-10-14T12:08:02.000"/>
        <d v="2021-10-14T14:09:58.000"/>
        <d v="2021-10-14T12:08:14.000"/>
        <d v="2021-10-14T21:37:39.000"/>
        <d v="2021-10-15T04:56:55.000"/>
        <d v="2021-10-15T07:38:45.000"/>
        <d v="2021-10-15T12:20:22.000"/>
        <d v="2021-10-15T23:47:53.000"/>
        <d v="2021-10-16T06:40:11.000"/>
        <d v="2021-10-16T09:17:09.000"/>
        <d v="2021-10-16T09:17:10.000"/>
        <d v="2021-10-16T13:47:25.000"/>
        <d v="2021-10-16T13:59:34.000"/>
        <d v="2021-10-16T16:42:38.000"/>
        <d v="2021-10-16T16:45:06.000"/>
        <d v="2021-10-15T04:37:55.000"/>
        <d v="2021-10-16T16:48:29.000"/>
      </sharedItems>
      <fieldGroup par="68" base="22">
        <rangePr groupBy="hours" autoEnd="1" autoStart="1" startDate="2020-05-31T21:38:45.000" endDate="2021-10-16T16:48:29.000"/>
        <groupItems count="26">
          <s v="&lt;5/31/2020"/>
          <s v="12 AM"/>
          <s v="1 AM"/>
          <s v="2 AM"/>
          <s v="3 AM"/>
          <s v="4 AM"/>
          <s v="5 AM"/>
          <s v="6 AM"/>
          <s v="7 AM"/>
          <s v="8 AM"/>
          <s v="9 AM"/>
          <s v="10 AM"/>
          <s v="11 AM"/>
          <s v="12 PM"/>
          <s v="1 PM"/>
          <s v="2 PM"/>
          <s v="3 PM"/>
          <s v="4 PM"/>
          <s v="5 PM"/>
          <s v="6 PM"/>
          <s v="7 PM"/>
          <s v="8 PM"/>
          <s v="9 PM"/>
          <s v="10 PM"/>
          <s v="11 PM"/>
          <s v="&gt;10/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31T21:38:45.000" endDate="2021-10-16T16:48:29.000"/>
        <groupItems count="368">
          <s v="&lt;5/3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6/2021"/>
        </groupItems>
      </fieldGroup>
    </cacheField>
    <cacheField name="Months" databaseField="0">
      <sharedItems containsMixedTypes="0" count="0"/>
      <fieldGroup base="22">
        <rangePr groupBy="months" autoEnd="1" autoStart="1" startDate="2020-05-31T21:38:45.000" endDate="2021-10-16T16:48:29.000"/>
        <groupItems count="14">
          <s v="&lt;5/31/2020"/>
          <s v="Jan"/>
          <s v="Feb"/>
          <s v="Mar"/>
          <s v="Apr"/>
          <s v="May"/>
          <s v="Jun"/>
          <s v="Jul"/>
          <s v="Aug"/>
          <s v="Sep"/>
          <s v="Oct"/>
          <s v="Nov"/>
          <s v="Dec"/>
          <s v="&gt;10/16/2021"/>
        </groupItems>
      </fieldGroup>
    </cacheField>
    <cacheField name="Years" databaseField="0">
      <sharedItems containsMixedTypes="0" count="0"/>
      <fieldGroup base="22">
        <rangePr groupBy="years" autoEnd="1" autoStart="1" startDate="2020-05-31T21:38:45.000" endDate="2021-10-16T16:48:29.000"/>
        <groupItems count="4">
          <s v="&lt;5/31/2020"/>
          <s v="2020"/>
          <s v="2021"/>
          <s v="&gt;10/16/2021"/>
        </groupItems>
      </fieldGroup>
    </cacheField>
  </cacheFields>
  <extLst>
    <ext xmlns:x14="http://schemas.microsoft.com/office/spreadsheetml/2009/9/main" uri="{725AE2AE-9491-48be-B2B4-4EB974FC3084}">
      <x14:pivotCacheDefinition pivotCacheId="671927183"/>
    </ext>
  </extLst>
</pivotCacheDefinition>
</file>

<file path=xl/pivotCache/pivotCacheRecords1.xml><?xml version="1.0" encoding="utf-8"?>
<pivotCacheRecords xmlns="http://schemas.openxmlformats.org/spreadsheetml/2006/main" xmlns:r="http://schemas.openxmlformats.org/officeDocument/2006/relationships" count="44">
  <r>
    <s v="bizcommunity"/>
    <s v="biz_retail"/>
    <m/>
    <m/>
    <m/>
    <m/>
    <m/>
    <m/>
    <m/>
    <m/>
    <s v="No"/>
    <n v="3"/>
    <m/>
    <m/>
    <x v="0"/>
    <d v="2021-10-08T14:45:24.000"/>
    <s v="Japanese scientists work up an appetite for lab-grown #Wagyu beef https://t.co/zMuq2h1aAq via @Biz_Retail #CulturedMeat #LabgrownMeat"/>
    <s v="https://www.bizcommunity.com/Article/108/162/220909.html"/>
    <s v="bizcommunity.com"/>
    <x v="0"/>
    <m/>
    <s v="https://pbs.twimg.com/profile_images/923193049081098240/IV1WPiRR_normal.jpg"/>
    <x v="0"/>
    <d v="2021-10-08T00:00:00.000"/>
    <s v="14:45:24"/>
    <s v="https://twitter.com/bizcommunity/status/1446486891554091008"/>
    <m/>
    <m/>
    <s v="1446486891554091008"/>
    <m/>
    <b v="0"/>
    <n v="0"/>
    <s v=""/>
    <b v="0"/>
    <s v="en"/>
    <m/>
    <s v=""/>
    <b v="0"/>
    <n v="0"/>
    <s v=""/>
    <s v="Bizcommunity.com"/>
    <b v="0"/>
    <s v="1446486891554091008"/>
    <s v="Tweet"/>
    <n v="0"/>
    <n v="0"/>
    <m/>
    <m/>
    <m/>
    <m/>
    <m/>
    <m/>
    <m/>
    <m/>
    <n v="1"/>
    <s v="7"/>
    <s v="7"/>
    <n v="1"/>
    <n v="6.666666666666667"/>
    <n v="0"/>
    <n v="0"/>
    <n v="0"/>
    <n v="0"/>
    <n v="14"/>
    <n v="93.33333333333333"/>
    <n v="15"/>
  </r>
  <r>
    <s v="biz_retail"/>
    <s v="biz_retail"/>
    <m/>
    <m/>
    <m/>
    <m/>
    <m/>
    <m/>
    <m/>
    <m/>
    <s v="No"/>
    <n v="4"/>
    <m/>
    <m/>
    <x v="1"/>
    <d v="2021-10-08T14:45:24.000"/>
    <s v="Japanese scientists work up an appetite for lab-grown #Wagyu beef https://t.co/MjlHuRCZV4 via @Biz_Retail #CulturedMeat #LabgrownMeat"/>
    <s v="https://www.bizcommunity.com/Article/108/162/220909.html"/>
    <s v="bizcommunity.com"/>
    <x v="0"/>
    <m/>
    <s v="https://pbs.twimg.com/profile_images/1128574647975456768/YhbdgnVt_normal.png"/>
    <x v="0"/>
    <d v="2021-10-08T00:00:00.000"/>
    <s v="14:45:24"/>
    <s v="https://twitter.com/biz_retail/status/1446486893982584836"/>
    <m/>
    <m/>
    <s v="1446486893982584836"/>
    <m/>
    <b v="0"/>
    <n v="0"/>
    <s v=""/>
    <b v="0"/>
    <s v="en"/>
    <m/>
    <s v=""/>
    <b v="0"/>
    <n v="0"/>
    <s v=""/>
    <s v="Bizcommunity.com"/>
    <b v="0"/>
    <s v="1446486893982584836"/>
    <s v="Tweet"/>
    <n v="0"/>
    <n v="0"/>
    <m/>
    <m/>
    <m/>
    <m/>
    <m/>
    <m/>
    <m/>
    <m/>
    <n v="1"/>
    <s v="7"/>
    <s v="7"/>
    <n v="1"/>
    <n v="6.666666666666667"/>
    <n v="0"/>
    <n v="0"/>
    <n v="0"/>
    <n v="0"/>
    <n v="14"/>
    <n v="93.33333333333333"/>
    <n v="15"/>
  </r>
  <r>
    <s v="biz_agriculture"/>
    <s v="biz_retail"/>
    <m/>
    <m/>
    <m/>
    <m/>
    <m/>
    <m/>
    <m/>
    <m/>
    <s v="No"/>
    <n v="5"/>
    <m/>
    <m/>
    <x v="0"/>
    <d v="2021-10-08T14:45:25.000"/>
    <s v="Japanese scientists work up an appetite for lab-grown #Wagyu beef https://t.co/j3j35ZqNjh via @Biz_Retail #CulturedMeat #LabgrownMeat"/>
    <s v="https://www.bizcommunity.com/Article/108/162/220909.html"/>
    <s v="bizcommunity.com"/>
    <x v="0"/>
    <m/>
    <s v="https://pbs.twimg.com/profile_images/1130413499677630466/wH70GFMi_normal.png"/>
    <x v="1"/>
    <d v="2021-10-08T00:00:00.000"/>
    <s v="14:45:25"/>
    <s v="https://twitter.com/biz_agriculture/status/1446486896415236096"/>
    <m/>
    <m/>
    <s v="1446486896415236096"/>
    <m/>
    <b v="0"/>
    <n v="0"/>
    <s v=""/>
    <b v="0"/>
    <s v="en"/>
    <m/>
    <s v=""/>
    <b v="0"/>
    <n v="0"/>
    <s v=""/>
    <s v="Bizcommunity.com"/>
    <b v="0"/>
    <s v="1446486896415236096"/>
    <s v="Tweet"/>
    <n v="0"/>
    <n v="0"/>
    <m/>
    <m/>
    <m/>
    <m/>
    <m/>
    <m/>
    <m/>
    <m/>
    <n v="1"/>
    <s v="7"/>
    <s v="7"/>
    <n v="1"/>
    <n v="6.666666666666667"/>
    <n v="0"/>
    <n v="0"/>
    <n v="0"/>
    <n v="0"/>
    <n v="14"/>
    <n v="93.33333333333333"/>
    <n v="15"/>
  </r>
  <r>
    <s v="fooding1st"/>
    <s v="innovatrending"/>
    <m/>
    <m/>
    <m/>
    <m/>
    <m/>
    <m/>
    <m/>
    <m/>
    <s v="No"/>
    <n v="6"/>
    <m/>
    <m/>
    <x v="0"/>
    <d v="2021-10-07T14:57:02.000"/>
    <s v="Flexitarian and cell-cultured movements advance #plantbased eating, says @innovatrending_x000a__x000a_https://t.co/EKEcAkfQ3t _x000a__x000a_#protein #culturedmeat #diet #flexitarian"/>
    <s v="https://www.foodingredientsfirst.com/news/flexitarian-and-cell-cultured-movements-advance-plant-based-eating-says-innova-market-insights.html#.YV8KaEy-8mY.twitter"/>
    <s v="foodingredientsfirst.com"/>
    <x v="1"/>
    <m/>
    <s v="https://pbs.twimg.com/profile_images/710049013966487552/xyQ5j5sJ_normal.jpg"/>
    <x v="2"/>
    <d v="2021-10-07T00:00:00.000"/>
    <s v="14:57:02"/>
    <s v="https://twitter.com/fooding1st/status/1446127431669014528"/>
    <m/>
    <m/>
    <s v="1446127431669014528"/>
    <m/>
    <b v="0"/>
    <n v="1"/>
    <s v=""/>
    <b v="0"/>
    <s v="en"/>
    <m/>
    <s v=""/>
    <b v="0"/>
    <n v="1"/>
    <s v=""/>
    <s v="Twitter Web App"/>
    <b v="0"/>
    <s v="1446127431669014528"/>
    <s v="Retweet"/>
    <n v="0"/>
    <n v="0"/>
    <m/>
    <m/>
    <m/>
    <m/>
    <m/>
    <m/>
    <m/>
    <m/>
    <n v="1"/>
    <s v="6"/>
    <s v="6"/>
    <n v="0"/>
    <n v="0"/>
    <n v="0"/>
    <n v="0"/>
    <n v="0"/>
    <n v="0"/>
    <n v="14"/>
    <n v="100"/>
    <n v="14"/>
  </r>
  <r>
    <s v="ingredientfacts"/>
    <s v="innovatrending"/>
    <m/>
    <m/>
    <m/>
    <m/>
    <m/>
    <m/>
    <m/>
    <m/>
    <s v="No"/>
    <n v="7"/>
    <m/>
    <m/>
    <x v="2"/>
    <d v="2021-10-08T16:41:35.000"/>
    <s v="Flexitarian and cell-cultured movements advance #plantbased eating, says @innovatrending_x000a__x000a_https://t.co/EKEcAkfQ3t _x000a__x000a_#protein #culturedmeat #diet #flexitarian"/>
    <s v="https://www.foodingredientsfirst.com/news/flexitarian-and-cell-cultured-movements-advance-plant-based-eating-says-innova-market-insights.html#.YV8KaEy-8mY.twitter"/>
    <s v="foodingredientsfirst.com"/>
    <x v="2"/>
    <m/>
    <s v="https://pbs.twimg.com/profile_images/1163899346980691972/GooNvrUR_normal.png"/>
    <x v="3"/>
    <d v="2021-10-08T00:00:00.000"/>
    <s v="16:41:35"/>
    <s v="https://twitter.com/ingredientfacts/status/1446516131154604033"/>
    <m/>
    <m/>
    <s v="1446516131154604033"/>
    <m/>
    <b v="0"/>
    <n v="0"/>
    <s v=""/>
    <b v="0"/>
    <s v="en"/>
    <m/>
    <s v=""/>
    <b v="0"/>
    <n v="1"/>
    <s v="1446127431669014528"/>
    <s v="Twitter Web App"/>
    <b v="0"/>
    <s v="1446127431669014528"/>
    <s v="Tweet"/>
    <n v="0"/>
    <n v="0"/>
    <m/>
    <m/>
    <m/>
    <m/>
    <m/>
    <m/>
    <m/>
    <m/>
    <n v="1"/>
    <s v="6"/>
    <s v="6"/>
    <m/>
    <m/>
    <m/>
    <m/>
    <m/>
    <m/>
    <m/>
    <m/>
    <m/>
  </r>
  <r>
    <s v="lab_grownmeat"/>
    <s v="lab_grownmeat"/>
    <m/>
    <m/>
    <m/>
    <m/>
    <m/>
    <m/>
    <m/>
    <m/>
    <s v="No"/>
    <n v="9"/>
    <m/>
    <m/>
    <x v="1"/>
    <d v="2020-05-31T21:38:45.000"/>
    <s v="Germany’s youth are open to Cultured Meat | https://t.co/aqvfJOnBJV https://t.co/cFdiC93TEn _x000a_#vegan #culturedmeat #cleanmeat #labgrownmeat"/>
    <s v="https://labgrownmeat.com/ https://labgrownmeat.com/open-to-cultured-meat/"/>
    <s v="labgrownmeat.com labgrownmeat.com"/>
    <x v="3"/>
    <m/>
    <s v="https://pbs.twimg.com/profile_images/1254972329534390272/W20sYFlO_normal.jpg"/>
    <x v="4"/>
    <d v="2020-05-31T00:00:00.000"/>
    <s v="21:38:45"/>
    <s v="https://twitter.com/lab_grownmeat/status/1267208920986238977"/>
    <m/>
    <m/>
    <s v="1267208920986238977"/>
    <m/>
    <b v="0"/>
    <n v="3"/>
    <s v=""/>
    <b v="0"/>
    <s v="en"/>
    <m/>
    <s v=""/>
    <b v="0"/>
    <n v="1"/>
    <s v=""/>
    <s v="Twitter Web App"/>
    <b v="0"/>
    <s v="1267208920986238977"/>
    <s v="Retweet"/>
    <n v="0"/>
    <n v="0"/>
    <m/>
    <m/>
    <m/>
    <m/>
    <m/>
    <m/>
    <m/>
    <m/>
    <n v="1"/>
    <s v="12"/>
    <s v="12"/>
    <n v="0"/>
    <n v="0"/>
    <n v="0"/>
    <n v="0"/>
    <n v="0"/>
    <n v="0"/>
    <n v="12"/>
    <n v="100"/>
    <n v="12"/>
  </r>
  <r>
    <s v="phill59316885"/>
    <s v="lab_grownmeat"/>
    <m/>
    <m/>
    <m/>
    <m/>
    <m/>
    <m/>
    <m/>
    <m/>
    <s v="No"/>
    <n v="10"/>
    <m/>
    <m/>
    <x v="3"/>
    <d v="2021-10-09T15:17:23.000"/>
    <s v="Germany’s youth are open to Cultured Meat | https://t.co/aqvfJOnBJV https://t.co/cFdiC93TEn _x000a_#vegan #culturedmeat #cleanmeat #labgrownmeat"/>
    <s v="https://labgrownmeat.com/ https://labgrownmeat.com/open-to-cultured-meat/"/>
    <s v="labgrownmeat.com labgrownmeat.com"/>
    <x v="4"/>
    <m/>
    <s v="https://pbs.twimg.com/profile_images/1448557727052075008/9znir_fd_normal.jpg"/>
    <x v="5"/>
    <d v="2021-10-09T00:00:00.000"/>
    <s v="15:17:23"/>
    <s v="https://twitter.com/phill59316885/status/1446857332240048131"/>
    <m/>
    <m/>
    <s v="1446857332240048131"/>
    <m/>
    <b v="0"/>
    <n v="0"/>
    <s v=""/>
    <b v="0"/>
    <s v="en"/>
    <m/>
    <s v=""/>
    <b v="0"/>
    <n v="1"/>
    <s v="1267208920986238977"/>
    <s v="Twitter for Android"/>
    <b v="0"/>
    <s v="1267208920986238977"/>
    <s v="Tweet"/>
    <n v="0"/>
    <n v="0"/>
    <m/>
    <m/>
    <m/>
    <m/>
    <m/>
    <m/>
    <m/>
    <m/>
    <n v="1"/>
    <s v="12"/>
    <s v="12"/>
    <n v="0"/>
    <n v="0"/>
    <n v="0"/>
    <n v="0"/>
    <n v="0"/>
    <n v="0"/>
    <n v="12"/>
    <n v="100"/>
    <n v="12"/>
  </r>
  <r>
    <s v="proveg_int"/>
    <s v="proveg_int"/>
    <m/>
    <m/>
    <m/>
    <m/>
    <m/>
    <m/>
    <m/>
    <m/>
    <s v="No"/>
    <n v="11"/>
    <m/>
    <m/>
    <x v="1"/>
    <d v="2021-10-09T18:00:27.000"/>
    <s v="What are the alternatives to the #AnimalProtein that dominates dietary habits? 🤔Mushrooms, #algae, and #CulturedMeat are key areas which offer untapped potential. 🚀 The #NewFoodConference focuses on the promising alternative sources of protein. ➡️ https://t.co/gHdn7aaIOm"/>
    <s v="https://proveg.com/blog/nfc-at-anuga-protein-of-the-future/?utm_source=Facebook&amp;utm_medium=Social&amp;utm_campaign=NFC_GeneralBlog"/>
    <s v="proveg.com"/>
    <x v="5"/>
    <m/>
    <s v="https://pbs.twimg.com/profile_images/1410560834854588416/nHwDN9RG_normal.jpg"/>
    <x v="6"/>
    <d v="2021-10-09T00:00:00.000"/>
    <s v="18:00:27"/>
    <s v="https://twitter.com/proveg_int/status/1446898369243324423"/>
    <m/>
    <m/>
    <s v="1446898369243324423"/>
    <m/>
    <b v="0"/>
    <n v="5"/>
    <s v=""/>
    <b v="0"/>
    <s v="en"/>
    <m/>
    <s v=""/>
    <b v="0"/>
    <n v="1"/>
    <s v=""/>
    <s v="Hootsuite Inc."/>
    <b v="0"/>
    <s v="1446898369243324423"/>
    <s v="Tweet"/>
    <n v="0"/>
    <n v="0"/>
    <m/>
    <m/>
    <m/>
    <m/>
    <m/>
    <m/>
    <m/>
    <m/>
    <n v="1"/>
    <s v="11"/>
    <s v="11"/>
    <n v="2"/>
    <n v="6.25"/>
    <n v="0"/>
    <n v="0"/>
    <n v="0"/>
    <n v="0"/>
    <n v="30"/>
    <n v="93.75"/>
    <n v="32"/>
  </r>
  <r>
    <s v="albionau"/>
    <s v="proveg_int"/>
    <m/>
    <m/>
    <m/>
    <m/>
    <m/>
    <m/>
    <m/>
    <m/>
    <s v="No"/>
    <n v="12"/>
    <m/>
    <m/>
    <x v="3"/>
    <d v="2021-10-09T18:22:10.000"/>
    <s v="What are the alternatives to the #AnimalProtein that dominates dietary habits? 🤔Mushrooms, #algae, and #CulturedMeat are key areas which offer untapped potential. 🚀 The #NewFoodConference focuses on the promising alternative sources of protein. ➡️ https://t.co/gHdn7aaIOm"/>
    <s v="https://proveg.com/blog/nfc-at-anuga-protein-of-the-future/?utm_source=Facebook&amp;utm_medium=Social&amp;utm_campaign=NFC_GeneralBlog"/>
    <s v="proveg.com"/>
    <x v="5"/>
    <m/>
    <s v="https://pbs.twimg.com/profile_images/496894645431844866/_Mi52eqM_normal.jpeg"/>
    <x v="7"/>
    <d v="2021-10-09T00:00:00.000"/>
    <s v="18:22:10"/>
    <s v="https://twitter.com/albionau/status/1446903830730485761"/>
    <m/>
    <m/>
    <s v="1446903830730485761"/>
    <m/>
    <b v="0"/>
    <n v="0"/>
    <s v=""/>
    <b v="0"/>
    <s v="en"/>
    <m/>
    <s v=""/>
    <b v="0"/>
    <n v="1"/>
    <s v="1446898369243324423"/>
    <s v="Twitter Web App"/>
    <b v="0"/>
    <s v="1446898369243324423"/>
    <s v="Tweet"/>
    <n v="0"/>
    <n v="0"/>
    <m/>
    <m/>
    <m/>
    <m/>
    <m/>
    <m/>
    <m/>
    <m/>
    <n v="1"/>
    <s v="11"/>
    <s v="11"/>
    <n v="2"/>
    <n v="6.25"/>
    <n v="0"/>
    <n v="0"/>
    <n v="0"/>
    <n v="0"/>
    <n v="30"/>
    <n v="93.75"/>
    <n v="32"/>
  </r>
  <r>
    <s v="ahasidim"/>
    <s v="meatech3d"/>
    <m/>
    <m/>
    <m/>
    <m/>
    <m/>
    <m/>
    <m/>
    <m/>
    <s v="No"/>
    <n v="13"/>
    <m/>
    <m/>
    <x v="3"/>
    <d v="2021-10-10T09:53:55.000"/>
    <s v="Proud to partner with #ashtonkutcher to advance #cultivatedmeat ! _x000a_#3dprinting #bioprinting #culturedmeat #cellbased #cellag #cleanmeat #cleantech #foodtech #foodofthefuture #sustainablefood #sustainableinnovation $MITC https://t.co/dPAUIc2gJs"/>
    <s v="https://twitter.com/Calcalistech/status/1446115448035020808"/>
    <s v="twitter.com"/>
    <x v="6"/>
    <m/>
    <s v="https://pbs.twimg.com/profile_images/1305056454949384193/37M-C89G_normal.jpg"/>
    <x v="8"/>
    <d v="2021-10-10T00:00:00.000"/>
    <s v="09:53:55"/>
    <s v="https://twitter.com/ahasidim/status/1447138317095604225"/>
    <m/>
    <m/>
    <s v="1447138317095604225"/>
    <m/>
    <b v="0"/>
    <n v="0"/>
    <s v=""/>
    <b v="1"/>
    <s v="en"/>
    <m/>
    <s v="1446115448035020808"/>
    <b v="0"/>
    <n v="8"/>
    <s v="1446121902804664324"/>
    <s v="Twitter Web App"/>
    <b v="0"/>
    <s v="1446121902804664324"/>
    <s v="Tweet"/>
    <n v="0"/>
    <n v="0"/>
    <m/>
    <m/>
    <m/>
    <m/>
    <m/>
    <m/>
    <m/>
    <m/>
    <n v="1"/>
    <s v="2"/>
    <s v="2"/>
    <n v="1"/>
    <n v="5"/>
    <n v="0"/>
    <n v="0"/>
    <n v="0"/>
    <n v="0"/>
    <n v="19"/>
    <n v="95"/>
    <n v="20"/>
  </r>
  <r>
    <s v="agreenerworld"/>
    <s v="thecounter"/>
    <m/>
    <m/>
    <m/>
    <m/>
    <m/>
    <m/>
    <m/>
    <m/>
    <s v="No"/>
    <n v="14"/>
    <m/>
    <m/>
    <x v="0"/>
    <d v="2021-10-10T14:00:34.000"/>
    <s v="&quot;Don't believe the #LabMeat hype.&quot; This fascinating article by @joefassler in @TheCounter highlights the technological shortcomings of this 'silver-bullet sustainable solution'--and why the lab-meat bubble could be about to burst https://t.co/GnSrbMpKhz #labmeat #culturedmeat"/>
    <s v="https://thecounter.org/lab-grown-cultivated-meat-cost-at-scale/"/>
    <s v="thecounter.org"/>
    <x v="7"/>
    <m/>
    <s v="https://pbs.twimg.com/profile_images/1149028472515379202/PmcjVju0_normal.png"/>
    <x v="9"/>
    <d v="2021-10-10T00:00:00.000"/>
    <s v="14:00:34"/>
    <s v="https://twitter.com/agreenerworld/status/1447200385731600390"/>
    <m/>
    <m/>
    <s v="1447200385731600390"/>
    <m/>
    <b v="0"/>
    <n v="0"/>
    <s v=""/>
    <b v="0"/>
    <s v="en"/>
    <m/>
    <s v=""/>
    <b v="0"/>
    <n v="0"/>
    <s v=""/>
    <s v="Hootsuite Inc."/>
    <b v="0"/>
    <s v="1447200385731600390"/>
    <s v="Tweet"/>
    <n v="0"/>
    <n v="0"/>
    <m/>
    <m/>
    <m/>
    <m/>
    <m/>
    <m/>
    <m/>
    <m/>
    <n v="1"/>
    <s v="5"/>
    <s v="5"/>
    <m/>
    <m/>
    <m/>
    <m/>
    <m/>
    <m/>
    <m/>
    <m/>
    <m/>
  </r>
  <r>
    <s v="eatableadv"/>
    <s v="cmsymp"/>
    <m/>
    <m/>
    <m/>
    <m/>
    <m/>
    <m/>
    <m/>
    <m/>
    <s v="No"/>
    <n v="16"/>
    <m/>
    <m/>
    <x v="0"/>
    <d v="2021-10-11T15:01:19.000"/>
    <s v="Don't miss out! 👉 The Cultured Meat Symposium will be streaming Live From San Francisco covering topics of Scalability and Sustainability. @cmsymp #futurefood #foodtech #culturedmeat #cultivatedmeat #cellbasedmeat #2021CMS_x000a_ https://t.co/lWYkCfXOpB"/>
    <s v="https://cms21.io"/>
    <s v="cms21.io"/>
    <x v="8"/>
    <m/>
    <s v="https://pbs.twimg.com/profile_images/986622370831060992/5ijM1bBg_normal.jpg"/>
    <x v="10"/>
    <d v="2021-10-11T00:00:00.000"/>
    <s v="15:01:19"/>
    <s v="https://twitter.com/eatableadv/status/1447578061436854274"/>
    <m/>
    <m/>
    <s v="1447578061436854274"/>
    <m/>
    <b v="0"/>
    <n v="2"/>
    <s v=""/>
    <b v="0"/>
    <s v="en"/>
    <m/>
    <s v=""/>
    <b v="0"/>
    <n v="0"/>
    <s v=""/>
    <s v="Metricool"/>
    <b v="0"/>
    <s v="1447578061436854274"/>
    <s v="Tweet"/>
    <n v="0"/>
    <n v="0"/>
    <m/>
    <m/>
    <m/>
    <m/>
    <m/>
    <m/>
    <m/>
    <m/>
    <n v="1"/>
    <s v="10"/>
    <s v="10"/>
    <n v="1"/>
    <n v="3.7037037037037037"/>
    <n v="1"/>
    <n v="3.7037037037037037"/>
    <n v="0"/>
    <n v="0"/>
    <n v="25"/>
    <n v="92.5925925925926"/>
    <n v="27"/>
  </r>
  <r>
    <s v="pstvclimate"/>
    <s v="pstvclimate"/>
    <m/>
    <m/>
    <m/>
    <m/>
    <m/>
    <m/>
    <m/>
    <m/>
    <s v="No"/>
    <n v="17"/>
    <m/>
    <m/>
    <x v="1"/>
    <d v="2021-10-11T21:59:36.000"/>
    <s v="Tune in to learn more, and keep an eye out over the next few days for more about cultured and lab-grown meat (it’s fascinating stuff!) #culturedmeat #sustainability (3/3)"/>
    <m/>
    <m/>
    <x v="9"/>
    <m/>
    <s v="https://pbs.twimg.com/profile_images/1417826487852433410/6ZmfU5Ge_normal.jpg"/>
    <x v="11"/>
    <d v="2021-10-11T00:00:00.000"/>
    <s v="21:59:36"/>
    <s v="https://twitter.com/pstvclimate/status/1447683328040079363"/>
    <m/>
    <m/>
    <s v="1447683328040079363"/>
    <s v="1447683220821082113"/>
    <b v="0"/>
    <n v="0"/>
    <s v="1336149980579471360"/>
    <b v="0"/>
    <s v="en"/>
    <m/>
    <s v=""/>
    <b v="0"/>
    <n v="0"/>
    <s v=""/>
    <s v="Twitter Web App"/>
    <b v="0"/>
    <s v="1447683220821082113"/>
    <s v="Tweet"/>
    <n v="0"/>
    <n v="0"/>
    <m/>
    <m/>
    <m/>
    <m/>
    <m/>
    <m/>
    <m/>
    <m/>
    <n v="1"/>
    <s v="3"/>
    <s v="3"/>
    <n v="2"/>
    <n v="6.451612903225806"/>
    <n v="0"/>
    <n v="0"/>
    <n v="0"/>
    <n v="0"/>
    <n v="29"/>
    <n v="93.54838709677419"/>
    <n v="31"/>
  </r>
  <r>
    <s v="anikabockisch"/>
    <s v="anikabockisch"/>
    <m/>
    <m/>
    <m/>
    <m/>
    <m/>
    <m/>
    <m/>
    <m/>
    <s v="No"/>
    <n v="18"/>
    <m/>
    <m/>
    <x v="1"/>
    <d v="2021-10-12T06:52:47.000"/>
    <s v="Cultured meat has arrived at the main German news on #television (starting at min 23:50) 📺: https://t.co/l7iQXsZzlL_x000a__x000a_Our members #OSPIN GmbH and #Celltainer Biotech BV are also working on this topic._x000a__x000a_#culturedmeat #biotechnology #newfood #sustainablefood #sustainability https://t.co/Ry3BJyd01m"/>
    <s v="https://www.linkedin.com/slink?code=dNAPHtUG"/>
    <s v="linkedin.com"/>
    <x v="10"/>
    <s v="https://pbs.twimg.com/media/FBetP_RXoAAitdr.jpg"/>
    <s v="https://pbs.twimg.com/media/FBetP_RXoAAitdr.jpg"/>
    <x v="12"/>
    <d v="2021-10-12T00:00:00.000"/>
    <s v="06:52:47"/>
    <s v="https://twitter.com/anikabockisch/status/1447817506635362305"/>
    <m/>
    <m/>
    <s v="1447817506635362305"/>
    <m/>
    <b v="0"/>
    <n v="0"/>
    <s v=""/>
    <b v="0"/>
    <s v="en"/>
    <m/>
    <s v=""/>
    <b v="0"/>
    <n v="0"/>
    <s v=""/>
    <s v="Twitter Web App"/>
    <b v="0"/>
    <s v="1447817506635362305"/>
    <s v="Tweet"/>
    <n v="0"/>
    <n v="0"/>
    <m/>
    <m/>
    <m/>
    <m/>
    <m/>
    <m/>
    <m/>
    <m/>
    <n v="1"/>
    <s v="3"/>
    <s v="3"/>
    <n v="1"/>
    <n v="2.857142857142857"/>
    <n v="0"/>
    <n v="0"/>
    <n v="0"/>
    <n v="0"/>
    <n v="34"/>
    <n v="97.14285714285714"/>
    <n v="35"/>
  </r>
  <r>
    <s v="geneticliteracy"/>
    <s v="theeconomist"/>
    <m/>
    <m/>
    <m/>
    <m/>
    <m/>
    <m/>
    <m/>
    <m/>
    <s v="No"/>
    <n v="19"/>
    <m/>
    <m/>
    <x v="0"/>
    <d v="2021-10-11T13:00:21.000"/>
    <s v="Companies across the globe are vying to bring #culturedmeat to supermarkets — but there are still some major hurdles to get over. @TheEconomist https://t.co/w1Bgi6vxf6"/>
    <s v="https://geneticliteracyproject.org/2021/10/11/a-future-in-which-meat-no-longer-requires-animal-slaughter-there-are-some-barriers-to-that-goal/?utm_medium=Social&amp;utm_source=Twitter#Echobox=1633926304-1"/>
    <s v="geneticliteracyproject.org"/>
    <x v="11"/>
    <m/>
    <s v="https://pbs.twimg.com/profile_images/1193985020521791488/nRCt_CqI_normal.jpg"/>
    <x v="13"/>
    <d v="2021-10-11T00:00:00.000"/>
    <s v="13:00:21"/>
    <s v="https://twitter.com/geneticliteracy/status/1447547618607964163"/>
    <m/>
    <m/>
    <s v="1447547618607964163"/>
    <m/>
    <b v="0"/>
    <n v="0"/>
    <s v=""/>
    <b v="0"/>
    <s v="en"/>
    <m/>
    <s v=""/>
    <b v="0"/>
    <n v="0"/>
    <s v=""/>
    <s v="Echobox"/>
    <b v="0"/>
    <s v="1447547618607964163"/>
    <s v="Tweet"/>
    <n v="0"/>
    <n v="0"/>
    <m/>
    <m/>
    <m/>
    <m/>
    <m/>
    <m/>
    <m/>
    <m/>
    <n v="2"/>
    <s v="1"/>
    <s v="1"/>
    <n v="0"/>
    <n v="0"/>
    <n v="0"/>
    <n v="0"/>
    <n v="0"/>
    <n v="0"/>
    <n v="22"/>
    <n v="100"/>
    <n v="22"/>
  </r>
  <r>
    <s v="geneticliteracy"/>
    <s v="theeconomist"/>
    <m/>
    <m/>
    <m/>
    <m/>
    <m/>
    <m/>
    <m/>
    <m/>
    <s v="No"/>
    <n v="20"/>
    <m/>
    <m/>
    <x v="0"/>
    <d v="2021-10-12T12:28:54.000"/>
    <s v="No #culturedmeat company is producing at scale — or making money yet. Here's why. @TheEconomist https://t.co/7g2LcJXyOo"/>
    <s v="https://geneticliteracyproject.org/2021/10/11/a-future-in-which-meat-no-longer-requires-animal-slaughter-there-are-some-barriers-to-that-goal/?utm_medium=Social&amp;utm_source=Twitter#Echobox=1633926322"/>
    <s v="geneticliteracyproject.org"/>
    <x v="11"/>
    <m/>
    <s v="https://pbs.twimg.com/profile_images/1193985020521791488/nRCt_CqI_normal.jpg"/>
    <x v="14"/>
    <d v="2021-10-12T00:00:00.000"/>
    <s v="12:28:54"/>
    <s v="https://twitter.com/geneticliteracy/status/1447902093948375044"/>
    <m/>
    <m/>
    <s v="1447902093948375044"/>
    <m/>
    <b v="0"/>
    <n v="1"/>
    <s v=""/>
    <b v="0"/>
    <s v="en"/>
    <m/>
    <s v=""/>
    <b v="0"/>
    <n v="0"/>
    <s v=""/>
    <s v="Echobox"/>
    <b v="0"/>
    <s v="1447902093948375044"/>
    <s v="Tweet"/>
    <n v="0"/>
    <n v="0"/>
    <m/>
    <m/>
    <m/>
    <m/>
    <m/>
    <m/>
    <m/>
    <m/>
    <n v="2"/>
    <s v="1"/>
    <s v="1"/>
    <n v="0"/>
    <n v="0"/>
    <n v="0"/>
    <n v="0"/>
    <n v="0"/>
    <n v="0"/>
    <n v="14"/>
    <n v="100"/>
    <n v="14"/>
  </r>
  <r>
    <s v="futuremeattech1"/>
    <s v="rom"/>
    <m/>
    <m/>
    <m/>
    <m/>
    <m/>
    <m/>
    <m/>
    <m/>
    <s v="No"/>
    <n v="21"/>
    <m/>
    <m/>
    <x v="0"/>
    <d v="2021-10-13T09:05:56.000"/>
    <s v="Join @FutureMeatTech1  at Israel’s AgriFood Summit on cutting-edge #technology being used to #transform the #food and #ag industries and fight #world #climate. @Rom Kshuk will share how we are leading the #culturedmeat sector by enabling #scalable production of #cultivatedmeat &amp;gt; https://t.co/7Cz3eOOJql"/>
    <m/>
    <m/>
    <x v="12"/>
    <s v="https://pbs.twimg.com/media/FBkWNsRX0AMZ-wX.jpg"/>
    <s v="https://pbs.twimg.com/media/FBkWNsRX0AMZ-wX.jpg"/>
    <x v="15"/>
    <d v="2021-10-13T00:00:00.000"/>
    <s v="09:05:56"/>
    <s v="https://twitter.com/futuremeattech1/status/1448213401453350912"/>
    <m/>
    <m/>
    <s v="1448213401453350912"/>
    <m/>
    <b v="0"/>
    <n v="1"/>
    <s v=""/>
    <b v="0"/>
    <s v="en"/>
    <m/>
    <s v=""/>
    <b v="0"/>
    <n v="0"/>
    <s v=""/>
    <s v="Twitter Web App"/>
    <b v="0"/>
    <s v="1448213401453350912"/>
    <s v="Tweet"/>
    <n v="0"/>
    <n v="0"/>
    <m/>
    <m/>
    <m/>
    <m/>
    <m/>
    <m/>
    <m/>
    <m/>
    <n v="1"/>
    <s v="9"/>
    <s v="9"/>
    <n v="1"/>
    <n v="2.380952380952381"/>
    <n v="0"/>
    <n v="0"/>
    <n v="0"/>
    <n v="0"/>
    <n v="41"/>
    <n v="97.61904761904762"/>
    <n v="42"/>
  </r>
  <r>
    <s v="ark_royal0909"/>
    <s v="meatech3d"/>
    <m/>
    <m/>
    <m/>
    <m/>
    <m/>
    <m/>
    <m/>
    <m/>
    <s v="No"/>
    <n v="22"/>
    <m/>
    <m/>
    <x v="3"/>
    <d v="2021-10-13T12:30:50.000"/>
    <s v="#MeaTech3D is participating in today’s Alliance Bernstein - Digestible Disruption Conference 2021 at 10:30 a.m. EDT. _x000a_Join us for #culturedmeat sector updates and MeaTech’s role in it. Investors interested in attending  should contact their Bernstein sales representative. $MITC https://t.co/FAqVkBuYsw"/>
    <m/>
    <m/>
    <x v="13"/>
    <s v="https://pbs.twimg.com/media/FBlFJBgWEAAILms.jpg"/>
    <s v="https://pbs.twimg.com/media/FBlFJBgWEAAILms.jpg"/>
    <x v="16"/>
    <d v="2021-10-13T00:00:00.000"/>
    <s v="12:30:50"/>
    <s v="https://twitter.com/ark_royal0909/status/1448264970014105601"/>
    <m/>
    <m/>
    <s v="1448264970014105601"/>
    <m/>
    <b v="0"/>
    <n v="0"/>
    <s v=""/>
    <b v="0"/>
    <s v="en"/>
    <m/>
    <s v=""/>
    <b v="0"/>
    <n v="2"/>
    <s v="1448264778066051073"/>
    <s v="Twitter for Android"/>
    <b v="0"/>
    <s v="1448264778066051073"/>
    <s v="Tweet"/>
    <n v="0"/>
    <n v="0"/>
    <m/>
    <m/>
    <m/>
    <m/>
    <m/>
    <m/>
    <m/>
    <m/>
    <n v="1"/>
    <s v="2"/>
    <s v="2"/>
    <n v="0"/>
    <n v="0"/>
    <n v="1"/>
    <n v="2.4390243902439024"/>
    <n v="0"/>
    <n v="0"/>
    <n v="40"/>
    <n v="97.5609756097561"/>
    <n v="41"/>
  </r>
  <r>
    <s v="docassar"/>
    <s v="protein_report"/>
    <m/>
    <m/>
    <m/>
    <m/>
    <m/>
    <m/>
    <m/>
    <m/>
    <s v="No"/>
    <n v="23"/>
    <m/>
    <m/>
    <x v="0"/>
    <d v="2021-10-12T21:08:38.000"/>
    <s v="cultured meat via NodeXL https://t.co/9ux1BijkNr_x000a_@craftmeati_x000a_@bluenaluinc_x000a_@theeconomist_x000a_@jptechcrunch_x000a_@plantbasednews_x000a_@ra_mc_x000a_@hana_soul_hack_x000a_@mosa_meat_x000a_@mtffilm_x000a_@protein_report_x000a__x000a_Top hashtags:_x000a_#techcrunchjp_x000a_#culturedmeat_x000a_#rebiolution_x000a_#cellularagriculture_x000a_#bionformation /"/>
    <s v="https://nodexlgraphgallery.org/Pages/Graph.aspx?graphID=264394"/>
    <s v="nodexlgraphgallery.org"/>
    <x v="14"/>
    <m/>
    <s v="https://pbs.twimg.com/profile_images/993645134372798469/pAZy1Q6j_normal.jpg"/>
    <x v="17"/>
    <d v="2021-10-12T00:00:00.000"/>
    <s v="21:08:38"/>
    <s v="https://twitter.com/docassar/status/1448032889485107204"/>
    <m/>
    <m/>
    <s v="1448032889485107204"/>
    <m/>
    <b v="0"/>
    <n v="6"/>
    <s v=""/>
    <b v="0"/>
    <s v="en"/>
    <m/>
    <s v=""/>
    <b v="0"/>
    <n v="1"/>
    <s v=""/>
    <s v="Twitter Web App"/>
    <b v="0"/>
    <s v="1448032889485107204"/>
    <s v="Tweet"/>
    <n v="0"/>
    <n v="0"/>
    <m/>
    <m/>
    <m/>
    <m/>
    <m/>
    <m/>
    <m/>
    <m/>
    <n v="1"/>
    <s v="1"/>
    <s v="1"/>
    <m/>
    <m/>
    <m/>
    <m/>
    <m/>
    <m/>
    <m/>
    <m/>
    <m/>
  </r>
  <r>
    <s v="ra_mc"/>
    <s v="protein_report"/>
    <m/>
    <m/>
    <m/>
    <m/>
    <m/>
    <m/>
    <m/>
    <m/>
    <s v="No"/>
    <n v="24"/>
    <m/>
    <m/>
    <x v="2"/>
    <d v="2021-10-13T20:04:06.000"/>
    <s v="cultured meat via NodeXL https://t.co/9ux1BijkNr_x000a_@craftmeati_x000a_@bluenaluinc_x000a_@theeconomist_x000a_@jptechcrunch_x000a_@plantbasednews_x000a_@ra_mc_x000a_@hana_soul_hack_x000a_@mosa_meat_x000a_@mtffilm_x000a_@protein_report_x000a__x000a_Top hashtags:_x000a_#techcrunchjp_x000a_#culturedmeat_x000a_#rebiolution_x000a_#cellularagriculture_x000a_#bionformation /"/>
    <s v="https://nodexlgraphgallery.org/Pages/Graph.aspx?graphID=264394"/>
    <s v="nodexlgraphgallery.org"/>
    <x v="15"/>
    <m/>
    <s v="https://pbs.twimg.com/profile_images/1365866667100827650/Sz4fHM1k_normal.jpg"/>
    <x v="18"/>
    <d v="2021-10-13T00:00:00.000"/>
    <s v="20:04:06"/>
    <s v="https://twitter.com/ra_mc/status/1448379038314246150"/>
    <m/>
    <m/>
    <s v="1448379038314246150"/>
    <m/>
    <b v="0"/>
    <n v="0"/>
    <s v=""/>
    <b v="0"/>
    <s v="en"/>
    <m/>
    <s v=""/>
    <b v="0"/>
    <n v="1"/>
    <s v="1448032889485107204"/>
    <s v="Twitter for iPhone"/>
    <b v="0"/>
    <s v="1448032889485107204"/>
    <s v="Tweet"/>
    <n v="0"/>
    <n v="0"/>
    <m/>
    <m/>
    <m/>
    <m/>
    <m/>
    <m/>
    <m/>
    <m/>
    <n v="1"/>
    <s v="1"/>
    <s v="1"/>
    <m/>
    <m/>
    <m/>
    <m/>
    <m/>
    <m/>
    <m/>
    <m/>
    <m/>
  </r>
  <r>
    <s v="luutremendous"/>
    <s v="meatech3d"/>
    <m/>
    <m/>
    <m/>
    <m/>
    <m/>
    <m/>
    <m/>
    <m/>
    <s v="No"/>
    <n v="43"/>
    <m/>
    <m/>
    <x v="3"/>
    <d v="2021-10-14T00:13:31.000"/>
    <s v="Catch #MeaTech presenting on the Innovative Food Technologies panel at the Global #AgTech Virtual Conference on October 14, 2021 at 10 a.m. EDT. https://t.co/l2wwBuBWxc_x000a_#3Dprinting #bioprinting #cellag #cultivatedmeat #culturedmeat #foodtech #sustainable  #innovation $MITC https://t.co/WhEFlZVkYw"/>
    <s v="https://m-vest.com/events/global-agtech?utm_source=press_release&amp;utm_medium=pr&amp;utm_term=presenters"/>
    <s v="m-vest.com"/>
    <x v="16"/>
    <s v="https://pbs.twimg.com/media/FBluVp_XoAQGM6X.jpg"/>
    <s v="https://pbs.twimg.com/media/FBluVp_XoAQGM6X.jpg"/>
    <x v="19"/>
    <d v="2021-10-14T00:00:00.000"/>
    <s v="00:13:31"/>
    <s v="https://twitter.com/luutremendous/status/1448441803535958021"/>
    <m/>
    <m/>
    <s v="1448441803535958021"/>
    <m/>
    <b v="0"/>
    <n v="0"/>
    <s v=""/>
    <b v="0"/>
    <s v="en"/>
    <m/>
    <s v=""/>
    <b v="0"/>
    <n v="1"/>
    <s v="1448310075425234948"/>
    <s v="Twitter for Android"/>
    <b v="0"/>
    <s v="1448310075425234948"/>
    <s v="Tweet"/>
    <n v="0"/>
    <n v="0"/>
    <m/>
    <m/>
    <m/>
    <m/>
    <m/>
    <m/>
    <m/>
    <m/>
    <n v="1"/>
    <s v="2"/>
    <s v="2"/>
    <n v="3"/>
    <n v="9.090909090909092"/>
    <n v="0"/>
    <n v="0"/>
    <n v="0"/>
    <n v="0"/>
    <n v="30"/>
    <n v="90.9090909090909"/>
    <n v="33"/>
  </r>
  <r>
    <s v="meatech3d"/>
    <s v="meatech3d"/>
    <m/>
    <m/>
    <m/>
    <m/>
    <m/>
    <m/>
    <m/>
    <m/>
    <s v="No"/>
    <n v="44"/>
    <m/>
    <m/>
    <x v="1"/>
    <d v="2021-10-07T14:35:03.000"/>
    <s v="Proud to partner with #ashtonkutcher to advance #cultivatedmeat ! _x000a_#3dprinting #bioprinting #culturedmeat #cellbased #cellag #cleanmeat #cleantech #foodtech #foodofthefuture #sustainablefood #sustainableinnovation $MITC https://t.co/dPAUIc2gJs"/>
    <s v="https://twitter.com/Calcalistech/status/1446115448035020808"/>
    <s v="twitter.com"/>
    <x v="6"/>
    <m/>
    <s v="https://pbs.twimg.com/profile_images/1371467367474200579/0gVpA3fB_normal.jpg"/>
    <x v="20"/>
    <d v="2021-10-07T00:00:00.000"/>
    <s v="14:35:03"/>
    <s v="https://twitter.com/meatech3d/status/1446121902804664324"/>
    <m/>
    <m/>
    <s v="1446121902804664324"/>
    <m/>
    <b v="0"/>
    <n v="15"/>
    <s v=""/>
    <b v="1"/>
    <s v="en"/>
    <m/>
    <s v="1446115448035020808"/>
    <b v="0"/>
    <n v="8"/>
    <s v=""/>
    <s v="Twitter Web App"/>
    <b v="0"/>
    <s v="1446121902804664324"/>
    <s v="Retweet"/>
    <n v="0"/>
    <n v="0"/>
    <m/>
    <m/>
    <m/>
    <m/>
    <m/>
    <m/>
    <m/>
    <m/>
    <n v="3"/>
    <s v="2"/>
    <s v="2"/>
    <n v="1"/>
    <n v="5"/>
    <n v="0"/>
    <n v="0"/>
    <n v="0"/>
    <n v="0"/>
    <n v="19"/>
    <n v="95"/>
    <n v="20"/>
  </r>
  <r>
    <s v="meatech3d"/>
    <s v="meatech3d"/>
    <m/>
    <m/>
    <m/>
    <m/>
    <m/>
    <m/>
    <m/>
    <m/>
    <s v="No"/>
    <n v="45"/>
    <m/>
    <m/>
    <x v="1"/>
    <d v="2021-10-13T12:30:05.000"/>
    <s v="#MeaTech3D is participating in today’s Alliance Bernstein - Digestible Disruption Conference 2021 at 10:30 a.m. EDT. _x000a_Join us for #culturedmeat sector updates and MeaTech’s role in it. Investors interested in attending  should contact their Bernstein sales representative. $MITC https://t.co/FAqVkBuYsw"/>
    <m/>
    <m/>
    <x v="13"/>
    <s v="https://pbs.twimg.com/media/FBlFJBgWEAAILms.jpg"/>
    <s v="https://pbs.twimg.com/media/FBlFJBgWEAAILms.jpg"/>
    <x v="21"/>
    <d v="2021-10-13T00:00:00.000"/>
    <s v="12:30:05"/>
    <s v="https://twitter.com/meatech3d/status/1448264778066051073"/>
    <m/>
    <m/>
    <s v="1448264778066051073"/>
    <m/>
    <b v="0"/>
    <n v="18"/>
    <s v=""/>
    <b v="0"/>
    <s v="en"/>
    <m/>
    <s v=""/>
    <b v="0"/>
    <n v="2"/>
    <s v=""/>
    <s v="Hootsuite Inc."/>
    <b v="0"/>
    <s v="1448264778066051073"/>
    <s v="Tweet"/>
    <n v="0"/>
    <n v="0"/>
    <m/>
    <m/>
    <m/>
    <m/>
    <m/>
    <m/>
    <m/>
    <m/>
    <n v="3"/>
    <s v="2"/>
    <s v="2"/>
    <n v="0"/>
    <n v="0"/>
    <n v="1"/>
    <n v="2.4390243902439024"/>
    <n v="0"/>
    <n v="0"/>
    <n v="40"/>
    <n v="97.5609756097561"/>
    <n v="41"/>
  </r>
  <r>
    <s v="meatech3d"/>
    <s v="meatech3d"/>
    <m/>
    <m/>
    <m/>
    <m/>
    <m/>
    <m/>
    <m/>
    <m/>
    <s v="No"/>
    <n v="46"/>
    <m/>
    <m/>
    <x v="1"/>
    <d v="2021-10-13T15:30:04.000"/>
    <s v="Catch #MeaTech presenting on the Innovative Food Technologies panel at the Global #AgTech Virtual Conference on October 14, 2021 at 10 a.m. EDT. https://t.co/l2wwBuBWxc_x000a_#3Dprinting #bioprinting #cellag #cultivatedmeat #culturedmeat #foodtech #sustainable  #innovation $MITC https://t.co/WhEFlZVkYw"/>
    <s v="https://m-vest.com/events/global-agtech?utm_source=press_release&amp;utm_medium=pr&amp;utm_term=presenters"/>
    <s v="m-vest.com"/>
    <x v="16"/>
    <s v="https://pbs.twimg.com/media/FBluVp_XoAQGM6X.jpg"/>
    <s v="https://pbs.twimg.com/media/FBluVp_XoAQGM6X.jpg"/>
    <x v="22"/>
    <d v="2021-10-13T00:00:00.000"/>
    <s v="15:30:04"/>
    <s v="https://twitter.com/meatech3d/status/1448310075425234948"/>
    <m/>
    <m/>
    <s v="1448310075425234948"/>
    <m/>
    <b v="0"/>
    <n v="13"/>
    <s v=""/>
    <b v="0"/>
    <s v="en"/>
    <m/>
    <s v=""/>
    <b v="0"/>
    <n v="1"/>
    <s v=""/>
    <s v="Hootsuite Inc."/>
    <b v="0"/>
    <s v="1448310075425234948"/>
    <s v="Tweet"/>
    <n v="0"/>
    <n v="0"/>
    <m/>
    <m/>
    <m/>
    <m/>
    <m/>
    <m/>
    <m/>
    <m/>
    <n v="3"/>
    <s v="2"/>
    <s v="2"/>
    <n v="3"/>
    <n v="9.090909090909092"/>
    <n v="0"/>
    <n v="0"/>
    <n v="0"/>
    <n v="0"/>
    <n v="30"/>
    <n v="90.9090909090909"/>
    <n v="33"/>
  </r>
  <r>
    <s v="craftmeati"/>
    <s v="meatech3d"/>
    <m/>
    <m/>
    <m/>
    <m/>
    <m/>
    <m/>
    <m/>
    <m/>
    <s v="No"/>
    <n v="47"/>
    <m/>
    <m/>
    <x v="3"/>
    <d v="2021-10-13T13:19:23.000"/>
    <s v="#MeaTech3D is participating in today’s Alliance Bernstein - Digestible Disruption Conference 2021 at 10:30 a.m. EDT. _x000a_Join us for #culturedmeat sector updates and MeaTech’s role in it. Investors interested in attending  should contact their Bernstein sales representative. $MITC https://t.co/FAqVkBuYsw"/>
    <m/>
    <m/>
    <x v="13"/>
    <s v="https://pbs.twimg.com/media/FBlFJBgWEAAILms.jpg"/>
    <s v="https://pbs.twimg.com/media/FBlFJBgWEAAILms.jpg"/>
    <x v="23"/>
    <d v="2021-10-13T00:00:00.000"/>
    <s v="13:19:23"/>
    <s v="https://twitter.com/craftmeati/status/1448277186239152130"/>
    <m/>
    <m/>
    <s v="1448277186239152130"/>
    <m/>
    <b v="0"/>
    <n v="0"/>
    <s v=""/>
    <b v="0"/>
    <s v="en"/>
    <m/>
    <s v=""/>
    <b v="0"/>
    <n v="2"/>
    <s v="1448264778066051073"/>
    <s v="Twitter for Android"/>
    <b v="0"/>
    <s v="1448264778066051073"/>
    <s v="Tweet"/>
    <n v="0"/>
    <n v="0"/>
    <m/>
    <m/>
    <m/>
    <m/>
    <m/>
    <m/>
    <m/>
    <m/>
    <n v="1"/>
    <s v="2"/>
    <s v="2"/>
    <n v="0"/>
    <n v="0"/>
    <n v="1"/>
    <n v="2.4390243902439024"/>
    <n v="0"/>
    <n v="0"/>
    <n v="40"/>
    <n v="97.5609756097561"/>
    <n v="41"/>
  </r>
  <r>
    <s v="craftmeati"/>
    <s v="cellsrevolved"/>
    <m/>
    <m/>
    <m/>
    <m/>
    <m/>
    <m/>
    <m/>
    <m/>
    <s v="No"/>
    <n v="48"/>
    <m/>
    <m/>
    <x v="3"/>
    <d v="2021-10-14T13:24:25.000"/>
    <s v="Just went live, so here is you chance to be one of the first 🥇 applicants for a super exciting Chief Of Staff position at @CellulaREvolution, one of the UK's most innovative companies! 👩‍🔬🔬_x000a__x000a_https://t.co/v8LsRj9p9Q_x000a__x000a_ #biotechnology #chiefofstaff #innovation #culturedmeat"/>
    <s v="https://www.linkedin.com/slink?code=eYxyEG3F"/>
    <s v="linkedin.com"/>
    <x v="17"/>
    <m/>
    <s v="https://pbs.twimg.com/profile_images/1207023594204741634/oNEPNuoG_normal.jpg"/>
    <x v="24"/>
    <d v="2021-10-14T00:00:00.000"/>
    <s v="13:24:25"/>
    <s v="https://twitter.com/craftmeati/status/1448640840637812739"/>
    <m/>
    <m/>
    <s v="1448640840637812739"/>
    <m/>
    <b v="0"/>
    <n v="0"/>
    <s v=""/>
    <b v="0"/>
    <s v="en"/>
    <m/>
    <s v=""/>
    <b v="0"/>
    <n v="3"/>
    <s v="1448621617165316103"/>
    <s v="Twitter for Android"/>
    <b v="0"/>
    <s v="1448621617165316103"/>
    <s v="Tweet"/>
    <n v="0"/>
    <n v="0"/>
    <m/>
    <m/>
    <m/>
    <m/>
    <m/>
    <m/>
    <m/>
    <m/>
    <n v="1"/>
    <s v="2"/>
    <s v="2"/>
    <n v="4"/>
    <n v="11.11111111111111"/>
    <n v="0"/>
    <n v="0"/>
    <n v="0"/>
    <n v="0"/>
    <n v="32"/>
    <n v="88.88888888888889"/>
    <n v="36"/>
  </r>
  <r>
    <s v="craftmeati"/>
    <s v="groenewegenleo"/>
    <m/>
    <m/>
    <m/>
    <m/>
    <m/>
    <m/>
    <m/>
    <m/>
    <s v="No"/>
    <n v="49"/>
    <m/>
    <m/>
    <x v="3"/>
    <d v="2021-10-14T13:24:41.000"/>
    <s v="Just went live, so here is you chance to be one of the first 🥇 applicants for a super exciting Chief Of Staff position at @CellulaREvolution, one of the UK's most innovative companies! 👩‍🔬🔬_x000a__x000a_https://t.co/T4L6t3PLhX_x000a__x000a_ #biotechnology #chiefofstaff #innovation #culturedmeat"/>
    <s v="https://www.linkedin.com/slink?code=eYxyEG3F"/>
    <s v="linkedin.com"/>
    <x v="17"/>
    <m/>
    <s v="https://pbs.twimg.com/profile_images/1207023594204741634/oNEPNuoG_normal.jpg"/>
    <x v="25"/>
    <d v="2021-10-14T00:00:00.000"/>
    <s v="13:24:41"/>
    <s v="https://twitter.com/craftmeati/status/1448640908015058944"/>
    <m/>
    <m/>
    <s v="1448640908015058944"/>
    <m/>
    <b v="0"/>
    <n v="0"/>
    <s v=""/>
    <b v="0"/>
    <s v="en"/>
    <m/>
    <s v=""/>
    <b v="0"/>
    <n v="3"/>
    <s v="1448621669585670153"/>
    <s v="Twitter for Android"/>
    <b v="0"/>
    <s v="1448621669585670153"/>
    <s v="Tweet"/>
    <n v="0"/>
    <n v="0"/>
    <m/>
    <m/>
    <m/>
    <m/>
    <m/>
    <m/>
    <m/>
    <m/>
    <n v="1"/>
    <s v="2"/>
    <s v="2"/>
    <n v="4"/>
    <n v="11.11111111111111"/>
    <n v="0"/>
    <n v="0"/>
    <n v="0"/>
    <n v="0"/>
    <n v="32"/>
    <n v="88.88888888888889"/>
    <n v="36"/>
  </r>
  <r>
    <s v="cellsrevolved"/>
    <s v="cellsrevolved"/>
    <m/>
    <m/>
    <m/>
    <m/>
    <m/>
    <m/>
    <m/>
    <m/>
    <s v="No"/>
    <n v="50"/>
    <m/>
    <m/>
    <x v="1"/>
    <d v="2021-10-14T12:08:02.000"/>
    <s v="Just went live, so here is you chance to be one of the first 🥇 applicants for a super exciting Chief Of Staff position at @CellulaREvolution, one of the UK's most innovative companies! 👩‍🔬🔬_x000a__x000a_https://t.co/v8LsRj9p9Q_x000a__x000a_ #biotechnology #chiefofstaff #innovation #culturedmeat"/>
    <s v="https://www.linkedin.com/slink?code=eYxyEG3F"/>
    <s v="linkedin.com"/>
    <x v="17"/>
    <m/>
    <s v="https://pbs.twimg.com/profile_images/984100036576456704/VouyI-1m_normal.jpg"/>
    <x v="26"/>
    <d v="2021-10-14T00:00:00.000"/>
    <s v="12:08:02"/>
    <s v="https://twitter.com/cellsrevolved/status/1448621617165316103"/>
    <m/>
    <m/>
    <s v="1448621617165316103"/>
    <m/>
    <b v="0"/>
    <n v="6"/>
    <s v=""/>
    <b v="0"/>
    <s v="en"/>
    <m/>
    <s v=""/>
    <b v="0"/>
    <n v="3"/>
    <s v=""/>
    <s v="Twitter Web App"/>
    <b v="0"/>
    <s v="1448621617165316103"/>
    <s v="Tweet"/>
    <n v="0"/>
    <n v="0"/>
    <m/>
    <m/>
    <m/>
    <m/>
    <m/>
    <m/>
    <m/>
    <m/>
    <n v="1"/>
    <s v="2"/>
    <s v="2"/>
    <n v="4"/>
    <n v="11.11111111111111"/>
    <n v="0"/>
    <n v="0"/>
    <n v="0"/>
    <n v="0"/>
    <n v="32"/>
    <n v="88.88888888888889"/>
    <n v="36"/>
  </r>
  <r>
    <s v="martymi90"/>
    <s v="cellsrevolved"/>
    <m/>
    <m/>
    <m/>
    <m/>
    <m/>
    <m/>
    <m/>
    <m/>
    <s v="No"/>
    <n v="51"/>
    <m/>
    <m/>
    <x v="3"/>
    <d v="2021-10-14T14:09:58.000"/>
    <s v="Just went live, so here is you chance to be one of the first 🥇 applicants for a super exciting Chief Of Staff position at @CellulaREvolution, one of the UK's most innovative companies! 👩‍🔬🔬_x000a__x000a_https://t.co/v8LsRj9p9Q_x000a__x000a_ #biotechnology #chiefofstaff #innovation #culturedmeat"/>
    <s v="https://www.linkedin.com/slink?code=eYxyEG3F"/>
    <s v="linkedin.com"/>
    <x v="17"/>
    <m/>
    <s v="https://pbs.twimg.com/profile_images/1010691019237556224/VRMgJF2A_normal.jpg"/>
    <x v="27"/>
    <d v="2021-10-14T00:00:00.000"/>
    <s v="14:09:58"/>
    <s v="https://twitter.com/martymi90/status/1448652302772965382"/>
    <m/>
    <m/>
    <s v="1448652302772965382"/>
    <m/>
    <b v="0"/>
    <n v="0"/>
    <s v=""/>
    <b v="0"/>
    <s v="en"/>
    <m/>
    <s v=""/>
    <b v="0"/>
    <n v="3"/>
    <s v="1448621617165316103"/>
    <s v="Twitter for iPhone"/>
    <b v="0"/>
    <s v="1448621617165316103"/>
    <s v="Tweet"/>
    <n v="0"/>
    <n v="0"/>
    <m/>
    <m/>
    <m/>
    <m/>
    <m/>
    <m/>
    <m/>
    <m/>
    <n v="1"/>
    <s v="2"/>
    <s v="2"/>
    <n v="4"/>
    <n v="11.11111111111111"/>
    <n v="0"/>
    <n v="0"/>
    <n v="0"/>
    <n v="0"/>
    <n v="32"/>
    <n v="88.88888888888889"/>
    <n v="36"/>
  </r>
  <r>
    <s v="groenewegenleo"/>
    <s v="groenewegenleo"/>
    <m/>
    <m/>
    <m/>
    <m/>
    <m/>
    <m/>
    <m/>
    <m/>
    <s v="No"/>
    <n v="52"/>
    <m/>
    <m/>
    <x v="1"/>
    <d v="2021-10-14T12:08:14.000"/>
    <s v="Just went live, so here is you chance to be one of the first 🥇 applicants for a super exciting Chief Of Staff position at @CellulaREvolution, one of the UK's most innovative companies! 👩‍🔬🔬_x000a__x000a_https://t.co/T4L6t3PLhX_x000a__x000a_ #biotechnology #chiefofstaff #innovation #culturedmeat"/>
    <s v="https://www.linkedin.com/slink?code=eYxyEG3F"/>
    <s v="linkedin.com"/>
    <x v="17"/>
    <m/>
    <s v="https://pbs.twimg.com/profile_images/1167006882680246273/h90JwAOF_normal.jpg"/>
    <x v="28"/>
    <d v="2021-10-14T00:00:00.000"/>
    <s v="12:08:14"/>
    <s v="https://twitter.com/groenewegenleo/status/1448621669585670153"/>
    <m/>
    <m/>
    <s v="1448621669585670153"/>
    <m/>
    <b v="0"/>
    <n v="8"/>
    <s v=""/>
    <b v="0"/>
    <s v="en"/>
    <m/>
    <s v=""/>
    <b v="0"/>
    <n v="3"/>
    <s v=""/>
    <s v="Twitter Web App"/>
    <b v="0"/>
    <s v="1448621669585670153"/>
    <s v="Tweet"/>
    <n v="0"/>
    <n v="0"/>
    <m/>
    <m/>
    <m/>
    <m/>
    <m/>
    <m/>
    <m/>
    <m/>
    <n v="1"/>
    <s v="2"/>
    <s v="2"/>
    <n v="4"/>
    <n v="11.11111111111111"/>
    <n v="0"/>
    <n v="0"/>
    <n v="0"/>
    <n v="0"/>
    <n v="32"/>
    <n v="88.88888888888889"/>
    <n v="36"/>
  </r>
  <r>
    <s v="damienclarkson"/>
    <s v="groenewegenleo"/>
    <m/>
    <m/>
    <m/>
    <m/>
    <m/>
    <m/>
    <m/>
    <m/>
    <s v="No"/>
    <n v="53"/>
    <m/>
    <m/>
    <x v="3"/>
    <d v="2021-10-14T21:37:39.000"/>
    <s v="Just went live, so here is you chance to be one of the first 🥇 applicants for a super exciting Chief Of Staff position at @CellulaREvolution, one of the UK's most innovative companies! 👩‍🔬🔬_x000a__x000a_https://t.co/T4L6t3PLhX_x000a__x000a_ #biotechnology #chiefofstaff #innovation #culturedmeat"/>
    <s v="https://www.linkedin.com/slink?code=eYxyEG3F"/>
    <s v="linkedin.com"/>
    <x v="17"/>
    <m/>
    <s v="https://pbs.twimg.com/profile_images/1447256168385101832/YCiOEDOj_normal.jpg"/>
    <x v="29"/>
    <d v="2021-10-14T00:00:00.000"/>
    <s v="21:37:39"/>
    <s v="https://twitter.com/damienclarkson/status/1448764966627168257"/>
    <m/>
    <m/>
    <s v="1448764966627168257"/>
    <m/>
    <b v="0"/>
    <n v="0"/>
    <s v=""/>
    <b v="0"/>
    <s v="en"/>
    <m/>
    <s v=""/>
    <b v="0"/>
    <n v="3"/>
    <s v="1448621669585670153"/>
    <s v="Twitter for iPhone"/>
    <b v="0"/>
    <s v="1448621669585670153"/>
    <s v="Tweet"/>
    <n v="0"/>
    <n v="0"/>
    <m/>
    <m/>
    <m/>
    <m/>
    <m/>
    <m/>
    <m/>
    <m/>
    <n v="1"/>
    <s v="2"/>
    <s v="2"/>
    <n v="4"/>
    <n v="11.11111111111111"/>
    <n v="0"/>
    <n v="0"/>
    <n v="0"/>
    <n v="0"/>
    <n v="32"/>
    <n v="88.88888888888889"/>
    <n v="36"/>
  </r>
  <r>
    <s v="halimantik"/>
    <s v="mysubuh"/>
    <m/>
    <m/>
    <m/>
    <m/>
    <m/>
    <m/>
    <m/>
    <m/>
    <s v="No"/>
    <n v="54"/>
    <m/>
    <m/>
    <x v="3"/>
    <d v="2021-10-15T04:56:55.000"/>
    <s v="Setelah isu C19, terbitlah isu #climatechange_x000a__x000a_Sudah tertulis di point 6. Upayanya adalah penggunaan kendaraan pribadi akan di batasi dan di Point 8, nanti kita dibatasi mengkonsumsi daging merah di ganti dengan #culturedmeat _x000a__x000a_https://t.co/Iv3qQilvgq"/>
    <s v="https://www.who.int/news/item/11-10-2021-who-s-10-calls-for-climate-action-to-assure-sustained-recovery-from-covid-19"/>
    <s v="who.int"/>
    <x v="18"/>
    <m/>
    <s v="https://pbs.twimg.com/profile_images/1343595653230776320/4v1C1DX7_normal.jpg"/>
    <x v="30"/>
    <d v="2021-10-15T00:00:00.000"/>
    <s v="04:56:55"/>
    <s v="https://twitter.com/halimantik/status/1448875513196396544"/>
    <m/>
    <m/>
    <s v="1448875513196396544"/>
    <m/>
    <b v="0"/>
    <n v="0"/>
    <s v=""/>
    <b v="0"/>
    <s v="in"/>
    <m/>
    <s v=""/>
    <b v="0"/>
    <n v="4"/>
    <s v="1448870729496236032"/>
    <s v="Twitter for iPhone"/>
    <b v="0"/>
    <s v="1448870729496236032"/>
    <s v="Tweet"/>
    <n v="0"/>
    <n v="0"/>
    <m/>
    <m/>
    <m/>
    <m/>
    <m/>
    <m/>
    <m/>
    <m/>
    <n v="1"/>
    <s v="4"/>
    <s v="4"/>
    <n v="0"/>
    <n v="0"/>
    <n v="0"/>
    <n v="0"/>
    <n v="0"/>
    <n v="0"/>
    <n v="33"/>
    <n v="100"/>
    <n v="33"/>
  </r>
  <r>
    <s v="bygora_official"/>
    <s v="bygora_official"/>
    <m/>
    <m/>
    <m/>
    <m/>
    <m/>
    <m/>
    <m/>
    <m/>
    <s v="No"/>
    <n v="55"/>
    <m/>
    <m/>
    <x v="1"/>
    <d v="2021-10-15T07:38:45.000"/>
    <s v="Check out our new article about &quot;Cultured Meat&quot;_x000a_Just click here https://t.co/K9UIB91Zhu_x000a__x000a_#culturedmeat #invitromeat #novelfood #sustainablefood #sustainability #bygora https://t.co/B5LNqJ8QMX"/>
    <s v="https://bygora.com/2021/10/cultured-meat/"/>
    <s v="bygora.com"/>
    <x v="19"/>
    <s v="https://pbs.twimg.com/media/FBuVopQX0DgTz-5.jpg"/>
    <s v="https://pbs.twimg.com/media/FBuVopQX0DgTz-5.jpg"/>
    <x v="31"/>
    <d v="2021-10-15T00:00:00.000"/>
    <s v="07:38:45"/>
    <s v="https://twitter.com/bygora_official/status/1448916237820612647"/>
    <m/>
    <m/>
    <s v="1448916237820612647"/>
    <m/>
    <b v="0"/>
    <n v="0"/>
    <s v=""/>
    <b v="0"/>
    <s v="en"/>
    <m/>
    <s v=""/>
    <b v="0"/>
    <n v="0"/>
    <s v=""/>
    <s v="Zapier.com"/>
    <b v="0"/>
    <s v="1448916237820612647"/>
    <s v="Tweet"/>
    <n v="0"/>
    <n v="0"/>
    <m/>
    <m/>
    <m/>
    <m/>
    <m/>
    <m/>
    <m/>
    <m/>
    <n v="1"/>
    <s v="3"/>
    <s v="3"/>
    <n v="1"/>
    <n v="5.882352941176471"/>
    <n v="0"/>
    <n v="0"/>
    <n v="0"/>
    <n v="0"/>
    <n v="16"/>
    <n v="94.11764705882354"/>
    <n v="17"/>
  </r>
  <r>
    <s v="agreenerworlduk"/>
    <s v="thecounter"/>
    <m/>
    <m/>
    <m/>
    <m/>
    <m/>
    <m/>
    <m/>
    <m/>
    <s v="No"/>
    <n v="56"/>
    <m/>
    <m/>
    <x v="0"/>
    <d v="2021-10-15T12:20:22.000"/>
    <s v="&quot;Don't believe the hype...&quot;_x000a_This fascinating article by @joefassler in @TheCounter highlights some significant technological shortcomings and asks if the #LabGrownMeat bubble could be about to burst👉 https://t.co/qmG4uUsAB5 #labmeat #culturedmeat #fakemeat #farmingUK"/>
    <s v="https://thecounter.org/lab-grown-cultivated-meat-cost-at-scale/"/>
    <s v="thecounter.org"/>
    <x v="20"/>
    <m/>
    <s v="https://pbs.twimg.com/profile_images/1133001947433250816/nFV7USqn_normal.jpg"/>
    <x v="32"/>
    <d v="2021-10-15T00:00:00.000"/>
    <s v="12:20:22"/>
    <s v="https://twitter.com/agreenerworlduk/status/1448987108559970307"/>
    <m/>
    <m/>
    <s v="1448987108559970307"/>
    <m/>
    <b v="0"/>
    <n v="0"/>
    <s v=""/>
    <b v="0"/>
    <s v="en"/>
    <m/>
    <s v=""/>
    <b v="0"/>
    <n v="0"/>
    <s v=""/>
    <s v="Twitter Web App"/>
    <b v="0"/>
    <s v="1448987108559970307"/>
    <s v="Tweet"/>
    <n v="0"/>
    <n v="0"/>
    <m/>
    <m/>
    <m/>
    <m/>
    <m/>
    <m/>
    <m/>
    <m/>
    <n v="1"/>
    <s v="5"/>
    <s v="5"/>
    <m/>
    <m/>
    <m/>
    <m/>
    <m/>
    <m/>
    <m/>
    <m/>
    <m/>
  </r>
  <r>
    <s v="cmsymp"/>
    <s v="cmsymp"/>
    <m/>
    <m/>
    <m/>
    <m/>
    <m/>
    <m/>
    <m/>
    <m/>
    <s v="No"/>
    <n v="58"/>
    <m/>
    <m/>
    <x v="1"/>
    <d v="2021-10-15T23:47:53.000"/>
    <s v="Seats are filling up for the upcoming Cultured Meat Symposium. Learn more about the event and register for in-person or online tickets now. https://t.co/t3V64y0bpL #culturedmeat #cultivatedmeat #cellbasedmeat #cleanmeat"/>
    <s v="https://www.eventbrite.com/e/cultured-meat-symposium-2021-tickets-148260090923"/>
    <s v="eventbrite.com"/>
    <x v="21"/>
    <m/>
    <s v="https://pbs.twimg.com/profile_images/1336711126692757504/b93FEEuL_normal.jpg"/>
    <x v="33"/>
    <d v="2021-10-15T00:00:00.000"/>
    <s v="23:47:53"/>
    <s v="https://twitter.com/cmsymp/status/1449160128414978051"/>
    <m/>
    <m/>
    <s v="1449160128414978051"/>
    <m/>
    <b v="0"/>
    <n v="1"/>
    <s v=""/>
    <b v="0"/>
    <s v="en"/>
    <m/>
    <s v=""/>
    <b v="0"/>
    <n v="0"/>
    <s v=""/>
    <s v="Twitter Web App"/>
    <b v="0"/>
    <s v="1449160128414978051"/>
    <s v="Tweet"/>
    <n v="0"/>
    <n v="0"/>
    <m/>
    <m/>
    <m/>
    <m/>
    <m/>
    <m/>
    <m/>
    <m/>
    <n v="1"/>
    <s v="10"/>
    <s v="10"/>
    <n v="0"/>
    <n v="0"/>
    <n v="0"/>
    <n v="0"/>
    <n v="0"/>
    <n v="0"/>
    <n v="28"/>
    <n v="100"/>
    <n v="28"/>
  </r>
  <r>
    <s v="inspirasiv"/>
    <s v="inspirasiv"/>
    <m/>
    <m/>
    <m/>
    <m/>
    <m/>
    <m/>
    <m/>
    <m/>
    <s v="No"/>
    <n v="59"/>
    <m/>
    <m/>
    <x v="1"/>
    <d v="2021-10-16T06:40:11.000"/>
    <s v="Haa, jom dengar perkongsian daripada Saudara Faizzuan mengenai inovasi daging kultur dan proses pembuatannya. Semoga bermanfaat!_x000a__x000a_#culturedmeat #sainsmakanan #fstukm #TERASWatanKita #UniversitiWatanKita #UKMHebat #SharingInspirasi #KitaGengInspi  #ActionInReality #sains #UKM"/>
    <m/>
    <m/>
    <x v="22"/>
    <m/>
    <s v="https://pbs.twimg.com/profile_images/1314815941545402368/cJ-RV9rz_normal.jpg"/>
    <x v="34"/>
    <d v="2021-10-16T00:00:00.000"/>
    <s v="06:40:11"/>
    <s v="https://twitter.com/inspirasiv/status/1449263887413432322"/>
    <m/>
    <m/>
    <s v="1449263887413432322"/>
    <s v="1449263883323994113"/>
    <b v="0"/>
    <n v="0"/>
    <s v="1006606339991146496"/>
    <b v="0"/>
    <s v="in"/>
    <m/>
    <s v=""/>
    <b v="0"/>
    <n v="0"/>
    <s v=""/>
    <s v="Twitter for iPhone"/>
    <b v="0"/>
    <s v="1449263883323994113"/>
    <s v="Tweet"/>
    <n v="0"/>
    <n v="0"/>
    <m/>
    <m/>
    <m/>
    <m/>
    <m/>
    <m/>
    <m/>
    <m/>
    <n v="1"/>
    <s v="3"/>
    <s v="3"/>
    <n v="0"/>
    <n v="0"/>
    <n v="0"/>
    <n v="0"/>
    <n v="0"/>
    <n v="0"/>
    <n v="27"/>
    <n v="100"/>
    <n v="27"/>
  </r>
  <r>
    <s v="shorewalker1"/>
    <s v="shorewalker1"/>
    <m/>
    <m/>
    <m/>
    <m/>
    <m/>
    <m/>
    <m/>
    <m/>
    <s v="No"/>
    <n v="60"/>
    <m/>
    <m/>
    <x v="1"/>
    <d v="2021-10-16T09:17:09.000"/>
    <s v="Big if true: Actual #ManufacturedMeat defies biological/industrial limits. &quot;The cost of cultivation facilities will always be too burdensome, and the cost of growth media will always be too high, for the economics of #CulturedMeat to make sense.&quot;_x000a_https://t.co/qujGjlLYbL"/>
    <s v="https://thecounter.org/lab-grown-cultivated-meat-cost-at-scale/"/>
    <s v="thecounter.org"/>
    <x v="23"/>
    <m/>
    <s v="https://pbs.twimg.com/profile_images/1091135701922377728/OSj5L6bT_normal.jpg"/>
    <x v="35"/>
    <d v="2021-10-16T00:00:00.000"/>
    <s v="09:17:09"/>
    <s v="https://twitter.com/shorewalker1/status/1449303390882656257"/>
    <m/>
    <m/>
    <s v="1449303390882656257"/>
    <m/>
    <b v="0"/>
    <n v="0"/>
    <s v=""/>
    <b v="0"/>
    <s v="en"/>
    <m/>
    <s v=""/>
    <b v="0"/>
    <n v="0"/>
    <s v=""/>
    <s v="Twitter Web App"/>
    <b v="0"/>
    <s v="1449303390882656257"/>
    <s v="Tweet"/>
    <n v="0"/>
    <n v="0"/>
    <m/>
    <m/>
    <m/>
    <m/>
    <m/>
    <m/>
    <m/>
    <m/>
    <n v="2"/>
    <s v="3"/>
    <s v="3"/>
    <n v="0"/>
    <n v="0"/>
    <n v="2"/>
    <n v="5.2631578947368425"/>
    <n v="0"/>
    <n v="0"/>
    <n v="36"/>
    <n v="94.73684210526316"/>
    <n v="38"/>
  </r>
  <r>
    <s v="shorewalker1"/>
    <s v="shorewalker1"/>
    <m/>
    <m/>
    <m/>
    <m/>
    <m/>
    <m/>
    <m/>
    <m/>
    <s v="No"/>
    <n v="61"/>
    <m/>
    <m/>
    <x v="1"/>
    <d v="2021-10-16T09:17:10.000"/>
    <s v="Note that #CulturedMeat is different from #PlantBasedMeat. The latter tastes increasingly good and is getting cheaper all the time. Yay! (Confirmed-carnivore me has moved to vegan sausages, and is hoping for affordable, tasty, non-animal everything)._x000a_https://t.co/M8DnwbyEUI"/>
    <s v="https://astralcodexten.substack.com/p/bay-area-plant-based-meat-reviews"/>
    <s v="substack.com"/>
    <x v="24"/>
    <m/>
    <s v="https://pbs.twimg.com/profile_images/1091135701922377728/OSj5L6bT_normal.jpg"/>
    <x v="36"/>
    <d v="2021-10-16T00:00:00.000"/>
    <s v="09:17:10"/>
    <s v="https://twitter.com/shorewalker1/status/1449303393260900359"/>
    <m/>
    <m/>
    <s v="1449303393260900359"/>
    <s v="1449303390882656257"/>
    <b v="0"/>
    <n v="0"/>
    <s v="92916193"/>
    <b v="0"/>
    <s v="en"/>
    <m/>
    <s v=""/>
    <b v="0"/>
    <n v="0"/>
    <s v=""/>
    <s v="Twitter Web App"/>
    <b v="0"/>
    <s v="1449303390882656257"/>
    <s v="Tweet"/>
    <n v="0"/>
    <n v="0"/>
    <m/>
    <m/>
    <m/>
    <m/>
    <m/>
    <m/>
    <m/>
    <m/>
    <n v="2"/>
    <s v="3"/>
    <s v="3"/>
    <n v="4"/>
    <n v="10.81081081081081"/>
    <n v="0"/>
    <n v="0"/>
    <n v="0"/>
    <n v="0"/>
    <n v="33"/>
    <n v="89.1891891891892"/>
    <n v="37"/>
  </r>
  <r>
    <s v="daily_research"/>
    <s v="surveycircle"/>
    <m/>
    <m/>
    <m/>
    <m/>
    <m/>
    <m/>
    <m/>
    <m/>
    <s v="No"/>
    <n v="62"/>
    <m/>
    <m/>
    <x v="0"/>
    <d v="2021-10-16T13:47:25.000"/>
    <s v="Participants needed for online survey!_x000a__x000a_Topic: &quot;What is your perception on the topic of cultured meat?&quot; https://t.co/rhxyQZEpWu via @SurveyCircle_x000a__x000a_#CulturedMeat #InVitroMeat #CleanMeat #SocialMedia #instagram #meat #survey #surveycircle https://t.co/FEXzSzS9IU"/>
    <s v="https://www.surveycircle.com/en/surveys/?sr=r3#2b6d962de6ae"/>
    <s v="surveycircle.com"/>
    <x v="25"/>
    <s v="https://pbs.twimg.com/media/FB0znNpXEAM8EGy.jpg"/>
    <s v="https://pbs.twimg.com/media/FB0znNpXEAM8EGy.jpg"/>
    <x v="37"/>
    <d v="2021-10-16T00:00:00.000"/>
    <s v="13:47:25"/>
    <s v="https://twitter.com/daily_research/status/1449371405691330561"/>
    <m/>
    <m/>
    <s v="1449371405691330561"/>
    <m/>
    <b v="0"/>
    <n v="0"/>
    <s v=""/>
    <b v="0"/>
    <s v="en"/>
    <m/>
    <s v=""/>
    <b v="0"/>
    <n v="0"/>
    <s v=""/>
    <s v="SurveyCircle Updates"/>
    <b v="0"/>
    <s v="1449371405691330561"/>
    <s v="Tweet"/>
    <n v="0"/>
    <n v="0"/>
    <m/>
    <m/>
    <m/>
    <m/>
    <m/>
    <m/>
    <m/>
    <m/>
    <n v="1"/>
    <s v="8"/>
    <s v="8"/>
    <n v="0"/>
    <n v="0"/>
    <n v="0"/>
    <n v="0"/>
    <n v="0"/>
    <n v="0"/>
    <n v="26"/>
    <n v="100"/>
    <n v="26"/>
  </r>
  <r>
    <s v="the_teh_news"/>
    <s v="the_teh_news"/>
    <m/>
    <m/>
    <m/>
    <m/>
    <m/>
    <m/>
    <m/>
    <m/>
    <s v="No"/>
    <n v="63"/>
    <m/>
    <m/>
    <x v="1"/>
    <d v="2021-10-16T13:59:34.000"/>
    <s v="Cultured Meat_x000a_._x000a_._x000a_ #meat #culturedmeat #steak #foodie #bbq #instafood #chicken #delicious #foodstagram #grill #foodphotography #dinner #ai #yummy #burger #meatlover #barbecue #carne #tech #pork #science #foodblogger #foodlover #grilling #wagyu #homemade #lunch #brisket #cooking https://t.co/3LmrO5GaJF"/>
    <m/>
    <m/>
    <x v="26"/>
    <s v="https://pbs.twimg.com/media/FB01di5WUAUJMfY.jpg"/>
    <s v="https://pbs.twimg.com/media/FB01di5WUAUJMfY.jpg"/>
    <x v="38"/>
    <d v="2021-10-16T00:00:00.000"/>
    <s v="13:59:34"/>
    <s v="https://twitter.com/the_teh_news/status/1449374461631807495"/>
    <m/>
    <m/>
    <s v="1449374461631807495"/>
    <m/>
    <b v="0"/>
    <n v="0"/>
    <s v=""/>
    <b v="0"/>
    <s v="en"/>
    <m/>
    <s v=""/>
    <b v="0"/>
    <n v="0"/>
    <s v=""/>
    <s v="Twitter Web App"/>
    <b v="0"/>
    <s v="1449374461631807495"/>
    <s v="Tweet"/>
    <n v="0"/>
    <n v="0"/>
    <m/>
    <m/>
    <m/>
    <m/>
    <m/>
    <m/>
    <m/>
    <m/>
    <n v="1"/>
    <s v="3"/>
    <s v="3"/>
    <n v="1"/>
    <n v="3.225806451612903"/>
    <n v="0"/>
    <n v="0"/>
    <n v="0"/>
    <n v="0"/>
    <n v="30"/>
    <n v="96.7741935483871"/>
    <n v="31"/>
  </r>
  <r>
    <s v="pengejarbayang"/>
    <s v="mysubuh"/>
    <m/>
    <m/>
    <m/>
    <m/>
    <m/>
    <m/>
    <m/>
    <m/>
    <s v="No"/>
    <n v="64"/>
    <m/>
    <m/>
    <x v="3"/>
    <d v="2021-10-16T16:42:38.000"/>
    <s v="Setelah isu C19, terbitlah isu #climatechange_x000a__x000a_Sudah tertulis di point 6. Upayanya adalah penggunaan kendaraan pribadi akan di batasi dan di Point 8, nanti kita dibatasi mengkonsumsi daging merah di ganti dengan #culturedmeat _x000a__x000a_https://t.co/Iv3qQilvgq"/>
    <s v="https://www.who.int/news/item/11-10-2021-who-s-10-calls-for-climate-action-to-assure-sustained-recovery-from-covid-19"/>
    <s v="who.int"/>
    <x v="18"/>
    <m/>
    <s v="https://pbs.twimg.com/profile_images/1148337726866874368/aIvdSvJg_normal.jpg"/>
    <x v="39"/>
    <d v="2021-10-16T00:00:00.000"/>
    <s v="16:42:38"/>
    <s v="https://twitter.com/pengejarbayang/status/1449415497380810752"/>
    <m/>
    <m/>
    <s v="1449415497380810752"/>
    <m/>
    <b v="0"/>
    <n v="0"/>
    <s v=""/>
    <b v="0"/>
    <s v="in"/>
    <m/>
    <s v=""/>
    <b v="0"/>
    <n v="4"/>
    <s v="1448870729496236032"/>
    <s v="Twitter for Android"/>
    <b v="0"/>
    <s v="1448870729496236032"/>
    <s v="Tweet"/>
    <n v="0"/>
    <n v="0"/>
    <m/>
    <m/>
    <m/>
    <m/>
    <m/>
    <m/>
    <m/>
    <m/>
    <n v="1"/>
    <s v="4"/>
    <s v="4"/>
    <n v="0"/>
    <n v="0"/>
    <n v="0"/>
    <n v="0"/>
    <n v="0"/>
    <n v="0"/>
    <n v="33"/>
    <n v="100"/>
    <n v="33"/>
  </r>
  <r>
    <s v="alvinrio_1501"/>
    <s v="mysubuh"/>
    <m/>
    <m/>
    <m/>
    <m/>
    <m/>
    <m/>
    <m/>
    <m/>
    <s v="No"/>
    <n v="65"/>
    <m/>
    <m/>
    <x v="3"/>
    <d v="2021-10-16T16:45:06.000"/>
    <s v="Setelah isu C19, terbitlah isu #climatechange_x000a__x000a_Sudah tertulis di point 6. Upayanya adalah penggunaan kendaraan pribadi akan di batasi dan di Point 8, nanti kita dibatasi mengkonsumsi daging merah di ganti dengan #culturedmeat _x000a__x000a_https://t.co/Iv3qQilvgq"/>
    <s v="https://www.who.int/news/item/11-10-2021-who-s-10-calls-for-climate-action-to-assure-sustained-recovery-from-covid-19"/>
    <s v="who.int"/>
    <x v="18"/>
    <m/>
    <s v="https://pbs.twimg.com/profile_images/1238295751098171398/QaPMEcwW_normal.jpg"/>
    <x v="40"/>
    <d v="2021-10-16T00:00:00.000"/>
    <s v="16:45:06"/>
    <s v="https://twitter.com/alvinrio_1501/status/1449416121942114311"/>
    <m/>
    <m/>
    <s v="1449416121942114311"/>
    <m/>
    <b v="0"/>
    <n v="0"/>
    <s v=""/>
    <b v="0"/>
    <s v="in"/>
    <m/>
    <s v=""/>
    <b v="0"/>
    <n v="4"/>
    <s v="1448870729496236032"/>
    <s v="Twitter for Android"/>
    <b v="0"/>
    <s v="1448870729496236032"/>
    <s v="Tweet"/>
    <n v="0"/>
    <n v="0"/>
    <m/>
    <m/>
    <m/>
    <m/>
    <m/>
    <m/>
    <m/>
    <m/>
    <n v="1"/>
    <s v="4"/>
    <s v="4"/>
    <n v="0"/>
    <n v="0"/>
    <n v="0"/>
    <n v="0"/>
    <n v="0"/>
    <n v="0"/>
    <n v="33"/>
    <n v="100"/>
    <n v="33"/>
  </r>
  <r>
    <s v="mysubuh"/>
    <s v="mysubuh"/>
    <m/>
    <m/>
    <m/>
    <m/>
    <m/>
    <m/>
    <m/>
    <m/>
    <s v="No"/>
    <n v="66"/>
    <m/>
    <m/>
    <x v="1"/>
    <d v="2021-10-15T04:37:55.000"/>
    <s v="Setelah isu C19, terbitlah isu #climatechange_x000a__x000a_Sudah tertulis di point 6. Upayanya adalah penggunaan kendaraan pribadi akan di batasi dan di Point 8, nanti kita dibatasi mengkonsumsi daging merah di ganti dengan #culturedmeat _x000a__x000a_https://t.co/Iv3qQilvgq"/>
    <s v="https://www.who.int/news/item/11-10-2021-who-s-10-calls-for-climate-action-to-assure-sustained-recovery-from-covid-19"/>
    <s v="who.int"/>
    <x v="18"/>
    <m/>
    <s v="https://pbs.twimg.com/profile_images/1427658396963000320/2JmbMKai_normal.jpg"/>
    <x v="41"/>
    <d v="2021-10-15T00:00:00.000"/>
    <s v="04:37:55"/>
    <s v="https://twitter.com/mysubuh/status/1448870729496236032"/>
    <m/>
    <m/>
    <s v="1448870729496236032"/>
    <m/>
    <b v="0"/>
    <n v="7"/>
    <s v=""/>
    <b v="0"/>
    <s v="in"/>
    <m/>
    <s v=""/>
    <b v="0"/>
    <n v="4"/>
    <s v=""/>
    <s v="Twitter Web App"/>
    <b v="0"/>
    <s v="1448870729496236032"/>
    <s v="Tweet"/>
    <n v="0"/>
    <n v="0"/>
    <m/>
    <m/>
    <m/>
    <m/>
    <m/>
    <m/>
    <m/>
    <m/>
    <n v="1"/>
    <s v="4"/>
    <s v="4"/>
    <n v="0"/>
    <n v="0"/>
    <n v="0"/>
    <n v="0"/>
    <n v="0"/>
    <n v="0"/>
    <n v="33"/>
    <n v="100"/>
    <n v="33"/>
  </r>
  <r>
    <s v="darakasiwi"/>
    <s v="mysubuh"/>
    <m/>
    <m/>
    <m/>
    <m/>
    <m/>
    <m/>
    <m/>
    <m/>
    <s v="No"/>
    <n v="67"/>
    <m/>
    <m/>
    <x v="3"/>
    <d v="2021-10-16T16:48:29.000"/>
    <s v="Setelah isu C19, terbitlah isu #climatechange_x000a__x000a_Sudah tertulis di point 6. Upayanya adalah penggunaan kendaraan pribadi akan di batasi dan di Point 8, nanti kita dibatasi mengkonsumsi daging merah di ganti dengan #culturedmeat _x000a__x000a_https://t.co/Iv3qQilvgq"/>
    <s v="https://www.who.int/news/item/11-10-2021-who-s-10-calls-for-climate-action-to-assure-sustained-recovery-from-covid-19"/>
    <s v="who.int"/>
    <x v="18"/>
    <m/>
    <s v="https://pbs.twimg.com/profile_images/1415713296242462722/5PeUNbEG_normal.jpg"/>
    <x v="42"/>
    <d v="2021-10-16T00:00:00.000"/>
    <s v="16:48:29"/>
    <s v="https://twitter.com/darakasiwi/status/1449416971645177857"/>
    <m/>
    <m/>
    <s v="1449416971645177857"/>
    <m/>
    <b v="0"/>
    <n v="0"/>
    <s v=""/>
    <b v="0"/>
    <s v="in"/>
    <m/>
    <s v=""/>
    <b v="0"/>
    <n v="4"/>
    <s v="1448870729496236032"/>
    <s v="Twitter Web App"/>
    <b v="0"/>
    <s v="1448870729496236032"/>
    <s v="Tweet"/>
    <n v="0"/>
    <n v="0"/>
    <m/>
    <m/>
    <m/>
    <m/>
    <m/>
    <m/>
    <m/>
    <m/>
    <n v="1"/>
    <s v="4"/>
    <s v="4"/>
    <n v="0"/>
    <n v="0"/>
    <n v="0"/>
    <n v="0"/>
    <n v="0"/>
    <n v="0"/>
    <n v="33"/>
    <n v="100"/>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0"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68"/>
    <field x="67"/>
    <field x="66"/>
    <field x="22"/>
  </rowFields>
  <rowItems count="48">
    <i>
      <x v="1"/>
    </i>
    <i r="1">
      <x v="5"/>
    </i>
    <i r="2">
      <x v="152"/>
    </i>
    <i r="3">
      <x v="22"/>
    </i>
    <i>
      <x v="2"/>
    </i>
    <i r="1">
      <x v="10"/>
    </i>
    <i r="2">
      <x v="281"/>
    </i>
    <i r="3">
      <x v="15"/>
    </i>
    <i r="2">
      <x v="282"/>
    </i>
    <i r="3">
      <x v="15"/>
    </i>
    <i r="3">
      <x v="17"/>
    </i>
    <i r="2">
      <x v="283"/>
    </i>
    <i r="3">
      <x v="16"/>
    </i>
    <i r="3">
      <x v="19"/>
    </i>
    <i r="2">
      <x v="284"/>
    </i>
    <i r="3">
      <x v="10"/>
    </i>
    <i r="3">
      <x v="15"/>
    </i>
    <i r="2">
      <x v="285"/>
    </i>
    <i r="3">
      <x v="14"/>
    </i>
    <i r="3">
      <x v="16"/>
    </i>
    <i r="3">
      <x v="22"/>
    </i>
    <i r="2">
      <x v="286"/>
    </i>
    <i r="3">
      <x v="7"/>
    </i>
    <i r="3">
      <x v="13"/>
    </i>
    <i r="3">
      <x v="22"/>
    </i>
    <i r="2">
      <x v="287"/>
    </i>
    <i r="3">
      <x v="10"/>
    </i>
    <i r="3">
      <x v="13"/>
    </i>
    <i r="3">
      <x v="14"/>
    </i>
    <i r="3">
      <x v="16"/>
    </i>
    <i r="3">
      <x v="21"/>
    </i>
    <i r="2">
      <x v="288"/>
    </i>
    <i r="3">
      <x v="1"/>
    </i>
    <i r="3">
      <x v="13"/>
    </i>
    <i r="3">
      <x v="14"/>
    </i>
    <i r="3">
      <x v="15"/>
    </i>
    <i r="3">
      <x v="22"/>
    </i>
    <i r="2">
      <x v="289"/>
    </i>
    <i r="3">
      <x v="5"/>
    </i>
    <i r="3">
      <x v="8"/>
    </i>
    <i r="3">
      <x v="13"/>
    </i>
    <i r="3">
      <x v="24"/>
    </i>
    <i r="2">
      <x v="290"/>
    </i>
    <i r="3">
      <x v="7"/>
    </i>
    <i r="3">
      <x v="10"/>
    </i>
    <i r="3">
      <x v="14"/>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671927183">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671927183">
      <items count="27">
        <i x="5" s="1"/>
        <i x="6" s="1"/>
        <i x="17" s="1"/>
        <i x="18" s="1"/>
        <i x="11" s="1"/>
        <i x="21" s="1"/>
        <i x="25" s="1"/>
        <i x="19" s="1"/>
        <i x="24" s="1"/>
        <i x="22" s="1"/>
        <i x="9" s="1"/>
        <i x="8" s="1"/>
        <i x="20" s="1"/>
        <i x="7" s="1"/>
        <i x="23" s="1"/>
        <i x="26" s="1"/>
        <i x="16" s="1"/>
        <i x="13" s="1"/>
        <i x="2" s="1"/>
        <i x="1" s="1"/>
        <i x="14" s="1"/>
        <i x="12" s="1"/>
        <i x="10" s="1"/>
        <i x="4" s="1"/>
        <i x="3" s="1"/>
        <i x="0"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7" totalsRowShown="0" headerRowDxfId="501" dataDxfId="500">
  <autoFilter ref="A2:BN67"/>
  <tableColumns count="66">
    <tableColumn id="1" name="Vertex 1" dataDxfId="499"/>
    <tableColumn id="2" name="Vertex 2" dataDxfId="498"/>
    <tableColumn id="3" name="Color" dataDxfId="497"/>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489"/>
    <tableColumn id="7" name="ID" dataDxfId="488"/>
    <tableColumn id="9" name="Dynamic Filter" dataDxfId="487"/>
    <tableColumn id="8" name="Add Your Own Columns Here" dataDxfId="486"/>
    <tableColumn id="15" name="Relationship" dataDxfId="485"/>
    <tableColumn id="16" name="Relationship Date (UTC)" dataDxfId="484"/>
    <tableColumn id="17" name="Tweet" dataDxfId="483"/>
    <tableColumn id="18" name="URLs in Tweet" dataDxfId="482"/>
    <tableColumn id="19" name="Domains in Tweet" dataDxfId="481"/>
    <tableColumn id="20" name="Hashtags in Tweet" dataDxfId="480"/>
    <tableColumn id="21" name="Media in Tweet" dataDxfId="479"/>
    <tableColumn id="22" name="Tweet Image File" dataDxfId="478"/>
    <tableColumn id="23" name="Tweet Date (UTC)" dataDxfId="477"/>
    <tableColumn id="24" name="Date" dataDxfId="476"/>
    <tableColumn id="25" name="Time" dataDxfId="475"/>
    <tableColumn id="26" name="Twitter Page for Tweet" dataDxfId="474"/>
    <tableColumn id="27" name="Latitude" dataDxfId="473"/>
    <tableColumn id="28" name="Longitude" dataDxfId="472"/>
    <tableColumn id="29" name="Imported ID" dataDxfId="471"/>
    <tableColumn id="30" name="In-Reply-To Tweet ID" dataDxfId="470"/>
    <tableColumn id="31" name="Favorited" dataDxfId="469"/>
    <tableColumn id="32" name="Favorite Count" dataDxfId="468"/>
    <tableColumn id="33" name="In-Reply-To User ID" dataDxfId="467"/>
    <tableColumn id="34" name="Is Quote Status" dataDxfId="466"/>
    <tableColumn id="35" name="Language" dataDxfId="465"/>
    <tableColumn id="36" name="Possibly Sensitive" dataDxfId="464"/>
    <tableColumn id="37" name="Quoted Status ID" dataDxfId="463"/>
    <tableColumn id="38" name="Retweeted" dataDxfId="462"/>
    <tableColumn id="39" name="Retweet Count" dataDxfId="461"/>
    <tableColumn id="40" name="Retweet ID" dataDxfId="460"/>
    <tableColumn id="41" name="Source" dataDxfId="459"/>
    <tableColumn id="42" name="Truncated" dataDxfId="458"/>
    <tableColumn id="43" name="Unified Twitter ID" dataDxfId="457"/>
    <tableColumn id="44" name="Imported Tweet Type" dataDxfId="456"/>
    <tableColumn id="45" name="Added By Extended Analysis" dataDxfId="455"/>
    <tableColumn id="46" name="Corrected By Extended Analysis" dataDxfId="454"/>
    <tableColumn id="47" name="Place Bounding Box" dataDxfId="453"/>
    <tableColumn id="48" name="Place Country" dataDxfId="452"/>
    <tableColumn id="49" name="Place Country Code" dataDxfId="451"/>
    <tableColumn id="50" name="Place Full Name" dataDxfId="450"/>
    <tableColumn id="51" name="Place ID" dataDxfId="449"/>
    <tableColumn id="52" name="Place Name" dataDxfId="448"/>
    <tableColumn id="53" name="Place Type" dataDxfId="447"/>
    <tableColumn id="54" name="Place URL" dataDxfId="446"/>
    <tableColumn id="55" name="Edge Weight"/>
    <tableColumn id="56" name="Vertex 1 Group" dataDxfId="445">
      <calculatedColumnFormula>REPLACE(INDEX(GroupVertices[Group], MATCH(Edges[[#This Row],[Vertex 1]],GroupVertices[Vertex],0)),1,1,"")</calculatedColumnFormula>
    </tableColumn>
    <tableColumn id="57" name="Vertex 2 Group" dataDxfId="444">
      <calculatedColumnFormula>REPLACE(INDEX(GroupVertices[Group], MATCH(Edges[[#This Row],[Vertex 2]],GroupVertices[Vertex],0)),1,1,"")</calculatedColumnFormula>
    </tableColumn>
    <tableColumn id="58" name="Sentiment List #1: List1 Word Count" dataDxfId="443"/>
    <tableColumn id="59" name="Sentiment List #1: List1 Word Percentage (%)" dataDxfId="442"/>
    <tableColumn id="60" name="Sentiment List #2: List2 Word Count" dataDxfId="441"/>
    <tableColumn id="61" name="Sentiment List #2: List2 Word Percentage (%)" dataDxfId="440"/>
    <tableColumn id="62" name="Sentiment List #3: List3 Word Count" dataDxfId="439"/>
    <tableColumn id="63" name="Sentiment List #3: List3 Word Percentage (%)" dataDxfId="438"/>
    <tableColumn id="64" name="Non-categorized Word Count" dataDxfId="437"/>
    <tableColumn id="65" name="Non-categorized Word Percentage (%)" dataDxfId="436"/>
    <tableColumn id="66" name="Edge Content Word Count" dataDxfId="4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70" dataDxfId="269">
  <autoFilter ref="A14:V24"/>
  <tableColumns count="22">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 id="15" name="Top Domains in Tweet in G7" dataDxfId="254"/>
    <tableColumn id="16" name="G7 Count" dataDxfId="253"/>
    <tableColumn id="17" name="Top Domains in Tweet in G8" dataDxfId="252"/>
    <tableColumn id="18" name="G8 Count" dataDxfId="251"/>
    <tableColumn id="19" name="Top Domains in Tweet in G9" dataDxfId="250"/>
    <tableColumn id="20" name="G9 Count" dataDxfId="249"/>
    <tableColumn id="21" name="Top Domains in Tweet in G10" dataDxfId="248"/>
    <tableColumn id="22" name="G10 Count" dataDxfId="24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46" dataDxfId="245">
  <autoFilter ref="A27:V37"/>
  <tableColumns count="22">
    <tableColumn id="1" name="Top Hashtags in Tweet in Entire Graph" dataDxfId="244"/>
    <tableColumn id="2" name="Entire Graph Count" dataDxfId="243"/>
    <tableColumn id="3" name="Top Hashtags in Tweet in G1" dataDxfId="242"/>
    <tableColumn id="4" name="G1 Count" dataDxfId="241"/>
    <tableColumn id="5" name="Top Hashtags in Tweet in G2" dataDxfId="240"/>
    <tableColumn id="6" name="G2 Count" dataDxfId="239"/>
    <tableColumn id="7" name="Top Hashtags in Tweet in G3" dataDxfId="238"/>
    <tableColumn id="8" name="G3 Count" dataDxfId="237"/>
    <tableColumn id="9" name="Top Hashtags in Tweet in G4" dataDxfId="236"/>
    <tableColumn id="10" name="G4 Count" dataDxfId="235"/>
    <tableColumn id="11" name="Top Hashtags in Tweet in G5" dataDxfId="234"/>
    <tableColumn id="12" name="G5 Count" dataDxfId="233"/>
    <tableColumn id="13" name="Top Hashtags in Tweet in G6" dataDxfId="232"/>
    <tableColumn id="14" name="G6 Count" dataDxfId="231"/>
    <tableColumn id="15" name="Top Hashtags in Tweet in G7" dataDxfId="230"/>
    <tableColumn id="16" name="G7 Count" dataDxfId="229"/>
    <tableColumn id="17" name="Top Hashtags in Tweet in G8" dataDxfId="228"/>
    <tableColumn id="18" name="G8 Count" dataDxfId="227"/>
    <tableColumn id="19" name="Top Hashtags in Tweet in G9" dataDxfId="226"/>
    <tableColumn id="20" name="G9 Count" dataDxfId="225"/>
    <tableColumn id="21" name="Top Hashtags in Tweet in G10" dataDxfId="224"/>
    <tableColumn id="22" name="G10 Count" dataDxfId="22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22" dataDxfId="221">
  <autoFilter ref="A40:V50"/>
  <tableColumns count="22">
    <tableColumn id="1" name="Top Words in Tweet in Entire Graph" dataDxfId="220"/>
    <tableColumn id="2" name="Entire Graph Count" dataDxfId="219"/>
    <tableColumn id="3" name="Top Words in Tweet in G1" dataDxfId="218"/>
    <tableColumn id="4" name="G1 Count" dataDxfId="217"/>
    <tableColumn id="5" name="Top Words in Tweet in G2" dataDxfId="216"/>
    <tableColumn id="6" name="G2 Count" dataDxfId="215"/>
    <tableColumn id="7" name="Top Words in Tweet in G3" dataDxfId="214"/>
    <tableColumn id="8" name="G3 Count" dataDxfId="213"/>
    <tableColumn id="9" name="Top Words in Tweet in G4" dataDxfId="212"/>
    <tableColumn id="10" name="G4 Count" dataDxfId="211"/>
    <tableColumn id="11" name="Top Words in Tweet in G5" dataDxfId="210"/>
    <tableColumn id="12" name="G5 Count" dataDxfId="209"/>
    <tableColumn id="13" name="Top Words in Tweet in G6" dataDxfId="208"/>
    <tableColumn id="14" name="G6 Count" dataDxfId="207"/>
    <tableColumn id="15" name="Top Words in Tweet in G7" dataDxfId="206"/>
    <tableColumn id="16" name="G7 Count" dataDxfId="205"/>
    <tableColumn id="17" name="Top Words in Tweet in G8" dataDxfId="204"/>
    <tableColumn id="18" name="G8 Count" dataDxfId="203"/>
    <tableColumn id="19" name="Top Words in Tweet in G9" dataDxfId="202"/>
    <tableColumn id="20" name="G9 Count" dataDxfId="201"/>
    <tableColumn id="21" name="Top Words in Tweet in G10" dataDxfId="200"/>
    <tableColumn id="22" name="G10 Count" dataDxfId="19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98" dataDxfId="197">
  <autoFilter ref="A53:V63"/>
  <tableColumns count="22">
    <tableColumn id="1" name="Top Word Pairs in Tweet in Entire Graph" dataDxfId="196"/>
    <tableColumn id="2" name="Entire Graph Count" dataDxfId="195"/>
    <tableColumn id="3" name="Top Word Pairs in Tweet in G1" dataDxfId="194"/>
    <tableColumn id="4" name="G1 Count" dataDxfId="193"/>
    <tableColumn id="5" name="Top Word Pairs in Tweet in G2" dataDxfId="192"/>
    <tableColumn id="6" name="G2 Count" dataDxfId="191"/>
    <tableColumn id="7" name="Top Word Pairs in Tweet in G3" dataDxfId="190"/>
    <tableColumn id="8" name="G3 Count" dataDxfId="189"/>
    <tableColumn id="9" name="Top Word Pairs in Tweet in G4" dataDxfId="188"/>
    <tableColumn id="10" name="G4 Count" dataDxfId="187"/>
    <tableColumn id="11" name="Top Word Pairs in Tweet in G5" dataDxfId="186"/>
    <tableColumn id="12" name="G5 Count" dataDxfId="185"/>
    <tableColumn id="13" name="Top Word Pairs in Tweet in G6" dataDxfId="184"/>
    <tableColumn id="14" name="G6 Count" dataDxfId="183"/>
    <tableColumn id="15" name="Top Word Pairs in Tweet in G7" dataDxfId="182"/>
    <tableColumn id="16" name="G7 Count" dataDxfId="181"/>
    <tableColumn id="17" name="Top Word Pairs in Tweet in G8" dataDxfId="180"/>
    <tableColumn id="18" name="G8 Count" dataDxfId="179"/>
    <tableColumn id="19" name="Top Word Pairs in Tweet in G9" dataDxfId="178"/>
    <tableColumn id="20" name="G9 Count" dataDxfId="177"/>
    <tableColumn id="21" name="Top Word Pairs in Tweet in G10" dataDxfId="176"/>
    <tableColumn id="22" name="G10 Count" dataDxfId="175"/>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7" totalsRowShown="0" headerRowDxfId="174" dataDxfId="173">
  <autoFilter ref="A66:V67"/>
  <tableColumns count="22">
    <tableColumn id="1" name="Top Replied-To in Entire Graph" dataDxfId="172"/>
    <tableColumn id="2" name="Entire Graph Count" dataDxfId="171"/>
    <tableColumn id="3" name="Top Replied-To in G1" dataDxfId="170"/>
    <tableColumn id="4" name="G1 Count" dataDxfId="169"/>
    <tableColumn id="5" name="Top Replied-To in G2" dataDxfId="168"/>
    <tableColumn id="6" name="G2 Count" dataDxfId="167"/>
    <tableColumn id="7" name="Top Replied-To in G3" dataDxfId="166"/>
    <tableColumn id="8" name="G3 Count" dataDxfId="165"/>
    <tableColumn id="9" name="Top Replied-To in G4" dataDxfId="164"/>
    <tableColumn id="10" name="G4 Count" dataDxfId="163"/>
    <tableColumn id="11" name="Top Replied-To in G5" dataDxfId="162"/>
    <tableColumn id="12" name="G5 Count" dataDxfId="161"/>
    <tableColumn id="13" name="Top Replied-To in G6" dataDxfId="160"/>
    <tableColumn id="14" name="G6 Count" dataDxfId="159"/>
    <tableColumn id="15" name="Top Replied-To in G7" dataDxfId="158"/>
    <tableColumn id="16" name="G7 Count" dataDxfId="157"/>
    <tableColumn id="17" name="Top Replied-To in G8" dataDxfId="156"/>
    <tableColumn id="18" name="G8 Count" dataDxfId="155"/>
    <tableColumn id="19" name="Top Replied-To in G9" dataDxfId="154"/>
    <tableColumn id="20" name="G9 Count" dataDxfId="153"/>
    <tableColumn id="21" name="Top Replied-To in G10" dataDxfId="152"/>
    <tableColumn id="22" name="G10 Count" dataDxfId="151"/>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V79" totalsRowShown="0" headerRowDxfId="150" dataDxfId="149">
  <autoFilter ref="A69:V79"/>
  <tableColumns count="22">
    <tableColumn id="1" name="Top Mentioned in Entire Graph" dataDxfId="148"/>
    <tableColumn id="2" name="Entire Graph Count" dataDxfId="147"/>
    <tableColumn id="3" name="Top Mentioned in G1" dataDxfId="146"/>
    <tableColumn id="4" name="G1 Count" dataDxfId="145"/>
    <tableColumn id="5" name="Top Mentioned in G2" dataDxfId="144"/>
    <tableColumn id="6" name="G2 Count" dataDxfId="143"/>
    <tableColumn id="7" name="Top Mentioned in G3" dataDxfId="142"/>
    <tableColumn id="8" name="G3 Count" dataDxfId="141"/>
    <tableColumn id="9" name="Top Mentioned in G4" dataDxfId="140"/>
    <tableColumn id="10" name="G4 Count" dataDxfId="139"/>
    <tableColumn id="11" name="Top Mentioned in G5" dataDxfId="138"/>
    <tableColumn id="12" name="G5 Count" dataDxfId="137"/>
    <tableColumn id="13" name="Top Mentioned in G6" dataDxfId="136"/>
    <tableColumn id="14" name="G6 Count" dataDxfId="135"/>
    <tableColumn id="15" name="Top Mentioned in G7" dataDxfId="134"/>
    <tableColumn id="16" name="G7 Count" dataDxfId="133"/>
    <tableColumn id="17" name="Top Mentioned in G8" dataDxfId="132"/>
    <tableColumn id="18" name="G8 Count" dataDxfId="131"/>
    <tableColumn id="19" name="Top Mentioned in G9" dataDxfId="130"/>
    <tableColumn id="20" name="G9 Count" dataDxfId="129"/>
    <tableColumn id="21" name="Top Mentioned in G10" dataDxfId="128"/>
    <tableColumn id="22" name="G10 Count" dataDxfId="12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V92" totalsRowShown="0" headerRowDxfId="126" dataDxfId="125">
  <autoFilter ref="A82:V92"/>
  <tableColumns count="22">
    <tableColumn id="1" name="Top Tweeters in Entire Graph" dataDxfId="124"/>
    <tableColumn id="2" name="Entire Graph Count" dataDxfId="123"/>
    <tableColumn id="3" name="Top Tweeters in G1" dataDxfId="122"/>
    <tableColumn id="4" name="G1 Count" dataDxfId="121"/>
    <tableColumn id="5" name="Top Tweeters in G2" dataDxfId="120"/>
    <tableColumn id="6" name="G2 Count" dataDxfId="119"/>
    <tableColumn id="7" name="Top Tweeters in G3" dataDxfId="118"/>
    <tableColumn id="8" name="G3 Count" dataDxfId="117"/>
    <tableColumn id="9" name="Top Tweeters in G4" dataDxfId="116"/>
    <tableColumn id="10" name="G4 Count" dataDxfId="115"/>
    <tableColumn id="11" name="Top Tweeters in G5" dataDxfId="114"/>
    <tableColumn id="12" name="G5 Count" dataDxfId="113"/>
    <tableColumn id="13" name="Top Tweeters in G6" dataDxfId="112"/>
    <tableColumn id="14" name="G6 Count" dataDxfId="111"/>
    <tableColumn id="15" name="Top Tweeters in G7" dataDxfId="110"/>
    <tableColumn id="16" name="G7 Count" dataDxfId="109"/>
    <tableColumn id="17" name="Top Tweeters in G8" dataDxfId="108"/>
    <tableColumn id="18" name="G8 Count" dataDxfId="107"/>
    <tableColumn id="19" name="Top Tweeters in G9" dataDxfId="106"/>
    <tableColumn id="20" name="G9 Count" dataDxfId="105"/>
    <tableColumn id="21" name="Top Tweeters in G10" dataDxfId="104"/>
    <tableColumn id="22" name="G10 Count" dataDxfId="10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00" totalsRowShown="0" headerRowDxfId="102" dataDxfId="101">
  <autoFilter ref="A1:G400"/>
  <tableColumns count="7">
    <tableColumn id="1" name="Word" dataDxfId="100"/>
    <tableColumn id="2" name="Count" dataDxfId="99"/>
    <tableColumn id="3" name="Salience" dataDxfId="98"/>
    <tableColumn id="4" name="Group" dataDxfId="97"/>
    <tableColumn id="5" name="Word on Sentiment List #1: List1" dataDxfId="96"/>
    <tableColumn id="6" name="Word on Sentiment List #2: List2" dataDxfId="95"/>
    <tableColumn id="7" name="Word on Sentiment List #3: List3"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53" totalsRowShown="0" headerRowDxfId="434" dataDxfId="433">
  <autoFilter ref="A2:BU53"/>
  <tableColumns count="73">
    <tableColumn id="1" name="Vertex" dataDxfId="432"/>
    <tableColumn id="73" name="Subgraph"/>
    <tableColumn id="2" name="Color" dataDxfId="431"/>
    <tableColumn id="5" name="Shape" dataDxfId="430"/>
    <tableColumn id="6" name="Size" dataDxfId="429"/>
    <tableColumn id="4" name="Opacity" dataDxfId="428"/>
    <tableColumn id="7" name="Image File" dataDxfId="427"/>
    <tableColumn id="3" name="Visibility" dataDxfId="426"/>
    <tableColumn id="10" name="Label" dataDxfId="425"/>
    <tableColumn id="16" name="Label Fill Color" dataDxfId="424"/>
    <tableColumn id="9" name="Label Position" dataDxfId="423"/>
    <tableColumn id="8" name="Tooltip" dataDxfId="422"/>
    <tableColumn id="18" name="Layout Order" dataDxfId="421"/>
    <tableColumn id="13" name="X" dataDxfId="420"/>
    <tableColumn id="14" name="Y" dataDxfId="419"/>
    <tableColumn id="12" name="Locked?" dataDxfId="418"/>
    <tableColumn id="19" name="Polar R" dataDxfId="417"/>
    <tableColumn id="20" name="Polar Angle" dataDxfId="416"/>
    <tableColumn id="21" name="Degree" dataDxfId="415"/>
    <tableColumn id="22" name="In-Degree" dataDxfId="414"/>
    <tableColumn id="23" name="Out-Degree" dataDxfId="413"/>
    <tableColumn id="24" name="Betweenness Centrality" dataDxfId="412"/>
    <tableColumn id="25" name="Closeness Centrality" dataDxfId="411"/>
    <tableColumn id="26" name="Eigenvector Centrality" dataDxfId="410"/>
    <tableColumn id="15" name="PageRank" dataDxfId="409"/>
    <tableColumn id="27" name="Clustering Coefficient" dataDxfId="408"/>
    <tableColumn id="29" name="Reciprocated Vertex Pair Ratio" dataDxfId="407"/>
    <tableColumn id="11" name="ID" dataDxfId="406"/>
    <tableColumn id="28" name="Dynamic Filter" dataDxfId="405"/>
    <tableColumn id="17" name="Add Your Own Columns Here" dataDxfId="404"/>
    <tableColumn id="30" name="Name" dataDxfId="403"/>
    <tableColumn id="31" name="User ID" dataDxfId="402"/>
    <tableColumn id="32" name="Followed" dataDxfId="401"/>
    <tableColumn id="33" name="Followers" dataDxfId="400"/>
    <tableColumn id="34" name="Tweets" dataDxfId="399"/>
    <tableColumn id="35" name="Favorites" dataDxfId="398"/>
    <tableColumn id="36" name="Time Zone UTC Offset (Seconds)" dataDxfId="397"/>
    <tableColumn id="37" name="Description" dataDxfId="396"/>
    <tableColumn id="38" name="Location" dataDxfId="395"/>
    <tableColumn id="39" name="Web" dataDxfId="394"/>
    <tableColumn id="40" name="Time Zone" dataDxfId="393"/>
    <tableColumn id="41" name="Joined Twitter Date (UTC)" dataDxfId="392"/>
    <tableColumn id="42" name="Profile Banner Url" dataDxfId="391"/>
    <tableColumn id="43" name="Default Profile" dataDxfId="390"/>
    <tableColumn id="44" name="Default Profile Image" dataDxfId="389"/>
    <tableColumn id="45" name="Geo Enabled" dataDxfId="388"/>
    <tableColumn id="46" name="Language" dataDxfId="387"/>
    <tableColumn id="47" name="Listed Count" dataDxfId="386"/>
    <tableColumn id="48" name="Profile Background Image Url" dataDxfId="385"/>
    <tableColumn id="49" name="Verified" dataDxfId="384"/>
    <tableColumn id="50" name="Custom Menu Item Text" dataDxfId="383"/>
    <tableColumn id="51" name="Custom Menu Item Action" dataDxfId="382"/>
    <tableColumn id="52" name="Tweeted Search Term?" dataDxfId="381"/>
    <tableColumn id="53" name="Vertex Group" dataDxfId="380">
      <calculatedColumnFormula>REPLACE(INDEX(GroupVertices[Group], MATCH(Vertices[[#This Row],[Vertex]],GroupVertices[Vertex],0)),1,1,"")</calculatedColumnFormula>
    </tableColumn>
    <tableColumn id="54" name="Top URLs in Tweet by Count" dataDxfId="379"/>
    <tableColumn id="55" name="Top URLs in Tweet by Salience" dataDxfId="378"/>
    <tableColumn id="56" name="Top Domains in Tweet by Count" dataDxfId="377"/>
    <tableColumn id="57" name="Top Domains in Tweet by Salience" dataDxfId="376"/>
    <tableColumn id="58" name="Top Hashtags in Tweet by Count" dataDxfId="375"/>
    <tableColumn id="59" name="Top Hashtags in Tweet by Salience" dataDxfId="374"/>
    <tableColumn id="60" name="Top Words in Tweet by Count" dataDxfId="373"/>
    <tableColumn id="61" name="Top Words in Tweet by Salience" dataDxfId="372"/>
    <tableColumn id="62" name="Top Word Pairs in Tweet by Count" dataDxfId="371"/>
    <tableColumn id="63" name="Top Word Pairs in Tweet by Salience" dataDxfId="370"/>
    <tableColumn id="64" name="Sentiment List #1: List1 Word Count" dataDxfId="369"/>
    <tableColumn id="65" name="Sentiment List #1: List1 Word Percentage (%)" dataDxfId="368"/>
    <tableColumn id="66" name="Sentiment List #2: List2 Word Count" dataDxfId="367"/>
    <tableColumn id="67" name="Sentiment List #2: List2 Word Percentage (%)" dataDxfId="366"/>
    <tableColumn id="68" name="Sentiment List #3: List3 Word Count" dataDxfId="365"/>
    <tableColumn id="69" name="Sentiment List #3: List3 Word Percentage (%)" dataDxfId="364"/>
    <tableColumn id="70" name="Non-categorized Word Count" dataDxfId="363"/>
    <tableColumn id="71" name="Non-categorized Word Percentage (%)" dataDxfId="362"/>
    <tableColumn id="72" name="Vertex Content Word Count" dataDxfId="361"/>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00" totalsRowShown="0" headerRowDxfId="93" dataDxfId="92">
  <autoFilter ref="A1:L400"/>
  <tableColumns count="12">
    <tableColumn id="1" name="Word 1" dataDxfId="91"/>
    <tableColumn id="2" name="Word 2" dataDxfId="90"/>
    <tableColumn id="3" name="Count" dataDxfId="89"/>
    <tableColumn id="4" name="Salience" dataDxfId="88"/>
    <tableColumn id="5" name="Mutual Information" dataDxfId="87"/>
    <tableColumn id="6" name="Group" dataDxfId="86"/>
    <tableColumn id="7" name="Word1 on Sentiment List #1: List1" dataDxfId="85"/>
    <tableColumn id="8" name="Word1 on Sentiment List #2: List2" dataDxfId="84"/>
    <tableColumn id="9" name="Word1 on Sentiment List #3: List3" dataDxfId="83"/>
    <tableColumn id="10" name="Word2 on Sentiment List #1: List1" dataDxfId="82"/>
    <tableColumn id="11" name="Word2 on Sentiment List #2: List2" dataDxfId="81"/>
    <tableColumn id="12" name="Word2 on Sentiment List #3: List3" dataDxfId="80"/>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5" totalsRowShown="0" headerRowDxfId="79" dataDxfId="78">
  <autoFilter ref="A2:C15"/>
  <tableColumns count="3">
    <tableColumn id="1" name="Group 1" dataDxfId="77"/>
    <tableColumn id="2" name="Group 2" dataDxfId="76"/>
    <tableColumn id="3" name="Edges" dataDxfId="75"/>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74" dataDxfId="73">
  <autoFilter ref="A1:B7"/>
  <tableColumns count="2">
    <tableColumn id="1" name="Key" dataDxfId="72"/>
    <tableColumn id="2" name="Value" dataDxfId="71"/>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46" totalsRowShown="0" headerRowDxfId="70" dataDxfId="69">
  <autoFilter ref="A2:BN46"/>
  <tableColumns count="66">
    <tableColumn id="1" name="Vertex 1" dataDxfId="68"/>
    <tableColumn id="2" name="Vertex 2" dataDxfId="67"/>
    <tableColumn id="3" name="Color" dataDxfId="66"/>
    <tableColumn id="4" name="Width" dataDxfId="65"/>
    <tableColumn id="11" name="Style" dataDxfId="64"/>
    <tableColumn id="5" name="Opacity" dataDxfId="63"/>
    <tableColumn id="6" name="Visibility" dataDxfId="62"/>
    <tableColumn id="10" name="Label" dataDxfId="61"/>
    <tableColumn id="12" name="Label Text Color" dataDxfId="60"/>
    <tableColumn id="13" name="Label Font Size" dataDxfId="59"/>
    <tableColumn id="14" name="Reciprocated?" dataDxfId="58"/>
    <tableColumn id="7" name="ID" dataDxfId="57"/>
    <tableColumn id="9" name="Dynamic Filter" dataDxfId="56"/>
    <tableColumn id="8" name="Add Your Own Columns Here" dataDxfId="55"/>
    <tableColumn id="15" name="Relationship" dataDxfId="54"/>
    <tableColumn id="16" name="Relationship Date (UTC)" dataDxfId="53"/>
    <tableColumn id="17" name="Tweet" dataDxfId="52"/>
    <tableColumn id="18" name="URLs in Tweet" dataDxfId="51"/>
    <tableColumn id="19" name="Domains in Tweet" dataDxfId="50"/>
    <tableColumn id="20" name="Hashtags in Tweet" dataDxfId="49"/>
    <tableColumn id="21" name="Media in Tweet" dataDxfId="48"/>
    <tableColumn id="22" name="Tweet Image File" dataDxfId="47"/>
    <tableColumn id="23" name="Tweet Date (UTC)" dataDxfId="46"/>
    <tableColumn id="24" name="Date" dataDxfId="45"/>
    <tableColumn id="25" name="Time" dataDxfId="44"/>
    <tableColumn id="26" name="Twitter Page for Tweet" dataDxfId="43"/>
    <tableColumn id="27" name="Latitude" dataDxfId="42"/>
    <tableColumn id="28" name="Longitude" dataDxfId="41"/>
    <tableColumn id="29" name="Imported ID" dataDxfId="40"/>
    <tableColumn id="30" name="In-Reply-To Tweet ID" dataDxfId="39"/>
    <tableColumn id="31" name="Favorited" dataDxfId="38"/>
    <tableColumn id="32" name="Favorite Count" dataDxfId="37"/>
    <tableColumn id="33" name="In-Reply-To User ID" dataDxfId="36"/>
    <tableColumn id="34" name="Is Quote Status" dataDxfId="35"/>
    <tableColumn id="35" name="Language" dataDxfId="34"/>
    <tableColumn id="36" name="Possibly Sensitive" dataDxfId="33"/>
    <tableColumn id="37" name="Quoted Status ID" dataDxfId="32"/>
    <tableColumn id="38" name="Retweeted" dataDxfId="31"/>
    <tableColumn id="39" name="Retweet Count" dataDxfId="30"/>
    <tableColumn id="40" name="Retweet ID" dataDxfId="29"/>
    <tableColumn id="41" name="Source" dataDxfId="28"/>
    <tableColumn id="42" name="Truncated" dataDxfId="27"/>
    <tableColumn id="43" name="Unified Twitter ID" dataDxfId="26"/>
    <tableColumn id="44" name="Imported Tweet Type" dataDxfId="25"/>
    <tableColumn id="45" name="Added By Extended Analysis" dataDxfId="24"/>
    <tableColumn id="46" name="Corrected By Extended Analysis" dataDxfId="23"/>
    <tableColumn id="47" name="Place Bounding Box" dataDxfId="22"/>
    <tableColumn id="48" name="Place Country" dataDxfId="21"/>
    <tableColumn id="49" name="Place Country Code" dataDxfId="20"/>
    <tableColumn id="50" name="Place Full Name" dataDxfId="19"/>
    <tableColumn id="51" name="Place ID" dataDxfId="18"/>
    <tableColumn id="52" name="Place Name" dataDxfId="17"/>
    <tableColumn id="53" name="Place Type" dataDxfId="16"/>
    <tableColumn id="54" name="Place URL" dataDxfId="15"/>
    <tableColumn id="55" name="Edge Weight"/>
    <tableColumn id="56" name="Vertex 1 Group" dataDxfId="14">
      <calculatedColumnFormula>REPLACE(INDEX(GroupVertices[Group], MATCH(Edges25[[#This Row],[Vertex 1]],GroupVertices[Vertex],0)),1,1,"")</calculatedColumnFormula>
    </tableColumn>
    <tableColumn id="57" name="Vertex 2 Group" dataDxfId="13">
      <calculatedColumnFormula>REPLACE(INDEX(GroupVertices[Group], MATCH(Edges25[[#This Row],[Vertex 2]],GroupVertices[Vertex],0)),1,1,"")</calculatedColumnFormula>
    </tableColumn>
    <tableColumn id="58" name="Sentiment List #1: List1 Word Count" dataDxfId="12"/>
    <tableColumn id="59" name="Sentiment List #1: List1 Word Percentage (%)" dataDxfId="11"/>
    <tableColumn id="60" name="Sentiment List #2: List2 Word Count" dataDxfId="10"/>
    <tableColumn id="61" name="Sentiment List #2: List2 Word Percentage (%)" dataDxfId="9"/>
    <tableColumn id="62" name="Sentiment List #3: List3 Word Count" dataDxfId="8"/>
    <tableColumn id="63" name="Sentiment List #3: List3 Word Percentage (%)" dataDxfId="7"/>
    <tableColumn id="64" name="Non-categorized Word Count" dataDxfId="6"/>
    <tableColumn id="65" name="Non-categorized Word Percentage (%)" dataDxfId="5"/>
    <tableColumn id="66" name="Edge Content Word Count" dataDxfId="4"/>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360">
  <autoFilter ref="A2:AO14"/>
  <tableColumns count="41">
    <tableColumn id="1" name="Group" dataDxfId="359"/>
    <tableColumn id="2" name="Vertex Color" dataDxfId="358"/>
    <tableColumn id="3" name="Vertex Shape" dataDxfId="357"/>
    <tableColumn id="22" name="Visibility" dataDxfId="356"/>
    <tableColumn id="4" name="Collapsed?"/>
    <tableColumn id="18" name="Label" dataDxfId="355"/>
    <tableColumn id="20" name="Collapsed X"/>
    <tableColumn id="21" name="Collapsed Y"/>
    <tableColumn id="6" name="ID" dataDxfId="354"/>
    <tableColumn id="19" name="Collapsed Properties" dataDxfId="353"/>
    <tableColumn id="5" name="Vertices" dataDxfId="352"/>
    <tableColumn id="7" name="Unique Edges" dataDxfId="351"/>
    <tableColumn id="8" name="Edges With Duplicates" dataDxfId="350"/>
    <tableColumn id="9" name="Total Edges" dataDxfId="349"/>
    <tableColumn id="10" name="Self-Loops" dataDxfId="348"/>
    <tableColumn id="24" name="Reciprocated Vertex Pair Ratio" dataDxfId="347"/>
    <tableColumn id="25" name="Reciprocated Edge Ratio" dataDxfId="346"/>
    <tableColumn id="11" name="Connected Components" dataDxfId="345"/>
    <tableColumn id="12" name="Single-Vertex Connected Components" dataDxfId="344"/>
    <tableColumn id="13" name="Maximum Vertices in a Connected Component" dataDxfId="343"/>
    <tableColumn id="14" name="Maximum Edges in a Connected Component" dataDxfId="342"/>
    <tableColumn id="15" name="Maximum Geodesic Distance (Diameter)" dataDxfId="341"/>
    <tableColumn id="16" name="Average Geodesic Distance" dataDxfId="340"/>
    <tableColumn id="17" name="Graph Density" dataDxfId="339"/>
    <tableColumn id="23" name="Top URLs in Tweet" dataDxfId="338"/>
    <tableColumn id="26" name="Top Domains in Tweet" dataDxfId="337"/>
    <tableColumn id="27" name="Top Hashtags in Tweet" dataDxfId="336"/>
    <tableColumn id="28" name="Top Words in Tweet" dataDxfId="335"/>
    <tableColumn id="29" name="Top Word Pairs in Tweet" dataDxfId="334"/>
    <tableColumn id="30" name="Top Replied-To in Tweet" dataDxfId="333"/>
    <tableColumn id="31" name="Top Mentioned in Tweet" dataDxfId="332"/>
    <tableColumn id="32" name="Top Tweeters" dataDxfId="331"/>
    <tableColumn id="33" name="Sentiment List #1: List1 Word Count" dataDxfId="330"/>
    <tableColumn id="34" name="Sentiment List #1: List1 Word Percentage (%)" dataDxfId="329"/>
    <tableColumn id="35" name="Sentiment List #2: List2 Word Count" dataDxfId="328"/>
    <tableColumn id="36" name="Sentiment List #2: List2 Word Percentage (%)" dataDxfId="327"/>
    <tableColumn id="37" name="Sentiment List #3: List3 Word Count" dataDxfId="326"/>
    <tableColumn id="38" name="Sentiment List #3: List3 Word Percentage (%)" dataDxfId="325"/>
    <tableColumn id="39" name="Non-categorized Word Count" dataDxfId="324"/>
    <tableColumn id="40" name="Non-categorized Word Percentage (%)" dataDxfId="323"/>
    <tableColumn id="41" name="Group Content Word Count" dataDxfId="32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321" dataDxfId="320">
  <autoFilter ref="A1:C52"/>
  <tableColumns count="3">
    <tableColumn id="1" name="Group" dataDxfId="319"/>
    <tableColumn id="2" name="Vertex" dataDxfId="318"/>
    <tableColumn id="3" name="Vertex ID" dataDxfId="3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316"/>
    <tableColumn id="2" name="Value" dataDxfId="3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4"/>
    <tableColumn id="2" name="Degree Frequency" dataDxfId="313">
      <calculatedColumnFormula>COUNTIF(Vertices[Degree], "&gt;= " &amp; D2) - COUNTIF(Vertices[Degree], "&gt;=" &amp; D3)</calculatedColumnFormula>
    </tableColumn>
    <tableColumn id="3" name="In-Degree Bin" dataDxfId="312"/>
    <tableColumn id="4" name="In-Degree Frequency" dataDxfId="311">
      <calculatedColumnFormula>COUNTIF(Vertices[In-Degree], "&gt;= " &amp; F2) - COUNTIF(Vertices[In-Degree], "&gt;=" &amp; F3)</calculatedColumnFormula>
    </tableColumn>
    <tableColumn id="5" name="Out-Degree Bin" dataDxfId="310"/>
    <tableColumn id="6" name="Out-Degree Frequency" dataDxfId="309">
      <calculatedColumnFormula>COUNTIF(Vertices[Out-Degree], "&gt;= " &amp; H2) - COUNTIF(Vertices[Out-Degree], "&gt;=" &amp; H3)</calculatedColumnFormula>
    </tableColumn>
    <tableColumn id="7" name="Betweenness Centrality Bin" dataDxfId="308"/>
    <tableColumn id="8" name="Betweenness Centrality Frequency" dataDxfId="307">
      <calculatedColumnFormula>COUNTIF(Vertices[Betweenness Centrality], "&gt;= " &amp; J2) - COUNTIF(Vertices[Betweenness Centrality], "&gt;=" &amp; J3)</calculatedColumnFormula>
    </tableColumn>
    <tableColumn id="9" name="Closeness Centrality Bin" dataDxfId="306"/>
    <tableColumn id="10" name="Closeness Centrality Frequency" dataDxfId="305">
      <calculatedColumnFormula>COUNTIF(Vertices[Closeness Centrality], "&gt;= " &amp; L2) - COUNTIF(Vertices[Closeness Centrality], "&gt;=" &amp; L3)</calculatedColumnFormula>
    </tableColumn>
    <tableColumn id="11" name="Eigenvector Centrality Bin" dataDxfId="304"/>
    <tableColumn id="12" name="Eigenvector Centrality Frequency" dataDxfId="303">
      <calculatedColumnFormula>COUNTIF(Vertices[Eigenvector Centrality], "&gt;= " &amp; N2) - COUNTIF(Vertices[Eigenvector Centrality], "&gt;=" &amp; N3)</calculatedColumnFormula>
    </tableColumn>
    <tableColumn id="18" name="PageRank Bin" dataDxfId="302"/>
    <tableColumn id="17" name="PageRank Frequency" dataDxfId="301">
      <calculatedColumnFormula>COUNTIF(Vertices[Eigenvector Centrality], "&gt;= " &amp; P2) - COUNTIF(Vertices[Eigenvector Centrality], "&gt;=" &amp; P3)</calculatedColumnFormula>
    </tableColumn>
    <tableColumn id="13" name="Clustering Coefficient Bin" dataDxfId="300"/>
    <tableColumn id="14" name="Clustering Coefficient Frequency" dataDxfId="299">
      <calculatedColumnFormula>COUNTIF(Vertices[Clustering Coefficient], "&gt;= " &amp; R2) - COUNTIF(Vertices[Clustering Coefficient], "&gt;=" &amp; R3)</calculatedColumnFormula>
    </tableColumn>
    <tableColumn id="15" name="Dynamic Filter Bin" dataDxfId="298"/>
    <tableColumn id="16" name="Dynamic Filter Frequency" dataDxfId="29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9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linkedin.com/slink?code=eYxyEG3F" TargetMode="External" /><Relationship Id="rId2" Type="http://schemas.openxmlformats.org/officeDocument/2006/relationships/hyperlink" Target="https://www.who.int/news/item/11-10-2021-who-s-10-calls-for-climate-action-to-assure-sustained-recovery-from-covid-19" TargetMode="External" /><Relationship Id="rId3" Type="http://schemas.openxmlformats.org/officeDocument/2006/relationships/hyperlink" Target="https://thecounter.org/lab-grown-cultivated-meat-cost-at-scale/" TargetMode="External" /><Relationship Id="rId4" Type="http://schemas.openxmlformats.org/officeDocument/2006/relationships/hyperlink" Target="https://www.bizcommunity.com/Article/108/162/220909.html" TargetMode="External" /><Relationship Id="rId5" Type="http://schemas.openxmlformats.org/officeDocument/2006/relationships/hyperlink" Target="https://m-vest.com/events/global-agtech?utm_source=press_release&amp;utm_medium=pr&amp;utm_term=presenters" TargetMode="External" /><Relationship Id="rId6" Type="http://schemas.openxmlformats.org/officeDocument/2006/relationships/hyperlink" Target="https://nodexlgraphgallery.org/Pages/Graph.aspx?graphID=264394" TargetMode="External" /><Relationship Id="rId7" Type="http://schemas.openxmlformats.org/officeDocument/2006/relationships/hyperlink" Target="https://twitter.com/Calcalistech/status/1446115448035020808" TargetMode="External" /><Relationship Id="rId8" Type="http://schemas.openxmlformats.org/officeDocument/2006/relationships/hyperlink" Target="https://proveg.com/blog/nfc-at-anuga-protein-of-the-future/?utm_source=Facebook&amp;utm_medium=Social&amp;utm_campaign=NFC_GeneralBlog" TargetMode="External" /><Relationship Id="rId9" Type="http://schemas.openxmlformats.org/officeDocument/2006/relationships/hyperlink" Target="https://labgrownmeat.com/" TargetMode="External" /><Relationship Id="rId10" Type="http://schemas.openxmlformats.org/officeDocument/2006/relationships/hyperlink" Target="https://labgrownmeat.com/open-to-cultured-meat/" TargetMode="External" /><Relationship Id="rId11" Type="http://schemas.openxmlformats.org/officeDocument/2006/relationships/hyperlink" Target="https://nodexlgraphgallery.org/Pages/Graph.aspx?graphID=264394" TargetMode="External" /><Relationship Id="rId12" Type="http://schemas.openxmlformats.org/officeDocument/2006/relationships/hyperlink" Target="https://geneticliteracyproject.org/2021/10/11/a-future-in-which-meat-no-longer-requires-animal-slaughter-there-are-some-barriers-to-that-goal/?utm_medium=Social&amp;utm_source=Twitter#Echobox=1633926322" TargetMode="External" /><Relationship Id="rId13" Type="http://schemas.openxmlformats.org/officeDocument/2006/relationships/hyperlink" Target="https://geneticliteracyproject.org/2021/10/11/a-future-in-which-meat-no-longer-requires-animal-slaughter-there-are-some-barriers-to-that-goal/?utm_medium=Social&amp;utm_source=Twitter#Echobox=1633926304-1" TargetMode="External" /><Relationship Id="rId14" Type="http://schemas.openxmlformats.org/officeDocument/2006/relationships/hyperlink" Target="https://www.linkedin.com/slink?code=eYxyEG3F" TargetMode="External" /><Relationship Id="rId15" Type="http://schemas.openxmlformats.org/officeDocument/2006/relationships/hyperlink" Target="https://m-vest.com/events/global-agtech?utm_source=press_release&amp;utm_medium=pr&amp;utm_term=presenters" TargetMode="External" /><Relationship Id="rId16" Type="http://schemas.openxmlformats.org/officeDocument/2006/relationships/hyperlink" Target="https://twitter.com/Calcalistech/status/1446115448035020808" TargetMode="External" /><Relationship Id="rId17" Type="http://schemas.openxmlformats.org/officeDocument/2006/relationships/hyperlink" Target="https://www.linkedin.com/slink?code=dNAPHtUG" TargetMode="External" /><Relationship Id="rId18" Type="http://schemas.openxmlformats.org/officeDocument/2006/relationships/hyperlink" Target="https://bygora.com/2021/10/cultured-meat/" TargetMode="External" /><Relationship Id="rId19" Type="http://schemas.openxmlformats.org/officeDocument/2006/relationships/hyperlink" Target="https://astralcodexten.substack.com/p/bay-area-plant-based-meat-reviews" TargetMode="External" /><Relationship Id="rId20" Type="http://schemas.openxmlformats.org/officeDocument/2006/relationships/hyperlink" Target="https://thecounter.org/lab-grown-cultivated-meat-cost-at-scale/" TargetMode="External" /><Relationship Id="rId21" Type="http://schemas.openxmlformats.org/officeDocument/2006/relationships/hyperlink" Target="https://www.who.int/news/item/11-10-2021-who-s-10-calls-for-climate-action-to-assure-sustained-recovery-from-covid-19" TargetMode="External" /><Relationship Id="rId22" Type="http://schemas.openxmlformats.org/officeDocument/2006/relationships/hyperlink" Target="https://thecounter.org/lab-grown-cultivated-meat-cost-at-scale/" TargetMode="External" /><Relationship Id="rId23" Type="http://schemas.openxmlformats.org/officeDocument/2006/relationships/hyperlink" Target="https://www.foodingredientsfirst.com/news/flexitarian-and-cell-cultured-movements-advance-plant-based-eating-says-innova-market-insights.html#.YV8KaEy-8mY.twitter" TargetMode="External" /><Relationship Id="rId24" Type="http://schemas.openxmlformats.org/officeDocument/2006/relationships/hyperlink" Target="https://www.bizcommunity.com/Article/108/162/220909.html" TargetMode="External" /><Relationship Id="rId25" Type="http://schemas.openxmlformats.org/officeDocument/2006/relationships/hyperlink" Target="https://www.surveycircle.com/en/surveys/?sr=r3#2b6d962de6ae" TargetMode="External" /><Relationship Id="rId26" Type="http://schemas.openxmlformats.org/officeDocument/2006/relationships/hyperlink" Target="https://www.eventbrite.com/e/cultured-meat-symposium-2021-tickets-148260090923" TargetMode="External" /><Relationship Id="rId27" Type="http://schemas.openxmlformats.org/officeDocument/2006/relationships/hyperlink" Target="https://cms21.io/" TargetMode="External" /><Relationship Id="rId28" Type="http://schemas.openxmlformats.org/officeDocument/2006/relationships/table" Target="../tables/table11.xml" /><Relationship Id="rId29" Type="http://schemas.openxmlformats.org/officeDocument/2006/relationships/table" Target="../tables/table12.xml" /><Relationship Id="rId30" Type="http://schemas.openxmlformats.org/officeDocument/2006/relationships/table" Target="../tables/table13.xml" /><Relationship Id="rId31" Type="http://schemas.openxmlformats.org/officeDocument/2006/relationships/table" Target="../tables/table14.xml" /><Relationship Id="rId32" Type="http://schemas.openxmlformats.org/officeDocument/2006/relationships/table" Target="../tables/table15.xml" /><Relationship Id="rId33" Type="http://schemas.openxmlformats.org/officeDocument/2006/relationships/table" Target="../tables/table16.xml" /><Relationship Id="rId34" Type="http://schemas.openxmlformats.org/officeDocument/2006/relationships/table" Target="../tables/table17.xml" /><Relationship Id="rId3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717</v>
      </c>
      <c r="BD2" s="13" t="s">
        <v>743</v>
      </c>
      <c r="BE2" s="13" t="s">
        <v>744</v>
      </c>
      <c r="BF2" s="68" t="s">
        <v>1293</v>
      </c>
      <c r="BG2" s="68" t="s">
        <v>1294</v>
      </c>
      <c r="BH2" s="68" t="s">
        <v>1295</v>
      </c>
      <c r="BI2" s="68" t="s">
        <v>1296</v>
      </c>
      <c r="BJ2" s="68" t="s">
        <v>1297</v>
      </c>
      <c r="BK2" s="68" t="s">
        <v>1298</v>
      </c>
      <c r="BL2" s="68" t="s">
        <v>1299</v>
      </c>
      <c r="BM2" s="68" t="s">
        <v>1300</v>
      </c>
      <c r="BN2" s="68" t="s">
        <v>1301</v>
      </c>
    </row>
    <row r="3" spans="1:66" ht="15" customHeight="1">
      <c r="A3" s="81" t="s">
        <v>271</v>
      </c>
      <c r="B3" s="81" t="s">
        <v>234</v>
      </c>
      <c r="C3" s="53" t="s">
        <v>1370</v>
      </c>
      <c r="D3" s="54">
        <v>3</v>
      </c>
      <c r="E3" s="66" t="s">
        <v>132</v>
      </c>
      <c r="F3" s="55">
        <v>32</v>
      </c>
      <c r="G3" s="53"/>
      <c r="H3" s="57"/>
      <c r="I3" s="56"/>
      <c r="J3" s="56"/>
      <c r="K3" s="36" t="s">
        <v>65</v>
      </c>
      <c r="L3" s="62">
        <v>3</v>
      </c>
      <c r="M3" s="62"/>
      <c r="N3" s="63"/>
      <c r="O3" s="82" t="s">
        <v>285</v>
      </c>
      <c r="P3" s="84">
        <v>44477.61486111111</v>
      </c>
      <c r="Q3" s="82" t="s">
        <v>315</v>
      </c>
      <c r="R3" s="86" t="str">
        <f>HYPERLINK("https://www.bizcommunity.com/Article/108/162/220909.html")</f>
        <v>https://www.bizcommunity.com/Article/108/162/220909.html</v>
      </c>
      <c r="S3" s="82" t="s">
        <v>317</v>
      </c>
      <c r="T3" s="88" t="s">
        <v>333</v>
      </c>
      <c r="U3" s="82"/>
      <c r="V3" s="86" t="str">
        <f>HYPERLINK("https://pbs.twimg.com/profile_images/923193049081098240/IV1WPiRR_normal.jpg")</f>
        <v>https://pbs.twimg.com/profile_images/923193049081098240/IV1WPiRR_normal.jpg</v>
      </c>
      <c r="W3" s="84">
        <v>44477.61486111111</v>
      </c>
      <c r="X3" s="90">
        <v>44477</v>
      </c>
      <c r="Y3" s="88" t="s">
        <v>359</v>
      </c>
      <c r="Z3" s="86" t="str">
        <f>HYPERLINK("https://twitter.com/bizcommunity/status/1446486891554091008")</f>
        <v>https://twitter.com/bizcommunity/status/1446486891554091008</v>
      </c>
      <c r="AA3" s="82"/>
      <c r="AB3" s="82"/>
      <c r="AC3" s="88" t="s">
        <v>445</v>
      </c>
      <c r="AD3" s="82"/>
      <c r="AE3" s="82" t="b">
        <v>0</v>
      </c>
      <c r="AF3" s="82">
        <v>0</v>
      </c>
      <c r="AG3" s="88" t="s">
        <v>448</v>
      </c>
      <c r="AH3" s="82" t="b">
        <v>0</v>
      </c>
      <c r="AI3" s="82" t="s">
        <v>452</v>
      </c>
      <c r="AJ3" s="82"/>
      <c r="AK3" s="88" t="s">
        <v>448</v>
      </c>
      <c r="AL3" s="82" t="b">
        <v>0</v>
      </c>
      <c r="AM3" s="82">
        <v>0</v>
      </c>
      <c r="AN3" s="88" t="s">
        <v>448</v>
      </c>
      <c r="AO3" s="88" t="s">
        <v>455</v>
      </c>
      <c r="AP3" s="82" t="b">
        <v>0</v>
      </c>
      <c r="AQ3" s="88" t="s">
        <v>445</v>
      </c>
      <c r="AR3" s="82" t="s">
        <v>196</v>
      </c>
      <c r="AS3" s="82">
        <v>0</v>
      </c>
      <c r="AT3" s="82">
        <v>0</v>
      </c>
      <c r="AU3" s="82"/>
      <c r="AV3" s="82"/>
      <c r="AW3" s="82"/>
      <c r="AX3" s="82"/>
      <c r="AY3" s="82"/>
      <c r="AZ3" s="82"/>
      <c r="BA3" s="82"/>
      <c r="BB3" s="82"/>
      <c r="BC3">
        <v>1</v>
      </c>
      <c r="BD3" s="82" t="str">
        <f>REPLACE(INDEX(GroupVertices[Group],MATCH(Edges[[#This Row],[Vertex 1]],GroupVertices[Vertex],0)),1,1,"")</f>
        <v>7</v>
      </c>
      <c r="BE3" s="82" t="str">
        <f>REPLACE(INDEX(GroupVertices[Group],MATCH(Edges[[#This Row],[Vertex 2]],GroupVertices[Vertex],0)),1,1,"")</f>
        <v>7</v>
      </c>
      <c r="BF3" s="51">
        <v>1</v>
      </c>
      <c r="BG3" s="52">
        <v>6.666666666666667</v>
      </c>
      <c r="BH3" s="51">
        <v>0</v>
      </c>
      <c r="BI3" s="52">
        <v>0</v>
      </c>
      <c r="BJ3" s="51">
        <v>0</v>
      </c>
      <c r="BK3" s="52">
        <v>0</v>
      </c>
      <c r="BL3" s="51">
        <v>14</v>
      </c>
      <c r="BM3" s="52">
        <v>93.33333333333333</v>
      </c>
      <c r="BN3" s="51">
        <v>15</v>
      </c>
    </row>
    <row r="4" spans="1:66" ht="15" customHeight="1">
      <c r="A4" s="81" t="s">
        <v>234</v>
      </c>
      <c r="B4" s="81" t="s">
        <v>234</v>
      </c>
      <c r="C4" s="53" t="s">
        <v>1370</v>
      </c>
      <c r="D4" s="54">
        <v>3</v>
      </c>
      <c r="E4" s="53" t="s">
        <v>132</v>
      </c>
      <c r="F4" s="55">
        <v>32</v>
      </c>
      <c r="G4" s="53"/>
      <c r="H4" s="57"/>
      <c r="I4" s="56"/>
      <c r="J4" s="56"/>
      <c r="K4" s="36" t="s">
        <v>65</v>
      </c>
      <c r="L4" s="62">
        <v>4</v>
      </c>
      <c r="M4" s="62"/>
      <c r="N4" s="63"/>
      <c r="O4" s="83" t="s">
        <v>196</v>
      </c>
      <c r="P4" s="85">
        <v>44477.61486111111</v>
      </c>
      <c r="Q4" s="83" t="s">
        <v>288</v>
      </c>
      <c r="R4" s="87" t="str">
        <f>HYPERLINK("https://www.bizcommunity.com/Article/108/162/220909.html")</f>
        <v>https://www.bizcommunity.com/Article/108/162/220909.html</v>
      </c>
      <c r="S4" s="83" t="s">
        <v>317</v>
      </c>
      <c r="T4" s="89" t="s">
        <v>333</v>
      </c>
      <c r="U4" s="83"/>
      <c r="V4" s="87" t="str">
        <f>HYPERLINK("https://pbs.twimg.com/profile_images/1128574647975456768/YhbdgnVt_normal.png")</f>
        <v>https://pbs.twimg.com/profile_images/1128574647975456768/YhbdgnVt_normal.png</v>
      </c>
      <c r="W4" s="85">
        <v>44477.61486111111</v>
      </c>
      <c r="X4" s="91">
        <v>44477</v>
      </c>
      <c r="Y4" s="89" t="s">
        <v>359</v>
      </c>
      <c r="Z4" s="87" t="str">
        <f>HYPERLINK("https://twitter.com/biz_retail/status/1446486893982584836")</f>
        <v>https://twitter.com/biz_retail/status/1446486893982584836</v>
      </c>
      <c r="AA4" s="83"/>
      <c r="AB4" s="83"/>
      <c r="AC4" s="89" t="s">
        <v>402</v>
      </c>
      <c r="AD4" s="83"/>
      <c r="AE4" s="83" t="b">
        <v>0</v>
      </c>
      <c r="AF4" s="83">
        <v>0</v>
      </c>
      <c r="AG4" s="89" t="s">
        <v>448</v>
      </c>
      <c r="AH4" s="83" t="b">
        <v>0</v>
      </c>
      <c r="AI4" s="83" t="s">
        <v>452</v>
      </c>
      <c r="AJ4" s="83"/>
      <c r="AK4" s="89" t="s">
        <v>448</v>
      </c>
      <c r="AL4" s="83" t="b">
        <v>0</v>
      </c>
      <c r="AM4" s="83">
        <v>0</v>
      </c>
      <c r="AN4" s="89" t="s">
        <v>448</v>
      </c>
      <c r="AO4" s="89" t="s">
        <v>455</v>
      </c>
      <c r="AP4" s="83" t="b">
        <v>0</v>
      </c>
      <c r="AQ4" s="89" t="s">
        <v>402</v>
      </c>
      <c r="AR4" s="83" t="s">
        <v>196</v>
      </c>
      <c r="AS4" s="83">
        <v>0</v>
      </c>
      <c r="AT4" s="83">
        <v>0</v>
      </c>
      <c r="AU4" s="83"/>
      <c r="AV4" s="83"/>
      <c r="AW4" s="83"/>
      <c r="AX4" s="83"/>
      <c r="AY4" s="83"/>
      <c r="AZ4" s="83"/>
      <c r="BA4" s="83"/>
      <c r="BB4" s="83"/>
      <c r="BC4">
        <v>1</v>
      </c>
      <c r="BD4" s="82" t="str">
        <f>REPLACE(INDEX(GroupVertices[Group],MATCH(Edges[[#This Row],[Vertex 1]],GroupVertices[Vertex],0)),1,1,"")</f>
        <v>7</v>
      </c>
      <c r="BE4" s="82" t="str">
        <f>REPLACE(INDEX(GroupVertices[Group],MATCH(Edges[[#This Row],[Vertex 2]],GroupVertices[Vertex],0)),1,1,"")</f>
        <v>7</v>
      </c>
      <c r="BF4" s="51">
        <v>1</v>
      </c>
      <c r="BG4" s="52">
        <v>6.666666666666667</v>
      </c>
      <c r="BH4" s="51">
        <v>0</v>
      </c>
      <c r="BI4" s="52">
        <v>0</v>
      </c>
      <c r="BJ4" s="51">
        <v>0</v>
      </c>
      <c r="BK4" s="52">
        <v>0</v>
      </c>
      <c r="BL4" s="51">
        <v>14</v>
      </c>
      <c r="BM4" s="52">
        <v>93.33333333333333</v>
      </c>
      <c r="BN4" s="51">
        <v>15</v>
      </c>
    </row>
    <row r="5" spans="1:66" ht="15">
      <c r="A5" s="81" t="s">
        <v>235</v>
      </c>
      <c r="B5" s="81" t="s">
        <v>234</v>
      </c>
      <c r="C5" s="53" t="s">
        <v>1370</v>
      </c>
      <c r="D5" s="54">
        <v>3</v>
      </c>
      <c r="E5" s="53" t="s">
        <v>132</v>
      </c>
      <c r="F5" s="55">
        <v>32</v>
      </c>
      <c r="G5" s="53"/>
      <c r="H5" s="57"/>
      <c r="I5" s="56"/>
      <c r="J5" s="56"/>
      <c r="K5" s="36" t="s">
        <v>65</v>
      </c>
      <c r="L5" s="62">
        <v>5</v>
      </c>
      <c r="M5" s="62"/>
      <c r="N5" s="63"/>
      <c r="O5" s="83" t="s">
        <v>285</v>
      </c>
      <c r="P5" s="85">
        <v>44477.61487268518</v>
      </c>
      <c r="Q5" s="83" t="s">
        <v>289</v>
      </c>
      <c r="R5" s="87" t="str">
        <f>HYPERLINK("https://www.bizcommunity.com/Article/108/162/220909.html")</f>
        <v>https://www.bizcommunity.com/Article/108/162/220909.html</v>
      </c>
      <c r="S5" s="83" t="s">
        <v>317</v>
      </c>
      <c r="T5" s="89" t="s">
        <v>333</v>
      </c>
      <c r="U5" s="83"/>
      <c r="V5" s="87" t="str">
        <f>HYPERLINK("https://pbs.twimg.com/profile_images/1130413499677630466/wH70GFMi_normal.png")</f>
        <v>https://pbs.twimg.com/profile_images/1130413499677630466/wH70GFMi_normal.png</v>
      </c>
      <c r="W5" s="85">
        <v>44477.61487268518</v>
      </c>
      <c r="X5" s="91">
        <v>44477</v>
      </c>
      <c r="Y5" s="89" t="s">
        <v>360</v>
      </c>
      <c r="Z5" s="87" t="str">
        <f>HYPERLINK("https://twitter.com/biz_agriculture/status/1446486896415236096")</f>
        <v>https://twitter.com/biz_agriculture/status/1446486896415236096</v>
      </c>
      <c r="AA5" s="83"/>
      <c r="AB5" s="83"/>
      <c r="AC5" s="89" t="s">
        <v>403</v>
      </c>
      <c r="AD5" s="83"/>
      <c r="AE5" s="83" t="b">
        <v>0</v>
      </c>
      <c r="AF5" s="83">
        <v>0</v>
      </c>
      <c r="AG5" s="89" t="s">
        <v>448</v>
      </c>
      <c r="AH5" s="83" t="b">
        <v>0</v>
      </c>
      <c r="AI5" s="83" t="s">
        <v>452</v>
      </c>
      <c r="AJ5" s="83"/>
      <c r="AK5" s="89" t="s">
        <v>448</v>
      </c>
      <c r="AL5" s="83" t="b">
        <v>0</v>
      </c>
      <c r="AM5" s="83">
        <v>0</v>
      </c>
      <c r="AN5" s="89" t="s">
        <v>448</v>
      </c>
      <c r="AO5" s="89" t="s">
        <v>455</v>
      </c>
      <c r="AP5" s="83" t="b">
        <v>0</v>
      </c>
      <c r="AQ5" s="89" t="s">
        <v>403</v>
      </c>
      <c r="AR5" s="83" t="s">
        <v>196</v>
      </c>
      <c r="AS5" s="83">
        <v>0</v>
      </c>
      <c r="AT5" s="83">
        <v>0</v>
      </c>
      <c r="AU5" s="83"/>
      <c r="AV5" s="83"/>
      <c r="AW5" s="83"/>
      <c r="AX5" s="83"/>
      <c r="AY5" s="83"/>
      <c r="AZ5" s="83"/>
      <c r="BA5" s="83"/>
      <c r="BB5" s="83"/>
      <c r="BC5">
        <v>1</v>
      </c>
      <c r="BD5" s="82" t="str">
        <f>REPLACE(INDEX(GroupVertices[Group],MATCH(Edges[[#This Row],[Vertex 1]],GroupVertices[Vertex],0)),1,1,"")</f>
        <v>7</v>
      </c>
      <c r="BE5" s="82" t="str">
        <f>REPLACE(INDEX(GroupVertices[Group],MATCH(Edges[[#This Row],[Vertex 2]],GroupVertices[Vertex],0)),1,1,"")</f>
        <v>7</v>
      </c>
      <c r="BF5" s="51">
        <v>1</v>
      </c>
      <c r="BG5" s="52">
        <v>6.666666666666667</v>
      </c>
      <c r="BH5" s="51">
        <v>0</v>
      </c>
      <c r="BI5" s="52">
        <v>0</v>
      </c>
      <c r="BJ5" s="51">
        <v>0</v>
      </c>
      <c r="BK5" s="52">
        <v>0</v>
      </c>
      <c r="BL5" s="51">
        <v>14</v>
      </c>
      <c r="BM5" s="52">
        <v>93.33333333333333</v>
      </c>
      <c r="BN5" s="51">
        <v>15</v>
      </c>
    </row>
    <row r="6" spans="1:66" ht="15">
      <c r="A6" s="81" t="s">
        <v>236</v>
      </c>
      <c r="B6" s="81" t="s">
        <v>272</v>
      </c>
      <c r="C6" s="53" t="s">
        <v>1370</v>
      </c>
      <c r="D6" s="54">
        <v>3</v>
      </c>
      <c r="E6" s="53" t="s">
        <v>132</v>
      </c>
      <c r="F6" s="55">
        <v>32</v>
      </c>
      <c r="G6" s="53"/>
      <c r="H6" s="57"/>
      <c r="I6" s="56"/>
      <c r="J6" s="56"/>
      <c r="K6" s="36" t="s">
        <v>65</v>
      </c>
      <c r="L6" s="62">
        <v>6</v>
      </c>
      <c r="M6" s="62"/>
      <c r="N6" s="63"/>
      <c r="O6" s="83" t="s">
        <v>285</v>
      </c>
      <c r="P6" s="85">
        <v>44476.62293981481</v>
      </c>
      <c r="Q6" s="83" t="s">
        <v>290</v>
      </c>
      <c r="R6" s="87" t="str">
        <f>HYPERLINK("https://www.foodingredientsfirst.com/news/flexitarian-and-cell-cultured-movements-advance-plant-based-eating-says-innova-market-insights.html#.YV8KaEy-8mY.twitter")</f>
        <v>https://www.foodingredientsfirst.com/news/flexitarian-and-cell-cultured-movements-advance-plant-based-eating-says-innova-market-insights.html#.YV8KaEy-8mY.twitter</v>
      </c>
      <c r="S6" s="83" t="s">
        <v>318</v>
      </c>
      <c r="T6" s="89" t="s">
        <v>334</v>
      </c>
      <c r="U6" s="83"/>
      <c r="V6" s="87" t="str">
        <f>HYPERLINK("https://pbs.twimg.com/profile_images/710049013966487552/xyQ5j5sJ_normal.jpg")</f>
        <v>https://pbs.twimg.com/profile_images/710049013966487552/xyQ5j5sJ_normal.jpg</v>
      </c>
      <c r="W6" s="85">
        <v>44476.62293981481</v>
      </c>
      <c r="X6" s="91">
        <v>44476</v>
      </c>
      <c r="Y6" s="89" t="s">
        <v>361</v>
      </c>
      <c r="Z6" s="87" t="str">
        <f>HYPERLINK("https://twitter.com/fooding1st/status/1446127431669014528")</f>
        <v>https://twitter.com/fooding1st/status/1446127431669014528</v>
      </c>
      <c r="AA6" s="83"/>
      <c r="AB6" s="83"/>
      <c r="AC6" s="89" t="s">
        <v>404</v>
      </c>
      <c r="AD6" s="83"/>
      <c r="AE6" s="83" t="b">
        <v>0</v>
      </c>
      <c r="AF6" s="83">
        <v>1</v>
      </c>
      <c r="AG6" s="89" t="s">
        <v>448</v>
      </c>
      <c r="AH6" s="83" t="b">
        <v>0</v>
      </c>
      <c r="AI6" s="83" t="s">
        <v>452</v>
      </c>
      <c r="AJ6" s="83"/>
      <c r="AK6" s="89" t="s">
        <v>448</v>
      </c>
      <c r="AL6" s="83" t="b">
        <v>0</v>
      </c>
      <c r="AM6" s="83">
        <v>1</v>
      </c>
      <c r="AN6" s="89" t="s">
        <v>448</v>
      </c>
      <c r="AO6" s="89" t="s">
        <v>456</v>
      </c>
      <c r="AP6" s="83" t="b">
        <v>0</v>
      </c>
      <c r="AQ6" s="89" t="s">
        <v>404</v>
      </c>
      <c r="AR6" s="83" t="s">
        <v>287</v>
      </c>
      <c r="AS6" s="83">
        <v>0</v>
      </c>
      <c r="AT6" s="83">
        <v>0</v>
      </c>
      <c r="AU6" s="83"/>
      <c r="AV6" s="83"/>
      <c r="AW6" s="83"/>
      <c r="AX6" s="83"/>
      <c r="AY6" s="83"/>
      <c r="AZ6" s="83"/>
      <c r="BA6" s="83"/>
      <c r="BB6" s="83"/>
      <c r="BC6">
        <v>1</v>
      </c>
      <c r="BD6" s="82" t="str">
        <f>REPLACE(INDEX(GroupVertices[Group],MATCH(Edges[[#This Row],[Vertex 1]],GroupVertices[Vertex],0)),1,1,"")</f>
        <v>6</v>
      </c>
      <c r="BE6" s="82" t="str">
        <f>REPLACE(INDEX(GroupVertices[Group],MATCH(Edges[[#This Row],[Vertex 2]],GroupVertices[Vertex],0)),1,1,"")</f>
        <v>6</v>
      </c>
      <c r="BF6" s="51">
        <v>0</v>
      </c>
      <c r="BG6" s="52">
        <v>0</v>
      </c>
      <c r="BH6" s="51">
        <v>0</v>
      </c>
      <c r="BI6" s="52">
        <v>0</v>
      </c>
      <c r="BJ6" s="51">
        <v>0</v>
      </c>
      <c r="BK6" s="52">
        <v>0</v>
      </c>
      <c r="BL6" s="51">
        <v>14</v>
      </c>
      <c r="BM6" s="52">
        <v>100</v>
      </c>
      <c r="BN6" s="51">
        <v>14</v>
      </c>
    </row>
    <row r="7" spans="1:66" ht="15">
      <c r="A7" s="81" t="s">
        <v>237</v>
      </c>
      <c r="B7" s="81" t="s">
        <v>272</v>
      </c>
      <c r="C7" s="53" t="s">
        <v>1370</v>
      </c>
      <c r="D7" s="54">
        <v>3</v>
      </c>
      <c r="E7" s="53" t="s">
        <v>132</v>
      </c>
      <c r="F7" s="55">
        <v>32</v>
      </c>
      <c r="G7" s="53"/>
      <c r="H7" s="57"/>
      <c r="I7" s="56"/>
      <c r="J7" s="56"/>
      <c r="K7" s="36" t="s">
        <v>65</v>
      </c>
      <c r="L7" s="62">
        <v>7</v>
      </c>
      <c r="M7" s="62"/>
      <c r="N7" s="63"/>
      <c r="O7" s="83" t="s">
        <v>286</v>
      </c>
      <c r="P7" s="85">
        <v>44477.695543981485</v>
      </c>
      <c r="Q7" s="83" t="s">
        <v>290</v>
      </c>
      <c r="R7" s="87" t="str">
        <f>HYPERLINK("https://www.foodingredientsfirst.com/news/flexitarian-and-cell-cultured-movements-advance-plant-based-eating-says-innova-market-insights.html#.YV8KaEy-8mY.twitter")</f>
        <v>https://www.foodingredientsfirst.com/news/flexitarian-and-cell-cultured-movements-advance-plant-based-eating-says-innova-market-insights.html#.YV8KaEy-8mY.twitter</v>
      </c>
      <c r="S7" s="83" t="s">
        <v>318</v>
      </c>
      <c r="T7" s="89" t="s">
        <v>335</v>
      </c>
      <c r="U7" s="83"/>
      <c r="V7" s="87" t="str">
        <f>HYPERLINK("https://pbs.twimg.com/profile_images/1163899346980691972/GooNvrUR_normal.png")</f>
        <v>https://pbs.twimg.com/profile_images/1163899346980691972/GooNvrUR_normal.png</v>
      </c>
      <c r="W7" s="85">
        <v>44477.695543981485</v>
      </c>
      <c r="X7" s="91">
        <v>44477</v>
      </c>
      <c r="Y7" s="89" t="s">
        <v>362</v>
      </c>
      <c r="Z7" s="87" t="str">
        <f>HYPERLINK("https://twitter.com/ingredientfacts/status/1446516131154604033")</f>
        <v>https://twitter.com/ingredientfacts/status/1446516131154604033</v>
      </c>
      <c r="AA7" s="83"/>
      <c r="AB7" s="83"/>
      <c r="AC7" s="89" t="s">
        <v>405</v>
      </c>
      <c r="AD7" s="83"/>
      <c r="AE7" s="83" t="b">
        <v>0</v>
      </c>
      <c r="AF7" s="83">
        <v>0</v>
      </c>
      <c r="AG7" s="89" t="s">
        <v>448</v>
      </c>
      <c r="AH7" s="83" t="b">
        <v>0</v>
      </c>
      <c r="AI7" s="83" t="s">
        <v>452</v>
      </c>
      <c r="AJ7" s="83"/>
      <c r="AK7" s="89" t="s">
        <v>448</v>
      </c>
      <c r="AL7" s="83" t="b">
        <v>0</v>
      </c>
      <c r="AM7" s="83">
        <v>1</v>
      </c>
      <c r="AN7" s="89" t="s">
        <v>404</v>
      </c>
      <c r="AO7" s="89" t="s">
        <v>456</v>
      </c>
      <c r="AP7" s="83" t="b">
        <v>0</v>
      </c>
      <c r="AQ7" s="89" t="s">
        <v>404</v>
      </c>
      <c r="AR7" s="83" t="s">
        <v>196</v>
      </c>
      <c r="AS7" s="83">
        <v>0</v>
      </c>
      <c r="AT7" s="83">
        <v>0</v>
      </c>
      <c r="AU7" s="83"/>
      <c r="AV7" s="83"/>
      <c r="AW7" s="83"/>
      <c r="AX7" s="83"/>
      <c r="AY7" s="83"/>
      <c r="AZ7" s="83"/>
      <c r="BA7" s="83"/>
      <c r="BB7" s="83"/>
      <c r="BC7">
        <v>1</v>
      </c>
      <c r="BD7" s="82" t="str">
        <f>REPLACE(INDEX(GroupVertices[Group],MATCH(Edges[[#This Row],[Vertex 1]],GroupVertices[Vertex],0)),1,1,"")</f>
        <v>6</v>
      </c>
      <c r="BE7" s="82" t="str">
        <f>REPLACE(INDEX(GroupVertices[Group],MATCH(Edges[[#This Row],[Vertex 2]],GroupVertices[Vertex],0)),1,1,"")</f>
        <v>6</v>
      </c>
      <c r="BF7" s="51"/>
      <c r="BG7" s="52"/>
      <c r="BH7" s="51"/>
      <c r="BI7" s="52"/>
      <c r="BJ7" s="51"/>
      <c r="BK7" s="52"/>
      <c r="BL7" s="51"/>
      <c r="BM7" s="52"/>
      <c r="BN7" s="51"/>
    </row>
    <row r="8" spans="1:66" ht="15">
      <c r="A8" s="81" t="s">
        <v>237</v>
      </c>
      <c r="B8" s="81" t="s">
        <v>236</v>
      </c>
      <c r="C8" s="53" t="s">
        <v>1370</v>
      </c>
      <c r="D8" s="54">
        <v>3</v>
      </c>
      <c r="E8" s="53" t="s">
        <v>132</v>
      </c>
      <c r="F8" s="55">
        <v>32</v>
      </c>
      <c r="G8" s="53"/>
      <c r="H8" s="57"/>
      <c r="I8" s="56"/>
      <c r="J8" s="56"/>
      <c r="K8" s="36" t="s">
        <v>65</v>
      </c>
      <c r="L8" s="62">
        <v>8</v>
      </c>
      <c r="M8" s="62"/>
      <c r="N8" s="63"/>
      <c r="O8" s="83" t="s">
        <v>287</v>
      </c>
      <c r="P8" s="85">
        <v>44477.695543981485</v>
      </c>
      <c r="Q8" s="83" t="s">
        <v>290</v>
      </c>
      <c r="R8" s="87" t="str">
        <f>HYPERLINK("https://www.foodingredientsfirst.com/news/flexitarian-and-cell-cultured-movements-advance-plant-based-eating-says-innova-market-insights.html#.YV8KaEy-8mY.twitter")</f>
        <v>https://www.foodingredientsfirst.com/news/flexitarian-and-cell-cultured-movements-advance-plant-based-eating-says-innova-market-insights.html#.YV8KaEy-8mY.twitter</v>
      </c>
      <c r="S8" s="83" t="s">
        <v>318</v>
      </c>
      <c r="T8" s="89" t="s">
        <v>335</v>
      </c>
      <c r="U8" s="83"/>
      <c r="V8" s="87" t="str">
        <f>HYPERLINK("https://pbs.twimg.com/profile_images/1163899346980691972/GooNvrUR_normal.png")</f>
        <v>https://pbs.twimg.com/profile_images/1163899346980691972/GooNvrUR_normal.png</v>
      </c>
      <c r="W8" s="85">
        <v>44477.695543981485</v>
      </c>
      <c r="X8" s="91">
        <v>44477</v>
      </c>
      <c r="Y8" s="89" t="s">
        <v>362</v>
      </c>
      <c r="Z8" s="87" t="str">
        <f>HYPERLINK("https://twitter.com/ingredientfacts/status/1446516131154604033")</f>
        <v>https://twitter.com/ingredientfacts/status/1446516131154604033</v>
      </c>
      <c r="AA8" s="83"/>
      <c r="AB8" s="83"/>
      <c r="AC8" s="89" t="s">
        <v>405</v>
      </c>
      <c r="AD8" s="83"/>
      <c r="AE8" s="83" t="b">
        <v>0</v>
      </c>
      <c r="AF8" s="83">
        <v>0</v>
      </c>
      <c r="AG8" s="89" t="s">
        <v>448</v>
      </c>
      <c r="AH8" s="83" t="b">
        <v>0</v>
      </c>
      <c r="AI8" s="83" t="s">
        <v>452</v>
      </c>
      <c r="AJ8" s="83"/>
      <c r="AK8" s="89" t="s">
        <v>448</v>
      </c>
      <c r="AL8" s="83" t="b">
        <v>0</v>
      </c>
      <c r="AM8" s="83">
        <v>1</v>
      </c>
      <c r="AN8" s="89" t="s">
        <v>404</v>
      </c>
      <c r="AO8" s="89" t="s">
        <v>456</v>
      </c>
      <c r="AP8" s="83" t="b">
        <v>0</v>
      </c>
      <c r="AQ8" s="89" t="s">
        <v>404</v>
      </c>
      <c r="AR8" s="83" t="s">
        <v>196</v>
      </c>
      <c r="AS8" s="83">
        <v>0</v>
      </c>
      <c r="AT8" s="83">
        <v>0</v>
      </c>
      <c r="AU8" s="83"/>
      <c r="AV8" s="83"/>
      <c r="AW8" s="83"/>
      <c r="AX8" s="83"/>
      <c r="AY8" s="83"/>
      <c r="AZ8" s="83"/>
      <c r="BA8" s="83"/>
      <c r="BB8" s="83"/>
      <c r="BC8">
        <v>1</v>
      </c>
      <c r="BD8" s="82" t="str">
        <f>REPLACE(INDEX(GroupVertices[Group],MATCH(Edges[[#This Row],[Vertex 1]],GroupVertices[Vertex],0)),1,1,"")</f>
        <v>6</v>
      </c>
      <c r="BE8" s="82" t="str">
        <f>REPLACE(INDEX(GroupVertices[Group],MATCH(Edges[[#This Row],[Vertex 2]],GroupVertices[Vertex],0)),1,1,"")</f>
        <v>6</v>
      </c>
      <c r="BF8" s="51">
        <v>0</v>
      </c>
      <c r="BG8" s="52">
        <v>0</v>
      </c>
      <c r="BH8" s="51">
        <v>0</v>
      </c>
      <c r="BI8" s="52">
        <v>0</v>
      </c>
      <c r="BJ8" s="51">
        <v>0</v>
      </c>
      <c r="BK8" s="52">
        <v>0</v>
      </c>
      <c r="BL8" s="51">
        <v>14</v>
      </c>
      <c r="BM8" s="52">
        <v>100</v>
      </c>
      <c r="BN8" s="51">
        <v>14</v>
      </c>
    </row>
    <row r="9" spans="1:66" ht="15">
      <c r="A9" s="81" t="s">
        <v>238</v>
      </c>
      <c r="B9" s="81" t="s">
        <v>238</v>
      </c>
      <c r="C9" s="53" t="s">
        <v>1370</v>
      </c>
      <c r="D9" s="54">
        <v>3</v>
      </c>
      <c r="E9" s="53" t="s">
        <v>132</v>
      </c>
      <c r="F9" s="55">
        <v>32</v>
      </c>
      <c r="G9" s="53"/>
      <c r="H9" s="57"/>
      <c r="I9" s="56"/>
      <c r="J9" s="56"/>
      <c r="K9" s="36" t="s">
        <v>65</v>
      </c>
      <c r="L9" s="62">
        <v>9</v>
      </c>
      <c r="M9" s="62"/>
      <c r="N9" s="63"/>
      <c r="O9" s="83" t="s">
        <v>196</v>
      </c>
      <c r="P9" s="85">
        <v>43982.90190972222</v>
      </c>
      <c r="Q9" s="83" t="s">
        <v>291</v>
      </c>
      <c r="R9" s="83" t="s">
        <v>316</v>
      </c>
      <c r="S9" s="83" t="s">
        <v>319</v>
      </c>
      <c r="T9" s="89" t="s">
        <v>336</v>
      </c>
      <c r="U9" s="83"/>
      <c r="V9" s="87" t="str">
        <f>HYPERLINK("https://pbs.twimg.com/profile_images/1254972329534390272/W20sYFlO_normal.jpg")</f>
        <v>https://pbs.twimg.com/profile_images/1254972329534390272/W20sYFlO_normal.jpg</v>
      </c>
      <c r="W9" s="85">
        <v>43982.90190972222</v>
      </c>
      <c r="X9" s="91">
        <v>43982</v>
      </c>
      <c r="Y9" s="89" t="s">
        <v>363</v>
      </c>
      <c r="Z9" s="87" t="str">
        <f>HYPERLINK("https://twitter.com/lab_grownmeat/status/1267208920986238977")</f>
        <v>https://twitter.com/lab_grownmeat/status/1267208920986238977</v>
      </c>
      <c r="AA9" s="83"/>
      <c r="AB9" s="83"/>
      <c r="AC9" s="89" t="s">
        <v>406</v>
      </c>
      <c r="AD9" s="83"/>
      <c r="AE9" s="83" t="b">
        <v>0</v>
      </c>
      <c r="AF9" s="83">
        <v>3</v>
      </c>
      <c r="AG9" s="89" t="s">
        <v>448</v>
      </c>
      <c r="AH9" s="83" t="b">
        <v>0</v>
      </c>
      <c r="AI9" s="83" t="s">
        <v>452</v>
      </c>
      <c r="AJ9" s="83"/>
      <c r="AK9" s="89" t="s">
        <v>448</v>
      </c>
      <c r="AL9" s="83" t="b">
        <v>0</v>
      </c>
      <c r="AM9" s="83">
        <v>1</v>
      </c>
      <c r="AN9" s="89" t="s">
        <v>448</v>
      </c>
      <c r="AO9" s="89" t="s">
        <v>456</v>
      </c>
      <c r="AP9" s="83" t="b">
        <v>0</v>
      </c>
      <c r="AQ9" s="89" t="s">
        <v>406</v>
      </c>
      <c r="AR9" s="83" t="s">
        <v>287</v>
      </c>
      <c r="AS9" s="83">
        <v>0</v>
      </c>
      <c r="AT9" s="83">
        <v>0</v>
      </c>
      <c r="AU9" s="83"/>
      <c r="AV9" s="83"/>
      <c r="AW9" s="83"/>
      <c r="AX9" s="83"/>
      <c r="AY9" s="83"/>
      <c r="AZ9" s="83"/>
      <c r="BA9" s="83"/>
      <c r="BB9" s="83"/>
      <c r="BC9">
        <v>1</v>
      </c>
      <c r="BD9" s="82" t="str">
        <f>REPLACE(INDEX(GroupVertices[Group],MATCH(Edges[[#This Row],[Vertex 1]],GroupVertices[Vertex],0)),1,1,"")</f>
        <v>12</v>
      </c>
      <c r="BE9" s="82" t="str">
        <f>REPLACE(INDEX(GroupVertices[Group],MATCH(Edges[[#This Row],[Vertex 2]],GroupVertices[Vertex],0)),1,1,"")</f>
        <v>12</v>
      </c>
      <c r="BF9" s="51">
        <v>0</v>
      </c>
      <c r="BG9" s="52">
        <v>0</v>
      </c>
      <c r="BH9" s="51">
        <v>0</v>
      </c>
      <c r="BI9" s="52">
        <v>0</v>
      </c>
      <c r="BJ9" s="51">
        <v>0</v>
      </c>
      <c r="BK9" s="52">
        <v>0</v>
      </c>
      <c r="BL9" s="51">
        <v>12</v>
      </c>
      <c r="BM9" s="52">
        <v>100</v>
      </c>
      <c r="BN9" s="51">
        <v>12</v>
      </c>
    </row>
    <row r="10" spans="1:66" ht="15">
      <c r="A10" s="81" t="s">
        <v>239</v>
      </c>
      <c r="B10" s="81" t="s">
        <v>238</v>
      </c>
      <c r="C10" s="53" t="s">
        <v>1370</v>
      </c>
      <c r="D10" s="54">
        <v>3</v>
      </c>
      <c r="E10" s="53" t="s">
        <v>132</v>
      </c>
      <c r="F10" s="55">
        <v>32</v>
      </c>
      <c r="G10" s="53"/>
      <c r="H10" s="57"/>
      <c r="I10" s="56"/>
      <c r="J10" s="56"/>
      <c r="K10" s="36" t="s">
        <v>65</v>
      </c>
      <c r="L10" s="62">
        <v>10</v>
      </c>
      <c r="M10" s="62"/>
      <c r="N10" s="63"/>
      <c r="O10" s="83" t="s">
        <v>287</v>
      </c>
      <c r="P10" s="85">
        <v>44478.63707175926</v>
      </c>
      <c r="Q10" s="83" t="s">
        <v>291</v>
      </c>
      <c r="R10" s="83" t="s">
        <v>316</v>
      </c>
      <c r="S10" s="83" t="s">
        <v>319</v>
      </c>
      <c r="T10" s="89" t="s">
        <v>337</v>
      </c>
      <c r="U10" s="83"/>
      <c r="V10" s="87" t="str">
        <f>HYPERLINK("https://pbs.twimg.com/profile_images/1448557727052075008/9znir_fd_normal.jpg")</f>
        <v>https://pbs.twimg.com/profile_images/1448557727052075008/9znir_fd_normal.jpg</v>
      </c>
      <c r="W10" s="85">
        <v>44478.63707175926</v>
      </c>
      <c r="X10" s="91">
        <v>44478</v>
      </c>
      <c r="Y10" s="89" t="s">
        <v>364</v>
      </c>
      <c r="Z10" s="87" t="str">
        <f>HYPERLINK("https://twitter.com/phill59316885/status/1446857332240048131")</f>
        <v>https://twitter.com/phill59316885/status/1446857332240048131</v>
      </c>
      <c r="AA10" s="83"/>
      <c r="AB10" s="83"/>
      <c r="AC10" s="89" t="s">
        <v>407</v>
      </c>
      <c r="AD10" s="83"/>
      <c r="AE10" s="83" t="b">
        <v>0</v>
      </c>
      <c r="AF10" s="83">
        <v>0</v>
      </c>
      <c r="AG10" s="89" t="s">
        <v>448</v>
      </c>
      <c r="AH10" s="83" t="b">
        <v>0</v>
      </c>
      <c r="AI10" s="83" t="s">
        <v>452</v>
      </c>
      <c r="AJ10" s="83"/>
      <c r="AK10" s="89" t="s">
        <v>448</v>
      </c>
      <c r="AL10" s="83" t="b">
        <v>0</v>
      </c>
      <c r="AM10" s="83">
        <v>1</v>
      </c>
      <c r="AN10" s="89" t="s">
        <v>406</v>
      </c>
      <c r="AO10" s="89" t="s">
        <v>457</v>
      </c>
      <c r="AP10" s="83" t="b">
        <v>0</v>
      </c>
      <c r="AQ10" s="89" t="s">
        <v>406</v>
      </c>
      <c r="AR10" s="83" t="s">
        <v>196</v>
      </c>
      <c r="AS10" s="83">
        <v>0</v>
      </c>
      <c r="AT10" s="83">
        <v>0</v>
      </c>
      <c r="AU10" s="83"/>
      <c r="AV10" s="83"/>
      <c r="AW10" s="83"/>
      <c r="AX10" s="83"/>
      <c r="AY10" s="83"/>
      <c r="AZ10" s="83"/>
      <c r="BA10" s="83"/>
      <c r="BB10" s="83"/>
      <c r="BC10">
        <v>1</v>
      </c>
      <c r="BD10" s="82" t="str">
        <f>REPLACE(INDEX(GroupVertices[Group],MATCH(Edges[[#This Row],[Vertex 1]],GroupVertices[Vertex],0)),1,1,"")</f>
        <v>12</v>
      </c>
      <c r="BE10" s="82" t="str">
        <f>REPLACE(INDEX(GroupVertices[Group],MATCH(Edges[[#This Row],[Vertex 2]],GroupVertices[Vertex],0)),1,1,"")</f>
        <v>12</v>
      </c>
      <c r="BF10" s="51">
        <v>0</v>
      </c>
      <c r="BG10" s="52">
        <v>0</v>
      </c>
      <c r="BH10" s="51">
        <v>0</v>
      </c>
      <c r="BI10" s="52">
        <v>0</v>
      </c>
      <c r="BJ10" s="51">
        <v>0</v>
      </c>
      <c r="BK10" s="52">
        <v>0</v>
      </c>
      <c r="BL10" s="51">
        <v>12</v>
      </c>
      <c r="BM10" s="52">
        <v>100</v>
      </c>
      <c r="BN10" s="51">
        <v>12</v>
      </c>
    </row>
    <row r="11" spans="1:66" ht="15">
      <c r="A11" s="81" t="s">
        <v>240</v>
      </c>
      <c r="B11" s="81" t="s">
        <v>240</v>
      </c>
      <c r="C11" s="53" t="s">
        <v>1370</v>
      </c>
      <c r="D11" s="54">
        <v>3</v>
      </c>
      <c r="E11" s="53" t="s">
        <v>132</v>
      </c>
      <c r="F11" s="55">
        <v>32</v>
      </c>
      <c r="G11" s="53"/>
      <c r="H11" s="57"/>
      <c r="I11" s="56"/>
      <c r="J11" s="56"/>
      <c r="K11" s="36" t="s">
        <v>65</v>
      </c>
      <c r="L11" s="62">
        <v>11</v>
      </c>
      <c r="M11" s="62"/>
      <c r="N11" s="63"/>
      <c r="O11" s="83" t="s">
        <v>196</v>
      </c>
      <c r="P11" s="85">
        <v>44478.7503125</v>
      </c>
      <c r="Q11" s="83" t="s">
        <v>292</v>
      </c>
      <c r="R11" s="87" t="str">
        <f>HYPERLINK("https://proveg.com/blog/nfc-at-anuga-protein-of-the-future/?utm_source=Facebook&amp;utm_medium=Social&amp;utm_campaign=NFC_GeneralBlog")</f>
        <v>https://proveg.com/blog/nfc-at-anuga-protein-of-the-future/?utm_source=Facebook&amp;utm_medium=Social&amp;utm_campaign=NFC_GeneralBlog</v>
      </c>
      <c r="S11" s="83" t="s">
        <v>320</v>
      </c>
      <c r="T11" s="89" t="s">
        <v>338</v>
      </c>
      <c r="U11" s="83"/>
      <c r="V11" s="87" t="str">
        <f>HYPERLINK("https://pbs.twimg.com/profile_images/1410560834854588416/nHwDN9RG_normal.jpg")</f>
        <v>https://pbs.twimg.com/profile_images/1410560834854588416/nHwDN9RG_normal.jpg</v>
      </c>
      <c r="W11" s="85">
        <v>44478.7503125</v>
      </c>
      <c r="X11" s="91">
        <v>44478</v>
      </c>
      <c r="Y11" s="89" t="s">
        <v>365</v>
      </c>
      <c r="Z11" s="87" t="str">
        <f>HYPERLINK("https://twitter.com/proveg_int/status/1446898369243324423")</f>
        <v>https://twitter.com/proveg_int/status/1446898369243324423</v>
      </c>
      <c r="AA11" s="83"/>
      <c r="AB11" s="83"/>
      <c r="AC11" s="89" t="s">
        <v>408</v>
      </c>
      <c r="AD11" s="83"/>
      <c r="AE11" s="83" t="b">
        <v>0</v>
      </c>
      <c r="AF11" s="83">
        <v>5</v>
      </c>
      <c r="AG11" s="89" t="s">
        <v>448</v>
      </c>
      <c r="AH11" s="83" t="b">
        <v>0</v>
      </c>
      <c r="AI11" s="83" t="s">
        <v>452</v>
      </c>
      <c r="AJ11" s="83"/>
      <c r="AK11" s="89" t="s">
        <v>448</v>
      </c>
      <c r="AL11" s="83" t="b">
        <v>0</v>
      </c>
      <c r="AM11" s="83">
        <v>1</v>
      </c>
      <c r="AN11" s="89" t="s">
        <v>448</v>
      </c>
      <c r="AO11" s="89" t="s">
        <v>458</v>
      </c>
      <c r="AP11" s="83" t="b">
        <v>0</v>
      </c>
      <c r="AQ11" s="89" t="s">
        <v>408</v>
      </c>
      <c r="AR11" s="83" t="s">
        <v>196</v>
      </c>
      <c r="AS11" s="83">
        <v>0</v>
      </c>
      <c r="AT11" s="83">
        <v>0</v>
      </c>
      <c r="AU11" s="83"/>
      <c r="AV11" s="83"/>
      <c r="AW11" s="83"/>
      <c r="AX11" s="83"/>
      <c r="AY11" s="83"/>
      <c r="AZ11" s="83"/>
      <c r="BA11" s="83"/>
      <c r="BB11" s="83"/>
      <c r="BC11">
        <v>1</v>
      </c>
      <c r="BD11" s="82" t="str">
        <f>REPLACE(INDEX(GroupVertices[Group],MATCH(Edges[[#This Row],[Vertex 1]],GroupVertices[Vertex],0)),1,1,"")</f>
        <v>11</v>
      </c>
      <c r="BE11" s="82" t="str">
        <f>REPLACE(INDEX(GroupVertices[Group],MATCH(Edges[[#This Row],[Vertex 2]],GroupVertices[Vertex],0)),1,1,"")</f>
        <v>11</v>
      </c>
      <c r="BF11" s="51">
        <v>2</v>
      </c>
      <c r="BG11" s="52">
        <v>6.25</v>
      </c>
      <c r="BH11" s="51">
        <v>0</v>
      </c>
      <c r="BI11" s="52">
        <v>0</v>
      </c>
      <c r="BJ11" s="51">
        <v>0</v>
      </c>
      <c r="BK11" s="52">
        <v>0</v>
      </c>
      <c r="BL11" s="51">
        <v>30</v>
      </c>
      <c r="BM11" s="52">
        <v>93.75</v>
      </c>
      <c r="BN11" s="51">
        <v>32</v>
      </c>
    </row>
    <row r="12" spans="1:66" ht="15">
      <c r="A12" s="81" t="s">
        <v>241</v>
      </c>
      <c r="B12" s="81" t="s">
        <v>240</v>
      </c>
      <c r="C12" s="53" t="s">
        <v>1370</v>
      </c>
      <c r="D12" s="54">
        <v>3</v>
      </c>
      <c r="E12" s="53" t="s">
        <v>132</v>
      </c>
      <c r="F12" s="55">
        <v>32</v>
      </c>
      <c r="G12" s="53"/>
      <c r="H12" s="57"/>
      <c r="I12" s="56"/>
      <c r="J12" s="56"/>
      <c r="K12" s="36" t="s">
        <v>65</v>
      </c>
      <c r="L12" s="62">
        <v>12</v>
      </c>
      <c r="M12" s="62"/>
      <c r="N12" s="63"/>
      <c r="O12" s="83" t="s">
        <v>287</v>
      </c>
      <c r="P12" s="85">
        <v>44478.765393518515</v>
      </c>
      <c r="Q12" s="83" t="s">
        <v>292</v>
      </c>
      <c r="R12" s="87" t="str">
        <f>HYPERLINK("https://proveg.com/blog/nfc-at-anuga-protein-of-the-future/?utm_source=Facebook&amp;utm_medium=Social&amp;utm_campaign=NFC_GeneralBlog")</f>
        <v>https://proveg.com/blog/nfc-at-anuga-protein-of-the-future/?utm_source=Facebook&amp;utm_medium=Social&amp;utm_campaign=NFC_GeneralBlog</v>
      </c>
      <c r="S12" s="83" t="s">
        <v>320</v>
      </c>
      <c r="T12" s="89" t="s">
        <v>338</v>
      </c>
      <c r="U12" s="83"/>
      <c r="V12" s="87" t="str">
        <f>HYPERLINK("https://pbs.twimg.com/profile_images/496894645431844866/_Mi52eqM_normal.jpeg")</f>
        <v>https://pbs.twimg.com/profile_images/496894645431844866/_Mi52eqM_normal.jpeg</v>
      </c>
      <c r="W12" s="85">
        <v>44478.765393518515</v>
      </c>
      <c r="X12" s="91">
        <v>44478</v>
      </c>
      <c r="Y12" s="89" t="s">
        <v>366</v>
      </c>
      <c r="Z12" s="87" t="str">
        <f>HYPERLINK("https://twitter.com/albionau/status/1446903830730485761")</f>
        <v>https://twitter.com/albionau/status/1446903830730485761</v>
      </c>
      <c r="AA12" s="83"/>
      <c r="AB12" s="83"/>
      <c r="AC12" s="89" t="s">
        <v>409</v>
      </c>
      <c r="AD12" s="83"/>
      <c r="AE12" s="83" t="b">
        <v>0</v>
      </c>
      <c r="AF12" s="83">
        <v>0</v>
      </c>
      <c r="AG12" s="89" t="s">
        <v>448</v>
      </c>
      <c r="AH12" s="83" t="b">
        <v>0</v>
      </c>
      <c r="AI12" s="83" t="s">
        <v>452</v>
      </c>
      <c r="AJ12" s="83"/>
      <c r="AK12" s="89" t="s">
        <v>448</v>
      </c>
      <c r="AL12" s="83" t="b">
        <v>0</v>
      </c>
      <c r="AM12" s="83">
        <v>1</v>
      </c>
      <c r="AN12" s="89" t="s">
        <v>408</v>
      </c>
      <c r="AO12" s="89" t="s">
        <v>456</v>
      </c>
      <c r="AP12" s="83" t="b">
        <v>0</v>
      </c>
      <c r="AQ12" s="89" t="s">
        <v>408</v>
      </c>
      <c r="AR12" s="83" t="s">
        <v>196</v>
      </c>
      <c r="AS12" s="83">
        <v>0</v>
      </c>
      <c r="AT12" s="83">
        <v>0</v>
      </c>
      <c r="AU12" s="83"/>
      <c r="AV12" s="83"/>
      <c r="AW12" s="83"/>
      <c r="AX12" s="83"/>
      <c r="AY12" s="83"/>
      <c r="AZ12" s="83"/>
      <c r="BA12" s="83"/>
      <c r="BB12" s="83"/>
      <c r="BC12">
        <v>1</v>
      </c>
      <c r="BD12" s="82" t="str">
        <f>REPLACE(INDEX(GroupVertices[Group],MATCH(Edges[[#This Row],[Vertex 1]],GroupVertices[Vertex],0)),1,1,"")</f>
        <v>11</v>
      </c>
      <c r="BE12" s="82" t="str">
        <f>REPLACE(INDEX(GroupVertices[Group],MATCH(Edges[[#This Row],[Vertex 2]],GroupVertices[Vertex],0)),1,1,"")</f>
        <v>11</v>
      </c>
      <c r="BF12" s="51">
        <v>2</v>
      </c>
      <c r="BG12" s="52">
        <v>6.25</v>
      </c>
      <c r="BH12" s="51">
        <v>0</v>
      </c>
      <c r="BI12" s="52">
        <v>0</v>
      </c>
      <c r="BJ12" s="51">
        <v>0</v>
      </c>
      <c r="BK12" s="52">
        <v>0</v>
      </c>
      <c r="BL12" s="51">
        <v>30</v>
      </c>
      <c r="BM12" s="52">
        <v>93.75</v>
      </c>
      <c r="BN12" s="51">
        <v>32</v>
      </c>
    </row>
    <row r="13" spans="1:66" ht="15">
      <c r="A13" s="81" t="s">
        <v>242</v>
      </c>
      <c r="B13" s="81" t="s">
        <v>253</v>
      </c>
      <c r="C13" s="53" t="s">
        <v>1370</v>
      </c>
      <c r="D13" s="54">
        <v>3</v>
      </c>
      <c r="E13" s="53" t="s">
        <v>132</v>
      </c>
      <c r="F13" s="55">
        <v>32</v>
      </c>
      <c r="G13" s="53"/>
      <c r="H13" s="57"/>
      <c r="I13" s="56"/>
      <c r="J13" s="56"/>
      <c r="K13" s="36" t="s">
        <v>65</v>
      </c>
      <c r="L13" s="62">
        <v>13</v>
      </c>
      <c r="M13" s="62"/>
      <c r="N13" s="63"/>
      <c r="O13" s="83" t="s">
        <v>287</v>
      </c>
      <c r="P13" s="85">
        <v>44479.41244212963</v>
      </c>
      <c r="Q13" s="83" t="s">
        <v>293</v>
      </c>
      <c r="R13" s="87" t="str">
        <f>HYPERLINK("https://twitter.com/Calcalistech/status/1446115448035020808")</f>
        <v>https://twitter.com/Calcalistech/status/1446115448035020808</v>
      </c>
      <c r="S13" s="83" t="s">
        <v>321</v>
      </c>
      <c r="T13" s="89" t="s">
        <v>339</v>
      </c>
      <c r="U13" s="83"/>
      <c r="V13" s="87" t="str">
        <f>HYPERLINK("https://pbs.twimg.com/profile_images/1305056454949384193/37M-C89G_normal.jpg")</f>
        <v>https://pbs.twimg.com/profile_images/1305056454949384193/37M-C89G_normal.jpg</v>
      </c>
      <c r="W13" s="85">
        <v>44479.41244212963</v>
      </c>
      <c r="X13" s="91">
        <v>44479</v>
      </c>
      <c r="Y13" s="89" t="s">
        <v>367</v>
      </c>
      <c r="Z13" s="87" t="str">
        <f>HYPERLINK("https://twitter.com/ahasidim/status/1447138317095604225")</f>
        <v>https://twitter.com/ahasidim/status/1447138317095604225</v>
      </c>
      <c r="AA13" s="83"/>
      <c r="AB13" s="83"/>
      <c r="AC13" s="89" t="s">
        <v>410</v>
      </c>
      <c r="AD13" s="83"/>
      <c r="AE13" s="83" t="b">
        <v>0</v>
      </c>
      <c r="AF13" s="83">
        <v>0</v>
      </c>
      <c r="AG13" s="89" t="s">
        <v>448</v>
      </c>
      <c r="AH13" s="83" t="b">
        <v>1</v>
      </c>
      <c r="AI13" s="83" t="s">
        <v>452</v>
      </c>
      <c r="AJ13" s="83"/>
      <c r="AK13" s="89" t="s">
        <v>454</v>
      </c>
      <c r="AL13" s="83" t="b">
        <v>0</v>
      </c>
      <c r="AM13" s="83">
        <v>8</v>
      </c>
      <c r="AN13" s="89" t="s">
        <v>422</v>
      </c>
      <c r="AO13" s="89" t="s">
        <v>456</v>
      </c>
      <c r="AP13" s="83" t="b">
        <v>0</v>
      </c>
      <c r="AQ13" s="89" t="s">
        <v>422</v>
      </c>
      <c r="AR13" s="83" t="s">
        <v>196</v>
      </c>
      <c r="AS13" s="83">
        <v>0</v>
      </c>
      <c r="AT13" s="83">
        <v>0</v>
      </c>
      <c r="AU13" s="83"/>
      <c r="AV13" s="83"/>
      <c r="AW13" s="83"/>
      <c r="AX13" s="83"/>
      <c r="AY13" s="83"/>
      <c r="AZ13" s="83"/>
      <c r="BA13" s="83"/>
      <c r="BB13" s="83"/>
      <c r="BC13">
        <v>1</v>
      </c>
      <c r="BD13" s="82" t="str">
        <f>REPLACE(INDEX(GroupVertices[Group],MATCH(Edges[[#This Row],[Vertex 1]],GroupVertices[Vertex],0)),1,1,"")</f>
        <v>2</v>
      </c>
      <c r="BE13" s="82" t="str">
        <f>REPLACE(INDEX(GroupVertices[Group],MATCH(Edges[[#This Row],[Vertex 2]],GroupVertices[Vertex],0)),1,1,"")</f>
        <v>2</v>
      </c>
      <c r="BF13" s="51">
        <v>1</v>
      </c>
      <c r="BG13" s="52">
        <v>5</v>
      </c>
      <c r="BH13" s="51">
        <v>0</v>
      </c>
      <c r="BI13" s="52">
        <v>0</v>
      </c>
      <c r="BJ13" s="51">
        <v>0</v>
      </c>
      <c r="BK13" s="52">
        <v>0</v>
      </c>
      <c r="BL13" s="51">
        <v>19</v>
      </c>
      <c r="BM13" s="52">
        <v>95</v>
      </c>
      <c r="BN13" s="51">
        <v>20</v>
      </c>
    </row>
    <row r="14" spans="1:66" ht="15">
      <c r="A14" s="81" t="s">
        <v>243</v>
      </c>
      <c r="B14" s="81" t="s">
        <v>273</v>
      </c>
      <c r="C14" s="53" t="s">
        <v>1370</v>
      </c>
      <c r="D14" s="54">
        <v>3</v>
      </c>
      <c r="E14" s="53" t="s">
        <v>132</v>
      </c>
      <c r="F14" s="55">
        <v>32</v>
      </c>
      <c r="G14" s="53"/>
      <c r="H14" s="57"/>
      <c r="I14" s="56"/>
      <c r="J14" s="56"/>
      <c r="K14" s="36" t="s">
        <v>65</v>
      </c>
      <c r="L14" s="62">
        <v>14</v>
      </c>
      <c r="M14" s="62"/>
      <c r="N14" s="63"/>
      <c r="O14" s="83" t="s">
        <v>285</v>
      </c>
      <c r="P14" s="85">
        <v>44479.58372685185</v>
      </c>
      <c r="Q14" s="83" t="s">
        <v>294</v>
      </c>
      <c r="R14" s="87" t="str">
        <f>HYPERLINK("https://thecounter.org/lab-grown-cultivated-meat-cost-at-scale/")</f>
        <v>https://thecounter.org/lab-grown-cultivated-meat-cost-at-scale/</v>
      </c>
      <c r="S14" s="83" t="s">
        <v>322</v>
      </c>
      <c r="T14" s="89" t="s">
        <v>340</v>
      </c>
      <c r="U14" s="83"/>
      <c r="V14" s="87" t="str">
        <f>HYPERLINK("https://pbs.twimg.com/profile_images/1149028472515379202/PmcjVju0_normal.png")</f>
        <v>https://pbs.twimg.com/profile_images/1149028472515379202/PmcjVju0_normal.png</v>
      </c>
      <c r="W14" s="85">
        <v>44479.58372685185</v>
      </c>
      <c r="X14" s="91">
        <v>44479</v>
      </c>
      <c r="Y14" s="89" t="s">
        <v>368</v>
      </c>
      <c r="Z14" s="87" t="str">
        <f>HYPERLINK("https://twitter.com/agreenerworld/status/1447200385731600390")</f>
        <v>https://twitter.com/agreenerworld/status/1447200385731600390</v>
      </c>
      <c r="AA14" s="83"/>
      <c r="AB14" s="83"/>
      <c r="AC14" s="89" t="s">
        <v>411</v>
      </c>
      <c r="AD14" s="83"/>
      <c r="AE14" s="83" t="b">
        <v>0</v>
      </c>
      <c r="AF14" s="83">
        <v>0</v>
      </c>
      <c r="AG14" s="89" t="s">
        <v>448</v>
      </c>
      <c r="AH14" s="83" t="b">
        <v>0</v>
      </c>
      <c r="AI14" s="83" t="s">
        <v>452</v>
      </c>
      <c r="AJ14" s="83"/>
      <c r="AK14" s="89" t="s">
        <v>448</v>
      </c>
      <c r="AL14" s="83" t="b">
        <v>0</v>
      </c>
      <c r="AM14" s="83">
        <v>0</v>
      </c>
      <c r="AN14" s="89" t="s">
        <v>448</v>
      </c>
      <c r="AO14" s="89" t="s">
        <v>458</v>
      </c>
      <c r="AP14" s="83" t="b">
        <v>0</v>
      </c>
      <c r="AQ14" s="89" t="s">
        <v>411</v>
      </c>
      <c r="AR14" s="83" t="s">
        <v>196</v>
      </c>
      <c r="AS14" s="83">
        <v>0</v>
      </c>
      <c r="AT14" s="83">
        <v>0</v>
      </c>
      <c r="AU14" s="83"/>
      <c r="AV14" s="83"/>
      <c r="AW14" s="83"/>
      <c r="AX14" s="83"/>
      <c r="AY14" s="83"/>
      <c r="AZ14" s="83"/>
      <c r="BA14" s="83"/>
      <c r="BB14" s="83"/>
      <c r="BC14">
        <v>1</v>
      </c>
      <c r="BD14" s="82" t="str">
        <f>REPLACE(INDEX(GroupVertices[Group],MATCH(Edges[[#This Row],[Vertex 1]],GroupVertices[Vertex],0)),1,1,"")</f>
        <v>5</v>
      </c>
      <c r="BE14" s="82" t="str">
        <f>REPLACE(INDEX(GroupVertices[Group],MATCH(Edges[[#This Row],[Vertex 2]],GroupVertices[Vertex],0)),1,1,"")</f>
        <v>5</v>
      </c>
      <c r="BF14" s="51"/>
      <c r="BG14" s="52"/>
      <c r="BH14" s="51"/>
      <c r="BI14" s="52"/>
      <c r="BJ14" s="51"/>
      <c r="BK14" s="52"/>
      <c r="BL14" s="51"/>
      <c r="BM14" s="52"/>
      <c r="BN14" s="51"/>
    </row>
    <row r="15" spans="1:66" ht="15">
      <c r="A15" s="81" t="s">
        <v>243</v>
      </c>
      <c r="B15" s="81" t="s">
        <v>274</v>
      </c>
      <c r="C15" s="53" t="s">
        <v>1370</v>
      </c>
      <c r="D15" s="54">
        <v>3</v>
      </c>
      <c r="E15" s="53" t="s">
        <v>132</v>
      </c>
      <c r="F15" s="55">
        <v>32</v>
      </c>
      <c r="G15" s="53"/>
      <c r="H15" s="57"/>
      <c r="I15" s="56"/>
      <c r="J15" s="56"/>
      <c r="K15" s="36" t="s">
        <v>65</v>
      </c>
      <c r="L15" s="62">
        <v>15</v>
      </c>
      <c r="M15" s="62"/>
      <c r="N15" s="63"/>
      <c r="O15" s="83" t="s">
        <v>285</v>
      </c>
      <c r="P15" s="85">
        <v>44479.58372685185</v>
      </c>
      <c r="Q15" s="83" t="s">
        <v>294</v>
      </c>
      <c r="R15" s="87" t="str">
        <f>HYPERLINK("https://thecounter.org/lab-grown-cultivated-meat-cost-at-scale/")</f>
        <v>https://thecounter.org/lab-grown-cultivated-meat-cost-at-scale/</v>
      </c>
      <c r="S15" s="83" t="s">
        <v>322</v>
      </c>
      <c r="T15" s="89" t="s">
        <v>340</v>
      </c>
      <c r="U15" s="83"/>
      <c r="V15" s="87" t="str">
        <f>HYPERLINK("https://pbs.twimg.com/profile_images/1149028472515379202/PmcjVju0_normal.png")</f>
        <v>https://pbs.twimg.com/profile_images/1149028472515379202/PmcjVju0_normal.png</v>
      </c>
      <c r="W15" s="85">
        <v>44479.58372685185</v>
      </c>
      <c r="X15" s="91">
        <v>44479</v>
      </c>
      <c r="Y15" s="89" t="s">
        <v>368</v>
      </c>
      <c r="Z15" s="87" t="str">
        <f>HYPERLINK("https://twitter.com/agreenerworld/status/1447200385731600390")</f>
        <v>https://twitter.com/agreenerworld/status/1447200385731600390</v>
      </c>
      <c r="AA15" s="83"/>
      <c r="AB15" s="83"/>
      <c r="AC15" s="89" t="s">
        <v>411</v>
      </c>
      <c r="AD15" s="83"/>
      <c r="AE15" s="83" t="b">
        <v>0</v>
      </c>
      <c r="AF15" s="83">
        <v>0</v>
      </c>
      <c r="AG15" s="89" t="s">
        <v>448</v>
      </c>
      <c r="AH15" s="83" t="b">
        <v>0</v>
      </c>
      <c r="AI15" s="83" t="s">
        <v>452</v>
      </c>
      <c r="AJ15" s="83"/>
      <c r="AK15" s="89" t="s">
        <v>448</v>
      </c>
      <c r="AL15" s="83" t="b">
        <v>0</v>
      </c>
      <c r="AM15" s="83">
        <v>0</v>
      </c>
      <c r="AN15" s="89" t="s">
        <v>448</v>
      </c>
      <c r="AO15" s="89" t="s">
        <v>458</v>
      </c>
      <c r="AP15" s="83" t="b">
        <v>0</v>
      </c>
      <c r="AQ15" s="89" t="s">
        <v>411</v>
      </c>
      <c r="AR15" s="83" t="s">
        <v>196</v>
      </c>
      <c r="AS15" s="83">
        <v>0</v>
      </c>
      <c r="AT15" s="83">
        <v>0</v>
      </c>
      <c r="AU15" s="83"/>
      <c r="AV15" s="83"/>
      <c r="AW15" s="83"/>
      <c r="AX15" s="83"/>
      <c r="AY15" s="83"/>
      <c r="AZ15" s="83"/>
      <c r="BA15" s="83"/>
      <c r="BB15" s="83"/>
      <c r="BC15">
        <v>1</v>
      </c>
      <c r="BD15" s="82" t="str">
        <f>REPLACE(INDEX(GroupVertices[Group],MATCH(Edges[[#This Row],[Vertex 1]],GroupVertices[Vertex],0)),1,1,"")</f>
        <v>5</v>
      </c>
      <c r="BE15" s="82" t="str">
        <f>REPLACE(INDEX(GroupVertices[Group],MATCH(Edges[[#This Row],[Vertex 2]],GroupVertices[Vertex],0)),1,1,"")</f>
        <v>5</v>
      </c>
      <c r="BF15" s="51">
        <v>2</v>
      </c>
      <c r="BG15" s="52">
        <v>5.714285714285714</v>
      </c>
      <c r="BH15" s="51">
        <v>2</v>
      </c>
      <c r="BI15" s="52">
        <v>5.714285714285714</v>
      </c>
      <c r="BJ15" s="51">
        <v>0</v>
      </c>
      <c r="BK15" s="52">
        <v>0</v>
      </c>
      <c r="BL15" s="51">
        <v>31</v>
      </c>
      <c r="BM15" s="52">
        <v>88.57142857142857</v>
      </c>
      <c r="BN15" s="51">
        <v>35</v>
      </c>
    </row>
    <row r="16" spans="1:66" ht="15">
      <c r="A16" s="81" t="s">
        <v>244</v>
      </c>
      <c r="B16" s="81" t="s">
        <v>262</v>
      </c>
      <c r="C16" s="53" t="s">
        <v>1370</v>
      </c>
      <c r="D16" s="54">
        <v>3</v>
      </c>
      <c r="E16" s="53" t="s">
        <v>132</v>
      </c>
      <c r="F16" s="55">
        <v>32</v>
      </c>
      <c r="G16" s="53"/>
      <c r="H16" s="57"/>
      <c r="I16" s="56"/>
      <c r="J16" s="56"/>
      <c r="K16" s="36" t="s">
        <v>65</v>
      </c>
      <c r="L16" s="62">
        <v>16</v>
      </c>
      <c r="M16" s="62"/>
      <c r="N16" s="63"/>
      <c r="O16" s="83" t="s">
        <v>285</v>
      </c>
      <c r="P16" s="85">
        <v>44480.625914351855</v>
      </c>
      <c r="Q16" s="83" t="s">
        <v>295</v>
      </c>
      <c r="R16" s="87" t="str">
        <f>HYPERLINK("https://cms21.io")</f>
        <v>https://cms21.io</v>
      </c>
      <c r="S16" s="83" t="s">
        <v>323</v>
      </c>
      <c r="T16" s="89" t="s">
        <v>341</v>
      </c>
      <c r="U16" s="83"/>
      <c r="V16" s="87" t="str">
        <f>HYPERLINK("https://pbs.twimg.com/profile_images/986622370831060992/5ijM1bBg_normal.jpg")</f>
        <v>https://pbs.twimg.com/profile_images/986622370831060992/5ijM1bBg_normal.jpg</v>
      </c>
      <c r="W16" s="85">
        <v>44480.625914351855</v>
      </c>
      <c r="X16" s="91">
        <v>44480</v>
      </c>
      <c r="Y16" s="89" t="s">
        <v>369</v>
      </c>
      <c r="Z16" s="87" t="str">
        <f>HYPERLINK("https://twitter.com/eatableadv/status/1447578061436854274")</f>
        <v>https://twitter.com/eatableadv/status/1447578061436854274</v>
      </c>
      <c r="AA16" s="83"/>
      <c r="AB16" s="83"/>
      <c r="AC16" s="89" t="s">
        <v>412</v>
      </c>
      <c r="AD16" s="83"/>
      <c r="AE16" s="83" t="b">
        <v>0</v>
      </c>
      <c r="AF16" s="83">
        <v>2</v>
      </c>
      <c r="AG16" s="89" t="s">
        <v>448</v>
      </c>
      <c r="AH16" s="83" t="b">
        <v>0</v>
      </c>
      <c r="AI16" s="83" t="s">
        <v>452</v>
      </c>
      <c r="AJ16" s="83"/>
      <c r="AK16" s="89" t="s">
        <v>448</v>
      </c>
      <c r="AL16" s="83" t="b">
        <v>0</v>
      </c>
      <c r="AM16" s="83">
        <v>0</v>
      </c>
      <c r="AN16" s="89" t="s">
        <v>448</v>
      </c>
      <c r="AO16" s="89" t="s">
        <v>459</v>
      </c>
      <c r="AP16" s="83" t="b">
        <v>0</v>
      </c>
      <c r="AQ16" s="89" t="s">
        <v>412</v>
      </c>
      <c r="AR16" s="83" t="s">
        <v>196</v>
      </c>
      <c r="AS16" s="83">
        <v>0</v>
      </c>
      <c r="AT16" s="83">
        <v>0</v>
      </c>
      <c r="AU16" s="83"/>
      <c r="AV16" s="83"/>
      <c r="AW16" s="83"/>
      <c r="AX16" s="83"/>
      <c r="AY16" s="83"/>
      <c r="AZ16" s="83"/>
      <c r="BA16" s="83"/>
      <c r="BB16" s="83"/>
      <c r="BC16">
        <v>1</v>
      </c>
      <c r="BD16" s="82" t="str">
        <f>REPLACE(INDEX(GroupVertices[Group],MATCH(Edges[[#This Row],[Vertex 1]],GroupVertices[Vertex],0)),1,1,"")</f>
        <v>10</v>
      </c>
      <c r="BE16" s="82" t="str">
        <f>REPLACE(INDEX(GroupVertices[Group],MATCH(Edges[[#This Row],[Vertex 2]],GroupVertices[Vertex],0)),1,1,"")</f>
        <v>10</v>
      </c>
      <c r="BF16" s="51">
        <v>1</v>
      </c>
      <c r="BG16" s="52">
        <v>3.7037037037037037</v>
      </c>
      <c r="BH16" s="51">
        <v>1</v>
      </c>
      <c r="BI16" s="52">
        <v>3.7037037037037037</v>
      </c>
      <c r="BJ16" s="51">
        <v>0</v>
      </c>
      <c r="BK16" s="52">
        <v>0</v>
      </c>
      <c r="BL16" s="51">
        <v>25</v>
      </c>
      <c r="BM16" s="52">
        <v>92.5925925925926</v>
      </c>
      <c r="BN16" s="51">
        <v>27</v>
      </c>
    </row>
    <row r="17" spans="1:66" ht="15">
      <c r="A17" s="81" t="s">
        <v>245</v>
      </c>
      <c r="B17" s="81" t="s">
        <v>245</v>
      </c>
      <c r="C17" s="53" t="s">
        <v>1370</v>
      </c>
      <c r="D17" s="54">
        <v>3</v>
      </c>
      <c r="E17" s="53" t="s">
        <v>132</v>
      </c>
      <c r="F17" s="55">
        <v>32</v>
      </c>
      <c r="G17" s="53"/>
      <c r="H17" s="57"/>
      <c r="I17" s="56"/>
      <c r="J17" s="56"/>
      <c r="K17" s="36" t="s">
        <v>65</v>
      </c>
      <c r="L17" s="62">
        <v>17</v>
      </c>
      <c r="M17" s="62"/>
      <c r="N17" s="63"/>
      <c r="O17" s="83" t="s">
        <v>196</v>
      </c>
      <c r="P17" s="85">
        <v>44480.91638888889</v>
      </c>
      <c r="Q17" s="83" t="s">
        <v>296</v>
      </c>
      <c r="R17" s="83"/>
      <c r="S17" s="83"/>
      <c r="T17" s="89" t="s">
        <v>342</v>
      </c>
      <c r="U17" s="83"/>
      <c r="V17" s="87" t="str">
        <f>HYPERLINK("https://pbs.twimg.com/profile_images/1417826487852433410/6ZmfU5Ge_normal.jpg")</f>
        <v>https://pbs.twimg.com/profile_images/1417826487852433410/6ZmfU5Ge_normal.jpg</v>
      </c>
      <c r="W17" s="85">
        <v>44480.91638888889</v>
      </c>
      <c r="X17" s="91">
        <v>44480</v>
      </c>
      <c r="Y17" s="89" t="s">
        <v>370</v>
      </c>
      <c r="Z17" s="87" t="str">
        <f>HYPERLINK("https://twitter.com/pstvclimate/status/1447683328040079363")</f>
        <v>https://twitter.com/pstvclimate/status/1447683328040079363</v>
      </c>
      <c r="AA17" s="83"/>
      <c r="AB17" s="83"/>
      <c r="AC17" s="89" t="s">
        <v>413</v>
      </c>
      <c r="AD17" s="89" t="s">
        <v>446</v>
      </c>
      <c r="AE17" s="83" t="b">
        <v>0</v>
      </c>
      <c r="AF17" s="83">
        <v>0</v>
      </c>
      <c r="AG17" s="89" t="s">
        <v>449</v>
      </c>
      <c r="AH17" s="83" t="b">
        <v>0</v>
      </c>
      <c r="AI17" s="83" t="s">
        <v>452</v>
      </c>
      <c r="AJ17" s="83"/>
      <c r="AK17" s="89" t="s">
        <v>448</v>
      </c>
      <c r="AL17" s="83" t="b">
        <v>0</v>
      </c>
      <c r="AM17" s="83">
        <v>0</v>
      </c>
      <c r="AN17" s="89" t="s">
        <v>448</v>
      </c>
      <c r="AO17" s="89" t="s">
        <v>456</v>
      </c>
      <c r="AP17" s="83" t="b">
        <v>0</v>
      </c>
      <c r="AQ17" s="89" t="s">
        <v>446</v>
      </c>
      <c r="AR17" s="83" t="s">
        <v>196</v>
      </c>
      <c r="AS17" s="83">
        <v>0</v>
      </c>
      <c r="AT17" s="83">
        <v>0</v>
      </c>
      <c r="AU17" s="83"/>
      <c r="AV17" s="83"/>
      <c r="AW17" s="83"/>
      <c r="AX17" s="83"/>
      <c r="AY17" s="83"/>
      <c r="AZ17" s="83"/>
      <c r="BA17" s="83"/>
      <c r="BB17" s="83"/>
      <c r="BC17">
        <v>1</v>
      </c>
      <c r="BD17" s="82" t="str">
        <f>REPLACE(INDEX(GroupVertices[Group],MATCH(Edges[[#This Row],[Vertex 1]],GroupVertices[Vertex],0)),1,1,"")</f>
        <v>3</v>
      </c>
      <c r="BE17" s="82" t="str">
        <f>REPLACE(INDEX(GroupVertices[Group],MATCH(Edges[[#This Row],[Vertex 2]],GroupVertices[Vertex],0)),1,1,"")</f>
        <v>3</v>
      </c>
      <c r="BF17" s="51">
        <v>2</v>
      </c>
      <c r="BG17" s="52">
        <v>6.451612903225806</v>
      </c>
      <c r="BH17" s="51">
        <v>0</v>
      </c>
      <c r="BI17" s="52">
        <v>0</v>
      </c>
      <c r="BJ17" s="51">
        <v>0</v>
      </c>
      <c r="BK17" s="52">
        <v>0</v>
      </c>
      <c r="BL17" s="51">
        <v>29</v>
      </c>
      <c r="BM17" s="52">
        <v>93.54838709677419</v>
      </c>
      <c r="BN17" s="51">
        <v>31</v>
      </c>
    </row>
    <row r="18" spans="1:66" ht="15">
      <c r="A18" s="81" t="s">
        <v>246</v>
      </c>
      <c r="B18" s="81" t="s">
        <v>246</v>
      </c>
      <c r="C18" s="53" t="s">
        <v>1370</v>
      </c>
      <c r="D18" s="54">
        <v>3</v>
      </c>
      <c r="E18" s="53" t="s">
        <v>132</v>
      </c>
      <c r="F18" s="55">
        <v>32</v>
      </c>
      <c r="G18" s="53"/>
      <c r="H18" s="57"/>
      <c r="I18" s="56"/>
      <c r="J18" s="56"/>
      <c r="K18" s="36" t="s">
        <v>65</v>
      </c>
      <c r="L18" s="62">
        <v>18</v>
      </c>
      <c r="M18" s="62"/>
      <c r="N18" s="63"/>
      <c r="O18" s="83" t="s">
        <v>196</v>
      </c>
      <c r="P18" s="85">
        <v>44481.28665509259</v>
      </c>
      <c r="Q18" s="83" t="s">
        <v>297</v>
      </c>
      <c r="R18" s="87" t="str">
        <f>HYPERLINK("https://www.linkedin.com/slink?code=dNAPHtUG")</f>
        <v>https://www.linkedin.com/slink?code=dNAPHtUG</v>
      </c>
      <c r="S18" s="83" t="s">
        <v>324</v>
      </c>
      <c r="T18" s="89" t="s">
        <v>343</v>
      </c>
      <c r="U18" s="87" t="str">
        <f>HYPERLINK("https://pbs.twimg.com/media/FBetP_RXoAAitdr.jpg")</f>
        <v>https://pbs.twimg.com/media/FBetP_RXoAAitdr.jpg</v>
      </c>
      <c r="V18" s="87" t="str">
        <f>HYPERLINK("https://pbs.twimg.com/media/FBetP_RXoAAitdr.jpg")</f>
        <v>https://pbs.twimg.com/media/FBetP_RXoAAitdr.jpg</v>
      </c>
      <c r="W18" s="85">
        <v>44481.28665509259</v>
      </c>
      <c r="X18" s="91">
        <v>44481</v>
      </c>
      <c r="Y18" s="89" t="s">
        <v>371</v>
      </c>
      <c r="Z18" s="87" t="str">
        <f>HYPERLINK("https://twitter.com/anikabockisch/status/1447817506635362305")</f>
        <v>https://twitter.com/anikabockisch/status/1447817506635362305</v>
      </c>
      <c r="AA18" s="83"/>
      <c r="AB18" s="83"/>
      <c r="AC18" s="89" t="s">
        <v>414</v>
      </c>
      <c r="AD18" s="83"/>
      <c r="AE18" s="83" t="b">
        <v>0</v>
      </c>
      <c r="AF18" s="83">
        <v>0</v>
      </c>
      <c r="AG18" s="89" t="s">
        <v>448</v>
      </c>
      <c r="AH18" s="83" t="b">
        <v>0</v>
      </c>
      <c r="AI18" s="83" t="s">
        <v>452</v>
      </c>
      <c r="AJ18" s="83"/>
      <c r="AK18" s="89" t="s">
        <v>448</v>
      </c>
      <c r="AL18" s="83" t="b">
        <v>0</v>
      </c>
      <c r="AM18" s="83">
        <v>0</v>
      </c>
      <c r="AN18" s="89" t="s">
        <v>448</v>
      </c>
      <c r="AO18" s="89" t="s">
        <v>456</v>
      </c>
      <c r="AP18" s="83" t="b">
        <v>0</v>
      </c>
      <c r="AQ18" s="89" t="s">
        <v>414</v>
      </c>
      <c r="AR18" s="83" t="s">
        <v>196</v>
      </c>
      <c r="AS18" s="83">
        <v>0</v>
      </c>
      <c r="AT18" s="83">
        <v>0</v>
      </c>
      <c r="AU18" s="83"/>
      <c r="AV18" s="83"/>
      <c r="AW18" s="83"/>
      <c r="AX18" s="83"/>
      <c r="AY18" s="83"/>
      <c r="AZ18" s="83"/>
      <c r="BA18" s="83"/>
      <c r="BB18" s="83"/>
      <c r="BC18">
        <v>1</v>
      </c>
      <c r="BD18" s="82" t="str">
        <f>REPLACE(INDEX(GroupVertices[Group],MATCH(Edges[[#This Row],[Vertex 1]],GroupVertices[Vertex],0)),1,1,"")</f>
        <v>3</v>
      </c>
      <c r="BE18" s="82" t="str">
        <f>REPLACE(INDEX(GroupVertices[Group],MATCH(Edges[[#This Row],[Vertex 2]],GroupVertices[Vertex],0)),1,1,"")</f>
        <v>3</v>
      </c>
      <c r="BF18" s="51">
        <v>1</v>
      </c>
      <c r="BG18" s="52">
        <v>2.857142857142857</v>
      </c>
      <c r="BH18" s="51">
        <v>0</v>
      </c>
      <c r="BI18" s="52">
        <v>0</v>
      </c>
      <c r="BJ18" s="51">
        <v>0</v>
      </c>
      <c r="BK18" s="52">
        <v>0</v>
      </c>
      <c r="BL18" s="51">
        <v>34</v>
      </c>
      <c r="BM18" s="52">
        <v>97.14285714285714</v>
      </c>
      <c r="BN18" s="51">
        <v>35</v>
      </c>
    </row>
    <row r="19" spans="1:66" ht="30">
      <c r="A19" s="81" t="s">
        <v>247</v>
      </c>
      <c r="B19" s="81" t="s">
        <v>275</v>
      </c>
      <c r="C19" s="53" t="s">
        <v>1371</v>
      </c>
      <c r="D19" s="54">
        <v>3</v>
      </c>
      <c r="E19" s="53" t="s">
        <v>136</v>
      </c>
      <c r="F19" s="55">
        <v>19</v>
      </c>
      <c r="G19" s="53"/>
      <c r="H19" s="57"/>
      <c r="I19" s="56"/>
      <c r="J19" s="56"/>
      <c r="K19" s="36" t="s">
        <v>65</v>
      </c>
      <c r="L19" s="62">
        <v>19</v>
      </c>
      <c r="M19" s="62"/>
      <c r="N19" s="63"/>
      <c r="O19" s="83" t="s">
        <v>285</v>
      </c>
      <c r="P19" s="85">
        <v>44480.541909722226</v>
      </c>
      <c r="Q19" s="83" t="s">
        <v>298</v>
      </c>
      <c r="R19" s="87" t="str">
        <f>HYPERLINK("https://geneticliteracyproject.org/2021/10/11/a-future-in-which-meat-no-longer-requires-animal-slaughter-there-are-some-barriers-to-that-goal/?utm_medium=Social&amp;utm_source=Twitter#Echobox=1633926304-1")</f>
        <v>https://geneticliteracyproject.org/2021/10/11/a-future-in-which-meat-no-longer-requires-animal-slaughter-there-are-some-barriers-to-that-goal/?utm_medium=Social&amp;utm_source=Twitter#Echobox=1633926304-1</v>
      </c>
      <c r="S19" s="83" t="s">
        <v>325</v>
      </c>
      <c r="T19" s="89" t="s">
        <v>344</v>
      </c>
      <c r="U19" s="83"/>
      <c r="V19" s="87" t="str">
        <f>HYPERLINK("https://pbs.twimg.com/profile_images/1193985020521791488/nRCt_CqI_normal.jpg")</f>
        <v>https://pbs.twimg.com/profile_images/1193985020521791488/nRCt_CqI_normal.jpg</v>
      </c>
      <c r="W19" s="85">
        <v>44480.541909722226</v>
      </c>
      <c r="X19" s="91">
        <v>44480</v>
      </c>
      <c r="Y19" s="89" t="s">
        <v>372</v>
      </c>
      <c r="Z19" s="87" t="str">
        <f>HYPERLINK("https://twitter.com/geneticliteracy/status/1447547618607964163")</f>
        <v>https://twitter.com/geneticliteracy/status/1447547618607964163</v>
      </c>
      <c r="AA19" s="83"/>
      <c r="AB19" s="83"/>
      <c r="AC19" s="89" t="s">
        <v>415</v>
      </c>
      <c r="AD19" s="83"/>
      <c r="AE19" s="83" t="b">
        <v>0</v>
      </c>
      <c r="AF19" s="83">
        <v>0</v>
      </c>
      <c r="AG19" s="89" t="s">
        <v>448</v>
      </c>
      <c r="AH19" s="83" t="b">
        <v>0</v>
      </c>
      <c r="AI19" s="83" t="s">
        <v>452</v>
      </c>
      <c r="AJ19" s="83"/>
      <c r="AK19" s="89" t="s">
        <v>448</v>
      </c>
      <c r="AL19" s="83" t="b">
        <v>0</v>
      </c>
      <c r="AM19" s="83">
        <v>0</v>
      </c>
      <c r="AN19" s="89" t="s">
        <v>448</v>
      </c>
      <c r="AO19" s="89" t="s">
        <v>460</v>
      </c>
      <c r="AP19" s="83" t="b">
        <v>0</v>
      </c>
      <c r="AQ19" s="89" t="s">
        <v>415</v>
      </c>
      <c r="AR19" s="83" t="s">
        <v>196</v>
      </c>
      <c r="AS19" s="83">
        <v>0</v>
      </c>
      <c r="AT19" s="83">
        <v>0</v>
      </c>
      <c r="AU19" s="83"/>
      <c r="AV19" s="83"/>
      <c r="AW19" s="83"/>
      <c r="AX19" s="83"/>
      <c r="AY19" s="83"/>
      <c r="AZ19" s="83"/>
      <c r="BA19" s="83"/>
      <c r="BB19" s="83"/>
      <c r="BC19">
        <v>2</v>
      </c>
      <c r="BD19" s="82" t="str">
        <f>REPLACE(INDEX(GroupVertices[Group],MATCH(Edges[[#This Row],[Vertex 1]],GroupVertices[Vertex],0)),1,1,"")</f>
        <v>1</v>
      </c>
      <c r="BE19" s="82" t="str">
        <f>REPLACE(INDEX(GroupVertices[Group],MATCH(Edges[[#This Row],[Vertex 2]],GroupVertices[Vertex],0)),1,1,"")</f>
        <v>1</v>
      </c>
      <c r="BF19" s="51">
        <v>0</v>
      </c>
      <c r="BG19" s="52">
        <v>0</v>
      </c>
      <c r="BH19" s="51">
        <v>0</v>
      </c>
      <c r="BI19" s="52">
        <v>0</v>
      </c>
      <c r="BJ19" s="51">
        <v>0</v>
      </c>
      <c r="BK19" s="52">
        <v>0</v>
      </c>
      <c r="BL19" s="51">
        <v>22</v>
      </c>
      <c r="BM19" s="52">
        <v>100</v>
      </c>
      <c r="BN19" s="51">
        <v>22</v>
      </c>
    </row>
    <row r="20" spans="1:66" ht="30">
      <c r="A20" s="81" t="s">
        <v>247</v>
      </c>
      <c r="B20" s="81" t="s">
        <v>275</v>
      </c>
      <c r="C20" s="53" t="s">
        <v>1371</v>
      </c>
      <c r="D20" s="54">
        <v>3</v>
      </c>
      <c r="E20" s="53" t="s">
        <v>136</v>
      </c>
      <c r="F20" s="55">
        <v>19</v>
      </c>
      <c r="G20" s="53"/>
      <c r="H20" s="57"/>
      <c r="I20" s="56"/>
      <c r="J20" s="56"/>
      <c r="K20" s="36" t="s">
        <v>65</v>
      </c>
      <c r="L20" s="62">
        <v>20</v>
      </c>
      <c r="M20" s="62"/>
      <c r="N20" s="63"/>
      <c r="O20" s="83" t="s">
        <v>285</v>
      </c>
      <c r="P20" s="85">
        <v>44481.52006944444</v>
      </c>
      <c r="Q20" s="83" t="s">
        <v>299</v>
      </c>
      <c r="R20" s="87" t="str">
        <f>HYPERLINK("https://geneticliteracyproject.org/2021/10/11/a-future-in-which-meat-no-longer-requires-animal-slaughter-there-are-some-barriers-to-that-goal/?utm_medium=Social&amp;utm_source=Twitter#Echobox=1633926322")</f>
        <v>https://geneticliteracyproject.org/2021/10/11/a-future-in-which-meat-no-longer-requires-animal-slaughter-there-are-some-barriers-to-that-goal/?utm_medium=Social&amp;utm_source=Twitter#Echobox=1633926322</v>
      </c>
      <c r="S20" s="83" t="s">
        <v>325</v>
      </c>
      <c r="T20" s="89" t="s">
        <v>344</v>
      </c>
      <c r="U20" s="83"/>
      <c r="V20" s="87" t="str">
        <f>HYPERLINK("https://pbs.twimg.com/profile_images/1193985020521791488/nRCt_CqI_normal.jpg")</f>
        <v>https://pbs.twimg.com/profile_images/1193985020521791488/nRCt_CqI_normal.jpg</v>
      </c>
      <c r="W20" s="85">
        <v>44481.52006944444</v>
      </c>
      <c r="X20" s="91">
        <v>44481</v>
      </c>
      <c r="Y20" s="89" t="s">
        <v>373</v>
      </c>
      <c r="Z20" s="87" t="str">
        <f>HYPERLINK("https://twitter.com/geneticliteracy/status/1447902093948375044")</f>
        <v>https://twitter.com/geneticliteracy/status/1447902093948375044</v>
      </c>
      <c r="AA20" s="83"/>
      <c r="AB20" s="83"/>
      <c r="AC20" s="89" t="s">
        <v>416</v>
      </c>
      <c r="AD20" s="83"/>
      <c r="AE20" s="83" t="b">
        <v>0</v>
      </c>
      <c r="AF20" s="83">
        <v>1</v>
      </c>
      <c r="AG20" s="89" t="s">
        <v>448</v>
      </c>
      <c r="AH20" s="83" t="b">
        <v>0</v>
      </c>
      <c r="AI20" s="83" t="s">
        <v>452</v>
      </c>
      <c r="AJ20" s="83"/>
      <c r="AK20" s="89" t="s">
        <v>448</v>
      </c>
      <c r="AL20" s="83" t="b">
        <v>0</v>
      </c>
      <c r="AM20" s="83">
        <v>0</v>
      </c>
      <c r="AN20" s="89" t="s">
        <v>448</v>
      </c>
      <c r="AO20" s="89" t="s">
        <v>460</v>
      </c>
      <c r="AP20" s="83" t="b">
        <v>0</v>
      </c>
      <c r="AQ20" s="89" t="s">
        <v>416</v>
      </c>
      <c r="AR20" s="83" t="s">
        <v>196</v>
      </c>
      <c r="AS20" s="83">
        <v>0</v>
      </c>
      <c r="AT20" s="83">
        <v>0</v>
      </c>
      <c r="AU20" s="83"/>
      <c r="AV20" s="83"/>
      <c r="AW20" s="83"/>
      <c r="AX20" s="83"/>
      <c r="AY20" s="83"/>
      <c r="AZ20" s="83"/>
      <c r="BA20" s="83"/>
      <c r="BB20" s="83"/>
      <c r="BC20">
        <v>2</v>
      </c>
      <c r="BD20" s="82" t="str">
        <f>REPLACE(INDEX(GroupVertices[Group],MATCH(Edges[[#This Row],[Vertex 1]],GroupVertices[Vertex],0)),1,1,"")</f>
        <v>1</v>
      </c>
      <c r="BE20" s="82" t="str">
        <f>REPLACE(INDEX(GroupVertices[Group],MATCH(Edges[[#This Row],[Vertex 2]],GroupVertices[Vertex],0)),1,1,"")</f>
        <v>1</v>
      </c>
      <c r="BF20" s="51">
        <v>0</v>
      </c>
      <c r="BG20" s="52">
        <v>0</v>
      </c>
      <c r="BH20" s="51">
        <v>0</v>
      </c>
      <c r="BI20" s="52">
        <v>0</v>
      </c>
      <c r="BJ20" s="51">
        <v>0</v>
      </c>
      <c r="BK20" s="52">
        <v>0</v>
      </c>
      <c r="BL20" s="51">
        <v>14</v>
      </c>
      <c r="BM20" s="52">
        <v>100</v>
      </c>
      <c r="BN20" s="51">
        <v>14</v>
      </c>
    </row>
    <row r="21" spans="1:66" ht="15">
      <c r="A21" s="81" t="s">
        <v>248</v>
      </c>
      <c r="B21" s="81" t="s">
        <v>276</v>
      </c>
      <c r="C21" s="53" t="s">
        <v>1370</v>
      </c>
      <c r="D21" s="54">
        <v>3</v>
      </c>
      <c r="E21" s="53" t="s">
        <v>132</v>
      </c>
      <c r="F21" s="55">
        <v>32</v>
      </c>
      <c r="G21" s="53"/>
      <c r="H21" s="57"/>
      <c r="I21" s="56"/>
      <c r="J21" s="56"/>
      <c r="K21" s="36" t="s">
        <v>65</v>
      </c>
      <c r="L21" s="62">
        <v>21</v>
      </c>
      <c r="M21" s="62"/>
      <c r="N21" s="63"/>
      <c r="O21" s="83" t="s">
        <v>285</v>
      </c>
      <c r="P21" s="85">
        <v>44482.37912037037</v>
      </c>
      <c r="Q21" s="83" t="s">
        <v>300</v>
      </c>
      <c r="R21" s="83"/>
      <c r="S21" s="83"/>
      <c r="T21" s="89" t="s">
        <v>345</v>
      </c>
      <c r="U21" s="87" t="str">
        <f>HYPERLINK("https://pbs.twimg.com/media/FBkWNsRX0AMZ-wX.jpg")</f>
        <v>https://pbs.twimg.com/media/FBkWNsRX0AMZ-wX.jpg</v>
      </c>
      <c r="V21" s="87" t="str">
        <f>HYPERLINK("https://pbs.twimg.com/media/FBkWNsRX0AMZ-wX.jpg")</f>
        <v>https://pbs.twimg.com/media/FBkWNsRX0AMZ-wX.jpg</v>
      </c>
      <c r="W21" s="85">
        <v>44482.37912037037</v>
      </c>
      <c r="X21" s="91">
        <v>44482</v>
      </c>
      <c r="Y21" s="89" t="s">
        <v>374</v>
      </c>
      <c r="Z21" s="87" t="str">
        <f>HYPERLINK("https://twitter.com/futuremeattech1/status/1448213401453350912")</f>
        <v>https://twitter.com/futuremeattech1/status/1448213401453350912</v>
      </c>
      <c r="AA21" s="83"/>
      <c r="AB21" s="83"/>
      <c r="AC21" s="89" t="s">
        <v>417</v>
      </c>
      <c r="AD21" s="83"/>
      <c r="AE21" s="83" t="b">
        <v>0</v>
      </c>
      <c r="AF21" s="83">
        <v>1</v>
      </c>
      <c r="AG21" s="89" t="s">
        <v>448</v>
      </c>
      <c r="AH21" s="83" t="b">
        <v>0</v>
      </c>
      <c r="AI21" s="83" t="s">
        <v>452</v>
      </c>
      <c r="AJ21" s="83"/>
      <c r="AK21" s="89" t="s">
        <v>448</v>
      </c>
      <c r="AL21" s="83" t="b">
        <v>0</v>
      </c>
      <c r="AM21" s="83">
        <v>0</v>
      </c>
      <c r="AN21" s="89" t="s">
        <v>448</v>
      </c>
      <c r="AO21" s="89" t="s">
        <v>456</v>
      </c>
      <c r="AP21" s="83" t="b">
        <v>0</v>
      </c>
      <c r="AQ21" s="89" t="s">
        <v>417</v>
      </c>
      <c r="AR21" s="83" t="s">
        <v>196</v>
      </c>
      <c r="AS21" s="83">
        <v>0</v>
      </c>
      <c r="AT21" s="83">
        <v>0</v>
      </c>
      <c r="AU21" s="83"/>
      <c r="AV21" s="83"/>
      <c r="AW21" s="83"/>
      <c r="AX21" s="83"/>
      <c r="AY21" s="83"/>
      <c r="AZ21" s="83"/>
      <c r="BA21" s="83"/>
      <c r="BB21" s="83"/>
      <c r="BC21">
        <v>1</v>
      </c>
      <c r="BD21" s="82" t="str">
        <f>REPLACE(INDEX(GroupVertices[Group],MATCH(Edges[[#This Row],[Vertex 1]],GroupVertices[Vertex],0)),1,1,"")</f>
        <v>9</v>
      </c>
      <c r="BE21" s="82" t="str">
        <f>REPLACE(INDEX(GroupVertices[Group],MATCH(Edges[[#This Row],[Vertex 2]],GroupVertices[Vertex],0)),1,1,"")</f>
        <v>9</v>
      </c>
      <c r="BF21" s="51">
        <v>1</v>
      </c>
      <c r="BG21" s="52">
        <v>2.380952380952381</v>
      </c>
      <c r="BH21" s="51">
        <v>0</v>
      </c>
      <c r="BI21" s="52">
        <v>0</v>
      </c>
      <c r="BJ21" s="51">
        <v>0</v>
      </c>
      <c r="BK21" s="52">
        <v>0</v>
      </c>
      <c r="BL21" s="51">
        <v>41</v>
      </c>
      <c r="BM21" s="52">
        <v>97.61904761904762</v>
      </c>
      <c r="BN21" s="51">
        <v>42</v>
      </c>
    </row>
    <row r="22" spans="1:66" ht="15">
      <c r="A22" s="81" t="s">
        <v>249</v>
      </c>
      <c r="B22" s="81" t="s">
        <v>253</v>
      </c>
      <c r="C22" s="53" t="s">
        <v>1370</v>
      </c>
      <c r="D22" s="54">
        <v>3</v>
      </c>
      <c r="E22" s="53" t="s">
        <v>132</v>
      </c>
      <c r="F22" s="55">
        <v>32</v>
      </c>
      <c r="G22" s="53"/>
      <c r="H22" s="57"/>
      <c r="I22" s="56"/>
      <c r="J22" s="56"/>
      <c r="K22" s="36" t="s">
        <v>65</v>
      </c>
      <c r="L22" s="62">
        <v>22</v>
      </c>
      <c r="M22" s="62"/>
      <c r="N22" s="63"/>
      <c r="O22" s="83" t="s">
        <v>287</v>
      </c>
      <c r="P22" s="85">
        <v>44482.52141203704</v>
      </c>
      <c r="Q22" s="83" t="s">
        <v>301</v>
      </c>
      <c r="R22" s="83"/>
      <c r="S22" s="83"/>
      <c r="T22" s="89" t="s">
        <v>346</v>
      </c>
      <c r="U22" s="87" t="str">
        <f>HYPERLINK("https://pbs.twimg.com/media/FBlFJBgWEAAILms.jpg")</f>
        <v>https://pbs.twimg.com/media/FBlFJBgWEAAILms.jpg</v>
      </c>
      <c r="V22" s="87" t="str">
        <f>HYPERLINK("https://pbs.twimg.com/media/FBlFJBgWEAAILms.jpg")</f>
        <v>https://pbs.twimg.com/media/FBlFJBgWEAAILms.jpg</v>
      </c>
      <c r="W22" s="85">
        <v>44482.52141203704</v>
      </c>
      <c r="X22" s="91">
        <v>44482</v>
      </c>
      <c r="Y22" s="89" t="s">
        <v>375</v>
      </c>
      <c r="Z22" s="87" t="str">
        <f>HYPERLINK("https://twitter.com/ark_royal0909/status/1448264970014105601")</f>
        <v>https://twitter.com/ark_royal0909/status/1448264970014105601</v>
      </c>
      <c r="AA22" s="83"/>
      <c r="AB22" s="83"/>
      <c r="AC22" s="89" t="s">
        <v>418</v>
      </c>
      <c r="AD22" s="83"/>
      <c r="AE22" s="83" t="b">
        <v>0</v>
      </c>
      <c r="AF22" s="83">
        <v>0</v>
      </c>
      <c r="AG22" s="89" t="s">
        <v>448</v>
      </c>
      <c r="AH22" s="83" t="b">
        <v>0</v>
      </c>
      <c r="AI22" s="83" t="s">
        <v>452</v>
      </c>
      <c r="AJ22" s="83"/>
      <c r="AK22" s="89" t="s">
        <v>448</v>
      </c>
      <c r="AL22" s="83" t="b">
        <v>0</v>
      </c>
      <c r="AM22" s="83">
        <v>2</v>
      </c>
      <c r="AN22" s="89" t="s">
        <v>423</v>
      </c>
      <c r="AO22" s="89" t="s">
        <v>457</v>
      </c>
      <c r="AP22" s="83" t="b">
        <v>0</v>
      </c>
      <c r="AQ22" s="89" t="s">
        <v>423</v>
      </c>
      <c r="AR22" s="83" t="s">
        <v>196</v>
      </c>
      <c r="AS22" s="83">
        <v>0</v>
      </c>
      <c r="AT22" s="83">
        <v>0</v>
      </c>
      <c r="AU22" s="83"/>
      <c r="AV22" s="83"/>
      <c r="AW22" s="83"/>
      <c r="AX22" s="83"/>
      <c r="AY22" s="83"/>
      <c r="AZ22" s="83"/>
      <c r="BA22" s="83"/>
      <c r="BB22" s="83"/>
      <c r="BC22">
        <v>1</v>
      </c>
      <c r="BD22" s="82" t="str">
        <f>REPLACE(INDEX(GroupVertices[Group],MATCH(Edges[[#This Row],[Vertex 1]],GroupVertices[Vertex],0)),1,1,"")</f>
        <v>2</v>
      </c>
      <c r="BE22" s="82" t="str">
        <f>REPLACE(INDEX(GroupVertices[Group],MATCH(Edges[[#This Row],[Vertex 2]],GroupVertices[Vertex],0)),1,1,"")</f>
        <v>2</v>
      </c>
      <c r="BF22" s="51">
        <v>0</v>
      </c>
      <c r="BG22" s="52">
        <v>0</v>
      </c>
      <c r="BH22" s="51">
        <v>1</v>
      </c>
      <c r="BI22" s="52">
        <v>2.4390243902439024</v>
      </c>
      <c r="BJ22" s="51">
        <v>0</v>
      </c>
      <c r="BK22" s="52">
        <v>0</v>
      </c>
      <c r="BL22" s="51">
        <v>40</v>
      </c>
      <c r="BM22" s="52">
        <v>97.5609756097561</v>
      </c>
      <c r="BN22" s="51">
        <v>41</v>
      </c>
    </row>
    <row r="23" spans="1:66" ht="15">
      <c r="A23" s="81" t="s">
        <v>250</v>
      </c>
      <c r="B23" s="81" t="s">
        <v>277</v>
      </c>
      <c r="C23" s="53" t="s">
        <v>1370</v>
      </c>
      <c r="D23" s="54">
        <v>3</v>
      </c>
      <c r="E23" s="53" t="s">
        <v>132</v>
      </c>
      <c r="F23" s="55">
        <v>32</v>
      </c>
      <c r="G23" s="53"/>
      <c r="H23" s="57"/>
      <c r="I23" s="56"/>
      <c r="J23" s="56"/>
      <c r="K23" s="36" t="s">
        <v>65</v>
      </c>
      <c r="L23" s="62">
        <v>23</v>
      </c>
      <c r="M23" s="62"/>
      <c r="N23" s="63"/>
      <c r="O23" s="83" t="s">
        <v>285</v>
      </c>
      <c r="P23" s="85">
        <v>44481.88099537037</v>
      </c>
      <c r="Q23" s="83" t="s">
        <v>302</v>
      </c>
      <c r="R23" s="87" t="str">
        <f aca="true" t="shared" si="0" ref="R23:R42">HYPERLINK("https://nodexlgraphgallery.org/Pages/Graph.aspx?graphID=264394")</f>
        <v>https://nodexlgraphgallery.org/Pages/Graph.aspx?graphID=264394</v>
      </c>
      <c r="S23" s="83" t="s">
        <v>326</v>
      </c>
      <c r="T23" s="89" t="s">
        <v>347</v>
      </c>
      <c r="U23" s="83"/>
      <c r="V23" s="87" t="str">
        <f>HYPERLINK("https://pbs.twimg.com/profile_images/993645134372798469/pAZy1Q6j_normal.jpg")</f>
        <v>https://pbs.twimg.com/profile_images/993645134372798469/pAZy1Q6j_normal.jpg</v>
      </c>
      <c r="W23" s="85">
        <v>44481.88099537037</v>
      </c>
      <c r="X23" s="91">
        <v>44481</v>
      </c>
      <c r="Y23" s="89" t="s">
        <v>376</v>
      </c>
      <c r="Z23" s="87" t="str">
        <f>HYPERLINK("https://twitter.com/docassar/status/1448032889485107204")</f>
        <v>https://twitter.com/docassar/status/1448032889485107204</v>
      </c>
      <c r="AA23" s="83"/>
      <c r="AB23" s="83"/>
      <c r="AC23" s="89" t="s">
        <v>419</v>
      </c>
      <c r="AD23" s="83"/>
      <c r="AE23" s="83" t="b">
        <v>0</v>
      </c>
      <c r="AF23" s="83">
        <v>6</v>
      </c>
      <c r="AG23" s="89" t="s">
        <v>448</v>
      </c>
      <c r="AH23" s="83" t="b">
        <v>0</v>
      </c>
      <c r="AI23" s="83" t="s">
        <v>452</v>
      </c>
      <c r="AJ23" s="83"/>
      <c r="AK23" s="89" t="s">
        <v>448</v>
      </c>
      <c r="AL23" s="83" t="b">
        <v>0</v>
      </c>
      <c r="AM23" s="83">
        <v>1</v>
      </c>
      <c r="AN23" s="89" t="s">
        <v>448</v>
      </c>
      <c r="AO23" s="89" t="s">
        <v>456</v>
      </c>
      <c r="AP23" s="83" t="b">
        <v>0</v>
      </c>
      <c r="AQ23" s="89" t="s">
        <v>419</v>
      </c>
      <c r="AR23" s="83" t="s">
        <v>196</v>
      </c>
      <c r="AS23" s="83">
        <v>0</v>
      </c>
      <c r="AT23" s="83">
        <v>0</v>
      </c>
      <c r="AU23" s="83"/>
      <c r="AV23" s="83"/>
      <c r="AW23" s="83"/>
      <c r="AX23" s="83"/>
      <c r="AY23" s="83"/>
      <c r="AZ23" s="83"/>
      <c r="BA23" s="83"/>
      <c r="BB23" s="83"/>
      <c r="BC23">
        <v>1</v>
      </c>
      <c r="BD23" s="82" t="str">
        <f>REPLACE(INDEX(GroupVertices[Group],MATCH(Edges[[#This Row],[Vertex 1]],GroupVertices[Vertex],0)),1,1,"")</f>
        <v>1</v>
      </c>
      <c r="BE23" s="82" t="str">
        <f>REPLACE(INDEX(GroupVertices[Group],MATCH(Edges[[#This Row],[Vertex 2]],GroupVertices[Vertex],0)),1,1,"")</f>
        <v>1</v>
      </c>
      <c r="BF23" s="51"/>
      <c r="BG23" s="52"/>
      <c r="BH23" s="51"/>
      <c r="BI23" s="52"/>
      <c r="BJ23" s="51"/>
      <c r="BK23" s="52"/>
      <c r="BL23" s="51"/>
      <c r="BM23" s="52"/>
      <c r="BN23" s="51"/>
    </row>
    <row r="24" spans="1:66" ht="15">
      <c r="A24" s="81" t="s">
        <v>251</v>
      </c>
      <c r="B24" s="81" t="s">
        <v>277</v>
      </c>
      <c r="C24" s="53" t="s">
        <v>1370</v>
      </c>
      <c r="D24" s="54">
        <v>3</v>
      </c>
      <c r="E24" s="53" t="s">
        <v>132</v>
      </c>
      <c r="F24" s="55">
        <v>32</v>
      </c>
      <c r="G24" s="53"/>
      <c r="H24" s="57"/>
      <c r="I24" s="56"/>
      <c r="J24" s="56"/>
      <c r="K24" s="36" t="s">
        <v>65</v>
      </c>
      <c r="L24" s="62">
        <v>24</v>
      </c>
      <c r="M24" s="62"/>
      <c r="N24" s="63"/>
      <c r="O24" s="83" t="s">
        <v>286</v>
      </c>
      <c r="P24" s="85">
        <v>44482.836180555554</v>
      </c>
      <c r="Q24" s="83" t="s">
        <v>302</v>
      </c>
      <c r="R24" s="87" t="str">
        <f t="shared" si="0"/>
        <v>https://nodexlgraphgallery.org/Pages/Graph.aspx?graphID=264394</v>
      </c>
      <c r="S24" s="83" t="s">
        <v>326</v>
      </c>
      <c r="T24" s="83"/>
      <c r="U24" s="83"/>
      <c r="V24" s="87" t="str">
        <f>HYPERLINK("https://pbs.twimg.com/profile_images/1365866667100827650/Sz4fHM1k_normal.jpg")</f>
        <v>https://pbs.twimg.com/profile_images/1365866667100827650/Sz4fHM1k_normal.jpg</v>
      </c>
      <c r="W24" s="85">
        <v>44482.836180555554</v>
      </c>
      <c r="X24" s="91">
        <v>44482</v>
      </c>
      <c r="Y24" s="89" t="s">
        <v>377</v>
      </c>
      <c r="Z24" s="87" t="str">
        <f>HYPERLINK("https://twitter.com/ra_mc/status/1448379038314246150")</f>
        <v>https://twitter.com/ra_mc/status/1448379038314246150</v>
      </c>
      <c r="AA24" s="83"/>
      <c r="AB24" s="83"/>
      <c r="AC24" s="89" t="s">
        <v>420</v>
      </c>
      <c r="AD24" s="83"/>
      <c r="AE24" s="83" t="b">
        <v>0</v>
      </c>
      <c r="AF24" s="83">
        <v>0</v>
      </c>
      <c r="AG24" s="89" t="s">
        <v>448</v>
      </c>
      <c r="AH24" s="83" t="b">
        <v>0</v>
      </c>
      <c r="AI24" s="83" t="s">
        <v>452</v>
      </c>
      <c r="AJ24" s="83"/>
      <c r="AK24" s="89" t="s">
        <v>448</v>
      </c>
      <c r="AL24" s="83" t="b">
        <v>0</v>
      </c>
      <c r="AM24" s="83">
        <v>1</v>
      </c>
      <c r="AN24" s="89" t="s">
        <v>419</v>
      </c>
      <c r="AO24" s="89" t="s">
        <v>461</v>
      </c>
      <c r="AP24" s="83" t="b">
        <v>0</v>
      </c>
      <c r="AQ24" s="89" t="s">
        <v>419</v>
      </c>
      <c r="AR24" s="83" t="s">
        <v>196</v>
      </c>
      <c r="AS24" s="83">
        <v>0</v>
      </c>
      <c r="AT24" s="83">
        <v>0</v>
      </c>
      <c r="AU24" s="83"/>
      <c r="AV24" s="83"/>
      <c r="AW24" s="83"/>
      <c r="AX24" s="83"/>
      <c r="AY24" s="83"/>
      <c r="AZ24" s="83"/>
      <c r="BA24" s="83"/>
      <c r="BB24" s="83"/>
      <c r="BC24">
        <v>1</v>
      </c>
      <c r="BD24" s="82" t="str">
        <f>REPLACE(INDEX(GroupVertices[Group],MATCH(Edges[[#This Row],[Vertex 1]],GroupVertices[Vertex],0)),1,1,"")</f>
        <v>1</v>
      </c>
      <c r="BE24" s="82" t="str">
        <f>REPLACE(INDEX(GroupVertices[Group],MATCH(Edges[[#This Row],[Vertex 2]],GroupVertices[Vertex],0)),1,1,"")</f>
        <v>1</v>
      </c>
      <c r="BF24" s="51"/>
      <c r="BG24" s="52"/>
      <c r="BH24" s="51"/>
      <c r="BI24" s="52"/>
      <c r="BJ24" s="51"/>
      <c r="BK24" s="52"/>
      <c r="BL24" s="51"/>
      <c r="BM24" s="52"/>
      <c r="BN24" s="51"/>
    </row>
    <row r="25" spans="1:66" ht="15">
      <c r="A25" s="81" t="s">
        <v>250</v>
      </c>
      <c r="B25" s="81" t="s">
        <v>278</v>
      </c>
      <c r="C25" s="53" t="s">
        <v>1370</v>
      </c>
      <c r="D25" s="54">
        <v>3</v>
      </c>
      <c r="E25" s="53" t="s">
        <v>132</v>
      </c>
      <c r="F25" s="55">
        <v>32</v>
      </c>
      <c r="G25" s="53"/>
      <c r="H25" s="57"/>
      <c r="I25" s="56"/>
      <c r="J25" s="56"/>
      <c r="K25" s="36" t="s">
        <v>65</v>
      </c>
      <c r="L25" s="62">
        <v>25</v>
      </c>
      <c r="M25" s="62"/>
      <c r="N25" s="63"/>
      <c r="O25" s="83" t="s">
        <v>285</v>
      </c>
      <c r="P25" s="85">
        <v>44481.88099537037</v>
      </c>
      <c r="Q25" s="83" t="s">
        <v>302</v>
      </c>
      <c r="R25" s="87" t="str">
        <f t="shared" si="0"/>
        <v>https://nodexlgraphgallery.org/Pages/Graph.aspx?graphID=264394</v>
      </c>
      <c r="S25" s="83" t="s">
        <v>326</v>
      </c>
      <c r="T25" s="89" t="s">
        <v>347</v>
      </c>
      <c r="U25" s="83"/>
      <c r="V25" s="87" t="str">
        <f>HYPERLINK("https://pbs.twimg.com/profile_images/993645134372798469/pAZy1Q6j_normal.jpg")</f>
        <v>https://pbs.twimg.com/profile_images/993645134372798469/pAZy1Q6j_normal.jpg</v>
      </c>
      <c r="W25" s="85">
        <v>44481.88099537037</v>
      </c>
      <c r="X25" s="91">
        <v>44481</v>
      </c>
      <c r="Y25" s="89" t="s">
        <v>376</v>
      </c>
      <c r="Z25" s="87" t="str">
        <f>HYPERLINK("https://twitter.com/docassar/status/1448032889485107204")</f>
        <v>https://twitter.com/docassar/status/1448032889485107204</v>
      </c>
      <c r="AA25" s="83"/>
      <c r="AB25" s="83"/>
      <c r="AC25" s="89" t="s">
        <v>419</v>
      </c>
      <c r="AD25" s="83"/>
      <c r="AE25" s="83" t="b">
        <v>0</v>
      </c>
      <c r="AF25" s="83">
        <v>6</v>
      </c>
      <c r="AG25" s="89" t="s">
        <v>448</v>
      </c>
      <c r="AH25" s="83" t="b">
        <v>0</v>
      </c>
      <c r="AI25" s="83" t="s">
        <v>452</v>
      </c>
      <c r="AJ25" s="83"/>
      <c r="AK25" s="89" t="s">
        <v>448</v>
      </c>
      <c r="AL25" s="83" t="b">
        <v>0</v>
      </c>
      <c r="AM25" s="83">
        <v>1</v>
      </c>
      <c r="AN25" s="89" t="s">
        <v>448</v>
      </c>
      <c r="AO25" s="89" t="s">
        <v>456</v>
      </c>
      <c r="AP25" s="83" t="b">
        <v>0</v>
      </c>
      <c r="AQ25" s="89" t="s">
        <v>419</v>
      </c>
      <c r="AR25" s="83" t="s">
        <v>196</v>
      </c>
      <c r="AS25" s="83">
        <v>0</v>
      </c>
      <c r="AT25" s="83">
        <v>0</v>
      </c>
      <c r="AU25" s="83"/>
      <c r="AV25" s="83"/>
      <c r="AW25" s="83"/>
      <c r="AX25" s="83"/>
      <c r="AY25" s="83"/>
      <c r="AZ25" s="83"/>
      <c r="BA25" s="83"/>
      <c r="BB25" s="83"/>
      <c r="BC25">
        <v>1</v>
      </c>
      <c r="BD25" s="82" t="str">
        <f>REPLACE(INDEX(GroupVertices[Group],MATCH(Edges[[#This Row],[Vertex 1]],GroupVertices[Vertex],0)),1,1,"")</f>
        <v>1</v>
      </c>
      <c r="BE25" s="82" t="str">
        <f>REPLACE(INDEX(GroupVertices[Group],MATCH(Edges[[#This Row],[Vertex 2]],GroupVertices[Vertex],0)),1,1,"")</f>
        <v>1</v>
      </c>
      <c r="BF25" s="51"/>
      <c r="BG25" s="52"/>
      <c r="BH25" s="51"/>
      <c r="BI25" s="52"/>
      <c r="BJ25" s="51"/>
      <c r="BK25" s="52"/>
      <c r="BL25" s="51"/>
      <c r="BM25" s="52"/>
      <c r="BN25" s="51"/>
    </row>
    <row r="26" spans="1:66" ht="15">
      <c r="A26" s="81" t="s">
        <v>251</v>
      </c>
      <c r="B26" s="81" t="s">
        <v>278</v>
      </c>
      <c r="C26" s="53" t="s">
        <v>1370</v>
      </c>
      <c r="D26" s="54">
        <v>3</v>
      </c>
      <c r="E26" s="53" t="s">
        <v>132</v>
      </c>
      <c r="F26" s="55">
        <v>32</v>
      </c>
      <c r="G26" s="53"/>
      <c r="H26" s="57"/>
      <c r="I26" s="56"/>
      <c r="J26" s="56"/>
      <c r="K26" s="36" t="s">
        <v>65</v>
      </c>
      <c r="L26" s="62">
        <v>26</v>
      </c>
      <c r="M26" s="62"/>
      <c r="N26" s="63"/>
      <c r="O26" s="83" t="s">
        <v>286</v>
      </c>
      <c r="P26" s="85">
        <v>44482.836180555554</v>
      </c>
      <c r="Q26" s="83" t="s">
        <v>302</v>
      </c>
      <c r="R26" s="87" t="str">
        <f t="shared" si="0"/>
        <v>https://nodexlgraphgallery.org/Pages/Graph.aspx?graphID=264394</v>
      </c>
      <c r="S26" s="83" t="s">
        <v>326</v>
      </c>
      <c r="T26" s="83"/>
      <c r="U26" s="83"/>
      <c r="V26" s="87" t="str">
        <f>HYPERLINK("https://pbs.twimg.com/profile_images/1365866667100827650/Sz4fHM1k_normal.jpg")</f>
        <v>https://pbs.twimg.com/profile_images/1365866667100827650/Sz4fHM1k_normal.jpg</v>
      </c>
      <c r="W26" s="85">
        <v>44482.836180555554</v>
      </c>
      <c r="X26" s="91">
        <v>44482</v>
      </c>
      <c r="Y26" s="89" t="s">
        <v>377</v>
      </c>
      <c r="Z26" s="87" t="str">
        <f>HYPERLINK("https://twitter.com/ra_mc/status/1448379038314246150")</f>
        <v>https://twitter.com/ra_mc/status/1448379038314246150</v>
      </c>
      <c r="AA26" s="83"/>
      <c r="AB26" s="83"/>
      <c r="AC26" s="89" t="s">
        <v>420</v>
      </c>
      <c r="AD26" s="83"/>
      <c r="AE26" s="83" t="b">
        <v>0</v>
      </c>
      <c r="AF26" s="83">
        <v>0</v>
      </c>
      <c r="AG26" s="89" t="s">
        <v>448</v>
      </c>
      <c r="AH26" s="83" t="b">
        <v>0</v>
      </c>
      <c r="AI26" s="83" t="s">
        <v>452</v>
      </c>
      <c r="AJ26" s="83"/>
      <c r="AK26" s="89" t="s">
        <v>448</v>
      </c>
      <c r="AL26" s="83" t="b">
        <v>0</v>
      </c>
      <c r="AM26" s="83">
        <v>1</v>
      </c>
      <c r="AN26" s="89" t="s">
        <v>419</v>
      </c>
      <c r="AO26" s="89" t="s">
        <v>461</v>
      </c>
      <c r="AP26" s="83" t="b">
        <v>0</v>
      </c>
      <c r="AQ26" s="89" t="s">
        <v>419</v>
      </c>
      <c r="AR26" s="83" t="s">
        <v>196</v>
      </c>
      <c r="AS26" s="83">
        <v>0</v>
      </c>
      <c r="AT26" s="83">
        <v>0</v>
      </c>
      <c r="AU26" s="83"/>
      <c r="AV26" s="83"/>
      <c r="AW26" s="83"/>
      <c r="AX26" s="83"/>
      <c r="AY26" s="83"/>
      <c r="AZ26" s="83"/>
      <c r="BA26" s="83"/>
      <c r="BB26" s="83"/>
      <c r="BC26">
        <v>1</v>
      </c>
      <c r="BD26" s="82" t="str">
        <f>REPLACE(INDEX(GroupVertices[Group],MATCH(Edges[[#This Row],[Vertex 1]],GroupVertices[Vertex],0)),1,1,"")</f>
        <v>1</v>
      </c>
      <c r="BE26" s="82" t="str">
        <f>REPLACE(INDEX(GroupVertices[Group],MATCH(Edges[[#This Row],[Vertex 2]],GroupVertices[Vertex],0)),1,1,"")</f>
        <v>1</v>
      </c>
      <c r="BF26" s="51"/>
      <c r="BG26" s="52"/>
      <c r="BH26" s="51"/>
      <c r="BI26" s="52"/>
      <c r="BJ26" s="51"/>
      <c r="BK26" s="52"/>
      <c r="BL26" s="51"/>
      <c r="BM26" s="52"/>
      <c r="BN26" s="51"/>
    </row>
    <row r="27" spans="1:66" ht="15">
      <c r="A27" s="81" t="s">
        <v>250</v>
      </c>
      <c r="B27" s="81" t="s">
        <v>279</v>
      </c>
      <c r="C27" s="53" t="s">
        <v>1370</v>
      </c>
      <c r="D27" s="54">
        <v>3</v>
      </c>
      <c r="E27" s="53" t="s">
        <v>132</v>
      </c>
      <c r="F27" s="55">
        <v>32</v>
      </c>
      <c r="G27" s="53"/>
      <c r="H27" s="57"/>
      <c r="I27" s="56"/>
      <c r="J27" s="56"/>
      <c r="K27" s="36" t="s">
        <v>65</v>
      </c>
      <c r="L27" s="62">
        <v>27</v>
      </c>
      <c r="M27" s="62"/>
      <c r="N27" s="63"/>
      <c r="O27" s="83" t="s">
        <v>285</v>
      </c>
      <c r="P27" s="85">
        <v>44481.88099537037</v>
      </c>
      <c r="Q27" s="83" t="s">
        <v>302</v>
      </c>
      <c r="R27" s="87" t="str">
        <f t="shared" si="0"/>
        <v>https://nodexlgraphgallery.org/Pages/Graph.aspx?graphID=264394</v>
      </c>
      <c r="S27" s="83" t="s">
        <v>326</v>
      </c>
      <c r="T27" s="89" t="s">
        <v>347</v>
      </c>
      <c r="U27" s="83"/>
      <c r="V27" s="87" t="str">
        <f>HYPERLINK("https://pbs.twimg.com/profile_images/993645134372798469/pAZy1Q6j_normal.jpg")</f>
        <v>https://pbs.twimg.com/profile_images/993645134372798469/pAZy1Q6j_normal.jpg</v>
      </c>
      <c r="W27" s="85">
        <v>44481.88099537037</v>
      </c>
      <c r="X27" s="91">
        <v>44481</v>
      </c>
      <c r="Y27" s="89" t="s">
        <v>376</v>
      </c>
      <c r="Z27" s="87" t="str">
        <f>HYPERLINK("https://twitter.com/docassar/status/1448032889485107204")</f>
        <v>https://twitter.com/docassar/status/1448032889485107204</v>
      </c>
      <c r="AA27" s="83"/>
      <c r="AB27" s="83"/>
      <c r="AC27" s="89" t="s">
        <v>419</v>
      </c>
      <c r="AD27" s="83"/>
      <c r="AE27" s="83" t="b">
        <v>0</v>
      </c>
      <c r="AF27" s="83">
        <v>6</v>
      </c>
      <c r="AG27" s="89" t="s">
        <v>448</v>
      </c>
      <c r="AH27" s="83" t="b">
        <v>0</v>
      </c>
      <c r="AI27" s="83" t="s">
        <v>452</v>
      </c>
      <c r="AJ27" s="83"/>
      <c r="AK27" s="89" t="s">
        <v>448</v>
      </c>
      <c r="AL27" s="83" t="b">
        <v>0</v>
      </c>
      <c r="AM27" s="83">
        <v>1</v>
      </c>
      <c r="AN27" s="89" t="s">
        <v>448</v>
      </c>
      <c r="AO27" s="89" t="s">
        <v>456</v>
      </c>
      <c r="AP27" s="83" t="b">
        <v>0</v>
      </c>
      <c r="AQ27" s="89" t="s">
        <v>419</v>
      </c>
      <c r="AR27" s="83" t="s">
        <v>196</v>
      </c>
      <c r="AS27" s="83">
        <v>0</v>
      </c>
      <c r="AT27" s="83">
        <v>0</v>
      </c>
      <c r="AU27" s="83"/>
      <c r="AV27" s="83"/>
      <c r="AW27" s="83"/>
      <c r="AX27" s="83"/>
      <c r="AY27" s="83"/>
      <c r="AZ27" s="83"/>
      <c r="BA27" s="83"/>
      <c r="BB27" s="83"/>
      <c r="BC27">
        <v>1</v>
      </c>
      <c r="BD27" s="82" t="str">
        <f>REPLACE(INDEX(GroupVertices[Group],MATCH(Edges[[#This Row],[Vertex 1]],GroupVertices[Vertex],0)),1,1,"")</f>
        <v>1</v>
      </c>
      <c r="BE27" s="82" t="str">
        <f>REPLACE(INDEX(GroupVertices[Group],MATCH(Edges[[#This Row],[Vertex 2]],GroupVertices[Vertex],0)),1,1,"")</f>
        <v>1</v>
      </c>
      <c r="BF27" s="51"/>
      <c r="BG27" s="52"/>
      <c r="BH27" s="51"/>
      <c r="BI27" s="52"/>
      <c r="BJ27" s="51"/>
      <c r="BK27" s="52"/>
      <c r="BL27" s="51"/>
      <c r="BM27" s="52"/>
      <c r="BN27" s="51"/>
    </row>
    <row r="28" spans="1:66" ht="15">
      <c r="A28" s="81" t="s">
        <v>251</v>
      </c>
      <c r="B28" s="81" t="s">
        <v>279</v>
      </c>
      <c r="C28" s="53" t="s">
        <v>1370</v>
      </c>
      <c r="D28" s="54">
        <v>3</v>
      </c>
      <c r="E28" s="53" t="s">
        <v>132</v>
      </c>
      <c r="F28" s="55">
        <v>32</v>
      </c>
      <c r="G28" s="53"/>
      <c r="H28" s="57"/>
      <c r="I28" s="56"/>
      <c r="J28" s="56"/>
      <c r="K28" s="36" t="s">
        <v>65</v>
      </c>
      <c r="L28" s="62">
        <v>28</v>
      </c>
      <c r="M28" s="62"/>
      <c r="N28" s="63"/>
      <c r="O28" s="83" t="s">
        <v>286</v>
      </c>
      <c r="P28" s="85">
        <v>44482.836180555554</v>
      </c>
      <c r="Q28" s="83" t="s">
        <v>302</v>
      </c>
      <c r="R28" s="87" t="str">
        <f t="shared" si="0"/>
        <v>https://nodexlgraphgallery.org/Pages/Graph.aspx?graphID=264394</v>
      </c>
      <c r="S28" s="83" t="s">
        <v>326</v>
      </c>
      <c r="T28" s="83"/>
      <c r="U28" s="83"/>
      <c r="V28" s="87" t="str">
        <f>HYPERLINK("https://pbs.twimg.com/profile_images/1365866667100827650/Sz4fHM1k_normal.jpg")</f>
        <v>https://pbs.twimg.com/profile_images/1365866667100827650/Sz4fHM1k_normal.jpg</v>
      </c>
      <c r="W28" s="85">
        <v>44482.836180555554</v>
      </c>
      <c r="X28" s="91">
        <v>44482</v>
      </c>
      <c r="Y28" s="89" t="s">
        <v>377</v>
      </c>
      <c r="Z28" s="87" t="str">
        <f>HYPERLINK("https://twitter.com/ra_mc/status/1448379038314246150")</f>
        <v>https://twitter.com/ra_mc/status/1448379038314246150</v>
      </c>
      <c r="AA28" s="83"/>
      <c r="AB28" s="83"/>
      <c r="AC28" s="89" t="s">
        <v>420</v>
      </c>
      <c r="AD28" s="83"/>
      <c r="AE28" s="83" t="b">
        <v>0</v>
      </c>
      <c r="AF28" s="83">
        <v>0</v>
      </c>
      <c r="AG28" s="89" t="s">
        <v>448</v>
      </c>
      <c r="AH28" s="83" t="b">
        <v>0</v>
      </c>
      <c r="AI28" s="83" t="s">
        <v>452</v>
      </c>
      <c r="AJ28" s="83"/>
      <c r="AK28" s="89" t="s">
        <v>448</v>
      </c>
      <c r="AL28" s="83" t="b">
        <v>0</v>
      </c>
      <c r="AM28" s="83">
        <v>1</v>
      </c>
      <c r="AN28" s="89" t="s">
        <v>419</v>
      </c>
      <c r="AO28" s="89" t="s">
        <v>461</v>
      </c>
      <c r="AP28" s="83" t="b">
        <v>0</v>
      </c>
      <c r="AQ28" s="89" t="s">
        <v>419</v>
      </c>
      <c r="AR28" s="83" t="s">
        <v>196</v>
      </c>
      <c r="AS28" s="83">
        <v>0</v>
      </c>
      <c r="AT28" s="83">
        <v>0</v>
      </c>
      <c r="AU28" s="83"/>
      <c r="AV28" s="83"/>
      <c r="AW28" s="83"/>
      <c r="AX28" s="83"/>
      <c r="AY28" s="83"/>
      <c r="AZ28" s="83"/>
      <c r="BA28" s="83"/>
      <c r="BB28" s="83"/>
      <c r="BC28">
        <v>1</v>
      </c>
      <c r="BD28" s="82" t="str">
        <f>REPLACE(INDEX(GroupVertices[Group],MATCH(Edges[[#This Row],[Vertex 1]],GroupVertices[Vertex],0)),1,1,"")</f>
        <v>1</v>
      </c>
      <c r="BE28" s="82" t="str">
        <f>REPLACE(INDEX(GroupVertices[Group],MATCH(Edges[[#This Row],[Vertex 2]],GroupVertices[Vertex],0)),1,1,"")</f>
        <v>1</v>
      </c>
      <c r="BF28" s="51"/>
      <c r="BG28" s="52"/>
      <c r="BH28" s="51"/>
      <c r="BI28" s="52"/>
      <c r="BJ28" s="51"/>
      <c r="BK28" s="52"/>
      <c r="BL28" s="51"/>
      <c r="BM28" s="52"/>
      <c r="BN28" s="51"/>
    </row>
    <row r="29" spans="1:66" ht="15">
      <c r="A29" s="81" t="s">
        <v>250</v>
      </c>
      <c r="B29" s="81" t="s">
        <v>280</v>
      </c>
      <c r="C29" s="53" t="s">
        <v>1370</v>
      </c>
      <c r="D29" s="54">
        <v>3</v>
      </c>
      <c r="E29" s="53" t="s">
        <v>132</v>
      </c>
      <c r="F29" s="55">
        <v>32</v>
      </c>
      <c r="G29" s="53"/>
      <c r="H29" s="57"/>
      <c r="I29" s="56"/>
      <c r="J29" s="56"/>
      <c r="K29" s="36" t="s">
        <v>65</v>
      </c>
      <c r="L29" s="62">
        <v>29</v>
      </c>
      <c r="M29" s="62"/>
      <c r="N29" s="63"/>
      <c r="O29" s="83" t="s">
        <v>285</v>
      </c>
      <c r="P29" s="85">
        <v>44481.88099537037</v>
      </c>
      <c r="Q29" s="83" t="s">
        <v>302</v>
      </c>
      <c r="R29" s="87" t="str">
        <f t="shared" si="0"/>
        <v>https://nodexlgraphgallery.org/Pages/Graph.aspx?graphID=264394</v>
      </c>
      <c r="S29" s="83" t="s">
        <v>326</v>
      </c>
      <c r="T29" s="89" t="s">
        <v>347</v>
      </c>
      <c r="U29" s="83"/>
      <c r="V29" s="87" t="str">
        <f>HYPERLINK("https://pbs.twimg.com/profile_images/993645134372798469/pAZy1Q6j_normal.jpg")</f>
        <v>https://pbs.twimg.com/profile_images/993645134372798469/pAZy1Q6j_normal.jpg</v>
      </c>
      <c r="W29" s="85">
        <v>44481.88099537037</v>
      </c>
      <c r="X29" s="91">
        <v>44481</v>
      </c>
      <c r="Y29" s="89" t="s">
        <v>376</v>
      </c>
      <c r="Z29" s="87" t="str">
        <f>HYPERLINK("https://twitter.com/docassar/status/1448032889485107204")</f>
        <v>https://twitter.com/docassar/status/1448032889485107204</v>
      </c>
      <c r="AA29" s="83"/>
      <c r="AB29" s="83"/>
      <c r="AC29" s="89" t="s">
        <v>419</v>
      </c>
      <c r="AD29" s="83"/>
      <c r="AE29" s="83" t="b">
        <v>0</v>
      </c>
      <c r="AF29" s="83">
        <v>6</v>
      </c>
      <c r="AG29" s="89" t="s">
        <v>448</v>
      </c>
      <c r="AH29" s="83" t="b">
        <v>0</v>
      </c>
      <c r="AI29" s="83" t="s">
        <v>452</v>
      </c>
      <c r="AJ29" s="83"/>
      <c r="AK29" s="89" t="s">
        <v>448</v>
      </c>
      <c r="AL29" s="83" t="b">
        <v>0</v>
      </c>
      <c r="AM29" s="83">
        <v>1</v>
      </c>
      <c r="AN29" s="89" t="s">
        <v>448</v>
      </c>
      <c r="AO29" s="89" t="s">
        <v>456</v>
      </c>
      <c r="AP29" s="83" t="b">
        <v>0</v>
      </c>
      <c r="AQ29" s="89" t="s">
        <v>419</v>
      </c>
      <c r="AR29" s="83" t="s">
        <v>196</v>
      </c>
      <c r="AS29" s="83">
        <v>0</v>
      </c>
      <c r="AT29" s="83">
        <v>0</v>
      </c>
      <c r="AU29" s="83"/>
      <c r="AV29" s="83"/>
      <c r="AW29" s="83"/>
      <c r="AX29" s="83"/>
      <c r="AY29" s="83"/>
      <c r="AZ29" s="83"/>
      <c r="BA29" s="83"/>
      <c r="BB29" s="83"/>
      <c r="BC29">
        <v>1</v>
      </c>
      <c r="BD29" s="82" t="str">
        <f>REPLACE(INDEX(GroupVertices[Group],MATCH(Edges[[#This Row],[Vertex 1]],GroupVertices[Vertex],0)),1,1,"")</f>
        <v>1</v>
      </c>
      <c r="BE29" s="82" t="str">
        <f>REPLACE(INDEX(GroupVertices[Group],MATCH(Edges[[#This Row],[Vertex 2]],GroupVertices[Vertex],0)),1,1,"")</f>
        <v>1</v>
      </c>
      <c r="BF29" s="51"/>
      <c r="BG29" s="52"/>
      <c r="BH29" s="51"/>
      <c r="BI29" s="52"/>
      <c r="BJ29" s="51"/>
      <c r="BK29" s="52"/>
      <c r="BL29" s="51"/>
      <c r="BM29" s="52"/>
      <c r="BN29" s="51"/>
    </row>
    <row r="30" spans="1:66" ht="15">
      <c r="A30" s="81" t="s">
        <v>251</v>
      </c>
      <c r="B30" s="81" t="s">
        <v>280</v>
      </c>
      <c r="C30" s="53" t="s">
        <v>1370</v>
      </c>
      <c r="D30" s="54">
        <v>3</v>
      </c>
      <c r="E30" s="53" t="s">
        <v>132</v>
      </c>
      <c r="F30" s="55">
        <v>32</v>
      </c>
      <c r="G30" s="53"/>
      <c r="H30" s="57"/>
      <c r="I30" s="56"/>
      <c r="J30" s="56"/>
      <c r="K30" s="36" t="s">
        <v>65</v>
      </c>
      <c r="L30" s="62">
        <v>30</v>
      </c>
      <c r="M30" s="62"/>
      <c r="N30" s="63"/>
      <c r="O30" s="83" t="s">
        <v>286</v>
      </c>
      <c r="P30" s="85">
        <v>44482.836180555554</v>
      </c>
      <c r="Q30" s="83" t="s">
        <v>302</v>
      </c>
      <c r="R30" s="87" t="str">
        <f t="shared" si="0"/>
        <v>https://nodexlgraphgallery.org/Pages/Graph.aspx?graphID=264394</v>
      </c>
      <c r="S30" s="83" t="s">
        <v>326</v>
      </c>
      <c r="T30" s="83"/>
      <c r="U30" s="83"/>
      <c r="V30" s="87" t="str">
        <f>HYPERLINK("https://pbs.twimg.com/profile_images/1365866667100827650/Sz4fHM1k_normal.jpg")</f>
        <v>https://pbs.twimg.com/profile_images/1365866667100827650/Sz4fHM1k_normal.jpg</v>
      </c>
      <c r="W30" s="85">
        <v>44482.836180555554</v>
      </c>
      <c r="X30" s="91">
        <v>44482</v>
      </c>
      <c r="Y30" s="89" t="s">
        <v>377</v>
      </c>
      <c r="Z30" s="87" t="str">
        <f>HYPERLINK("https://twitter.com/ra_mc/status/1448379038314246150")</f>
        <v>https://twitter.com/ra_mc/status/1448379038314246150</v>
      </c>
      <c r="AA30" s="83"/>
      <c r="AB30" s="83"/>
      <c r="AC30" s="89" t="s">
        <v>420</v>
      </c>
      <c r="AD30" s="83"/>
      <c r="AE30" s="83" t="b">
        <v>0</v>
      </c>
      <c r="AF30" s="83">
        <v>0</v>
      </c>
      <c r="AG30" s="89" t="s">
        <v>448</v>
      </c>
      <c r="AH30" s="83" t="b">
        <v>0</v>
      </c>
      <c r="AI30" s="83" t="s">
        <v>452</v>
      </c>
      <c r="AJ30" s="83"/>
      <c r="AK30" s="89" t="s">
        <v>448</v>
      </c>
      <c r="AL30" s="83" t="b">
        <v>0</v>
      </c>
      <c r="AM30" s="83">
        <v>1</v>
      </c>
      <c r="AN30" s="89" t="s">
        <v>419</v>
      </c>
      <c r="AO30" s="89" t="s">
        <v>461</v>
      </c>
      <c r="AP30" s="83" t="b">
        <v>0</v>
      </c>
      <c r="AQ30" s="89" t="s">
        <v>419</v>
      </c>
      <c r="AR30" s="83" t="s">
        <v>196</v>
      </c>
      <c r="AS30" s="83">
        <v>0</v>
      </c>
      <c r="AT30" s="83">
        <v>0</v>
      </c>
      <c r="AU30" s="83"/>
      <c r="AV30" s="83"/>
      <c r="AW30" s="83"/>
      <c r="AX30" s="83"/>
      <c r="AY30" s="83"/>
      <c r="AZ30" s="83"/>
      <c r="BA30" s="83"/>
      <c r="BB30" s="83"/>
      <c r="BC30">
        <v>1</v>
      </c>
      <c r="BD30" s="82" t="str">
        <f>REPLACE(INDEX(GroupVertices[Group],MATCH(Edges[[#This Row],[Vertex 1]],GroupVertices[Vertex],0)),1,1,"")</f>
        <v>1</v>
      </c>
      <c r="BE30" s="82" t="str">
        <f>REPLACE(INDEX(GroupVertices[Group],MATCH(Edges[[#This Row],[Vertex 2]],GroupVertices[Vertex],0)),1,1,"")</f>
        <v>1</v>
      </c>
      <c r="BF30" s="51"/>
      <c r="BG30" s="52"/>
      <c r="BH30" s="51"/>
      <c r="BI30" s="52"/>
      <c r="BJ30" s="51"/>
      <c r="BK30" s="52"/>
      <c r="BL30" s="51"/>
      <c r="BM30" s="52"/>
      <c r="BN30" s="51"/>
    </row>
    <row r="31" spans="1:66" ht="15">
      <c r="A31" s="81" t="s">
        <v>250</v>
      </c>
      <c r="B31" s="81" t="s">
        <v>281</v>
      </c>
      <c r="C31" s="53" t="s">
        <v>1370</v>
      </c>
      <c r="D31" s="54">
        <v>3</v>
      </c>
      <c r="E31" s="53" t="s">
        <v>132</v>
      </c>
      <c r="F31" s="55">
        <v>32</v>
      </c>
      <c r="G31" s="53"/>
      <c r="H31" s="57"/>
      <c r="I31" s="56"/>
      <c r="J31" s="56"/>
      <c r="K31" s="36" t="s">
        <v>65</v>
      </c>
      <c r="L31" s="62">
        <v>31</v>
      </c>
      <c r="M31" s="62"/>
      <c r="N31" s="63"/>
      <c r="O31" s="83" t="s">
        <v>285</v>
      </c>
      <c r="P31" s="85">
        <v>44481.88099537037</v>
      </c>
      <c r="Q31" s="83" t="s">
        <v>302</v>
      </c>
      <c r="R31" s="87" t="str">
        <f t="shared" si="0"/>
        <v>https://nodexlgraphgallery.org/Pages/Graph.aspx?graphID=264394</v>
      </c>
      <c r="S31" s="83" t="s">
        <v>326</v>
      </c>
      <c r="T31" s="89" t="s">
        <v>347</v>
      </c>
      <c r="U31" s="83"/>
      <c r="V31" s="87" t="str">
        <f>HYPERLINK("https://pbs.twimg.com/profile_images/993645134372798469/pAZy1Q6j_normal.jpg")</f>
        <v>https://pbs.twimg.com/profile_images/993645134372798469/pAZy1Q6j_normal.jpg</v>
      </c>
      <c r="W31" s="85">
        <v>44481.88099537037</v>
      </c>
      <c r="X31" s="91">
        <v>44481</v>
      </c>
      <c r="Y31" s="89" t="s">
        <v>376</v>
      </c>
      <c r="Z31" s="87" t="str">
        <f>HYPERLINK("https://twitter.com/docassar/status/1448032889485107204")</f>
        <v>https://twitter.com/docassar/status/1448032889485107204</v>
      </c>
      <c r="AA31" s="83"/>
      <c r="AB31" s="83"/>
      <c r="AC31" s="89" t="s">
        <v>419</v>
      </c>
      <c r="AD31" s="83"/>
      <c r="AE31" s="83" t="b">
        <v>0</v>
      </c>
      <c r="AF31" s="83">
        <v>6</v>
      </c>
      <c r="AG31" s="89" t="s">
        <v>448</v>
      </c>
      <c r="AH31" s="83" t="b">
        <v>0</v>
      </c>
      <c r="AI31" s="83" t="s">
        <v>452</v>
      </c>
      <c r="AJ31" s="83"/>
      <c r="AK31" s="89" t="s">
        <v>448</v>
      </c>
      <c r="AL31" s="83" t="b">
        <v>0</v>
      </c>
      <c r="AM31" s="83">
        <v>1</v>
      </c>
      <c r="AN31" s="89" t="s">
        <v>448</v>
      </c>
      <c r="AO31" s="89" t="s">
        <v>456</v>
      </c>
      <c r="AP31" s="83" t="b">
        <v>0</v>
      </c>
      <c r="AQ31" s="89" t="s">
        <v>419</v>
      </c>
      <c r="AR31" s="83" t="s">
        <v>196</v>
      </c>
      <c r="AS31" s="83">
        <v>0</v>
      </c>
      <c r="AT31" s="83">
        <v>0</v>
      </c>
      <c r="AU31" s="83"/>
      <c r="AV31" s="83"/>
      <c r="AW31" s="83"/>
      <c r="AX31" s="83"/>
      <c r="AY31" s="83"/>
      <c r="AZ31" s="83"/>
      <c r="BA31" s="83"/>
      <c r="BB31" s="83"/>
      <c r="BC31">
        <v>1</v>
      </c>
      <c r="BD31" s="82" t="str">
        <f>REPLACE(INDEX(GroupVertices[Group],MATCH(Edges[[#This Row],[Vertex 1]],GroupVertices[Vertex],0)),1,1,"")</f>
        <v>1</v>
      </c>
      <c r="BE31" s="82" t="str">
        <f>REPLACE(INDEX(GroupVertices[Group],MATCH(Edges[[#This Row],[Vertex 2]],GroupVertices[Vertex],0)),1,1,"")</f>
        <v>1</v>
      </c>
      <c r="BF31" s="51"/>
      <c r="BG31" s="52"/>
      <c r="BH31" s="51"/>
      <c r="BI31" s="52"/>
      <c r="BJ31" s="51"/>
      <c r="BK31" s="52"/>
      <c r="BL31" s="51"/>
      <c r="BM31" s="52"/>
      <c r="BN31" s="51"/>
    </row>
    <row r="32" spans="1:66" ht="15">
      <c r="A32" s="81" t="s">
        <v>251</v>
      </c>
      <c r="B32" s="81" t="s">
        <v>281</v>
      </c>
      <c r="C32" s="53" t="s">
        <v>1370</v>
      </c>
      <c r="D32" s="54">
        <v>3</v>
      </c>
      <c r="E32" s="53" t="s">
        <v>132</v>
      </c>
      <c r="F32" s="55">
        <v>32</v>
      </c>
      <c r="G32" s="53"/>
      <c r="H32" s="57"/>
      <c r="I32" s="56"/>
      <c r="J32" s="56"/>
      <c r="K32" s="36" t="s">
        <v>65</v>
      </c>
      <c r="L32" s="62">
        <v>32</v>
      </c>
      <c r="M32" s="62"/>
      <c r="N32" s="63"/>
      <c r="O32" s="83" t="s">
        <v>286</v>
      </c>
      <c r="P32" s="85">
        <v>44482.836180555554</v>
      </c>
      <c r="Q32" s="83" t="s">
        <v>302</v>
      </c>
      <c r="R32" s="87" t="str">
        <f t="shared" si="0"/>
        <v>https://nodexlgraphgallery.org/Pages/Graph.aspx?graphID=264394</v>
      </c>
      <c r="S32" s="83" t="s">
        <v>326</v>
      </c>
      <c r="T32" s="83"/>
      <c r="U32" s="83"/>
      <c r="V32" s="87" t="str">
        <f>HYPERLINK("https://pbs.twimg.com/profile_images/1365866667100827650/Sz4fHM1k_normal.jpg")</f>
        <v>https://pbs.twimg.com/profile_images/1365866667100827650/Sz4fHM1k_normal.jpg</v>
      </c>
      <c r="W32" s="85">
        <v>44482.836180555554</v>
      </c>
      <c r="X32" s="91">
        <v>44482</v>
      </c>
      <c r="Y32" s="89" t="s">
        <v>377</v>
      </c>
      <c r="Z32" s="87" t="str">
        <f>HYPERLINK("https://twitter.com/ra_mc/status/1448379038314246150")</f>
        <v>https://twitter.com/ra_mc/status/1448379038314246150</v>
      </c>
      <c r="AA32" s="83"/>
      <c r="AB32" s="83"/>
      <c r="AC32" s="89" t="s">
        <v>420</v>
      </c>
      <c r="AD32" s="83"/>
      <c r="AE32" s="83" t="b">
        <v>0</v>
      </c>
      <c r="AF32" s="83">
        <v>0</v>
      </c>
      <c r="AG32" s="89" t="s">
        <v>448</v>
      </c>
      <c r="AH32" s="83" t="b">
        <v>0</v>
      </c>
      <c r="AI32" s="83" t="s">
        <v>452</v>
      </c>
      <c r="AJ32" s="83"/>
      <c r="AK32" s="89" t="s">
        <v>448</v>
      </c>
      <c r="AL32" s="83" t="b">
        <v>0</v>
      </c>
      <c r="AM32" s="83">
        <v>1</v>
      </c>
      <c r="AN32" s="89" t="s">
        <v>419</v>
      </c>
      <c r="AO32" s="89" t="s">
        <v>461</v>
      </c>
      <c r="AP32" s="83" t="b">
        <v>0</v>
      </c>
      <c r="AQ32" s="89" t="s">
        <v>419</v>
      </c>
      <c r="AR32" s="83" t="s">
        <v>196</v>
      </c>
      <c r="AS32" s="83">
        <v>0</v>
      </c>
      <c r="AT32" s="83">
        <v>0</v>
      </c>
      <c r="AU32" s="83"/>
      <c r="AV32" s="83"/>
      <c r="AW32" s="83"/>
      <c r="AX32" s="83"/>
      <c r="AY32" s="83"/>
      <c r="AZ32" s="83"/>
      <c r="BA32" s="83"/>
      <c r="BB32" s="83"/>
      <c r="BC32">
        <v>1</v>
      </c>
      <c r="BD32" s="82" t="str">
        <f>REPLACE(INDEX(GroupVertices[Group],MATCH(Edges[[#This Row],[Vertex 1]],GroupVertices[Vertex],0)),1,1,"")</f>
        <v>1</v>
      </c>
      <c r="BE32" s="82" t="str">
        <f>REPLACE(INDEX(GroupVertices[Group],MATCH(Edges[[#This Row],[Vertex 2]],GroupVertices[Vertex],0)),1,1,"")</f>
        <v>1</v>
      </c>
      <c r="BF32" s="51"/>
      <c r="BG32" s="52"/>
      <c r="BH32" s="51"/>
      <c r="BI32" s="52"/>
      <c r="BJ32" s="51"/>
      <c r="BK32" s="52"/>
      <c r="BL32" s="51"/>
      <c r="BM32" s="52"/>
      <c r="BN32" s="51"/>
    </row>
    <row r="33" spans="1:66" ht="15">
      <c r="A33" s="81" t="s">
        <v>250</v>
      </c>
      <c r="B33" s="81" t="s">
        <v>282</v>
      </c>
      <c r="C33" s="53" t="s">
        <v>1370</v>
      </c>
      <c r="D33" s="54">
        <v>3</v>
      </c>
      <c r="E33" s="53" t="s">
        <v>132</v>
      </c>
      <c r="F33" s="55">
        <v>32</v>
      </c>
      <c r="G33" s="53"/>
      <c r="H33" s="57"/>
      <c r="I33" s="56"/>
      <c r="J33" s="56"/>
      <c r="K33" s="36" t="s">
        <v>65</v>
      </c>
      <c r="L33" s="62">
        <v>33</v>
      </c>
      <c r="M33" s="62"/>
      <c r="N33" s="63"/>
      <c r="O33" s="83" t="s">
        <v>285</v>
      </c>
      <c r="P33" s="85">
        <v>44481.88099537037</v>
      </c>
      <c r="Q33" s="83" t="s">
        <v>302</v>
      </c>
      <c r="R33" s="87" t="str">
        <f t="shared" si="0"/>
        <v>https://nodexlgraphgallery.org/Pages/Graph.aspx?graphID=264394</v>
      </c>
      <c r="S33" s="83" t="s">
        <v>326</v>
      </c>
      <c r="T33" s="89" t="s">
        <v>347</v>
      </c>
      <c r="U33" s="83"/>
      <c r="V33" s="87" t="str">
        <f>HYPERLINK("https://pbs.twimg.com/profile_images/993645134372798469/pAZy1Q6j_normal.jpg")</f>
        <v>https://pbs.twimg.com/profile_images/993645134372798469/pAZy1Q6j_normal.jpg</v>
      </c>
      <c r="W33" s="85">
        <v>44481.88099537037</v>
      </c>
      <c r="X33" s="91">
        <v>44481</v>
      </c>
      <c r="Y33" s="89" t="s">
        <v>376</v>
      </c>
      <c r="Z33" s="87" t="str">
        <f>HYPERLINK("https://twitter.com/docassar/status/1448032889485107204")</f>
        <v>https://twitter.com/docassar/status/1448032889485107204</v>
      </c>
      <c r="AA33" s="83"/>
      <c r="AB33" s="83"/>
      <c r="AC33" s="89" t="s">
        <v>419</v>
      </c>
      <c r="AD33" s="83"/>
      <c r="AE33" s="83" t="b">
        <v>0</v>
      </c>
      <c r="AF33" s="83">
        <v>6</v>
      </c>
      <c r="AG33" s="89" t="s">
        <v>448</v>
      </c>
      <c r="AH33" s="83" t="b">
        <v>0</v>
      </c>
      <c r="AI33" s="83" t="s">
        <v>452</v>
      </c>
      <c r="AJ33" s="83"/>
      <c r="AK33" s="89" t="s">
        <v>448</v>
      </c>
      <c r="AL33" s="83" t="b">
        <v>0</v>
      </c>
      <c r="AM33" s="83">
        <v>1</v>
      </c>
      <c r="AN33" s="89" t="s">
        <v>448</v>
      </c>
      <c r="AO33" s="89" t="s">
        <v>456</v>
      </c>
      <c r="AP33" s="83" t="b">
        <v>0</v>
      </c>
      <c r="AQ33" s="89" t="s">
        <v>419</v>
      </c>
      <c r="AR33" s="83" t="s">
        <v>196</v>
      </c>
      <c r="AS33" s="83">
        <v>0</v>
      </c>
      <c r="AT33" s="83">
        <v>0</v>
      </c>
      <c r="AU33" s="83"/>
      <c r="AV33" s="83"/>
      <c r="AW33" s="83"/>
      <c r="AX33" s="83"/>
      <c r="AY33" s="83"/>
      <c r="AZ33" s="83"/>
      <c r="BA33" s="83"/>
      <c r="BB33" s="83"/>
      <c r="BC33">
        <v>1</v>
      </c>
      <c r="BD33" s="82" t="str">
        <f>REPLACE(INDEX(GroupVertices[Group],MATCH(Edges[[#This Row],[Vertex 1]],GroupVertices[Vertex],0)),1,1,"")</f>
        <v>1</v>
      </c>
      <c r="BE33" s="82" t="str">
        <f>REPLACE(INDEX(GroupVertices[Group],MATCH(Edges[[#This Row],[Vertex 2]],GroupVertices[Vertex],0)),1,1,"")</f>
        <v>1</v>
      </c>
      <c r="BF33" s="51"/>
      <c r="BG33" s="52"/>
      <c r="BH33" s="51"/>
      <c r="BI33" s="52"/>
      <c r="BJ33" s="51"/>
      <c r="BK33" s="52"/>
      <c r="BL33" s="51"/>
      <c r="BM33" s="52"/>
      <c r="BN33" s="51"/>
    </row>
    <row r="34" spans="1:66" ht="15">
      <c r="A34" s="81" t="s">
        <v>251</v>
      </c>
      <c r="B34" s="81" t="s">
        <v>282</v>
      </c>
      <c r="C34" s="53" t="s">
        <v>1370</v>
      </c>
      <c r="D34" s="54">
        <v>3</v>
      </c>
      <c r="E34" s="53" t="s">
        <v>132</v>
      </c>
      <c r="F34" s="55">
        <v>32</v>
      </c>
      <c r="G34" s="53"/>
      <c r="H34" s="57"/>
      <c r="I34" s="56"/>
      <c r="J34" s="56"/>
      <c r="K34" s="36" t="s">
        <v>65</v>
      </c>
      <c r="L34" s="62">
        <v>34</v>
      </c>
      <c r="M34" s="62"/>
      <c r="N34" s="63"/>
      <c r="O34" s="83" t="s">
        <v>286</v>
      </c>
      <c r="P34" s="85">
        <v>44482.836180555554</v>
      </c>
      <c r="Q34" s="83" t="s">
        <v>302</v>
      </c>
      <c r="R34" s="87" t="str">
        <f t="shared" si="0"/>
        <v>https://nodexlgraphgallery.org/Pages/Graph.aspx?graphID=264394</v>
      </c>
      <c r="S34" s="83" t="s">
        <v>326</v>
      </c>
      <c r="T34" s="83"/>
      <c r="U34" s="83"/>
      <c r="V34" s="87" t="str">
        <f>HYPERLINK("https://pbs.twimg.com/profile_images/1365866667100827650/Sz4fHM1k_normal.jpg")</f>
        <v>https://pbs.twimg.com/profile_images/1365866667100827650/Sz4fHM1k_normal.jpg</v>
      </c>
      <c r="W34" s="85">
        <v>44482.836180555554</v>
      </c>
      <c r="X34" s="91">
        <v>44482</v>
      </c>
      <c r="Y34" s="89" t="s">
        <v>377</v>
      </c>
      <c r="Z34" s="87" t="str">
        <f>HYPERLINK("https://twitter.com/ra_mc/status/1448379038314246150")</f>
        <v>https://twitter.com/ra_mc/status/1448379038314246150</v>
      </c>
      <c r="AA34" s="83"/>
      <c r="AB34" s="83"/>
      <c r="AC34" s="89" t="s">
        <v>420</v>
      </c>
      <c r="AD34" s="83"/>
      <c r="AE34" s="83" t="b">
        <v>0</v>
      </c>
      <c r="AF34" s="83">
        <v>0</v>
      </c>
      <c r="AG34" s="89" t="s">
        <v>448</v>
      </c>
      <c r="AH34" s="83" t="b">
        <v>0</v>
      </c>
      <c r="AI34" s="83" t="s">
        <v>452</v>
      </c>
      <c r="AJ34" s="83"/>
      <c r="AK34" s="89" t="s">
        <v>448</v>
      </c>
      <c r="AL34" s="83" t="b">
        <v>0</v>
      </c>
      <c r="AM34" s="83">
        <v>1</v>
      </c>
      <c r="AN34" s="89" t="s">
        <v>419</v>
      </c>
      <c r="AO34" s="89" t="s">
        <v>461</v>
      </c>
      <c r="AP34" s="83" t="b">
        <v>0</v>
      </c>
      <c r="AQ34" s="89" t="s">
        <v>419</v>
      </c>
      <c r="AR34" s="83" t="s">
        <v>196</v>
      </c>
      <c r="AS34" s="83">
        <v>0</v>
      </c>
      <c r="AT34" s="83">
        <v>0</v>
      </c>
      <c r="AU34" s="83"/>
      <c r="AV34" s="83"/>
      <c r="AW34" s="83"/>
      <c r="AX34" s="83"/>
      <c r="AY34" s="83"/>
      <c r="AZ34" s="83"/>
      <c r="BA34" s="83"/>
      <c r="BB34" s="83"/>
      <c r="BC34">
        <v>1</v>
      </c>
      <c r="BD34" s="82" t="str">
        <f>REPLACE(INDEX(GroupVertices[Group],MATCH(Edges[[#This Row],[Vertex 1]],GroupVertices[Vertex],0)),1,1,"")</f>
        <v>1</v>
      </c>
      <c r="BE34" s="82" t="str">
        <f>REPLACE(INDEX(GroupVertices[Group],MATCH(Edges[[#This Row],[Vertex 2]],GroupVertices[Vertex],0)),1,1,"")</f>
        <v>1</v>
      </c>
      <c r="BF34" s="51"/>
      <c r="BG34" s="52"/>
      <c r="BH34" s="51"/>
      <c r="BI34" s="52"/>
      <c r="BJ34" s="51"/>
      <c r="BK34" s="52"/>
      <c r="BL34" s="51"/>
      <c r="BM34" s="52"/>
      <c r="BN34" s="51"/>
    </row>
    <row r="35" spans="1:66" ht="15">
      <c r="A35" s="81" t="s">
        <v>250</v>
      </c>
      <c r="B35" s="81" t="s">
        <v>275</v>
      </c>
      <c r="C35" s="53" t="s">
        <v>1370</v>
      </c>
      <c r="D35" s="54">
        <v>3</v>
      </c>
      <c r="E35" s="53" t="s">
        <v>132</v>
      </c>
      <c r="F35" s="55">
        <v>32</v>
      </c>
      <c r="G35" s="53"/>
      <c r="H35" s="57"/>
      <c r="I35" s="56"/>
      <c r="J35" s="56"/>
      <c r="K35" s="36" t="s">
        <v>65</v>
      </c>
      <c r="L35" s="62">
        <v>35</v>
      </c>
      <c r="M35" s="62"/>
      <c r="N35" s="63"/>
      <c r="O35" s="83" t="s">
        <v>285</v>
      </c>
      <c r="P35" s="85">
        <v>44481.88099537037</v>
      </c>
      <c r="Q35" s="83" t="s">
        <v>302</v>
      </c>
      <c r="R35" s="87" t="str">
        <f t="shared" si="0"/>
        <v>https://nodexlgraphgallery.org/Pages/Graph.aspx?graphID=264394</v>
      </c>
      <c r="S35" s="83" t="s">
        <v>326</v>
      </c>
      <c r="T35" s="89" t="s">
        <v>347</v>
      </c>
      <c r="U35" s="83"/>
      <c r="V35" s="87" t="str">
        <f>HYPERLINK("https://pbs.twimg.com/profile_images/993645134372798469/pAZy1Q6j_normal.jpg")</f>
        <v>https://pbs.twimg.com/profile_images/993645134372798469/pAZy1Q6j_normal.jpg</v>
      </c>
      <c r="W35" s="85">
        <v>44481.88099537037</v>
      </c>
      <c r="X35" s="91">
        <v>44481</v>
      </c>
      <c r="Y35" s="89" t="s">
        <v>376</v>
      </c>
      <c r="Z35" s="87" t="str">
        <f>HYPERLINK("https://twitter.com/docassar/status/1448032889485107204")</f>
        <v>https://twitter.com/docassar/status/1448032889485107204</v>
      </c>
      <c r="AA35" s="83"/>
      <c r="AB35" s="83"/>
      <c r="AC35" s="89" t="s">
        <v>419</v>
      </c>
      <c r="AD35" s="83"/>
      <c r="AE35" s="83" t="b">
        <v>0</v>
      </c>
      <c r="AF35" s="83">
        <v>6</v>
      </c>
      <c r="AG35" s="89" t="s">
        <v>448</v>
      </c>
      <c r="AH35" s="83" t="b">
        <v>0</v>
      </c>
      <c r="AI35" s="83" t="s">
        <v>452</v>
      </c>
      <c r="AJ35" s="83"/>
      <c r="AK35" s="89" t="s">
        <v>448</v>
      </c>
      <c r="AL35" s="83" t="b">
        <v>0</v>
      </c>
      <c r="AM35" s="83">
        <v>1</v>
      </c>
      <c r="AN35" s="89" t="s">
        <v>448</v>
      </c>
      <c r="AO35" s="89" t="s">
        <v>456</v>
      </c>
      <c r="AP35" s="83" t="b">
        <v>0</v>
      </c>
      <c r="AQ35" s="89" t="s">
        <v>419</v>
      </c>
      <c r="AR35" s="83" t="s">
        <v>196</v>
      </c>
      <c r="AS35" s="83">
        <v>0</v>
      </c>
      <c r="AT35" s="83">
        <v>0</v>
      </c>
      <c r="AU35" s="83"/>
      <c r="AV35" s="83"/>
      <c r="AW35" s="83"/>
      <c r="AX35" s="83"/>
      <c r="AY35" s="83"/>
      <c r="AZ35" s="83"/>
      <c r="BA35" s="83"/>
      <c r="BB35" s="83"/>
      <c r="BC35">
        <v>1</v>
      </c>
      <c r="BD35" s="82" t="str">
        <f>REPLACE(INDEX(GroupVertices[Group],MATCH(Edges[[#This Row],[Vertex 1]],GroupVertices[Vertex],0)),1,1,"")</f>
        <v>1</v>
      </c>
      <c r="BE35" s="82" t="str">
        <f>REPLACE(INDEX(GroupVertices[Group],MATCH(Edges[[#This Row],[Vertex 2]],GroupVertices[Vertex],0)),1,1,"")</f>
        <v>1</v>
      </c>
      <c r="BF35" s="51"/>
      <c r="BG35" s="52"/>
      <c r="BH35" s="51"/>
      <c r="BI35" s="52"/>
      <c r="BJ35" s="51"/>
      <c r="BK35" s="52"/>
      <c r="BL35" s="51"/>
      <c r="BM35" s="52"/>
      <c r="BN35" s="51"/>
    </row>
    <row r="36" spans="1:66" ht="15">
      <c r="A36" s="81" t="s">
        <v>251</v>
      </c>
      <c r="B36" s="81" t="s">
        <v>275</v>
      </c>
      <c r="C36" s="53" t="s">
        <v>1370</v>
      </c>
      <c r="D36" s="54">
        <v>3</v>
      </c>
      <c r="E36" s="53" t="s">
        <v>132</v>
      </c>
      <c r="F36" s="55">
        <v>32</v>
      </c>
      <c r="G36" s="53"/>
      <c r="H36" s="57"/>
      <c r="I36" s="56"/>
      <c r="J36" s="56"/>
      <c r="K36" s="36" t="s">
        <v>65</v>
      </c>
      <c r="L36" s="62">
        <v>36</v>
      </c>
      <c r="M36" s="62"/>
      <c r="N36" s="63"/>
      <c r="O36" s="83" t="s">
        <v>286</v>
      </c>
      <c r="P36" s="85">
        <v>44482.836180555554</v>
      </c>
      <c r="Q36" s="83" t="s">
        <v>302</v>
      </c>
      <c r="R36" s="87" t="str">
        <f t="shared" si="0"/>
        <v>https://nodexlgraphgallery.org/Pages/Graph.aspx?graphID=264394</v>
      </c>
      <c r="S36" s="83" t="s">
        <v>326</v>
      </c>
      <c r="T36" s="83"/>
      <c r="U36" s="83"/>
      <c r="V36" s="87" t="str">
        <f>HYPERLINK("https://pbs.twimg.com/profile_images/1365866667100827650/Sz4fHM1k_normal.jpg")</f>
        <v>https://pbs.twimg.com/profile_images/1365866667100827650/Sz4fHM1k_normal.jpg</v>
      </c>
      <c r="W36" s="85">
        <v>44482.836180555554</v>
      </c>
      <c r="X36" s="91">
        <v>44482</v>
      </c>
      <c r="Y36" s="89" t="s">
        <v>377</v>
      </c>
      <c r="Z36" s="87" t="str">
        <f>HYPERLINK("https://twitter.com/ra_mc/status/1448379038314246150")</f>
        <v>https://twitter.com/ra_mc/status/1448379038314246150</v>
      </c>
      <c r="AA36" s="83"/>
      <c r="AB36" s="83"/>
      <c r="AC36" s="89" t="s">
        <v>420</v>
      </c>
      <c r="AD36" s="83"/>
      <c r="AE36" s="83" t="b">
        <v>0</v>
      </c>
      <c r="AF36" s="83">
        <v>0</v>
      </c>
      <c r="AG36" s="89" t="s">
        <v>448</v>
      </c>
      <c r="AH36" s="83" t="b">
        <v>0</v>
      </c>
      <c r="AI36" s="83" t="s">
        <v>452</v>
      </c>
      <c r="AJ36" s="83"/>
      <c r="AK36" s="89" t="s">
        <v>448</v>
      </c>
      <c r="AL36" s="83" t="b">
        <v>0</v>
      </c>
      <c r="AM36" s="83">
        <v>1</v>
      </c>
      <c r="AN36" s="89" t="s">
        <v>419</v>
      </c>
      <c r="AO36" s="89" t="s">
        <v>461</v>
      </c>
      <c r="AP36" s="83" t="b">
        <v>0</v>
      </c>
      <c r="AQ36" s="89" t="s">
        <v>419</v>
      </c>
      <c r="AR36" s="83" t="s">
        <v>196</v>
      </c>
      <c r="AS36" s="83">
        <v>0</v>
      </c>
      <c r="AT36" s="83">
        <v>0</v>
      </c>
      <c r="AU36" s="83"/>
      <c r="AV36" s="83"/>
      <c r="AW36" s="83"/>
      <c r="AX36" s="83"/>
      <c r="AY36" s="83"/>
      <c r="AZ36" s="83"/>
      <c r="BA36" s="83"/>
      <c r="BB36" s="83"/>
      <c r="BC36">
        <v>1</v>
      </c>
      <c r="BD36" s="82" t="str">
        <f>REPLACE(INDEX(GroupVertices[Group],MATCH(Edges[[#This Row],[Vertex 1]],GroupVertices[Vertex],0)),1,1,"")</f>
        <v>1</v>
      </c>
      <c r="BE36" s="82" t="str">
        <f>REPLACE(INDEX(GroupVertices[Group],MATCH(Edges[[#This Row],[Vertex 2]],GroupVertices[Vertex],0)),1,1,"")</f>
        <v>1</v>
      </c>
      <c r="BF36" s="51"/>
      <c r="BG36" s="52"/>
      <c r="BH36" s="51"/>
      <c r="BI36" s="52"/>
      <c r="BJ36" s="51"/>
      <c r="BK36" s="52"/>
      <c r="BL36" s="51"/>
      <c r="BM36" s="52"/>
      <c r="BN36" s="51"/>
    </row>
    <row r="37" spans="1:66" ht="15">
      <c r="A37" s="81" t="s">
        <v>250</v>
      </c>
      <c r="B37" s="81" t="s">
        <v>283</v>
      </c>
      <c r="C37" s="53" t="s">
        <v>1370</v>
      </c>
      <c r="D37" s="54">
        <v>3</v>
      </c>
      <c r="E37" s="53" t="s">
        <v>132</v>
      </c>
      <c r="F37" s="55">
        <v>32</v>
      </c>
      <c r="G37" s="53"/>
      <c r="H37" s="57"/>
      <c r="I37" s="56"/>
      <c r="J37" s="56"/>
      <c r="K37" s="36" t="s">
        <v>65</v>
      </c>
      <c r="L37" s="62">
        <v>37</v>
      </c>
      <c r="M37" s="62"/>
      <c r="N37" s="63"/>
      <c r="O37" s="83" t="s">
        <v>285</v>
      </c>
      <c r="P37" s="85">
        <v>44481.88099537037</v>
      </c>
      <c r="Q37" s="83" t="s">
        <v>302</v>
      </c>
      <c r="R37" s="87" t="str">
        <f t="shared" si="0"/>
        <v>https://nodexlgraphgallery.org/Pages/Graph.aspx?graphID=264394</v>
      </c>
      <c r="S37" s="83" t="s">
        <v>326</v>
      </c>
      <c r="T37" s="89" t="s">
        <v>347</v>
      </c>
      <c r="U37" s="83"/>
      <c r="V37" s="87" t="str">
        <f>HYPERLINK("https://pbs.twimg.com/profile_images/993645134372798469/pAZy1Q6j_normal.jpg")</f>
        <v>https://pbs.twimg.com/profile_images/993645134372798469/pAZy1Q6j_normal.jpg</v>
      </c>
      <c r="W37" s="85">
        <v>44481.88099537037</v>
      </c>
      <c r="X37" s="91">
        <v>44481</v>
      </c>
      <c r="Y37" s="89" t="s">
        <v>376</v>
      </c>
      <c r="Z37" s="87" t="str">
        <f>HYPERLINK("https://twitter.com/docassar/status/1448032889485107204")</f>
        <v>https://twitter.com/docassar/status/1448032889485107204</v>
      </c>
      <c r="AA37" s="83"/>
      <c r="AB37" s="83"/>
      <c r="AC37" s="89" t="s">
        <v>419</v>
      </c>
      <c r="AD37" s="83"/>
      <c r="AE37" s="83" t="b">
        <v>0</v>
      </c>
      <c r="AF37" s="83">
        <v>6</v>
      </c>
      <c r="AG37" s="89" t="s">
        <v>448</v>
      </c>
      <c r="AH37" s="83" t="b">
        <v>0</v>
      </c>
      <c r="AI37" s="83" t="s">
        <v>452</v>
      </c>
      <c r="AJ37" s="83"/>
      <c r="AK37" s="89" t="s">
        <v>448</v>
      </c>
      <c r="AL37" s="83" t="b">
        <v>0</v>
      </c>
      <c r="AM37" s="83">
        <v>1</v>
      </c>
      <c r="AN37" s="89" t="s">
        <v>448</v>
      </c>
      <c r="AO37" s="89" t="s">
        <v>456</v>
      </c>
      <c r="AP37" s="83" t="b">
        <v>0</v>
      </c>
      <c r="AQ37" s="89" t="s">
        <v>419</v>
      </c>
      <c r="AR37" s="83" t="s">
        <v>196</v>
      </c>
      <c r="AS37" s="83">
        <v>0</v>
      </c>
      <c r="AT37" s="83">
        <v>0</v>
      </c>
      <c r="AU37" s="83"/>
      <c r="AV37" s="83"/>
      <c r="AW37" s="83"/>
      <c r="AX37" s="83"/>
      <c r="AY37" s="83"/>
      <c r="AZ37" s="83"/>
      <c r="BA37" s="83"/>
      <c r="BB37" s="83"/>
      <c r="BC37">
        <v>1</v>
      </c>
      <c r="BD37" s="82" t="str">
        <f>REPLACE(INDEX(GroupVertices[Group],MATCH(Edges[[#This Row],[Vertex 1]],GroupVertices[Vertex],0)),1,1,"")</f>
        <v>1</v>
      </c>
      <c r="BE37" s="82" t="str">
        <f>REPLACE(INDEX(GroupVertices[Group],MATCH(Edges[[#This Row],[Vertex 2]],GroupVertices[Vertex],0)),1,1,"")</f>
        <v>1</v>
      </c>
      <c r="BF37" s="51"/>
      <c r="BG37" s="52"/>
      <c r="BH37" s="51"/>
      <c r="BI37" s="52"/>
      <c r="BJ37" s="51"/>
      <c r="BK37" s="52"/>
      <c r="BL37" s="51"/>
      <c r="BM37" s="52"/>
      <c r="BN37" s="51"/>
    </row>
    <row r="38" spans="1:66" ht="15">
      <c r="A38" s="81" t="s">
        <v>251</v>
      </c>
      <c r="B38" s="81" t="s">
        <v>283</v>
      </c>
      <c r="C38" s="53" t="s">
        <v>1370</v>
      </c>
      <c r="D38" s="54">
        <v>3</v>
      </c>
      <c r="E38" s="53" t="s">
        <v>132</v>
      </c>
      <c r="F38" s="55">
        <v>32</v>
      </c>
      <c r="G38" s="53"/>
      <c r="H38" s="57"/>
      <c r="I38" s="56"/>
      <c r="J38" s="56"/>
      <c r="K38" s="36" t="s">
        <v>65</v>
      </c>
      <c r="L38" s="62">
        <v>38</v>
      </c>
      <c r="M38" s="62"/>
      <c r="N38" s="63"/>
      <c r="O38" s="83" t="s">
        <v>286</v>
      </c>
      <c r="P38" s="85">
        <v>44482.836180555554</v>
      </c>
      <c r="Q38" s="83" t="s">
        <v>302</v>
      </c>
      <c r="R38" s="87" t="str">
        <f t="shared" si="0"/>
        <v>https://nodexlgraphgallery.org/Pages/Graph.aspx?graphID=264394</v>
      </c>
      <c r="S38" s="83" t="s">
        <v>326</v>
      </c>
      <c r="T38" s="83"/>
      <c r="U38" s="83"/>
      <c r="V38" s="87" t="str">
        <f>HYPERLINK("https://pbs.twimg.com/profile_images/1365866667100827650/Sz4fHM1k_normal.jpg")</f>
        <v>https://pbs.twimg.com/profile_images/1365866667100827650/Sz4fHM1k_normal.jpg</v>
      </c>
      <c r="W38" s="85">
        <v>44482.836180555554</v>
      </c>
      <c r="X38" s="91">
        <v>44482</v>
      </c>
      <c r="Y38" s="89" t="s">
        <v>377</v>
      </c>
      <c r="Z38" s="87" t="str">
        <f>HYPERLINK("https://twitter.com/ra_mc/status/1448379038314246150")</f>
        <v>https://twitter.com/ra_mc/status/1448379038314246150</v>
      </c>
      <c r="AA38" s="83"/>
      <c r="AB38" s="83"/>
      <c r="AC38" s="89" t="s">
        <v>420</v>
      </c>
      <c r="AD38" s="83"/>
      <c r="AE38" s="83" t="b">
        <v>0</v>
      </c>
      <c r="AF38" s="83">
        <v>0</v>
      </c>
      <c r="AG38" s="89" t="s">
        <v>448</v>
      </c>
      <c r="AH38" s="83" t="b">
        <v>0</v>
      </c>
      <c r="AI38" s="83" t="s">
        <v>452</v>
      </c>
      <c r="AJ38" s="83"/>
      <c r="AK38" s="89" t="s">
        <v>448</v>
      </c>
      <c r="AL38" s="83" t="b">
        <v>0</v>
      </c>
      <c r="AM38" s="83">
        <v>1</v>
      </c>
      <c r="AN38" s="89" t="s">
        <v>419</v>
      </c>
      <c r="AO38" s="89" t="s">
        <v>461</v>
      </c>
      <c r="AP38" s="83" t="b">
        <v>0</v>
      </c>
      <c r="AQ38" s="89" t="s">
        <v>419</v>
      </c>
      <c r="AR38" s="83" t="s">
        <v>196</v>
      </c>
      <c r="AS38" s="83">
        <v>0</v>
      </c>
      <c r="AT38" s="83">
        <v>0</v>
      </c>
      <c r="AU38" s="83"/>
      <c r="AV38" s="83"/>
      <c r="AW38" s="83"/>
      <c r="AX38" s="83"/>
      <c r="AY38" s="83"/>
      <c r="AZ38" s="83"/>
      <c r="BA38" s="83"/>
      <c r="BB38" s="83"/>
      <c r="BC38">
        <v>1</v>
      </c>
      <c r="BD38" s="82" t="str">
        <f>REPLACE(INDEX(GroupVertices[Group],MATCH(Edges[[#This Row],[Vertex 1]],GroupVertices[Vertex],0)),1,1,"")</f>
        <v>1</v>
      </c>
      <c r="BE38" s="82" t="str">
        <f>REPLACE(INDEX(GroupVertices[Group],MATCH(Edges[[#This Row],[Vertex 2]],GroupVertices[Vertex],0)),1,1,"")</f>
        <v>1</v>
      </c>
      <c r="BF38" s="51"/>
      <c r="BG38" s="52"/>
      <c r="BH38" s="51"/>
      <c r="BI38" s="52"/>
      <c r="BJ38" s="51"/>
      <c r="BK38" s="52"/>
      <c r="BL38" s="51"/>
      <c r="BM38" s="52"/>
      <c r="BN38" s="51"/>
    </row>
    <row r="39" spans="1:66" ht="15">
      <c r="A39" s="81" t="s">
        <v>250</v>
      </c>
      <c r="B39" s="81" t="s">
        <v>251</v>
      </c>
      <c r="C39" s="53" t="s">
        <v>1370</v>
      </c>
      <c r="D39" s="54">
        <v>3</v>
      </c>
      <c r="E39" s="53" t="s">
        <v>132</v>
      </c>
      <c r="F39" s="55">
        <v>32</v>
      </c>
      <c r="G39" s="53"/>
      <c r="H39" s="57"/>
      <c r="I39" s="56"/>
      <c r="J39" s="56"/>
      <c r="K39" s="36" t="s">
        <v>66</v>
      </c>
      <c r="L39" s="62">
        <v>39</v>
      </c>
      <c r="M39" s="62"/>
      <c r="N39" s="63"/>
      <c r="O39" s="83" t="s">
        <v>285</v>
      </c>
      <c r="P39" s="85">
        <v>44481.88099537037</v>
      </c>
      <c r="Q39" s="83" t="s">
        <v>302</v>
      </c>
      <c r="R39" s="87" t="str">
        <f t="shared" si="0"/>
        <v>https://nodexlgraphgallery.org/Pages/Graph.aspx?graphID=264394</v>
      </c>
      <c r="S39" s="83" t="s">
        <v>326</v>
      </c>
      <c r="T39" s="89" t="s">
        <v>347</v>
      </c>
      <c r="U39" s="83"/>
      <c r="V39" s="87" t="str">
        <f>HYPERLINK("https://pbs.twimg.com/profile_images/993645134372798469/pAZy1Q6j_normal.jpg")</f>
        <v>https://pbs.twimg.com/profile_images/993645134372798469/pAZy1Q6j_normal.jpg</v>
      </c>
      <c r="W39" s="85">
        <v>44481.88099537037</v>
      </c>
      <c r="X39" s="91">
        <v>44481</v>
      </c>
      <c r="Y39" s="89" t="s">
        <v>376</v>
      </c>
      <c r="Z39" s="87" t="str">
        <f>HYPERLINK("https://twitter.com/docassar/status/1448032889485107204")</f>
        <v>https://twitter.com/docassar/status/1448032889485107204</v>
      </c>
      <c r="AA39" s="83"/>
      <c r="AB39" s="83"/>
      <c r="AC39" s="89" t="s">
        <v>419</v>
      </c>
      <c r="AD39" s="83"/>
      <c r="AE39" s="83" t="b">
        <v>0</v>
      </c>
      <c r="AF39" s="83">
        <v>6</v>
      </c>
      <c r="AG39" s="89" t="s">
        <v>448</v>
      </c>
      <c r="AH39" s="83" t="b">
        <v>0</v>
      </c>
      <c r="AI39" s="83" t="s">
        <v>452</v>
      </c>
      <c r="AJ39" s="83"/>
      <c r="AK39" s="89" t="s">
        <v>448</v>
      </c>
      <c r="AL39" s="83" t="b">
        <v>0</v>
      </c>
      <c r="AM39" s="83">
        <v>1</v>
      </c>
      <c r="AN39" s="89" t="s">
        <v>448</v>
      </c>
      <c r="AO39" s="89" t="s">
        <v>456</v>
      </c>
      <c r="AP39" s="83" t="b">
        <v>0</v>
      </c>
      <c r="AQ39" s="89" t="s">
        <v>419</v>
      </c>
      <c r="AR39" s="83" t="s">
        <v>196</v>
      </c>
      <c r="AS39" s="83">
        <v>0</v>
      </c>
      <c r="AT39" s="83">
        <v>0</v>
      </c>
      <c r="AU39" s="83"/>
      <c r="AV39" s="83"/>
      <c r="AW39" s="83"/>
      <c r="AX39" s="83"/>
      <c r="AY39" s="83"/>
      <c r="AZ39" s="83"/>
      <c r="BA39" s="83"/>
      <c r="BB39" s="83"/>
      <c r="BC39">
        <v>1</v>
      </c>
      <c r="BD39" s="82" t="str">
        <f>REPLACE(INDEX(GroupVertices[Group],MATCH(Edges[[#This Row],[Vertex 1]],GroupVertices[Vertex],0)),1,1,"")</f>
        <v>1</v>
      </c>
      <c r="BE39" s="82" t="str">
        <f>REPLACE(INDEX(GroupVertices[Group],MATCH(Edges[[#This Row],[Vertex 2]],GroupVertices[Vertex],0)),1,1,"")</f>
        <v>1</v>
      </c>
      <c r="BF39" s="51"/>
      <c r="BG39" s="52"/>
      <c r="BH39" s="51"/>
      <c r="BI39" s="52"/>
      <c r="BJ39" s="51"/>
      <c r="BK39" s="52"/>
      <c r="BL39" s="51"/>
      <c r="BM39" s="52"/>
      <c r="BN39" s="51"/>
    </row>
    <row r="40" spans="1:66" ht="15">
      <c r="A40" s="81" t="s">
        <v>250</v>
      </c>
      <c r="B40" s="81" t="s">
        <v>254</v>
      </c>
      <c r="C40" s="53" t="s">
        <v>1370</v>
      </c>
      <c r="D40" s="54">
        <v>3</v>
      </c>
      <c r="E40" s="53" t="s">
        <v>132</v>
      </c>
      <c r="F40" s="55">
        <v>32</v>
      </c>
      <c r="G40" s="53"/>
      <c r="H40" s="57"/>
      <c r="I40" s="56"/>
      <c r="J40" s="56"/>
      <c r="K40" s="36" t="s">
        <v>65</v>
      </c>
      <c r="L40" s="62">
        <v>40</v>
      </c>
      <c r="M40" s="62"/>
      <c r="N40" s="63"/>
      <c r="O40" s="83" t="s">
        <v>285</v>
      </c>
      <c r="P40" s="85">
        <v>44481.88099537037</v>
      </c>
      <c r="Q40" s="83" t="s">
        <v>302</v>
      </c>
      <c r="R40" s="87" t="str">
        <f t="shared" si="0"/>
        <v>https://nodexlgraphgallery.org/Pages/Graph.aspx?graphID=264394</v>
      </c>
      <c r="S40" s="83" t="s">
        <v>326</v>
      </c>
      <c r="T40" s="89" t="s">
        <v>347</v>
      </c>
      <c r="U40" s="83"/>
      <c r="V40" s="87" t="str">
        <f>HYPERLINK("https://pbs.twimg.com/profile_images/993645134372798469/pAZy1Q6j_normal.jpg")</f>
        <v>https://pbs.twimg.com/profile_images/993645134372798469/pAZy1Q6j_normal.jpg</v>
      </c>
      <c r="W40" s="85">
        <v>44481.88099537037</v>
      </c>
      <c r="X40" s="91">
        <v>44481</v>
      </c>
      <c r="Y40" s="89" t="s">
        <v>376</v>
      </c>
      <c r="Z40" s="87" t="str">
        <f>HYPERLINK("https://twitter.com/docassar/status/1448032889485107204")</f>
        <v>https://twitter.com/docassar/status/1448032889485107204</v>
      </c>
      <c r="AA40" s="83"/>
      <c r="AB40" s="83"/>
      <c r="AC40" s="89" t="s">
        <v>419</v>
      </c>
      <c r="AD40" s="83"/>
      <c r="AE40" s="83" t="b">
        <v>0</v>
      </c>
      <c r="AF40" s="83">
        <v>6</v>
      </c>
      <c r="AG40" s="89" t="s">
        <v>448</v>
      </c>
      <c r="AH40" s="83" t="b">
        <v>0</v>
      </c>
      <c r="AI40" s="83" t="s">
        <v>452</v>
      </c>
      <c r="AJ40" s="83"/>
      <c r="AK40" s="89" t="s">
        <v>448</v>
      </c>
      <c r="AL40" s="83" t="b">
        <v>0</v>
      </c>
      <c r="AM40" s="83">
        <v>1</v>
      </c>
      <c r="AN40" s="89" t="s">
        <v>448</v>
      </c>
      <c r="AO40" s="89" t="s">
        <v>456</v>
      </c>
      <c r="AP40" s="83" t="b">
        <v>0</v>
      </c>
      <c r="AQ40" s="89" t="s">
        <v>419</v>
      </c>
      <c r="AR40" s="83" t="s">
        <v>196</v>
      </c>
      <c r="AS40" s="83">
        <v>0</v>
      </c>
      <c r="AT40" s="83">
        <v>0</v>
      </c>
      <c r="AU40" s="83"/>
      <c r="AV40" s="83"/>
      <c r="AW40" s="83"/>
      <c r="AX40" s="83"/>
      <c r="AY40" s="83"/>
      <c r="AZ40" s="83"/>
      <c r="BA40" s="83"/>
      <c r="BB40" s="83"/>
      <c r="BC40">
        <v>1</v>
      </c>
      <c r="BD40" s="82" t="str">
        <f>REPLACE(INDEX(GroupVertices[Group],MATCH(Edges[[#This Row],[Vertex 1]],GroupVertices[Vertex],0)),1,1,"")</f>
        <v>1</v>
      </c>
      <c r="BE40" s="82" t="str">
        <f>REPLACE(INDEX(GroupVertices[Group],MATCH(Edges[[#This Row],[Vertex 2]],GroupVertices[Vertex],0)),1,1,"")</f>
        <v>2</v>
      </c>
      <c r="BF40" s="51">
        <v>1</v>
      </c>
      <c r="BG40" s="52">
        <v>4.761904761904762</v>
      </c>
      <c r="BH40" s="51">
        <v>0</v>
      </c>
      <c r="BI40" s="52">
        <v>0</v>
      </c>
      <c r="BJ40" s="51">
        <v>0</v>
      </c>
      <c r="BK40" s="52">
        <v>0</v>
      </c>
      <c r="BL40" s="51">
        <v>20</v>
      </c>
      <c r="BM40" s="52">
        <v>95.23809523809524</v>
      </c>
      <c r="BN40" s="51">
        <v>21</v>
      </c>
    </row>
    <row r="41" spans="1:66" ht="15">
      <c r="A41" s="81" t="s">
        <v>251</v>
      </c>
      <c r="B41" s="81" t="s">
        <v>250</v>
      </c>
      <c r="C41" s="53" t="s">
        <v>1370</v>
      </c>
      <c r="D41" s="54">
        <v>3</v>
      </c>
      <c r="E41" s="53" t="s">
        <v>132</v>
      </c>
      <c r="F41" s="55">
        <v>32</v>
      </c>
      <c r="G41" s="53"/>
      <c r="H41" s="57"/>
      <c r="I41" s="56"/>
      <c r="J41" s="56"/>
      <c r="K41" s="36" t="s">
        <v>66</v>
      </c>
      <c r="L41" s="62">
        <v>41</v>
      </c>
      <c r="M41" s="62"/>
      <c r="N41" s="63"/>
      <c r="O41" s="83" t="s">
        <v>287</v>
      </c>
      <c r="P41" s="85">
        <v>44482.836180555554</v>
      </c>
      <c r="Q41" s="83" t="s">
        <v>302</v>
      </c>
      <c r="R41" s="87" t="str">
        <f t="shared" si="0"/>
        <v>https://nodexlgraphgallery.org/Pages/Graph.aspx?graphID=264394</v>
      </c>
      <c r="S41" s="83" t="s">
        <v>326</v>
      </c>
      <c r="T41" s="83"/>
      <c r="U41" s="83"/>
      <c r="V41" s="87" t="str">
        <f>HYPERLINK("https://pbs.twimg.com/profile_images/1365866667100827650/Sz4fHM1k_normal.jpg")</f>
        <v>https://pbs.twimg.com/profile_images/1365866667100827650/Sz4fHM1k_normal.jpg</v>
      </c>
      <c r="W41" s="85">
        <v>44482.836180555554</v>
      </c>
      <c r="X41" s="91">
        <v>44482</v>
      </c>
      <c r="Y41" s="89" t="s">
        <v>377</v>
      </c>
      <c r="Z41" s="87" t="str">
        <f>HYPERLINK("https://twitter.com/ra_mc/status/1448379038314246150")</f>
        <v>https://twitter.com/ra_mc/status/1448379038314246150</v>
      </c>
      <c r="AA41" s="83"/>
      <c r="AB41" s="83"/>
      <c r="AC41" s="89" t="s">
        <v>420</v>
      </c>
      <c r="AD41" s="83"/>
      <c r="AE41" s="83" t="b">
        <v>0</v>
      </c>
      <c r="AF41" s="83">
        <v>0</v>
      </c>
      <c r="AG41" s="89" t="s">
        <v>448</v>
      </c>
      <c r="AH41" s="83" t="b">
        <v>0</v>
      </c>
      <c r="AI41" s="83" t="s">
        <v>452</v>
      </c>
      <c r="AJ41" s="83"/>
      <c r="AK41" s="89" t="s">
        <v>448</v>
      </c>
      <c r="AL41" s="83" t="b">
        <v>0</v>
      </c>
      <c r="AM41" s="83">
        <v>1</v>
      </c>
      <c r="AN41" s="89" t="s">
        <v>419</v>
      </c>
      <c r="AO41" s="89" t="s">
        <v>461</v>
      </c>
      <c r="AP41" s="83" t="b">
        <v>0</v>
      </c>
      <c r="AQ41" s="89" t="s">
        <v>419</v>
      </c>
      <c r="AR41" s="83" t="s">
        <v>196</v>
      </c>
      <c r="AS41" s="83">
        <v>0</v>
      </c>
      <c r="AT41" s="83">
        <v>0</v>
      </c>
      <c r="AU41" s="83"/>
      <c r="AV41" s="83"/>
      <c r="AW41" s="83"/>
      <c r="AX41" s="83"/>
      <c r="AY41" s="83"/>
      <c r="AZ41" s="83"/>
      <c r="BA41" s="83"/>
      <c r="BB41" s="83"/>
      <c r="BC41">
        <v>1</v>
      </c>
      <c r="BD41" s="82" t="str">
        <f>REPLACE(INDEX(GroupVertices[Group],MATCH(Edges[[#This Row],[Vertex 1]],GroupVertices[Vertex],0)),1,1,"")</f>
        <v>1</v>
      </c>
      <c r="BE41" s="82" t="str">
        <f>REPLACE(INDEX(GroupVertices[Group],MATCH(Edges[[#This Row],[Vertex 2]],GroupVertices[Vertex],0)),1,1,"")</f>
        <v>1</v>
      </c>
      <c r="BF41" s="51"/>
      <c r="BG41" s="52"/>
      <c r="BH41" s="51"/>
      <c r="BI41" s="52"/>
      <c r="BJ41" s="51"/>
      <c r="BK41" s="52"/>
      <c r="BL41" s="51"/>
      <c r="BM41" s="52"/>
      <c r="BN41" s="51"/>
    </row>
    <row r="42" spans="1:66" ht="15">
      <c r="A42" s="81" t="s">
        <v>251</v>
      </c>
      <c r="B42" s="81" t="s">
        <v>254</v>
      </c>
      <c r="C42" s="53" t="s">
        <v>1370</v>
      </c>
      <c r="D42" s="54">
        <v>3</v>
      </c>
      <c r="E42" s="53" t="s">
        <v>132</v>
      </c>
      <c r="F42" s="55">
        <v>32</v>
      </c>
      <c r="G42" s="53"/>
      <c r="H42" s="57"/>
      <c r="I42" s="56"/>
      <c r="J42" s="56"/>
      <c r="K42" s="36" t="s">
        <v>65</v>
      </c>
      <c r="L42" s="62">
        <v>42</v>
      </c>
      <c r="M42" s="62"/>
      <c r="N42" s="63"/>
      <c r="O42" s="83" t="s">
        <v>286</v>
      </c>
      <c r="P42" s="85">
        <v>44482.836180555554</v>
      </c>
      <c r="Q42" s="83" t="s">
        <v>302</v>
      </c>
      <c r="R42" s="87" t="str">
        <f t="shared" si="0"/>
        <v>https://nodexlgraphgallery.org/Pages/Graph.aspx?graphID=264394</v>
      </c>
      <c r="S42" s="83" t="s">
        <v>326</v>
      </c>
      <c r="T42" s="83"/>
      <c r="U42" s="83"/>
      <c r="V42" s="87" t="str">
        <f>HYPERLINK("https://pbs.twimg.com/profile_images/1365866667100827650/Sz4fHM1k_normal.jpg")</f>
        <v>https://pbs.twimg.com/profile_images/1365866667100827650/Sz4fHM1k_normal.jpg</v>
      </c>
      <c r="W42" s="85">
        <v>44482.836180555554</v>
      </c>
      <c r="X42" s="91">
        <v>44482</v>
      </c>
      <c r="Y42" s="89" t="s">
        <v>377</v>
      </c>
      <c r="Z42" s="87" t="str">
        <f>HYPERLINK("https://twitter.com/ra_mc/status/1448379038314246150")</f>
        <v>https://twitter.com/ra_mc/status/1448379038314246150</v>
      </c>
      <c r="AA42" s="83"/>
      <c r="AB42" s="83"/>
      <c r="AC42" s="89" t="s">
        <v>420</v>
      </c>
      <c r="AD42" s="83"/>
      <c r="AE42" s="83" t="b">
        <v>0</v>
      </c>
      <c r="AF42" s="83">
        <v>0</v>
      </c>
      <c r="AG42" s="89" t="s">
        <v>448</v>
      </c>
      <c r="AH42" s="83" t="b">
        <v>0</v>
      </c>
      <c r="AI42" s="83" t="s">
        <v>452</v>
      </c>
      <c r="AJ42" s="83"/>
      <c r="AK42" s="89" t="s">
        <v>448</v>
      </c>
      <c r="AL42" s="83" t="b">
        <v>0</v>
      </c>
      <c r="AM42" s="83">
        <v>1</v>
      </c>
      <c r="AN42" s="89" t="s">
        <v>419</v>
      </c>
      <c r="AO42" s="89" t="s">
        <v>461</v>
      </c>
      <c r="AP42" s="83" t="b">
        <v>0</v>
      </c>
      <c r="AQ42" s="89" t="s">
        <v>419</v>
      </c>
      <c r="AR42" s="83" t="s">
        <v>196</v>
      </c>
      <c r="AS42" s="83">
        <v>0</v>
      </c>
      <c r="AT42" s="83">
        <v>0</v>
      </c>
      <c r="AU42" s="83"/>
      <c r="AV42" s="83"/>
      <c r="AW42" s="83"/>
      <c r="AX42" s="83"/>
      <c r="AY42" s="83"/>
      <c r="AZ42" s="83"/>
      <c r="BA42" s="83"/>
      <c r="BB42" s="83"/>
      <c r="BC42">
        <v>1</v>
      </c>
      <c r="BD42" s="82" t="str">
        <f>REPLACE(INDEX(GroupVertices[Group],MATCH(Edges[[#This Row],[Vertex 1]],GroupVertices[Vertex],0)),1,1,"")</f>
        <v>1</v>
      </c>
      <c r="BE42" s="82" t="str">
        <f>REPLACE(INDEX(GroupVertices[Group],MATCH(Edges[[#This Row],[Vertex 2]],GroupVertices[Vertex],0)),1,1,"")</f>
        <v>2</v>
      </c>
      <c r="BF42" s="51">
        <v>1</v>
      </c>
      <c r="BG42" s="52">
        <v>4.761904761904762</v>
      </c>
      <c r="BH42" s="51">
        <v>0</v>
      </c>
      <c r="BI42" s="52">
        <v>0</v>
      </c>
      <c r="BJ42" s="51">
        <v>0</v>
      </c>
      <c r="BK42" s="52">
        <v>0</v>
      </c>
      <c r="BL42" s="51">
        <v>20</v>
      </c>
      <c r="BM42" s="52">
        <v>95.23809523809524</v>
      </c>
      <c r="BN42" s="51">
        <v>21</v>
      </c>
    </row>
    <row r="43" spans="1:66" ht="15">
      <c r="A43" s="81" t="s">
        <v>252</v>
      </c>
      <c r="B43" s="81" t="s">
        <v>253</v>
      </c>
      <c r="C43" s="53" t="s">
        <v>1370</v>
      </c>
      <c r="D43" s="54">
        <v>3</v>
      </c>
      <c r="E43" s="53" t="s">
        <v>132</v>
      </c>
      <c r="F43" s="55">
        <v>32</v>
      </c>
      <c r="G43" s="53"/>
      <c r="H43" s="57"/>
      <c r="I43" s="56"/>
      <c r="J43" s="56"/>
      <c r="K43" s="36" t="s">
        <v>65</v>
      </c>
      <c r="L43" s="62">
        <v>43</v>
      </c>
      <c r="M43" s="62"/>
      <c r="N43" s="63"/>
      <c r="O43" s="83" t="s">
        <v>287</v>
      </c>
      <c r="P43" s="85">
        <v>44483.00938657407</v>
      </c>
      <c r="Q43" s="83" t="s">
        <v>303</v>
      </c>
      <c r="R43" s="87" t="str">
        <f>HYPERLINK("https://m-vest.com/events/global-agtech?utm_source=press_release&amp;utm_medium=pr&amp;utm_term=presenters")</f>
        <v>https://m-vest.com/events/global-agtech?utm_source=press_release&amp;utm_medium=pr&amp;utm_term=presenters</v>
      </c>
      <c r="S43" s="83" t="s">
        <v>327</v>
      </c>
      <c r="T43" s="89" t="s">
        <v>348</v>
      </c>
      <c r="U43" s="87" t="str">
        <f>HYPERLINK("https://pbs.twimg.com/media/FBluVp_XoAQGM6X.jpg")</f>
        <v>https://pbs.twimg.com/media/FBluVp_XoAQGM6X.jpg</v>
      </c>
      <c r="V43" s="87" t="str">
        <f>HYPERLINK("https://pbs.twimg.com/media/FBluVp_XoAQGM6X.jpg")</f>
        <v>https://pbs.twimg.com/media/FBluVp_XoAQGM6X.jpg</v>
      </c>
      <c r="W43" s="85">
        <v>44483.00938657407</v>
      </c>
      <c r="X43" s="91">
        <v>44483</v>
      </c>
      <c r="Y43" s="89" t="s">
        <v>378</v>
      </c>
      <c r="Z43" s="87" t="str">
        <f>HYPERLINK("https://twitter.com/luutremendous/status/1448441803535958021")</f>
        <v>https://twitter.com/luutremendous/status/1448441803535958021</v>
      </c>
      <c r="AA43" s="83"/>
      <c r="AB43" s="83"/>
      <c r="AC43" s="89" t="s">
        <v>421</v>
      </c>
      <c r="AD43" s="83"/>
      <c r="AE43" s="83" t="b">
        <v>0</v>
      </c>
      <c r="AF43" s="83">
        <v>0</v>
      </c>
      <c r="AG43" s="89" t="s">
        <v>448</v>
      </c>
      <c r="AH43" s="83" t="b">
        <v>0</v>
      </c>
      <c r="AI43" s="83" t="s">
        <v>452</v>
      </c>
      <c r="AJ43" s="83"/>
      <c r="AK43" s="89" t="s">
        <v>448</v>
      </c>
      <c r="AL43" s="83" t="b">
        <v>0</v>
      </c>
      <c r="AM43" s="83">
        <v>1</v>
      </c>
      <c r="AN43" s="89" t="s">
        <v>424</v>
      </c>
      <c r="AO43" s="89" t="s">
        <v>457</v>
      </c>
      <c r="AP43" s="83" t="b">
        <v>0</v>
      </c>
      <c r="AQ43" s="89" t="s">
        <v>424</v>
      </c>
      <c r="AR43" s="83" t="s">
        <v>196</v>
      </c>
      <c r="AS43" s="83">
        <v>0</v>
      </c>
      <c r="AT43" s="83">
        <v>0</v>
      </c>
      <c r="AU43" s="83"/>
      <c r="AV43" s="83"/>
      <c r="AW43" s="83"/>
      <c r="AX43" s="83"/>
      <c r="AY43" s="83"/>
      <c r="AZ43" s="83"/>
      <c r="BA43" s="83"/>
      <c r="BB43" s="83"/>
      <c r="BC43">
        <v>1</v>
      </c>
      <c r="BD43" s="82" t="str">
        <f>REPLACE(INDEX(GroupVertices[Group],MATCH(Edges[[#This Row],[Vertex 1]],GroupVertices[Vertex],0)),1,1,"")</f>
        <v>2</v>
      </c>
      <c r="BE43" s="82" t="str">
        <f>REPLACE(INDEX(GroupVertices[Group],MATCH(Edges[[#This Row],[Vertex 2]],GroupVertices[Vertex],0)),1,1,"")</f>
        <v>2</v>
      </c>
      <c r="BF43" s="51">
        <v>3</v>
      </c>
      <c r="BG43" s="52">
        <v>9.090909090909092</v>
      </c>
      <c r="BH43" s="51">
        <v>0</v>
      </c>
      <c r="BI43" s="52">
        <v>0</v>
      </c>
      <c r="BJ43" s="51">
        <v>0</v>
      </c>
      <c r="BK43" s="52">
        <v>0</v>
      </c>
      <c r="BL43" s="51">
        <v>30</v>
      </c>
      <c r="BM43" s="52">
        <v>90.9090909090909</v>
      </c>
      <c r="BN43" s="51">
        <v>33</v>
      </c>
    </row>
    <row r="44" spans="1:66" ht="30">
      <c r="A44" s="81" t="s">
        <v>253</v>
      </c>
      <c r="B44" s="81" t="s">
        <v>253</v>
      </c>
      <c r="C44" s="53" t="s">
        <v>1372</v>
      </c>
      <c r="D44" s="54">
        <v>3</v>
      </c>
      <c r="E44" s="53" t="s">
        <v>136</v>
      </c>
      <c r="F44" s="55">
        <v>6</v>
      </c>
      <c r="G44" s="53"/>
      <c r="H44" s="57"/>
      <c r="I44" s="56"/>
      <c r="J44" s="56"/>
      <c r="K44" s="36" t="s">
        <v>65</v>
      </c>
      <c r="L44" s="62">
        <v>44</v>
      </c>
      <c r="M44" s="62"/>
      <c r="N44" s="63"/>
      <c r="O44" s="83" t="s">
        <v>196</v>
      </c>
      <c r="P44" s="85">
        <v>44476.60767361111</v>
      </c>
      <c r="Q44" s="83" t="s">
        <v>293</v>
      </c>
      <c r="R44" s="87" t="str">
        <f>HYPERLINK("https://twitter.com/Calcalistech/status/1446115448035020808")</f>
        <v>https://twitter.com/Calcalistech/status/1446115448035020808</v>
      </c>
      <c r="S44" s="83" t="s">
        <v>321</v>
      </c>
      <c r="T44" s="89" t="s">
        <v>339</v>
      </c>
      <c r="U44" s="83"/>
      <c r="V44" s="87" t="str">
        <f>HYPERLINK("https://pbs.twimg.com/profile_images/1371467367474200579/0gVpA3fB_normal.jpg")</f>
        <v>https://pbs.twimg.com/profile_images/1371467367474200579/0gVpA3fB_normal.jpg</v>
      </c>
      <c r="W44" s="85">
        <v>44476.60767361111</v>
      </c>
      <c r="X44" s="91">
        <v>44476</v>
      </c>
      <c r="Y44" s="89" t="s">
        <v>379</v>
      </c>
      <c r="Z44" s="87" t="str">
        <f>HYPERLINK("https://twitter.com/meatech3d/status/1446121902804664324")</f>
        <v>https://twitter.com/meatech3d/status/1446121902804664324</v>
      </c>
      <c r="AA44" s="83"/>
      <c r="AB44" s="83"/>
      <c r="AC44" s="89" t="s">
        <v>422</v>
      </c>
      <c r="AD44" s="83"/>
      <c r="AE44" s="83" t="b">
        <v>0</v>
      </c>
      <c r="AF44" s="83">
        <v>15</v>
      </c>
      <c r="AG44" s="89" t="s">
        <v>448</v>
      </c>
      <c r="AH44" s="83" t="b">
        <v>1</v>
      </c>
      <c r="AI44" s="83" t="s">
        <v>452</v>
      </c>
      <c r="AJ44" s="83"/>
      <c r="AK44" s="89" t="s">
        <v>454</v>
      </c>
      <c r="AL44" s="83" t="b">
        <v>0</v>
      </c>
      <c r="AM44" s="83">
        <v>8</v>
      </c>
      <c r="AN44" s="89" t="s">
        <v>448</v>
      </c>
      <c r="AO44" s="89" t="s">
        <v>456</v>
      </c>
      <c r="AP44" s="83" t="b">
        <v>0</v>
      </c>
      <c r="AQ44" s="89" t="s">
        <v>422</v>
      </c>
      <c r="AR44" s="83" t="s">
        <v>287</v>
      </c>
      <c r="AS44" s="83">
        <v>0</v>
      </c>
      <c r="AT44" s="83">
        <v>0</v>
      </c>
      <c r="AU44" s="83"/>
      <c r="AV44" s="83"/>
      <c r="AW44" s="83"/>
      <c r="AX44" s="83"/>
      <c r="AY44" s="83"/>
      <c r="AZ44" s="83"/>
      <c r="BA44" s="83"/>
      <c r="BB44" s="83"/>
      <c r="BC44">
        <v>3</v>
      </c>
      <c r="BD44" s="82" t="str">
        <f>REPLACE(INDEX(GroupVertices[Group],MATCH(Edges[[#This Row],[Vertex 1]],GroupVertices[Vertex],0)),1,1,"")</f>
        <v>2</v>
      </c>
      <c r="BE44" s="82" t="str">
        <f>REPLACE(INDEX(GroupVertices[Group],MATCH(Edges[[#This Row],[Vertex 2]],GroupVertices[Vertex],0)),1,1,"")</f>
        <v>2</v>
      </c>
      <c r="BF44" s="51">
        <v>1</v>
      </c>
      <c r="BG44" s="52">
        <v>5</v>
      </c>
      <c r="BH44" s="51">
        <v>0</v>
      </c>
      <c r="BI44" s="52">
        <v>0</v>
      </c>
      <c r="BJ44" s="51">
        <v>0</v>
      </c>
      <c r="BK44" s="52">
        <v>0</v>
      </c>
      <c r="BL44" s="51">
        <v>19</v>
      </c>
      <c r="BM44" s="52">
        <v>95</v>
      </c>
      <c r="BN44" s="51">
        <v>20</v>
      </c>
    </row>
    <row r="45" spans="1:66" ht="30">
      <c r="A45" s="81" t="s">
        <v>253</v>
      </c>
      <c r="B45" s="81" t="s">
        <v>253</v>
      </c>
      <c r="C45" s="53" t="s">
        <v>1372</v>
      </c>
      <c r="D45" s="54">
        <v>3</v>
      </c>
      <c r="E45" s="53" t="s">
        <v>136</v>
      </c>
      <c r="F45" s="55">
        <v>6</v>
      </c>
      <c r="G45" s="53"/>
      <c r="H45" s="57"/>
      <c r="I45" s="56"/>
      <c r="J45" s="56"/>
      <c r="K45" s="36" t="s">
        <v>65</v>
      </c>
      <c r="L45" s="62">
        <v>45</v>
      </c>
      <c r="M45" s="62"/>
      <c r="N45" s="63"/>
      <c r="O45" s="83" t="s">
        <v>196</v>
      </c>
      <c r="P45" s="85">
        <v>44482.520891203705</v>
      </c>
      <c r="Q45" s="83" t="s">
        <v>301</v>
      </c>
      <c r="R45" s="83"/>
      <c r="S45" s="83"/>
      <c r="T45" s="89" t="s">
        <v>346</v>
      </c>
      <c r="U45" s="87" t="str">
        <f>HYPERLINK("https://pbs.twimg.com/media/FBlFJBgWEAAILms.jpg")</f>
        <v>https://pbs.twimg.com/media/FBlFJBgWEAAILms.jpg</v>
      </c>
      <c r="V45" s="87" t="str">
        <f>HYPERLINK("https://pbs.twimg.com/media/FBlFJBgWEAAILms.jpg")</f>
        <v>https://pbs.twimg.com/media/FBlFJBgWEAAILms.jpg</v>
      </c>
      <c r="W45" s="85">
        <v>44482.520891203705</v>
      </c>
      <c r="X45" s="91">
        <v>44482</v>
      </c>
      <c r="Y45" s="89" t="s">
        <v>380</v>
      </c>
      <c r="Z45" s="87" t="str">
        <f>HYPERLINK("https://twitter.com/meatech3d/status/1448264778066051073")</f>
        <v>https://twitter.com/meatech3d/status/1448264778066051073</v>
      </c>
      <c r="AA45" s="83"/>
      <c r="AB45" s="83"/>
      <c r="AC45" s="89" t="s">
        <v>423</v>
      </c>
      <c r="AD45" s="83"/>
      <c r="AE45" s="83" t="b">
        <v>0</v>
      </c>
      <c r="AF45" s="83">
        <v>18</v>
      </c>
      <c r="AG45" s="89" t="s">
        <v>448</v>
      </c>
      <c r="AH45" s="83" t="b">
        <v>0</v>
      </c>
      <c r="AI45" s="83" t="s">
        <v>452</v>
      </c>
      <c r="AJ45" s="83"/>
      <c r="AK45" s="89" t="s">
        <v>448</v>
      </c>
      <c r="AL45" s="83" t="b">
        <v>0</v>
      </c>
      <c r="AM45" s="83">
        <v>2</v>
      </c>
      <c r="AN45" s="89" t="s">
        <v>448</v>
      </c>
      <c r="AO45" s="89" t="s">
        <v>458</v>
      </c>
      <c r="AP45" s="83" t="b">
        <v>0</v>
      </c>
      <c r="AQ45" s="89" t="s">
        <v>423</v>
      </c>
      <c r="AR45" s="83" t="s">
        <v>196</v>
      </c>
      <c r="AS45" s="83">
        <v>0</v>
      </c>
      <c r="AT45" s="83">
        <v>0</v>
      </c>
      <c r="AU45" s="83"/>
      <c r="AV45" s="83"/>
      <c r="AW45" s="83"/>
      <c r="AX45" s="83"/>
      <c r="AY45" s="83"/>
      <c r="AZ45" s="83"/>
      <c r="BA45" s="83"/>
      <c r="BB45" s="83"/>
      <c r="BC45">
        <v>3</v>
      </c>
      <c r="BD45" s="82" t="str">
        <f>REPLACE(INDEX(GroupVertices[Group],MATCH(Edges[[#This Row],[Vertex 1]],GroupVertices[Vertex],0)),1,1,"")</f>
        <v>2</v>
      </c>
      <c r="BE45" s="82" t="str">
        <f>REPLACE(INDEX(GroupVertices[Group],MATCH(Edges[[#This Row],[Vertex 2]],GroupVertices[Vertex],0)),1,1,"")</f>
        <v>2</v>
      </c>
      <c r="BF45" s="51">
        <v>0</v>
      </c>
      <c r="BG45" s="52">
        <v>0</v>
      </c>
      <c r="BH45" s="51">
        <v>1</v>
      </c>
      <c r="BI45" s="52">
        <v>2.4390243902439024</v>
      </c>
      <c r="BJ45" s="51">
        <v>0</v>
      </c>
      <c r="BK45" s="52">
        <v>0</v>
      </c>
      <c r="BL45" s="51">
        <v>40</v>
      </c>
      <c r="BM45" s="52">
        <v>97.5609756097561</v>
      </c>
      <c r="BN45" s="51">
        <v>41</v>
      </c>
    </row>
    <row r="46" spans="1:66" ht="30">
      <c r="A46" s="81" t="s">
        <v>253</v>
      </c>
      <c r="B46" s="81" t="s">
        <v>253</v>
      </c>
      <c r="C46" s="53" t="s">
        <v>1372</v>
      </c>
      <c r="D46" s="54">
        <v>3</v>
      </c>
      <c r="E46" s="53" t="s">
        <v>136</v>
      </c>
      <c r="F46" s="55">
        <v>6</v>
      </c>
      <c r="G46" s="53"/>
      <c r="H46" s="57"/>
      <c r="I46" s="56"/>
      <c r="J46" s="56"/>
      <c r="K46" s="36" t="s">
        <v>65</v>
      </c>
      <c r="L46" s="62">
        <v>46</v>
      </c>
      <c r="M46" s="62"/>
      <c r="N46" s="63"/>
      <c r="O46" s="83" t="s">
        <v>196</v>
      </c>
      <c r="P46" s="85">
        <v>44482.64587962963</v>
      </c>
      <c r="Q46" s="83" t="s">
        <v>303</v>
      </c>
      <c r="R46" s="87" t="str">
        <f>HYPERLINK("https://m-vest.com/events/global-agtech?utm_source=press_release&amp;utm_medium=pr&amp;utm_term=presenters")</f>
        <v>https://m-vest.com/events/global-agtech?utm_source=press_release&amp;utm_medium=pr&amp;utm_term=presenters</v>
      </c>
      <c r="S46" s="83" t="s">
        <v>327</v>
      </c>
      <c r="T46" s="89" t="s">
        <v>348</v>
      </c>
      <c r="U46" s="87" t="str">
        <f>HYPERLINK("https://pbs.twimg.com/media/FBluVp_XoAQGM6X.jpg")</f>
        <v>https://pbs.twimg.com/media/FBluVp_XoAQGM6X.jpg</v>
      </c>
      <c r="V46" s="87" t="str">
        <f>HYPERLINK("https://pbs.twimg.com/media/FBluVp_XoAQGM6X.jpg")</f>
        <v>https://pbs.twimg.com/media/FBluVp_XoAQGM6X.jpg</v>
      </c>
      <c r="W46" s="85">
        <v>44482.64587962963</v>
      </c>
      <c r="X46" s="91">
        <v>44482</v>
      </c>
      <c r="Y46" s="89" t="s">
        <v>381</v>
      </c>
      <c r="Z46" s="87" t="str">
        <f>HYPERLINK("https://twitter.com/meatech3d/status/1448310075425234948")</f>
        <v>https://twitter.com/meatech3d/status/1448310075425234948</v>
      </c>
      <c r="AA46" s="83"/>
      <c r="AB46" s="83"/>
      <c r="AC46" s="89" t="s">
        <v>424</v>
      </c>
      <c r="AD46" s="83"/>
      <c r="AE46" s="83" t="b">
        <v>0</v>
      </c>
      <c r="AF46" s="83">
        <v>13</v>
      </c>
      <c r="AG46" s="89" t="s">
        <v>448</v>
      </c>
      <c r="AH46" s="83" t="b">
        <v>0</v>
      </c>
      <c r="AI46" s="83" t="s">
        <v>452</v>
      </c>
      <c r="AJ46" s="83"/>
      <c r="AK46" s="89" t="s">
        <v>448</v>
      </c>
      <c r="AL46" s="83" t="b">
        <v>0</v>
      </c>
      <c r="AM46" s="83">
        <v>1</v>
      </c>
      <c r="AN46" s="89" t="s">
        <v>448</v>
      </c>
      <c r="AO46" s="89" t="s">
        <v>458</v>
      </c>
      <c r="AP46" s="83" t="b">
        <v>0</v>
      </c>
      <c r="AQ46" s="89" t="s">
        <v>424</v>
      </c>
      <c r="AR46" s="83" t="s">
        <v>196</v>
      </c>
      <c r="AS46" s="83">
        <v>0</v>
      </c>
      <c r="AT46" s="83">
        <v>0</v>
      </c>
      <c r="AU46" s="83"/>
      <c r="AV46" s="83"/>
      <c r="AW46" s="83"/>
      <c r="AX46" s="83"/>
      <c r="AY46" s="83"/>
      <c r="AZ46" s="83"/>
      <c r="BA46" s="83"/>
      <c r="BB46" s="83"/>
      <c r="BC46">
        <v>3</v>
      </c>
      <c r="BD46" s="82" t="str">
        <f>REPLACE(INDEX(GroupVertices[Group],MATCH(Edges[[#This Row],[Vertex 1]],GroupVertices[Vertex],0)),1,1,"")</f>
        <v>2</v>
      </c>
      <c r="BE46" s="82" t="str">
        <f>REPLACE(INDEX(GroupVertices[Group],MATCH(Edges[[#This Row],[Vertex 2]],GroupVertices[Vertex],0)),1,1,"")</f>
        <v>2</v>
      </c>
      <c r="BF46" s="51">
        <v>3</v>
      </c>
      <c r="BG46" s="52">
        <v>9.090909090909092</v>
      </c>
      <c r="BH46" s="51">
        <v>0</v>
      </c>
      <c r="BI46" s="52">
        <v>0</v>
      </c>
      <c r="BJ46" s="51">
        <v>0</v>
      </c>
      <c r="BK46" s="52">
        <v>0</v>
      </c>
      <c r="BL46" s="51">
        <v>30</v>
      </c>
      <c r="BM46" s="52">
        <v>90.9090909090909</v>
      </c>
      <c r="BN46" s="51">
        <v>33</v>
      </c>
    </row>
    <row r="47" spans="1:66" ht="15">
      <c r="A47" s="81" t="s">
        <v>254</v>
      </c>
      <c r="B47" s="81" t="s">
        <v>253</v>
      </c>
      <c r="C47" s="53" t="s">
        <v>1370</v>
      </c>
      <c r="D47" s="54">
        <v>3</v>
      </c>
      <c r="E47" s="53" t="s">
        <v>132</v>
      </c>
      <c r="F47" s="55">
        <v>32</v>
      </c>
      <c r="G47" s="53"/>
      <c r="H47" s="57"/>
      <c r="I47" s="56"/>
      <c r="J47" s="56"/>
      <c r="K47" s="36" t="s">
        <v>65</v>
      </c>
      <c r="L47" s="62">
        <v>47</v>
      </c>
      <c r="M47" s="62"/>
      <c r="N47" s="63"/>
      <c r="O47" s="83" t="s">
        <v>287</v>
      </c>
      <c r="P47" s="85">
        <v>44482.555127314816</v>
      </c>
      <c r="Q47" s="83" t="s">
        <v>301</v>
      </c>
      <c r="R47" s="83"/>
      <c r="S47" s="83"/>
      <c r="T47" s="89" t="s">
        <v>346</v>
      </c>
      <c r="U47" s="87" t="str">
        <f>HYPERLINK("https://pbs.twimg.com/media/FBlFJBgWEAAILms.jpg")</f>
        <v>https://pbs.twimg.com/media/FBlFJBgWEAAILms.jpg</v>
      </c>
      <c r="V47" s="87" t="str">
        <f>HYPERLINK("https://pbs.twimg.com/media/FBlFJBgWEAAILms.jpg")</f>
        <v>https://pbs.twimg.com/media/FBlFJBgWEAAILms.jpg</v>
      </c>
      <c r="W47" s="85">
        <v>44482.555127314816</v>
      </c>
      <c r="X47" s="91">
        <v>44482</v>
      </c>
      <c r="Y47" s="89" t="s">
        <v>382</v>
      </c>
      <c r="Z47" s="87" t="str">
        <f>HYPERLINK("https://twitter.com/craftmeati/status/1448277186239152130")</f>
        <v>https://twitter.com/craftmeati/status/1448277186239152130</v>
      </c>
      <c r="AA47" s="83"/>
      <c r="AB47" s="83"/>
      <c r="AC47" s="89" t="s">
        <v>425</v>
      </c>
      <c r="AD47" s="83"/>
      <c r="AE47" s="83" t="b">
        <v>0</v>
      </c>
      <c r="AF47" s="83">
        <v>0</v>
      </c>
      <c r="AG47" s="89" t="s">
        <v>448</v>
      </c>
      <c r="AH47" s="83" t="b">
        <v>0</v>
      </c>
      <c r="AI47" s="83" t="s">
        <v>452</v>
      </c>
      <c r="AJ47" s="83"/>
      <c r="AK47" s="89" t="s">
        <v>448</v>
      </c>
      <c r="AL47" s="83" t="b">
        <v>0</v>
      </c>
      <c r="AM47" s="83">
        <v>2</v>
      </c>
      <c r="AN47" s="89" t="s">
        <v>423</v>
      </c>
      <c r="AO47" s="89" t="s">
        <v>457</v>
      </c>
      <c r="AP47" s="83" t="b">
        <v>0</v>
      </c>
      <c r="AQ47" s="89" t="s">
        <v>423</v>
      </c>
      <c r="AR47" s="83" t="s">
        <v>196</v>
      </c>
      <c r="AS47" s="83">
        <v>0</v>
      </c>
      <c r="AT47" s="83">
        <v>0</v>
      </c>
      <c r="AU47" s="83"/>
      <c r="AV47" s="83"/>
      <c r="AW47" s="83"/>
      <c r="AX47" s="83"/>
      <c r="AY47" s="83"/>
      <c r="AZ47" s="83"/>
      <c r="BA47" s="83"/>
      <c r="BB47" s="83"/>
      <c r="BC47">
        <v>1</v>
      </c>
      <c r="BD47" s="82" t="str">
        <f>REPLACE(INDEX(GroupVertices[Group],MATCH(Edges[[#This Row],[Vertex 1]],GroupVertices[Vertex],0)),1,1,"")</f>
        <v>2</v>
      </c>
      <c r="BE47" s="82" t="str">
        <f>REPLACE(INDEX(GroupVertices[Group],MATCH(Edges[[#This Row],[Vertex 2]],GroupVertices[Vertex],0)),1,1,"")</f>
        <v>2</v>
      </c>
      <c r="BF47" s="51">
        <v>0</v>
      </c>
      <c r="BG47" s="52">
        <v>0</v>
      </c>
      <c r="BH47" s="51">
        <v>1</v>
      </c>
      <c r="BI47" s="52">
        <v>2.4390243902439024</v>
      </c>
      <c r="BJ47" s="51">
        <v>0</v>
      </c>
      <c r="BK47" s="52">
        <v>0</v>
      </c>
      <c r="BL47" s="51">
        <v>40</v>
      </c>
      <c r="BM47" s="52">
        <v>97.5609756097561</v>
      </c>
      <c r="BN47" s="51">
        <v>41</v>
      </c>
    </row>
    <row r="48" spans="1:66" ht="15">
      <c r="A48" s="81" t="s">
        <v>254</v>
      </c>
      <c r="B48" s="81" t="s">
        <v>255</v>
      </c>
      <c r="C48" s="53" t="s">
        <v>1370</v>
      </c>
      <c r="D48" s="54">
        <v>3</v>
      </c>
      <c r="E48" s="53" t="s">
        <v>132</v>
      </c>
      <c r="F48" s="55">
        <v>32</v>
      </c>
      <c r="G48" s="53"/>
      <c r="H48" s="57"/>
      <c r="I48" s="56"/>
      <c r="J48" s="56"/>
      <c r="K48" s="36" t="s">
        <v>65</v>
      </c>
      <c r="L48" s="62">
        <v>48</v>
      </c>
      <c r="M48" s="62"/>
      <c r="N48" s="63"/>
      <c r="O48" s="83" t="s">
        <v>287</v>
      </c>
      <c r="P48" s="85">
        <v>44483.55862268519</v>
      </c>
      <c r="Q48" s="83" t="s">
        <v>304</v>
      </c>
      <c r="R48" s="87" t="str">
        <f aca="true" t="shared" si="1" ref="R48:R53">HYPERLINK("https://www.linkedin.com/slink?code=eYxyEG3F")</f>
        <v>https://www.linkedin.com/slink?code=eYxyEG3F</v>
      </c>
      <c r="S48" s="83" t="s">
        <v>324</v>
      </c>
      <c r="T48" s="89" t="s">
        <v>349</v>
      </c>
      <c r="U48" s="83"/>
      <c r="V48" s="87" t="str">
        <f>HYPERLINK("https://pbs.twimg.com/profile_images/1207023594204741634/oNEPNuoG_normal.jpg")</f>
        <v>https://pbs.twimg.com/profile_images/1207023594204741634/oNEPNuoG_normal.jpg</v>
      </c>
      <c r="W48" s="85">
        <v>44483.55862268519</v>
      </c>
      <c r="X48" s="91">
        <v>44483</v>
      </c>
      <c r="Y48" s="89" t="s">
        <v>383</v>
      </c>
      <c r="Z48" s="87" t="str">
        <f>HYPERLINK("https://twitter.com/craftmeati/status/1448640840637812739")</f>
        <v>https://twitter.com/craftmeati/status/1448640840637812739</v>
      </c>
      <c r="AA48" s="83"/>
      <c r="AB48" s="83"/>
      <c r="AC48" s="89" t="s">
        <v>426</v>
      </c>
      <c r="AD48" s="83"/>
      <c r="AE48" s="83" t="b">
        <v>0</v>
      </c>
      <c r="AF48" s="83">
        <v>0</v>
      </c>
      <c r="AG48" s="89" t="s">
        <v>448</v>
      </c>
      <c r="AH48" s="83" t="b">
        <v>0</v>
      </c>
      <c r="AI48" s="83" t="s">
        <v>452</v>
      </c>
      <c r="AJ48" s="83"/>
      <c r="AK48" s="89" t="s">
        <v>448</v>
      </c>
      <c r="AL48" s="83" t="b">
        <v>0</v>
      </c>
      <c r="AM48" s="83">
        <v>3</v>
      </c>
      <c r="AN48" s="89" t="s">
        <v>428</v>
      </c>
      <c r="AO48" s="89" t="s">
        <v>457</v>
      </c>
      <c r="AP48" s="83" t="b">
        <v>0</v>
      </c>
      <c r="AQ48" s="89" t="s">
        <v>428</v>
      </c>
      <c r="AR48" s="83" t="s">
        <v>196</v>
      </c>
      <c r="AS48" s="83">
        <v>0</v>
      </c>
      <c r="AT48" s="83">
        <v>0</v>
      </c>
      <c r="AU48" s="83"/>
      <c r="AV48" s="83"/>
      <c r="AW48" s="83"/>
      <c r="AX48" s="83"/>
      <c r="AY48" s="83"/>
      <c r="AZ48" s="83"/>
      <c r="BA48" s="83"/>
      <c r="BB48" s="83"/>
      <c r="BC48">
        <v>1</v>
      </c>
      <c r="BD48" s="82" t="str">
        <f>REPLACE(INDEX(GroupVertices[Group],MATCH(Edges[[#This Row],[Vertex 1]],GroupVertices[Vertex],0)),1,1,"")</f>
        <v>2</v>
      </c>
      <c r="BE48" s="82" t="str">
        <f>REPLACE(INDEX(GroupVertices[Group],MATCH(Edges[[#This Row],[Vertex 2]],GroupVertices[Vertex],0)),1,1,"")</f>
        <v>2</v>
      </c>
      <c r="BF48" s="51">
        <v>4</v>
      </c>
      <c r="BG48" s="52">
        <v>11.11111111111111</v>
      </c>
      <c r="BH48" s="51">
        <v>0</v>
      </c>
      <c r="BI48" s="52">
        <v>0</v>
      </c>
      <c r="BJ48" s="51">
        <v>0</v>
      </c>
      <c r="BK48" s="52">
        <v>0</v>
      </c>
      <c r="BL48" s="51">
        <v>32</v>
      </c>
      <c r="BM48" s="52">
        <v>88.88888888888889</v>
      </c>
      <c r="BN48" s="51">
        <v>36</v>
      </c>
    </row>
    <row r="49" spans="1:66" ht="15">
      <c r="A49" s="81" t="s">
        <v>254</v>
      </c>
      <c r="B49" s="81" t="s">
        <v>257</v>
      </c>
      <c r="C49" s="53" t="s">
        <v>1370</v>
      </c>
      <c r="D49" s="54">
        <v>3</v>
      </c>
      <c r="E49" s="53" t="s">
        <v>132</v>
      </c>
      <c r="F49" s="55">
        <v>32</v>
      </c>
      <c r="G49" s="53"/>
      <c r="H49" s="57"/>
      <c r="I49" s="56"/>
      <c r="J49" s="56"/>
      <c r="K49" s="36" t="s">
        <v>65</v>
      </c>
      <c r="L49" s="62">
        <v>49</v>
      </c>
      <c r="M49" s="62"/>
      <c r="N49" s="63"/>
      <c r="O49" s="83" t="s">
        <v>287</v>
      </c>
      <c r="P49" s="85">
        <v>44483.55880787037</v>
      </c>
      <c r="Q49" s="83" t="s">
        <v>305</v>
      </c>
      <c r="R49" s="87" t="str">
        <f t="shared" si="1"/>
        <v>https://www.linkedin.com/slink?code=eYxyEG3F</v>
      </c>
      <c r="S49" s="83" t="s">
        <v>324</v>
      </c>
      <c r="T49" s="89" t="s">
        <v>349</v>
      </c>
      <c r="U49" s="83"/>
      <c r="V49" s="87" t="str">
        <f>HYPERLINK("https://pbs.twimg.com/profile_images/1207023594204741634/oNEPNuoG_normal.jpg")</f>
        <v>https://pbs.twimg.com/profile_images/1207023594204741634/oNEPNuoG_normal.jpg</v>
      </c>
      <c r="W49" s="85">
        <v>44483.55880787037</v>
      </c>
      <c r="X49" s="91">
        <v>44483</v>
      </c>
      <c r="Y49" s="89" t="s">
        <v>384</v>
      </c>
      <c r="Z49" s="87" t="str">
        <f>HYPERLINK("https://twitter.com/craftmeati/status/1448640908015058944")</f>
        <v>https://twitter.com/craftmeati/status/1448640908015058944</v>
      </c>
      <c r="AA49" s="83"/>
      <c r="AB49" s="83"/>
      <c r="AC49" s="89" t="s">
        <v>427</v>
      </c>
      <c r="AD49" s="83"/>
      <c r="AE49" s="83" t="b">
        <v>0</v>
      </c>
      <c r="AF49" s="83">
        <v>0</v>
      </c>
      <c r="AG49" s="89" t="s">
        <v>448</v>
      </c>
      <c r="AH49" s="83" t="b">
        <v>0</v>
      </c>
      <c r="AI49" s="83" t="s">
        <v>452</v>
      </c>
      <c r="AJ49" s="83"/>
      <c r="AK49" s="89" t="s">
        <v>448</v>
      </c>
      <c r="AL49" s="83" t="b">
        <v>0</v>
      </c>
      <c r="AM49" s="83">
        <v>3</v>
      </c>
      <c r="AN49" s="89" t="s">
        <v>430</v>
      </c>
      <c r="AO49" s="89" t="s">
        <v>457</v>
      </c>
      <c r="AP49" s="83" t="b">
        <v>0</v>
      </c>
      <c r="AQ49" s="89" t="s">
        <v>430</v>
      </c>
      <c r="AR49" s="83" t="s">
        <v>196</v>
      </c>
      <c r="AS49" s="83">
        <v>0</v>
      </c>
      <c r="AT49" s="83">
        <v>0</v>
      </c>
      <c r="AU49" s="83"/>
      <c r="AV49" s="83"/>
      <c r="AW49" s="83"/>
      <c r="AX49" s="83"/>
      <c r="AY49" s="83"/>
      <c r="AZ49" s="83"/>
      <c r="BA49" s="83"/>
      <c r="BB49" s="83"/>
      <c r="BC49">
        <v>1</v>
      </c>
      <c r="BD49" s="82" t="str">
        <f>REPLACE(INDEX(GroupVertices[Group],MATCH(Edges[[#This Row],[Vertex 1]],GroupVertices[Vertex],0)),1,1,"")</f>
        <v>2</v>
      </c>
      <c r="BE49" s="82" t="str">
        <f>REPLACE(INDEX(GroupVertices[Group],MATCH(Edges[[#This Row],[Vertex 2]],GroupVertices[Vertex],0)),1,1,"")</f>
        <v>2</v>
      </c>
      <c r="BF49" s="51">
        <v>4</v>
      </c>
      <c r="BG49" s="52">
        <v>11.11111111111111</v>
      </c>
      <c r="BH49" s="51">
        <v>0</v>
      </c>
      <c r="BI49" s="52">
        <v>0</v>
      </c>
      <c r="BJ49" s="51">
        <v>0</v>
      </c>
      <c r="BK49" s="52">
        <v>0</v>
      </c>
      <c r="BL49" s="51">
        <v>32</v>
      </c>
      <c r="BM49" s="52">
        <v>88.88888888888889</v>
      </c>
      <c r="BN49" s="51">
        <v>36</v>
      </c>
    </row>
    <row r="50" spans="1:66" ht="15">
      <c r="A50" s="81" t="s">
        <v>255</v>
      </c>
      <c r="B50" s="81" t="s">
        <v>255</v>
      </c>
      <c r="C50" s="53" t="s">
        <v>1370</v>
      </c>
      <c r="D50" s="54">
        <v>3</v>
      </c>
      <c r="E50" s="53" t="s">
        <v>132</v>
      </c>
      <c r="F50" s="55">
        <v>32</v>
      </c>
      <c r="G50" s="53"/>
      <c r="H50" s="57"/>
      <c r="I50" s="56"/>
      <c r="J50" s="56"/>
      <c r="K50" s="36" t="s">
        <v>65</v>
      </c>
      <c r="L50" s="62">
        <v>50</v>
      </c>
      <c r="M50" s="62"/>
      <c r="N50" s="63"/>
      <c r="O50" s="83" t="s">
        <v>196</v>
      </c>
      <c r="P50" s="85">
        <v>44483.505578703705</v>
      </c>
      <c r="Q50" s="83" t="s">
        <v>304</v>
      </c>
      <c r="R50" s="87" t="str">
        <f t="shared" si="1"/>
        <v>https://www.linkedin.com/slink?code=eYxyEG3F</v>
      </c>
      <c r="S50" s="83" t="s">
        <v>324</v>
      </c>
      <c r="T50" s="89" t="s">
        <v>349</v>
      </c>
      <c r="U50" s="83"/>
      <c r="V50" s="87" t="str">
        <f>HYPERLINK("https://pbs.twimg.com/profile_images/984100036576456704/VouyI-1m_normal.jpg")</f>
        <v>https://pbs.twimg.com/profile_images/984100036576456704/VouyI-1m_normal.jpg</v>
      </c>
      <c r="W50" s="85">
        <v>44483.505578703705</v>
      </c>
      <c r="X50" s="91">
        <v>44483</v>
      </c>
      <c r="Y50" s="89" t="s">
        <v>385</v>
      </c>
      <c r="Z50" s="87" t="str">
        <f>HYPERLINK("https://twitter.com/cellsrevolved/status/1448621617165316103")</f>
        <v>https://twitter.com/cellsrevolved/status/1448621617165316103</v>
      </c>
      <c r="AA50" s="83"/>
      <c r="AB50" s="83"/>
      <c r="AC50" s="89" t="s">
        <v>428</v>
      </c>
      <c r="AD50" s="83"/>
      <c r="AE50" s="83" t="b">
        <v>0</v>
      </c>
      <c r="AF50" s="83">
        <v>6</v>
      </c>
      <c r="AG50" s="89" t="s">
        <v>448</v>
      </c>
      <c r="AH50" s="83" t="b">
        <v>0</v>
      </c>
      <c r="AI50" s="83" t="s">
        <v>452</v>
      </c>
      <c r="AJ50" s="83"/>
      <c r="AK50" s="89" t="s">
        <v>448</v>
      </c>
      <c r="AL50" s="83" t="b">
        <v>0</v>
      </c>
      <c r="AM50" s="83">
        <v>3</v>
      </c>
      <c r="AN50" s="89" t="s">
        <v>448</v>
      </c>
      <c r="AO50" s="89" t="s">
        <v>456</v>
      </c>
      <c r="AP50" s="83" t="b">
        <v>0</v>
      </c>
      <c r="AQ50" s="89" t="s">
        <v>428</v>
      </c>
      <c r="AR50" s="83" t="s">
        <v>196</v>
      </c>
      <c r="AS50" s="83">
        <v>0</v>
      </c>
      <c r="AT50" s="83">
        <v>0</v>
      </c>
      <c r="AU50" s="83"/>
      <c r="AV50" s="83"/>
      <c r="AW50" s="83"/>
      <c r="AX50" s="83"/>
      <c r="AY50" s="83"/>
      <c r="AZ50" s="83"/>
      <c r="BA50" s="83"/>
      <c r="BB50" s="83"/>
      <c r="BC50">
        <v>1</v>
      </c>
      <c r="BD50" s="82" t="str">
        <f>REPLACE(INDEX(GroupVertices[Group],MATCH(Edges[[#This Row],[Vertex 1]],GroupVertices[Vertex],0)),1,1,"")</f>
        <v>2</v>
      </c>
      <c r="BE50" s="82" t="str">
        <f>REPLACE(INDEX(GroupVertices[Group],MATCH(Edges[[#This Row],[Vertex 2]],GroupVertices[Vertex],0)),1,1,"")</f>
        <v>2</v>
      </c>
      <c r="BF50" s="51">
        <v>4</v>
      </c>
      <c r="BG50" s="52">
        <v>11.11111111111111</v>
      </c>
      <c r="BH50" s="51">
        <v>0</v>
      </c>
      <c r="BI50" s="52">
        <v>0</v>
      </c>
      <c r="BJ50" s="51">
        <v>0</v>
      </c>
      <c r="BK50" s="52">
        <v>0</v>
      </c>
      <c r="BL50" s="51">
        <v>32</v>
      </c>
      <c r="BM50" s="52">
        <v>88.88888888888889</v>
      </c>
      <c r="BN50" s="51">
        <v>36</v>
      </c>
    </row>
    <row r="51" spans="1:66" ht="15">
      <c r="A51" s="81" t="s">
        <v>256</v>
      </c>
      <c r="B51" s="81" t="s">
        <v>255</v>
      </c>
      <c r="C51" s="53" t="s">
        <v>1370</v>
      </c>
      <c r="D51" s="54">
        <v>3</v>
      </c>
      <c r="E51" s="53" t="s">
        <v>132</v>
      </c>
      <c r="F51" s="55">
        <v>32</v>
      </c>
      <c r="G51" s="53"/>
      <c r="H51" s="57"/>
      <c r="I51" s="56"/>
      <c r="J51" s="56"/>
      <c r="K51" s="36" t="s">
        <v>65</v>
      </c>
      <c r="L51" s="62">
        <v>51</v>
      </c>
      <c r="M51" s="62"/>
      <c r="N51" s="63"/>
      <c r="O51" s="83" t="s">
        <v>287</v>
      </c>
      <c r="P51" s="85">
        <v>44483.59025462963</v>
      </c>
      <c r="Q51" s="83" t="s">
        <v>304</v>
      </c>
      <c r="R51" s="87" t="str">
        <f t="shared" si="1"/>
        <v>https://www.linkedin.com/slink?code=eYxyEG3F</v>
      </c>
      <c r="S51" s="83" t="s">
        <v>324</v>
      </c>
      <c r="T51" s="89" t="s">
        <v>349</v>
      </c>
      <c r="U51" s="83"/>
      <c r="V51" s="87" t="str">
        <f>HYPERLINK("https://pbs.twimg.com/profile_images/1010691019237556224/VRMgJF2A_normal.jpg")</f>
        <v>https://pbs.twimg.com/profile_images/1010691019237556224/VRMgJF2A_normal.jpg</v>
      </c>
      <c r="W51" s="85">
        <v>44483.59025462963</v>
      </c>
      <c r="X51" s="91">
        <v>44483</v>
      </c>
      <c r="Y51" s="89" t="s">
        <v>386</v>
      </c>
      <c r="Z51" s="87" t="str">
        <f>HYPERLINK("https://twitter.com/martymi90/status/1448652302772965382")</f>
        <v>https://twitter.com/martymi90/status/1448652302772965382</v>
      </c>
      <c r="AA51" s="83"/>
      <c r="AB51" s="83"/>
      <c r="AC51" s="89" t="s">
        <v>429</v>
      </c>
      <c r="AD51" s="83"/>
      <c r="AE51" s="83" t="b">
        <v>0</v>
      </c>
      <c r="AF51" s="83">
        <v>0</v>
      </c>
      <c r="AG51" s="89" t="s">
        <v>448</v>
      </c>
      <c r="AH51" s="83" t="b">
        <v>0</v>
      </c>
      <c r="AI51" s="83" t="s">
        <v>452</v>
      </c>
      <c r="AJ51" s="83"/>
      <c r="AK51" s="89" t="s">
        <v>448</v>
      </c>
      <c r="AL51" s="83" t="b">
        <v>0</v>
      </c>
      <c r="AM51" s="83">
        <v>3</v>
      </c>
      <c r="AN51" s="89" t="s">
        <v>428</v>
      </c>
      <c r="AO51" s="89" t="s">
        <v>461</v>
      </c>
      <c r="AP51" s="83" t="b">
        <v>0</v>
      </c>
      <c r="AQ51" s="89" t="s">
        <v>428</v>
      </c>
      <c r="AR51" s="83" t="s">
        <v>196</v>
      </c>
      <c r="AS51" s="83">
        <v>0</v>
      </c>
      <c r="AT51" s="83">
        <v>0</v>
      </c>
      <c r="AU51" s="83"/>
      <c r="AV51" s="83"/>
      <c r="AW51" s="83"/>
      <c r="AX51" s="83"/>
      <c r="AY51" s="83"/>
      <c r="AZ51" s="83"/>
      <c r="BA51" s="83"/>
      <c r="BB51" s="83"/>
      <c r="BC51">
        <v>1</v>
      </c>
      <c r="BD51" s="82" t="str">
        <f>REPLACE(INDEX(GroupVertices[Group],MATCH(Edges[[#This Row],[Vertex 1]],GroupVertices[Vertex],0)),1,1,"")</f>
        <v>2</v>
      </c>
      <c r="BE51" s="82" t="str">
        <f>REPLACE(INDEX(GroupVertices[Group],MATCH(Edges[[#This Row],[Vertex 2]],GroupVertices[Vertex],0)),1,1,"")</f>
        <v>2</v>
      </c>
      <c r="BF51" s="51">
        <v>4</v>
      </c>
      <c r="BG51" s="52">
        <v>11.11111111111111</v>
      </c>
      <c r="BH51" s="51">
        <v>0</v>
      </c>
      <c r="BI51" s="52">
        <v>0</v>
      </c>
      <c r="BJ51" s="51">
        <v>0</v>
      </c>
      <c r="BK51" s="52">
        <v>0</v>
      </c>
      <c r="BL51" s="51">
        <v>32</v>
      </c>
      <c r="BM51" s="52">
        <v>88.88888888888889</v>
      </c>
      <c r="BN51" s="51">
        <v>36</v>
      </c>
    </row>
    <row r="52" spans="1:66" ht="15">
      <c r="A52" s="81" t="s">
        <v>257</v>
      </c>
      <c r="B52" s="81" t="s">
        <v>257</v>
      </c>
      <c r="C52" s="53" t="s">
        <v>1370</v>
      </c>
      <c r="D52" s="54">
        <v>3</v>
      </c>
      <c r="E52" s="53" t="s">
        <v>132</v>
      </c>
      <c r="F52" s="55">
        <v>32</v>
      </c>
      <c r="G52" s="53"/>
      <c r="H52" s="57"/>
      <c r="I52" s="56"/>
      <c r="J52" s="56"/>
      <c r="K52" s="36" t="s">
        <v>65</v>
      </c>
      <c r="L52" s="62">
        <v>52</v>
      </c>
      <c r="M52" s="62"/>
      <c r="N52" s="63"/>
      <c r="O52" s="83" t="s">
        <v>196</v>
      </c>
      <c r="P52" s="85">
        <v>44483.50571759259</v>
      </c>
      <c r="Q52" s="83" t="s">
        <v>305</v>
      </c>
      <c r="R52" s="87" t="str">
        <f t="shared" si="1"/>
        <v>https://www.linkedin.com/slink?code=eYxyEG3F</v>
      </c>
      <c r="S52" s="83" t="s">
        <v>324</v>
      </c>
      <c r="T52" s="89" t="s">
        <v>349</v>
      </c>
      <c r="U52" s="83"/>
      <c r="V52" s="87" t="str">
        <f>HYPERLINK("https://pbs.twimg.com/profile_images/1167006882680246273/h90JwAOF_normal.jpg")</f>
        <v>https://pbs.twimg.com/profile_images/1167006882680246273/h90JwAOF_normal.jpg</v>
      </c>
      <c r="W52" s="85">
        <v>44483.50571759259</v>
      </c>
      <c r="X52" s="91">
        <v>44483</v>
      </c>
      <c r="Y52" s="89" t="s">
        <v>387</v>
      </c>
      <c r="Z52" s="87" t="str">
        <f>HYPERLINK("https://twitter.com/groenewegenleo/status/1448621669585670153")</f>
        <v>https://twitter.com/groenewegenleo/status/1448621669585670153</v>
      </c>
      <c r="AA52" s="83"/>
      <c r="AB52" s="83"/>
      <c r="AC52" s="89" t="s">
        <v>430</v>
      </c>
      <c r="AD52" s="83"/>
      <c r="AE52" s="83" t="b">
        <v>0</v>
      </c>
      <c r="AF52" s="83">
        <v>8</v>
      </c>
      <c r="AG52" s="89" t="s">
        <v>448</v>
      </c>
      <c r="AH52" s="83" t="b">
        <v>0</v>
      </c>
      <c r="AI52" s="83" t="s">
        <v>452</v>
      </c>
      <c r="AJ52" s="83"/>
      <c r="AK52" s="89" t="s">
        <v>448</v>
      </c>
      <c r="AL52" s="83" t="b">
        <v>0</v>
      </c>
      <c r="AM52" s="83">
        <v>3</v>
      </c>
      <c r="AN52" s="89" t="s">
        <v>448</v>
      </c>
      <c r="AO52" s="89" t="s">
        <v>456</v>
      </c>
      <c r="AP52" s="83" t="b">
        <v>0</v>
      </c>
      <c r="AQ52" s="89" t="s">
        <v>430</v>
      </c>
      <c r="AR52" s="83" t="s">
        <v>196</v>
      </c>
      <c r="AS52" s="83">
        <v>0</v>
      </c>
      <c r="AT52" s="83">
        <v>0</v>
      </c>
      <c r="AU52" s="83"/>
      <c r="AV52" s="83"/>
      <c r="AW52" s="83"/>
      <c r="AX52" s="83"/>
      <c r="AY52" s="83"/>
      <c r="AZ52" s="83"/>
      <c r="BA52" s="83"/>
      <c r="BB52" s="83"/>
      <c r="BC52">
        <v>1</v>
      </c>
      <c r="BD52" s="82" t="str">
        <f>REPLACE(INDEX(GroupVertices[Group],MATCH(Edges[[#This Row],[Vertex 1]],GroupVertices[Vertex],0)),1,1,"")</f>
        <v>2</v>
      </c>
      <c r="BE52" s="82" t="str">
        <f>REPLACE(INDEX(GroupVertices[Group],MATCH(Edges[[#This Row],[Vertex 2]],GroupVertices[Vertex],0)),1,1,"")</f>
        <v>2</v>
      </c>
      <c r="BF52" s="51">
        <v>4</v>
      </c>
      <c r="BG52" s="52">
        <v>11.11111111111111</v>
      </c>
      <c r="BH52" s="51">
        <v>0</v>
      </c>
      <c r="BI52" s="52">
        <v>0</v>
      </c>
      <c r="BJ52" s="51">
        <v>0</v>
      </c>
      <c r="BK52" s="52">
        <v>0</v>
      </c>
      <c r="BL52" s="51">
        <v>32</v>
      </c>
      <c r="BM52" s="52">
        <v>88.88888888888889</v>
      </c>
      <c r="BN52" s="51">
        <v>36</v>
      </c>
    </row>
    <row r="53" spans="1:66" ht="15">
      <c r="A53" s="81" t="s">
        <v>258</v>
      </c>
      <c r="B53" s="81" t="s">
        <v>257</v>
      </c>
      <c r="C53" s="53" t="s">
        <v>1370</v>
      </c>
      <c r="D53" s="54">
        <v>3</v>
      </c>
      <c r="E53" s="53" t="s">
        <v>132</v>
      </c>
      <c r="F53" s="55">
        <v>32</v>
      </c>
      <c r="G53" s="53"/>
      <c r="H53" s="57"/>
      <c r="I53" s="56"/>
      <c r="J53" s="56"/>
      <c r="K53" s="36" t="s">
        <v>65</v>
      </c>
      <c r="L53" s="62">
        <v>53</v>
      </c>
      <c r="M53" s="62"/>
      <c r="N53" s="63"/>
      <c r="O53" s="83" t="s">
        <v>287</v>
      </c>
      <c r="P53" s="85">
        <v>44483.90114583333</v>
      </c>
      <c r="Q53" s="83" t="s">
        <v>305</v>
      </c>
      <c r="R53" s="87" t="str">
        <f t="shared" si="1"/>
        <v>https://www.linkedin.com/slink?code=eYxyEG3F</v>
      </c>
      <c r="S53" s="83" t="s">
        <v>324</v>
      </c>
      <c r="T53" s="89" t="s">
        <v>349</v>
      </c>
      <c r="U53" s="83"/>
      <c r="V53" s="87" t="str">
        <f>HYPERLINK("https://pbs.twimg.com/profile_images/1447256168385101832/YCiOEDOj_normal.jpg")</f>
        <v>https://pbs.twimg.com/profile_images/1447256168385101832/YCiOEDOj_normal.jpg</v>
      </c>
      <c r="W53" s="85">
        <v>44483.90114583333</v>
      </c>
      <c r="X53" s="91">
        <v>44483</v>
      </c>
      <c r="Y53" s="89" t="s">
        <v>388</v>
      </c>
      <c r="Z53" s="87" t="str">
        <f>HYPERLINK("https://twitter.com/damienclarkson/status/1448764966627168257")</f>
        <v>https://twitter.com/damienclarkson/status/1448764966627168257</v>
      </c>
      <c r="AA53" s="83"/>
      <c r="AB53" s="83"/>
      <c r="AC53" s="89" t="s">
        <v>431</v>
      </c>
      <c r="AD53" s="83"/>
      <c r="AE53" s="83" t="b">
        <v>0</v>
      </c>
      <c r="AF53" s="83">
        <v>0</v>
      </c>
      <c r="AG53" s="89" t="s">
        <v>448</v>
      </c>
      <c r="AH53" s="83" t="b">
        <v>0</v>
      </c>
      <c r="AI53" s="83" t="s">
        <v>452</v>
      </c>
      <c r="AJ53" s="83"/>
      <c r="AK53" s="89" t="s">
        <v>448</v>
      </c>
      <c r="AL53" s="83" t="b">
        <v>0</v>
      </c>
      <c r="AM53" s="83">
        <v>3</v>
      </c>
      <c r="AN53" s="89" t="s">
        <v>430</v>
      </c>
      <c r="AO53" s="89" t="s">
        <v>461</v>
      </c>
      <c r="AP53" s="83" t="b">
        <v>0</v>
      </c>
      <c r="AQ53" s="89" t="s">
        <v>430</v>
      </c>
      <c r="AR53" s="83" t="s">
        <v>196</v>
      </c>
      <c r="AS53" s="83">
        <v>0</v>
      </c>
      <c r="AT53" s="83">
        <v>0</v>
      </c>
      <c r="AU53" s="83"/>
      <c r="AV53" s="83"/>
      <c r="AW53" s="83"/>
      <c r="AX53" s="83"/>
      <c r="AY53" s="83"/>
      <c r="AZ53" s="83"/>
      <c r="BA53" s="83"/>
      <c r="BB53" s="83"/>
      <c r="BC53">
        <v>1</v>
      </c>
      <c r="BD53" s="82" t="str">
        <f>REPLACE(INDEX(GroupVertices[Group],MATCH(Edges[[#This Row],[Vertex 1]],GroupVertices[Vertex],0)),1,1,"")</f>
        <v>2</v>
      </c>
      <c r="BE53" s="82" t="str">
        <f>REPLACE(INDEX(GroupVertices[Group],MATCH(Edges[[#This Row],[Vertex 2]],GroupVertices[Vertex],0)),1,1,"")</f>
        <v>2</v>
      </c>
      <c r="BF53" s="51">
        <v>4</v>
      </c>
      <c r="BG53" s="52">
        <v>11.11111111111111</v>
      </c>
      <c r="BH53" s="51">
        <v>0</v>
      </c>
      <c r="BI53" s="52">
        <v>0</v>
      </c>
      <c r="BJ53" s="51">
        <v>0</v>
      </c>
      <c r="BK53" s="52">
        <v>0</v>
      </c>
      <c r="BL53" s="51">
        <v>32</v>
      </c>
      <c r="BM53" s="52">
        <v>88.88888888888889</v>
      </c>
      <c r="BN53" s="51">
        <v>36</v>
      </c>
    </row>
    <row r="54" spans="1:66" ht="15">
      <c r="A54" s="81" t="s">
        <v>259</v>
      </c>
      <c r="B54" s="81" t="s">
        <v>269</v>
      </c>
      <c r="C54" s="53" t="s">
        <v>1370</v>
      </c>
      <c r="D54" s="54">
        <v>3</v>
      </c>
      <c r="E54" s="53" t="s">
        <v>132</v>
      </c>
      <c r="F54" s="55">
        <v>32</v>
      </c>
      <c r="G54" s="53"/>
      <c r="H54" s="57"/>
      <c r="I54" s="56"/>
      <c r="J54" s="56"/>
      <c r="K54" s="36" t="s">
        <v>65</v>
      </c>
      <c r="L54" s="62">
        <v>54</v>
      </c>
      <c r="M54" s="62"/>
      <c r="N54" s="63"/>
      <c r="O54" s="83" t="s">
        <v>287</v>
      </c>
      <c r="P54" s="85">
        <v>44484.206192129626</v>
      </c>
      <c r="Q54" s="83" t="s">
        <v>306</v>
      </c>
      <c r="R54" s="87" t="str">
        <f>HYPERLINK("https://www.who.int/news/item/11-10-2021-who-s-10-calls-for-climate-action-to-assure-sustained-recovery-from-covid-19")</f>
        <v>https://www.who.int/news/item/11-10-2021-who-s-10-calls-for-climate-action-to-assure-sustained-recovery-from-covid-19</v>
      </c>
      <c r="S54" s="83" t="s">
        <v>328</v>
      </c>
      <c r="T54" s="89" t="s">
        <v>350</v>
      </c>
      <c r="U54" s="83"/>
      <c r="V54" s="87" t="str">
        <f>HYPERLINK("https://pbs.twimg.com/profile_images/1343595653230776320/4v1C1DX7_normal.jpg")</f>
        <v>https://pbs.twimg.com/profile_images/1343595653230776320/4v1C1DX7_normal.jpg</v>
      </c>
      <c r="W54" s="85">
        <v>44484.206192129626</v>
      </c>
      <c r="X54" s="91">
        <v>44484</v>
      </c>
      <c r="Y54" s="89" t="s">
        <v>389</v>
      </c>
      <c r="Z54" s="87" t="str">
        <f>HYPERLINK("https://twitter.com/halimantik/status/1448875513196396544")</f>
        <v>https://twitter.com/halimantik/status/1448875513196396544</v>
      </c>
      <c r="AA54" s="83"/>
      <c r="AB54" s="83"/>
      <c r="AC54" s="89" t="s">
        <v>432</v>
      </c>
      <c r="AD54" s="83"/>
      <c r="AE54" s="83" t="b">
        <v>0</v>
      </c>
      <c r="AF54" s="83">
        <v>0</v>
      </c>
      <c r="AG54" s="89" t="s">
        <v>448</v>
      </c>
      <c r="AH54" s="83" t="b">
        <v>0</v>
      </c>
      <c r="AI54" s="83" t="s">
        <v>453</v>
      </c>
      <c r="AJ54" s="83"/>
      <c r="AK54" s="89" t="s">
        <v>448</v>
      </c>
      <c r="AL54" s="83" t="b">
        <v>0</v>
      </c>
      <c r="AM54" s="83">
        <v>4</v>
      </c>
      <c r="AN54" s="89" t="s">
        <v>443</v>
      </c>
      <c r="AO54" s="89" t="s">
        <v>461</v>
      </c>
      <c r="AP54" s="83" t="b">
        <v>0</v>
      </c>
      <c r="AQ54" s="89" t="s">
        <v>443</v>
      </c>
      <c r="AR54" s="83" t="s">
        <v>196</v>
      </c>
      <c r="AS54" s="83">
        <v>0</v>
      </c>
      <c r="AT54" s="83">
        <v>0</v>
      </c>
      <c r="AU54" s="83"/>
      <c r="AV54" s="83"/>
      <c r="AW54" s="83"/>
      <c r="AX54" s="83"/>
      <c r="AY54" s="83"/>
      <c r="AZ54" s="83"/>
      <c r="BA54" s="83"/>
      <c r="BB54" s="83"/>
      <c r="BC54">
        <v>1</v>
      </c>
      <c r="BD54" s="82" t="str">
        <f>REPLACE(INDEX(GroupVertices[Group],MATCH(Edges[[#This Row],[Vertex 1]],GroupVertices[Vertex],0)),1,1,"")</f>
        <v>4</v>
      </c>
      <c r="BE54" s="82" t="str">
        <f>REPLACE(INDEX(GroupVertices[Group],MATCH(Edges[[#This Row],[Vertex 2]],GroupVertices[Vertex],0)),1,1,"")</f>
        <v>4</v>
      </c>
      <c r="BF54" s="51">
        <v>0</v>
      </c>
      <c r="BG54" s="52">
        <v>0</v>
      </c>
      <c r="BH54" s="51">
        <v>0</v>
      </c>
      <c r="BI54" s="52">
        <v>0</v>
      </c>
      <c r="BJ54" s="51">
        <v>0</v>
      </c>
      <c r="BK54" s="52">
        <v>0</v>
      </c>
      <c r="BL54" s="51">
        <v>33</v>
      </c>
      <c r="BM54" s="52">
        <v>100</v>
      </c>
      <c r="BN54" s="51">
        <v>33</v>
      </c>
    </row>
    <row r="55" spans="1:66" ht="15">
      <c r="A55" s="81" t="s">
        <v>260</v>
      </c>
      <c r="B55" s="81" t="s">
        <v>260</v>
      </c>
      <c r="C55" s="53" t="s">
        <v>1370</v>
      </c>
      <c r="D55" s="54">
        <v>3</v>
      </c>
      <c r="E55" s="53" t="s">
        <v>132</v>
      </c>
      <c r="F55" s="55">
        <v>32</v>
      </c>
      <c r="G55" s="53"/>
      <c r="H55" s="57"/>
      <c r="I55" s="56"/>
      <c r="J55" s="56"/>
      <c r="K55" s="36" t="s">
        <v>65</v>
      </c>
      <c r="L55" s="62">
        <v>55</v>
      </c>
      <c r="M55" s="62"/>
      <c r="N55" s="63"/>
      <c r="O55" s="83" t="s">
        <v>196</v>
      </c>
      <c r="P55" s="85">
        <v>44484.31857638889</v>
      </c>
      <c r="Q55" s="83" t="s">
        <v>307</v>
      </c>
      <c r="R55" s="87" t="str">
        <f>HYPERLINK("https://bygora.com/2021/10/cultured-meat/")</f>
        <v>https://bygora.com/2021/10/cultured-meat/</v>
      </c>
      <c r="S55" s="83" t="s">
        <v>329</v>
      </c>
      <c r="T55" s="89" t="s">
        <v>351</v>
      </c>
      <c r="U55" s="87" t="str">
        <f>HYPERLINK("https://pbs.twimg.com/media/FBuVopQX0DgTz-5.jpg")</f>
        <v>https://pbs.twimg.com/media/FBuVopQX0DgTz-5.jpg</v>
      </c>
      <c r="V55" s="87" t="str">
        <f>HYPERLINK("https://pbs.twimg.com/media/FBuVopQX0DgTz-5.jpg")</f>
        <v>https://pbs.twimg.com/media/FBuVopQX0DgTz-5.jpg</v>
      </c>
      <c r="W55" s="85">
        <v>44484.31857638889</v>
      </c>
      <c r="X55" s="91">
        <v>44484</v>
      </c>
      <c r="Y55" s="89" t="s">
        <v>390</v>
      </c>
      <c r="Z55" s="87" t="str">
        <f>HYPERLINK("https://twitter.com/bygora_official/status/1448916237820612647")</f>
        <v>https://twitter.com/bygora_official/status/1448916237820612647</v>
      </c>
      <c r="AA55" s="83"/>
      <c r="AB55" s="83"/>
      <c r="AC55" s="89" t="s">
        <v>433</v>
      </c>
      <c r="AD55" s="83"/>
      <c r="AE55" s="83" t="b">
        <v>0</v>
      </c>
      <c r="AF55" s="83">
        <v>0</v>
      </c>
      <c r="AG55" s="89" t="s">
        <v>448</v>
      </c>
      <c r="AH55" s="83" t="b">
        <v>0</v>
      </c>
      <c r="AI55" s="83" t="s">
        <v>452</v>
      </c>
      <c r="AJ55" s="83"/>
      <c r="AK55" s="89" t="s">
        <v>448</v>
      </c>
      <c r="AL55" s="83" t="b">
        <v>0</v>
      </c>
      <c r="AM55" s="83">
        <v>0</v>
      </c>
      <c r="AN55" s="89" t="s">
        <v>448</v>
      </c>
      <c r="AO55" s="89" t="s">
        <v>462</v>
      </c>
      <c r="AP55" s="83" t="b">
        <v>0</v>
      </c>
      <c r="AQ55" s="89" t="s">
        <v>433</v>
      </c>
      <c r="AR55" s="83" t="s">
        <v>196</v>
      </c>
      <c r="AS55" s="83">
        <v>0</v>
      </c>
      <c r="AT55" s="83">
        <v>0</v>
      </c>
      <c r="AU55" s="83"/>
      <c r="AV55" s="83"/>
      <c r="AW55" s="83"/>
      <c r="AX55" s="83"/>
      <c r="AY55" s="83"/>
      <c r="AZ55" s="83"/>
      <c r="BA55" s="83"/>
      <c r="BB55" s="83"/>
      <c r="BC55">
        <v>1</v>
      </c>
      <c r="BD55" s="82" t="str">
        <f>REPLACE(INDEX(GroupVertices[Group],MATCH(Edges[[#This Row],[Vertex 1]],GroupVertices[Vertex],0)),1,1,"")</f>
        <v>3</v>
      </c>
      <c r="BE55" s="82" t="str">
        <f>REPLACE(INDEX(GroupVertices[Group],MATCH(Edges[[#This Row],[Vertex 2]],GroupVertices[Vertex],0)),1,1,"")</f>
        <v>3</v>
      </c>
      <c r="BF55" s="51">
        <v>1</v>
      </c>
      <c r="BG55" s="52">
        <v>5.882352941176471</v>
      </c>
      <c r="BH55" s="51">
        <v>0</v>
      </c>
      <c r="BI55" s="52">
        <v>0</v>
      </c>
      <c r="BJ55" s="51">
        <v>0</v>
      </c>
      <c r="BK55" s="52">
        <v>0</v>
      </c>
      <c r="BL55" s="51">
        <v>16</v>
      </c>
      <c r="BM55" s="52">
        <v>94.11764705882354</v>
      </c>
      <c r="BN55" s="51">
        <v>17</v>
      </c>
    </row>
    <row r="56" spans="1:66" ht="15">
      <c r="A56" s="81" t="s">
        <v>261</v>
      </c>
      <c r="B56" s="81" t="s">
        <v>273</v>
      </c>
      <c r="C56" s="53" t="s">
        <v>1370</v>
      </c>
      <c r="D56" s="54">
        <v>3</v>
      </c>
      <c r="E56" s="53" t="s">
        <v>132</v>
      </c>
      <c r="F56" s="55">
        <v>32</v>
      </c>
      <c r="G56" s="53"/>
      <c r="H56" s="57"/>
      <c r="I56" s="56"/>
      <c r="J56" s="56"/>
      <c r="K56" s="36" t="s">
        <v>65</v>
      </c>
      <c r="L56" s="62">
        <v>56</v>
      </c>
      <c r="M56" s="62"/>
      <c r="N56" s="63"/>
      <c r="O56" s="83" t="s">
        <v>285</v>
      </c>
      <c r="P56" s="85">
        <v>44484.51414351852</v>
      </c>
      <c r="Q56" s="83" t="s">
        <v>308</v>
      </c>
      <c r="R56" s="87" t="str">
        <f>HYPERLINK("https://thecounter.org/lab-grown-cultivated-meat-cost-at-scale/")</f>
        <v>https://thecounter.org/lab-grown-cultivated-meat-cost-at-scale/</v>
      </c>
      <c r="S56" s="83" t="s">
        <v>322</v>
      </c>
      <c r="T56" s="89" t="s">
        <v>352</v>
      </c>
      <c r="U56" s="83"/>
      <c r="V56" s="87" t="str">
        <f>HYPERLINK("https://pbs.twimg.com/profile_images/1133001947433250816/nFV7USqn_normal.jpg")</f>
        <v>https://pbs.twimg.com/profile_images/1133001947433250816/nFV7USqn_normal.jpg</v>
      </c>
      <c r="W56" s="85">
        <v>44484.51414351852</v>
      </c>
      <c r="X56" s="91">
        <v>44484</v>
      </c>
      <c r="Y56" s="89" t="s">
        <v>391</v>
      </c>
      <c r="Z56" s="87" t="str">
        <f>HYPERLINK("https://twitter.com/agreenerworlduk/status/1448987108559970307")</f>
        <v>https://twitter.com/agreenerworlduk/status/1448987108559970307</v>
      </c>
      <c r="AA56" s="83"/>
      <c r="AB56" s="83"/>
      <c r="AC56" s="89" t="s">
        <v>434</v>
      </c>
      <c r="AD56" s="83"/>
      <c r="AE56" s="83" t="b">
        <v>0</v>
      </c>
      <c r="AF56" s="83">
        <v>0</v>
      </c>
      <c r="AG56" s="89" t="s">
        <v>448</v>
      </c>
      <c r="AH56" s="83" t="b">
        <v>0</v>
      </c>
      <c r="AI56" s="83" t="s">
        <v>452</v>
      </c>
      <c r="AJ56" s="83"/>
      <c r="AK56" s="89" t="s">
        <v>448</v>
      </c>
      <c r="AL56" s="83" t="b">
        <v>0</v>
      </c>
      <c r="AM56" s="83">
        <v>0</v>
      </c>
      <c r="AN56" s="89" t="s">
        <v>448</v>
      </c>
      <c r="AO56" s="89" t="s">
        <v>456</v>
      </c>
      <c r="AP56" s="83" t="b">
        <v>0</v>
      </c>
      <c r="AQ56" s="89" t="s">
        <v>434</v>
      </c>
      <c r="AR56" s="83" t="s">
        <v>196</v>
      </c>
      <c r="AS56" s="83">
        <v>0</v>
      </c>
      <c r="AT56" s="83">
        <v>0</v>
      </c>
      <c r="AU56" s="83"/>
      <c r="AV56" s="83"/>
      <c r="AW56" s="83"/>
      <c r="AX56" s="83"/>
      <c r="AY56" s="83"/>
      <c r="AZ56" s="83"/>
      <c r="BA56" s="83"/>
      <c r="BB56" s="83"/>
      <c r="BC56">
        <v>1</v>
      </c>
      <c r="BD56" s="82" t="str">
        <f>REPLACE(INDEX(GroupVertices[Group],MATCH(Edges[[#This Row],[Vertex 1]],GroupVertices[Vertex],0)),1,1,"")</f>
        <v>5</v>
      </c>
      <c r="BE56" s="82" t="str">
        <f>REPLACE(INDEX(GroupVertices[Group],MATCH(Edges[[#This Row],[Vertex 2]],GroupVertices[Vertex],0)),1,1,"")</f>
        <v>5</v>
      </c>
      <c r="BF56" s="51"/>
      <c r="BG56" s="52"/>
      <c r="BH56" s="51"/>
      <c r="BI56" s="52"/>
      <c r="BJ56" s="51"/>
      <c r="BK56" s="52"/>
      <c r="BL56" s="51"/>
      <c r="BM56" s="52"/>
      <c r="BN56" s="51"/>
    </row>
    <row r="57" spans="1:66" ht="15">
      <c r="A57" s="81" t="s">
        <v>261</v>
      </c>
      <c r="B57" s="81" t="s">
        <v>274</v>
      </c>
      <c r="C57" s="53" t="s">
        <v>1370</v>
      </c>
      <c r="D57" s="54">
        <v>3</v>
      </c>
      <c r="E57" s="53" t="s">
        <v>132</v>
      </c>
      <c r="F57" s="55">
        <v>32</v>
      </c>
      <c r="G57" s="53"/>
      <c r="H57" s="57"/>
      <c r="I57" s="56"/>
      <c r="J57" s="56"/>
      <c r="K57" s="36" t="s">
        <v>65</v>
      </c>
      <c r="L57" s="62">
        <v>57</v>
      </c>
      <c r="M57" s="62"/>
      <c r="N57" s="63"/>
      <c r="O57" s="83" t="s">
        <v>285</v>
      </c>
      <c r="P57" s="85">
        <v>44484.51414351852</v>
      </c>
      <c r="Q57" s="83" t="s">
        <v>308</v>
      </c>
      <c r="R57" s="87" t="str">
        <f>HYPERLINK("https://thecounter.org/lab-grown-cultivated-meat-cost-at-scale/")</f>
        <v>https://thecounter.org/lab-grown-cultivated-meat-cost-at-scale/</v>
      </c>
      <c r="S57" s="83" t="s">
        <v>322</v>
      </c>
      <c r="T57" s="89" t="s">
        <v>352</v>
      </c>
      <c r="U57" s="83"/>
      <c r="V57" s="87" t="str">
        <f>HYPERLINK("https://pbs.twimg.com/profile_images/1133001947433250816/nFV7USqn_normal.jpg")</f>
        <v>https://pbs.twimg.com/profile_images/1133001947433250816/nFV7USqn_normal.jpg</v>
      </c>
      <c r="W57" s="85">
        <v>44484.51414351852</v>
      </c>
      <c r="X57" s="91">
        <v>44484</v>
      </c>
      <c r="Y57" s="89" t="s">
        <v>391</v>
      </c>
      <c r="Z57" s="87" t="str">
        <f>HYPERLINK("https://twitter.com/agreenerworlduk/status/1448987108559970307")</f>
        <v>https://twitter.com/agreenerworlduk/status/1448987108559970307</v>
      </c>
      <c r="AA57" s="83"/>
      <c r="AB57" s="83"/>
      <c r="AC57" s="89" t="s">
        <v>434</v>
      </c>
      <c r="AD57" s="83"/>
      <c r="AE57" s="83" t="b">
        <v>0</v>
      </c>
      <c r="AF57" s="83">
        <v>0</v>
      </c>
      <c r="AG57" s="89" t="s">
        <v>448</v>
      </c>
      <c r="AH57" s="83" t="b">
        <v>0</v>
      </c>
      <c r="AI57" s="83" t="s">
        <v>452</v>
      </c>
      <c r="AJ57" s="83"/>
      <c r="AK57" s="89" t="s">
        <v>448</v>
      </c>
      <c r="AL57" s="83" t="b">
        <v>0</v>
      </c>
      <c r="AM57" s="83">
        <v>0</v>
      </c>
      <c r="AN57" s="89" t="s">
        <v>448</v>
      </c>
      <c r="AO57" s="89" t="s">
        <v>456</v>
      </c>
      <c r="AP57" s="83" t="b">
        <v>0</v>
      </c>
      <c r="AQ57" s="89" t="s">
        <v>434</v>
      </c>
      <c r="AR57" s="83" t="s">
        <v>196</v>
      </c>
      <c r="AS57" s="83">
        <v>0</v>
      </c>
      <c r="AT57" s="83">
        <v>0</v>
      </c>
      <c r="AU57" s="83"/>
      <c r="AV57" s="83"/>
      <c r="AW57" s="83"/>
      <c r="AX57" s="83"/>
      <c r="AY57" s="83"/>
      <c r="AZ57" s="83"/>
      <c r="BA57" s="83"/>
      <c r="BB57" s="83"/>
      <c r="BC57">
        <v>1</v>
      </c>
      <c r="BD57" s="82" t="str">
        <f>REPLACE(INDEX(GroupVertices[Group],MATCH(Edges[[#This Row],[Vertex 1]],GroupVertices[Vertex],0)),1,1,"")</f>
        <v>5</v>
      </c>
      <c r="BE57" s="82" t="str">
        <f>REPLACE(INDEX(GroupVertices[Group],MATCH(Edges[[#This Row],[Vertex 2]],GroupVertices[Vertex],0)),1,1,"")</f>
        <v>5</v>
      </c>
      <c r="BF57" s="51">
        <v>2</v>
      </c>
      <c r="BG57" s="52">
        <v>6.451612903225806</v>
      </c>
      <c r="BH57" s="51">
        <v>2</v>
      </c>
      <c r="BI57" s="52">
        <v>6.451612903225806</v>
      </c>
      <c r="BJ57" s="51">
        <v>0</v>
      </c>
      <c r="BK57" s="52">
        <v>0</v>
      </c>
      <c r="BL57" s="51">
        <v>27</v>
      </c>
      <c r="BM57" s="52">
        <v>87.09677419354838</v>
      </c>
      <c r="BN57" s="51">
        <v>31</v>
      </c>
    </row>
    <row r="58" spans="1:66" ht="15">
      <c r="A58" s="81" t="s">
        <v>262</v>
      </c>
      <c r="B58" s="81" t="s">
        <v>262</v>
      </c>
      <c r="C58" s="53" t="s">
        <v>1370</v>
      </c>
      <c r="D58" s="54">
        <v>3</v>
      </c>
      <c r="E58" s="53" t="s">
        <v>132</v>
      </c>
      <c r="F58" s="55">
        <v>32</v>
      </c>
      <c r="G58" s="53"/>
      <c r="H58" s="57"/>
      <c r="I58" s="56"/>
      <c r="J58" s="56"/>
      <c r="K58" s="36" t="s">
        <v>65</v>
      </c>
      <c r="L58" s="62">
        <v>58</v>
      </c>
      <c r="M58" s="62"/>
      <c r="N58" s="63"/>
      <c r="O58" s="83" t="s">
        <v>196</v>
      </c>
      <c r="P58" s="85">
        <v>44484.991585648146</v>
      </c>
      <c r="Q58" s="83" t="s">
        <v>309</v>
      </c>
      <c r="R58" s="87" t="str">
        <f>HYPERLINK("https://www.eventbrite.com/e/cultured-meat-symposium-2021-tickets-148260090923")</f>
        <v>https://www.eventbrite.com/e/cultured-meat-symposium-2021-tickets-148260090923</v>
      </c>
      <c r="S58" s="83" t="s">
        <v>330</v>
      </c>
      <c r="T58" s="89" t="s">
        <v>353</v>
      </c>
      <c r="U58" s="83"/>
      <c r="V58" s="87" t="str">
        <f>HYPERLINK("https://pbs.twimg.com/profile_images/1336711126692757504/b93FEEuL_normal.jpg")</f>
        <v>https://pbs.twimg.com/profile_images/1336711126692757504/b93FEEuL_normal.jpg</v>
      </c>
      <c r="W58" s="85">
        <v>44484.991585648146</v>
      </c>
      <c r="X58" s="91">
        <v>44484</v>
      </c>
      <c r="Y58" s="89" t="s">
        <v>392</v>
      </c>
      <c r="Z58" s="87" t="str">
        <f>HYPERLINK("https://twitter.com/cmsymp/status/1449160128414978051")</f>
        <v>https://twitter.com/cmsymp/status/1449160128414978051</v>
      </c>
      <c r="AA58" s="83"/>
      <c r="AB58" s="83"/>
      <c r="AC58" s="89" t="s">
        <v>435</v>
      </c>
      <c r="AD58" s="83"/>
      <c r="AE58" s="83" t="b">
        <v>0</v>
      </c>
      <c r="AF58" s="83">
        <v>1</v>
      </c>
      <c r="AG58" s="89" t="s">
        <v>448</v>
      </c>
      <c r="AH58" s="83" t="b">
        <v>0</v>
      </c>
      <c r="AI58" s="83" t="s">
        <v>452</v>
      </c>
      <c r="AJ58" s="83"/>
      <c r="AK58" s="89" t="s">
        <v>448</v>
      </c>
      <c r="AL58" s="83" t="b">
        <v>0</v>
      </c>
      <c r="AM58" s="83">
        <v>0</v>
      </c>
      <c r="AN58" s="89" t="s">
        <v>448</v>
      </c>
      <c r="AO58" s="89" t="s">
        <v>456</v>
      </c>
      <c r="AP58" s="83" t="b">
        <v>0</v>
      </c>
      <c r="AQ58" s="89" t="s">
        <v>435</v>
      </c>
      <c r="AR58" s="83" t="s">
        <v>196</v>
      </c>
      <c r="AS58" s="83">
        <v>0</v>
      </c>
      <c r="AT58" s="83">
        <v>0</v>
      </c>
      <c r="AU58" s="83"/>
      <c r="AV58" s="83"/>
      <c r="AW58" s="83"/>
      <c r="AX58" s="83"/>
      <c r="AY58" s="83"/>
      <c r="AZ58" s="83"/>
      <c r="BA58" s="83"/>
      <c r="BB58" s="83"/>
      <c r="BC58">
        <v>1</v>
      </c>
      <c r="BD58" s="82" t="str">
        <f>REPLACE(INDEX(GroupVertices[Group],MATCH(Edges[[#This Row],[Vertex 1]],GroupVertices[Vertex],0)),1,1,"")</f>
        <v>10</v>
      </c>
      <c r="BE58" s="82" t="str">
        <f>REPLACE(INDEX(GroupVertices[Group],MATCH(Edges[[#This Row],[Vertex 2]],GroupVertices[Vertex],0)),1,1,"")</f>
        <v>10</v>
      </c>
      <c r="BF58" s="51">
        <v>0</v>
      </c>
      <c r="BG58" s="52">
        <v>0</v>
      </c>
      <c r="BH58" s="51">
        <v>0</v>
      </c>
      <c r="BI58" s="52">
        <v>0</v>
      </c>
      <c r="BJ58" s="51">
        <v>0</v>
      </c>
      <c r="BK58" s="52">
        <v>0</v>
      </c>
      <c r="BL58" s="51">
        <v>28</v>
      </c>
      <c r="BM58" s="52">
        <v>100</v>
      </c>
      <c r="BN58" s="51">
        <v>28</v>
      </c>
    </row>
    <row r="59" spans="1:66" ht="15">
      <c r="A59" s="81" t="s">
        <v>263</v>
      </c>
      <c r="B59" s="81" t="s">
        <v>263</v>
      </c>
      <c r="C59" s="53" t="s">
        <v>1370</v>
      </c>
      <c r="D59" s="54">
        <v>3</v>
      </c>
      <c r="E59" s="53" t="s">
        <v>132</v>
      </c>
      <c r="F59" s="55">
        <v>32</v>
      </c>
      <c r="G59" s="53"/>
      <c r="H59" s="57"/>
      <c r="I59" s="56"/>
      <c r="J59" s="56"/>
      <c r="K59" s="36" t="s">
        <v>65</v>
      </c>
      <c r="L59" s="62">
        <v>59</v>
      </c>
      <c r="M59" s="62"/>
      <c r="N59" s="63"/>
      <c r="O59" s="83" t="s">
        <v>196</v>
      </c>
      <c r="P59" s="85">
        <v>44485.27790509259</v>
      </c>
      <c r="Q59" s="83" t="s">
        <v>310</v>
      </c>
      <c r="R59" s="83"/>
      <c r="S59" s="83"/>
      <c r="T59" s="89" t="s">
        <v>354</v>
      </c>
      <c r="U59" s="83"/>
      <c r="V59" s="87" t="str">
        <f>HYPERLINK("https://pbs.twimg.com/profile_images/1314815941545402368/cJ-RV9rz_normal.jpg")</f>
        <v>https://pbs.twimg.com/profile_images/1314815941545402368/cJ-RV9rz_normal.jpg</v>
      </c>
      <c r="W59" s="85">
        <v>44485.27790509259</v>
      </c>
      <c r="X59" s="91">
        <v>44485</v>
      </c>
      <c r="Y59" s="89" t="s">
        <v>393</v>
      </c>
      <c r="Z59" s="87" t="str">
        <f>HYPERLINK("https://twitter.com/inspirasiv/status/1449263887413432322")</f>
        <v>https://twitter.com/inspirasiv/status/1449263887413432322</v>
      </c>
      <c r="AA59" s="83"/>
      <c r="AB59" s="83"/>
      <c r="AC59" s="89" t="s">
        <v>436</v>
      </c>
      <c r="AD59" s="89" t="s">
        <v>447</v>
      </c>
      <c r="AE59" s="83" t="b">
        <v>0</v>
      </c>
      <c r="AF59" s="83">
        <v>0</v>
      </c>
      <c r="AG59" s="89" t="s">
        <v>450</v>
      </c>
      <c r="AH59" s="83" t="b">
        <v>0</v>
      </c>
      <c r="AI59" s="83" t="s">
        <v>453</v>
      </c>
      <c r="AJ59" s="83"/>
      <c r="AK59" s="89" t="s">
        <v>448</v>
      </c>
      <c r="AL59" s="83" t="b">
        <v>0</v>
      </c>
      <c r="AM59" s="83">
        <v>0</v>
      </c>
      <c r="AN59" s="89" t="s">
        <v>448</v>
      </c>
      <c r="AO59" s="89" t="s">
        <v>461</v>
      </c>
      <c r="AP59" s="83" t="b">
        <v>0</v>
      </c>
      <c r="AQ59" s="89" t="s">
        <v>447</v>
      </c>
      <c r="AR59" s="83" t="s">
        <v>196</v>
      </c>
      <c r="AS59" s="83">
        <v>0</v>
      </c>
      <c r="AT59" s="83">
        <v>0</v>
      </c>
      <c r="AU59" s="83"/>
      <c r="AV59" s="83"/>
      <c r="AW59" s="83"/>
      <c r="AX59" s="83"/>
      <c r="AY59" s="83"/>
      <c r="AZ59" s="83"/>
      <c r="BA59" s="83"/>
      <c r="BB59" s="83"/>
      <c r="BC59">
        <v>1</v>
      </c>
      <c r="BD59" s="82" t="str">
        <f>REPLACE(INDEX(GroupVertices[Group],MATCH(Edges[[#This Row],[Vertex 1]],GroupVertices[Vertex],0)),1,1,"")</f>
        <v>3</v>
      </c>
      <c r="BE59" s="82" t="str">
        <f>REPLACE(INDEX(GroupVertices[Group],MATCH(Edges[[#This Row],[Vertex 2]],GroupVertices[Vertex],0)),1,1,"")</f>
        <v>3</v>
      </c>
      <c r="BF59" s="51">
        <v>0</v>
      </c>
      <c r="BG59" s="52">
        <v>0</v>
      </c>
      <c r="BH59" s="51">
        <v>0</v>
      </c>
      <c r="BI59" s="52">
        <v>0</v>
      </c>
      <c r="BJ59" s="51">
        <v>0</v>
      </c>
      <c r="BK59" s="52">
        <v>0</v>
      </c>
      <c r="BL59" s="51">
        <v>27</v>
      </c>
      <c r="BM59" s="52">
        <v>100</v>
      </c>
      <c r="BN59" s="51">
        <v>27</v>
      </c>
    </row>
    <row r="60" spans="1:66" ht="30">
      <c r="A60" s="81" t="s">
        <v>264</v>
      </c>
      <c r="B60" s="81" t="s">
        <v>264</v>
      </c>
      <c r="C60" s="53" t="s">
        <v>1371</v>
      </c>
      <c r="D60" s="54">
        <v>3</v>
      </c>
      <c r="E60" s="53" t="s">
        <v>136</v>
      </c>
      <c r="F60" s="55">
        <v>19</v>
      </c>
      <c r="G60" s="53"/>
      <c r="H60" s="57"/>
      <c r="I60" s="56"/>
      <c r="J60" s="56"/>
      <c r="K60" s="36" t="s">
        <v>65</v>
      </c>
      <c r="L60" s="62">
        <v>60</v>
      </c>
      <c r="M60" s="62"/>
      <c r="N60" s="63"/>
      <c r="O60" s="83" t="s">
        <v>196</v>
      </c>
      <c r="P60" s="85">
        <v>44485.38690972222</v>
      </c>
      <c r="Q60" s="83" t="s">
        <v>311</v>
      </c>
      <c r="R60" s="87" t="str">
        <f>HYPERLINK("https://thecounter.org/lab-grown-cultivated-meat-cost-at-scale/")</f>
        <v>https://thecounter.org/lab-grown-cultivated-meat-cost-at-scale/</v>
      </c>
      <c r="S60" s="83" t="s">
        <v>322</v>
      </c>
      <c r="T60" s="89" t="s">
        <v>355</v>
      </c>
      <c r="U60" s="83"/>
      <c r="V60" s="87" t="str">
        <f>HYPERLINK("https://pbs.twimg.com/profile_images/1091135701922377728/OSj5L6bT_normal.jpg")</f>
        <v>https://pbs.twimg.com/profile_images/1091135701922377728/OSj5L6bT_normal.jpg</v>
      </c>
      <c r="W60" s="85">
        <v>44485.38690972222</v>
      </c>
      <c r="X60" s="91">
        <v>44485</v>
      </c>
      <c r="Y60" s="89" t="s">
        <v>394</v>
      </c>
      <c r="Z60" s="87" t="str">
        <f>HYPERLINK("https://twitter.com/shorewalker1/status/1449303390882656257")</f>
        <v>https://twitter.com/shorewalker1/status/1449303390882656257</v>
      </c>
      <c r="AA60" s="83"/>
      <c r="AB60" s="83"/>
      <c r="AC60" s="89" t="s">
        <v>437</v>
      </c>
      <c r="AD60" s="83"/>
      <c r="AE60" s="83" t="b">
        <v>0</v>
      </c>
      <c r="AF60" s="83">
        <v>0</v>
      </c>
      <c r="AG60" s="89" t="s">
        <v>448</v>
      </c>
      <c r="AH60" s="83" t="b">
        <v>0</v>
      </c>
      <c r="AI60" s="83" t="s">
        <v>452</v>
      </c>
      <c r="AJ60" s="83"/>
      <c r="AK60" s="89" t="s">
        <v>448</v>
      </c>
      <c r="AL60" s="83" t="b">
        <v>0</v>
      </c>
      <c r="AM60" s="83">
        <v>0</v>
      </c>
      <c r="AN60" s="89" t="s">
        <v>448</v>
      </c>
      <c r="AO60" s="89" t="s">
        <v>456</v>
      </c>
      <c r="AP60" s="83" t="b">
        <v>0</v>
      </c>
      <c r="AQ60" s="89" t="s">
        <v>437</v>
      </c>
      <c r="AR60" s="83" t="s">
        <v>196</v>
      </c>
      <c r="AS60" s="83">
        <v>0</v>
      </c>
      <c r="AT60" s="83">
        <v>0</v>
      </c>
      <c r="AU60" s="83"/>
      <c r="AV60" s="83"/>
      <c r="AW60" s="83"/>
      <c r="AX60" s="83"/>
      <c r="AY60" s="83"/>
      <c r="AZ60" s="83"/>
      <c r="BA60" s="83"/>
      <c r="BB60" s="83"/>
      <c r="BC60">
        <v>2</v>
      </c>
      <c r="BD60" s="82" t="str">
        <f>REPLACE(INDEX(GroupVertices[Group],MATCH(Edges[[#This Row],[Vertex 1]],GroupVertices[Vertex],0)),1,1,"")</f>
        <v>3</v>
      </c>
      <c r="BE60" s="82" t="str">
        <f>REPLACE(INDEX(GroupVertices[Group],MATCH(Edges[[#This Row],[Vertex 2]],GroupVertices[Vertex],0)),1,1,"")</f>
        <v>3</v>
      </c>
      <c r="BF60" s="51">
        <v>0</v>
      </c>
      <c r="BG60" s="52">
        <v>0</v>
      </c>
      <c r="BH60" s="51">
        <v>2</v>
      </c>
      <c r="BI60" s="52">
        <v>5.2631578947368425</v>
      </c>
      <c r="BJ60" s="51">
        <v>0</v>
      </c>
      <c r="BK60" s="52">
        <v>0</v>
      </c>
      <c r="BL60" s="51">
        <v>36</v>
      </c>
      <c r="BM60" s="52">
        <v>94.73684210526316</v>
      </c>
      <c r="BN60" s="51">
        <v>38</v>
      </c>
    </row>
    <row r="61" spans="1:66" ht="30">
      <c r="A61" s="81" t="s">
        <v>264</v>
      </c>
      <c r="B61" s="81" t="s">
        <v>264</v>
      </c>
      <c r="C61" s="53" t="s">
        <v>1371</v>
      </c>
      <c r="D61" s="54">
        <v>3</v>
      </c>
      <c r="E61" s="53" t="s">
        <v>136</v>
      </c>
      <c r="F61" s="55">
        <v>19</v>
      </c>
      <c r="G61" s="53"/>
      <c r="H61" s="57"/>
      <c r="I61" s="56"/>
      <c r="J61" s="56"/>
      <c r="K61" s="36" t="s">
        <v>65</v>
      </c>
      <c r="L61" s="62">
        <v>61</v>
      </c>
      <c r="M61" s="62"/>
      <c r="N61" s="63"/>
      <c r="O61" s="83" t="s">
        <v>196</v>
      </c>
      <c r="P61" s="85">
        <v>44485.386921296296</v>
      </c>
      <c r="Q61" s="83" t="s">
        <v>312</v>
      </c>
      <c r="R61" s="87" t="str">
        <f>HYPERLINK("https://astralcodexten.substack.com/p/bay-area-plant-based-meat-reviews")</f>
        <v>https://astralcodexten.substack.com/p/bay-area-plant-based-meat-reviews</v>
      </c>
      <c r="S61" s="83" t="s">
        <v>331</v>
      </c>
      <c r="T61" s="89" t="s">
        <v>356</v>
      </c>
      <c r="U61" s="83"/>
      <c r="V61" s="87" t="str">
        <f>HYPERLINK("https://pbs.twimg.com/profile_images/1091135701922377728/OSj5L6bT_normal.jpg")</f>
        <v>https://pbs.twimg.com/profile_images/1091135701922377728/OSj5L6bT_normal.jpg</v>
      </c>
      <c r="W61" s="85">
        <v>44485.386921296296</v>
      </c>
      <c r="X61" s="91">
        <v>44485</v>
      </c>
      <c r="Y61" s="89" t="s">
        <v>395</v>
      </c>
      <c r="Z61" s="87" t="str">
        <f>HYPERLINK("https://twitter.com/shorewalker1/status/1449303393260900359")</f>
        <v>https://twitter.com/shorewalker1/status/1449303393260900359</v>
      </c>
      <c r="AA61" s="83"/>
      <c r="AB61" s="83"/>
      <c r="AC61" s="89" t="s">
        <v>438</v>
      </c>
      <c r="AD61" s="89" t="s">
        <v>437</v>
      </c>
      <c r="AE61" s="83" t="b">
        <v>0</v>
      </c>
      <c r="AF61" s="83">
        <v>0</v>
      </c>
      <c r="AG61" s="89" t="s">
        <v>451</v>
      </c>
      <c r="AH61" s="83" t="b">
        <v>0</v>
      </c>
      <c r="AI61" s="83" t="s">
        <v>452</v>
      </c>
      <c r="AJ61" s="83"/>
      <c r="AK61" s="89" t="s">
        <v>448</v>
      </c>
      <c r="AL61" s="83" t="b">
        <v>0</v>
      </c>
      <c r="AM61" s="83">
        <v>0</v>
      </c>
      <c r="AN61" s="89" t="s">
        <v>448</v>
      </c>
      <c r="AO61" s="89" t="s">
        <v>456</v>
      </c>
      <c r="AP61" s="83" t="b">
        <v>0</v>
      </c>
      <c r="AQ61" s="89" t="s">
        <v>437</v>
      </c>
      <c r="AR61" s="83" t="s">
        <v>196</v>
      </c>
      <c r="AS61" s="83">
        <v>0</v>
      </c>
      <c r="AT61" s="83">
        <v>0</v>
      </c>
      <c r="AU61" s="83"/>
      <c r="AV61" s="83"/>
      <c r="AW61" s="83"/>
      <c r="AX61" s="83"/>
      <c r="AY61" s="83"/>
      <c r="AZ61" s="83"/>
      <c r="BA61" s="83"/>
      <c r="BB61" s="83"/>
      <c r="BC61">
        <v>2</v>
      </c>
      <c r="BD61" s="82" t="str">
        <f>REPLACE(INDEX(GroupVertices[Group],MATCH(Edges[[#This Row],[Vertex 1]],GroupVertices[Vertex],0)),1,1,"")</f>
        <v>3</v>
      </c>
      <c r="BE61" s="82" t="str">
        <f>REPLACE(INDEX(GroupVertices[Group],MATCH(Edges[[#This Row],[Vertex 2]],GroupVertices[Vertex],0)),1,1,"")</f>
        <v>3</v>
      </c>
      <c r="BF61" s="51">
        <v>4</v>
      </c>
      <c r="BG61" s="52">
        <v>10.81081081081081</v>
      </c>
      <c r="BH61" s="51">
        <v>0</v>
      </c>
      <c r="BI61" s="52">
        <v>0</v>
      </c>
      <c r="BJ61" s="51">
        <v>0</v>
      </c>
      <c r="BK61" s="52">
        <v>0</v>
      </c>
      <c r="BL61" s="51">
        <v>33</v>
      </c>
      <c r="BM61" s="52">
        <v>89.1891891891892</v>
      </c>
      <c r="BN61" s="51">
        <v>37</v>
      </c>
    </row>
    <row r="62" spans="1:66" ht="15">
      <c r="A62" s="81" t="s">
        <v>265</v>
      </c>
      <c r="B62" s="81" t="s">
        <v>284</v>
      </c>
      <c r="C62" s="53" t="s">
        <v>1370</v>
      </c>
      <c r="D62" s="54">
        <v>3</v>
      </c>
      <c r="E62" s="53" t="s">
        <v>132</v>
      </c>
      <c r="F62" s="55">
        <v>32</v>
      </c>
      <c r="G62" s="53"/>
      <c r="H62" s="57"/>
      <c r="I62" s="56"/>
      <c r="J62" s="56"/>
      <c r="K62" s="36" t="s">
        <v>65</v>
      </c>
      <c r="L62" s="62">
        <v>62</v>
      </c>
      <c r="M62" s="62"/>
      <c r="N62" s="63"/>
      <c r="O62" s="83" t="s">
        <v>285</v>
      </c>
      <c r="P62" s="85">
        <v>44485.574594907404</v>
      </c>
      <c r="Q62" s="83" t="s">
        <v>313</v>
      </c>
      <c r="R62" s="87" t="str">
        <f>HYPERLINK("https://www.surveycircle.com/en/surveys/?sr=r3#2b6d962de6ae")</f>
        <v>https://www.surveycircle.com/en/surveys/?sr=r3#2b6d962de6ae</v>
      </c>
      <c r="S62" s="83" t="s">
        <v>332</v>
      </c>
      <c r="T62" s="89" t="s">
        <v>357</v>
      </c>
      <c r="U62" s="87" t="str">
        <f>HYPERLINK("https://pbs.twimg.com/media/FB0znNpXEAM8EGy.jpg")</f>
        <v>https://pbs.twimg.com/media/FB0znNpXEAM8EGy.jpg</v>
      </c>
      <c r="V62" s="87" t="str">
        <f>HYPERLINK("https://pbs.twimg.com/media/FB0znNpXEAM8EGy.jpg")</f>
        <v>https://pbs.twimg.com/media/FB0znNpXEAM8EGy.jpg</v>
      </c>
      <c r="W62" s="85">
        <v>44485.574594907404</v>
      </c>
      <c r="X62" s="91">
        <v>44485</v>
      </c>
      <c r="Y62" s="89" t="s">
        <v>396</v>
      </c>
      <c r="Z62" s="87" t="str">
        <f>HYPERLINK("https://twitter.com/daily_research/status/1449371405691330561")</f>
        <v>https://twitter.com/daily_research/status/1449371405691330561</v>
      </c>
      <c r="AA62" s="83"/>
      <c r="AB62" s="83"/>
      <c r="AC62" s="89" t="s">
        <v>439</v>
      </c>
      <c r="AD62" s="83"/>
      <c r="AE62" s="83" t="b">
        <v>0</v>
      </c>
      <c r="AF62" s="83">
        <v>0</v>
      </c>
      <c r="AG62" s="89" t="s">
        <v>448</v>
      </c>
      <c r="AH62" s="83" t="b">
        <v>0</v>
      </c>
      <c r="AI62" s="83" t="s">
        <v>452</v>
      </c>
      <c r="AJ62" s="83"/>
      <c r="AK62" s="89" t="s">
        <v>448</v>
      </c>
      <c r="AL62" s="83" t="b">
        <v>0</v>
      </c>
      <c r="AM62" s="83">
        <v>0</v>
      </c>
      <c r="AN62" s="89" t="s">
        <v>448</v>
      </c>
      <c r="AO62" s="89" t="s">
        <v>463</v>
      </c>
      <c r="AP62" s="83" t="b">
        <v>0</v>
      </c>
      <c r="AQ62" s="89" t="s">
        <v>439</v>
      </c>
      <c r="AR62" s="83" t="s">
        <v>196</v>
      </c>
      <c r="AS62" s="83">
        <v>0</v>
      </c>
      <c r="AT62" s="83">
        <v>0</v>
      </c>
      <c r="AU62" s="83"/>
      <c r="AV62" s="83"/>
      <c r="AW62" s="83"/>
      <c r="AX62" s="83"/>
      <c r="AY62" s="83"/>
      <c r="AZ62" s="83"/>
      <c r="BA62" s="83"/>
      <c r="BB62" s="83"/>
      <c r="BC62">
        <v>1</v>
      </c>
      <c r="BD62" s="82" t="str">
        <f>REPLACE(INDEX(GroupVertices[Group],MATCH(Edges[[#This Row],[Vertex 1]],GroupVertices[Vertex],0)),1,1,"")</f>
        <v>8</v>
      </c>
      <c r="BE62" s="82" t="str">
        <f>REPLACE(INDEX(GroupVertices[Group],MATCH(Edges[[#This Row],[Vertex 2]],GroupVertices[Vertex],0)),1,1,"")</f>
        <v>8</v>
      </c>
      <c r="BF62" s="51">
        <v>0</v>
      </c>
      <c r="BG62" s="52">
        <v>0</v>
      </c>
      <c r="BH62" s="51">
        <v>0</v>
      </c>
      <c r="BI62" s="52">
        <v>0</v>
      </c>
      <c r="BJ62" s="51">
        <v>0</v>
      </c>
      <c r="BK62" s="52">
        <v>0</v>
      </c>
      <c r="BL62" s="51">
        <v>26</v>
      </c>
      <c r="BM62" s="52">
        <v>100</v>
      </c>
      <c r="BN62" s="51">
        <v>26</v>
      </c>
    </row>
    <row r="63" spans="1:66" ht="15">
      <c r="A63" s="81" t="s">
        <v>266</v>
      </c>
      <c r="B63" s="81" t="s">
        <v>266</v>
      </c>
      <c r="C63" s="53" t="s">
        <v>1370</v>
      </c>
      <c r="D63" s="54">
        <v>3</v>
      </c>
      <c r="E63" s="53" t="s">
        <v>132</v>
      </c>
      <c r="F63" s="55">
        <v>32</v>
      </c>
      <c r="G63" s="53"/>
      <c r="H63" s="57"/>
      <c r="I63" s="56"/>
      <c r="J63" s="56"/>
      <c r="K63" s="36" t="s">
        <v>65</v>
      </c>
      <c r="L63" s="62">
        <v>63</v>
      </c>
      <c r="M63" s="62"/>
      <c r="N63" s="63"/>
      <c r="O63" s="83" t="s">
        <v>196</v>
      </c>
      <c r="P63" s="85">
        <v>44485.583032407405</v>
      </c>
      <c r="Q63" s="83" t="s">
        <v>314</v>
      </c>
      <c r="R63" s="83"/>
      <c r="S63" s="83"/>
      <c r="T63" s="89" t="s">
        <v>358</v>
      </c>
      <c r="U63" s="87" t="str">
        <f>HYPERLINK("https://pbs.twimg.com/media/FB01di5WUAUJMfY.jpg")</f>
        <v>https://pbs.twimg.com/media/FB01di5WUAUJMfY.jpg</v>
      </c>
      <c r="V63" s="87" t="str">
        <f>HYPERLINK("https://pbs.twimg.com/media/FB01di5WUAUJMfY.jpg")</f>
        <v>https://pbs.twimg.com/media/FB01di5WUAUJMfY.jpg</v>
      </c>
      <c r="W63" s="85">
        <v>44485.583032407405</v>
      </c>
      <c r="X63" s="91">
        <v>44485</v>
      </c>
      <c r="Y63" s="89" t="s">
        <v>397</v>
      </c>
      <c r="Z63" s="87" t="str">
        <f>HYPERLINK("https://twitter.com/the_teh_news/status/1449374461631807495")</f>
        <v>https://twitter.com/the_teh_news/status/1449374461631807495</v>
      </c>
      <c r="AA63" s="83"/>
      <c r="AB63" s="83"/>
      <c r="AC63" s="89" t="s">
        <v>440</v>
      </c>
      <c r="AD63" s="83"/>
      <c r="AE63" s="83" t="b">
        <v>0</v>
      </c>
      <c r="AF63" s="83">
        <v>0</v>
      </c>
      <c r="AG63" s="89" t="s">
        <v>448</v>
      </c>
      <c r="AH63" s="83" t="b">
        <v>0</v>
      </c>
      <c r="AI63" s="83" t="s">
        <v>452</v>
      </c>
      <c r="AJ63" s="83"/>
      <c r="AK63" s="89" t="s">
        <v>448</v>
      </c>
      <c r="AL63" s="83" t="b">
        <v>0</v>
      </c>
      <c r="AM63" s="83">
        <v>0</v>
      </c>
      <c r="AN63" s="89" t="s">
        <v>448</v>
      </c>
      <c r="AO63" s="89" t="s">
        <v>456</v>
      </c>
      <c r="AP63" s="83" t="b">
        <v>0</v>
      </c>
      <c r="AQ63" s="89" t="s">
        <v>440</v>
      </c>
      <c r="AR63" s="83" t="s">
        <v>196</v>
      </c>
      <c r="AS63" s="83">
        <v>0</v>
      </c>
      <c r="AT63" s="83">
        <v>0</v>
      </c>
      <c r="AU63" s="83"/>
      <c r="AV63" s="83"/>
      <c r="AW63" s="83"/>
      <c r="AX63" s="83"/>
      <c r="AY63" s="83"/>
      <c r="AZ63" s="83"/>
      <c r="BA63" s="83"/>
      <c r="BB63" s="83"/>
      <c r="BC63">
        <v>1</v>
      </c>
      <c r="BD63" s="82" t="str">
        <f>REPLACE(INDEX(GroupVertices[Group],MATCH(Edges[[#This Row],[Vertex 1]],GroupVertices[Vertex],0)),1,1,"")</f>
        <v>3</v>
      </c>
      <c r="BE63" s="82" t="str">
        <f>REPLACE(INDEX(GroupVertices[Group],MATCH(Edges[[#This Row],[Vertex 2]],GroupVertices[Vertex],0)),1,1,"")</f>
        <v>3</v>
      </c>
      <c r="BF63" s="51">
        <v>1</v>
      </c>
      <c r="BG63" s="52">
        <v>3.225806451612903</v>
      </c>
      <c r="BH63" s="51">
        <v>0</v>
      </c>
      <c r="BI63" s="52">
        <v>0</v>
      </c>
      <c r="BJ63" s="51">
        <v>0</v>
      </c>
      <c r="BK63" s="52">
        <v>0</v>
      </c>
      <c r="BL63" s="51">
        <v>30</v>
      </c>
      <c r="BM63" s="52">
        <v>96.7741935483871</v>
      </c>
      <c r="BN63" s="51">
        <v>31</v>
      </c>
    </row>
    <row r="64" spans="1:66" ht="15">
      <c r="A64" s="81" t="s">
        <v>267</v>
      </c>
      <c r="B64" s="81" t="s">
        <v>269</v>
      </c>
      <c r="C64" s="53" t="s">
        <v>1370</v>
      </c>
      <c r="D64" s="54">
        <v>3</v>
      </c>
      <c r="E64" s="53" t="s">
        <v>132</v>
      </c>
      <c r="F64" s="55">
        <v>32</v>
      </c>
      <c r="G64" s="53"/>
      <c r="H64" s="57"/>
      <c r="I64" s="56"/>
      <c r="J64" s="56"/>
      <c r="K64" s="36" t="s">
        <v>65</v>
      </c>
      <c r="L64" s="62">
        <v>64</v>
      </c>
      <c r="M64" s="62"/>
      <c r="N64" s="63"/>
      <c r="O64" s="83" t="s">
        <v>287</v>
      </c>
      <c r="P64" s="85">
        <v>44485.69627314815</v>
      </c>
      <c r="Q64" s="83" t="s">
        <v>306</v>
      </c>
      <c r="R64" s="87" t="str">
        <f>HYPERLINK("https://www.who.int/news/item/11-10-2021-who-s-10-calls-for-climate-action-to-assure-sustained-recovery-from-covid-19")</f>
        <v>https://www.who.int/news/item/11-10-2021-who-s-10-calls-for-climate-action-to-assure-sustained-recovery-from-covid-19</v>
      </c>
      <c r="S64" s="83" t="s">
        <v>328</v>
      </c>
      <c r="T64" s="89" t="s">
        <v>350</v>
      </c>
      <c r="U64" s="83"/>
      <c r="V64" s="87" t="str">
        <f>HYPERLINK("https://pbs.twimg.com/profile_images/1148337726866874368/aIvdSvJg_normal.jpg")</f>
        <v>https://pbs.twimg.com/profile_images/1148337726866874368/aIvdSvJg_normal.jpg</v>
      </c>
      <c r="W64" s="85">
        <v>44485.69627314815</v>
      </c>
      <c r="X64" s="91">
        <v>44485</v>
      </c>
      <c r="Y64" s="89" t="s">
        <v>398</v>
      </c>
      <c r="Z64" s="87" t="str">
        <f>HYPERLINK("https://twitter.com/pengejarbayang/status/1449415497380810752")</f>
        <v>https://twitter.com/pengejarbayang/status/1449415497380810752</v>
      </c>
      <c r="AA64" s="83"/>
      <c r="AB64" s="83"/>
      <c r="AC64" s="89" t="s">
        <v>441</v>
      </c>
      <c r="AD64" s="83"/>
      <c r="AE64" s="83" t="b">
        <v>0</v>
      </c>
      <c r="AF64" s="83">
        <v>0</v>
      </c>
      <c r="AG64" s="89" t="s">
        <v>448</v>
      </c>
      <c r="AH64" s="83" t="b">
        <v>0</v>
      </c>
      <c r="AI64" s="83" t="s">
        <v>453</v>
      </c>
      <c r="AJ64" s="83"/>
      <c r="AK64" s="89" t="s">
        <v>448</v>
      </c>
      <c r="AL64" s="83" t="b">
        <v>0</v>
      </c>
      <c r="AM64" s="83">
        <v>4</v>
      </c>
      <c r="AN64" s="89" t="s">
        <v>443</v>
      </c>
      <c r="AO64" s="89" t="s">
        <v>457</v>
      </c>
      <c r="AP64" s="83" t="b">
        <v>0</v>
      </c>
      <c r="AQ64" s="89" t="s">
        <v>443</v>
      </c>
      <c r="AR64" s="83" t="s">
        <v>196</v>
      </c>
      <c r="AS64" s="83">
        <v>0</v>
      </c>
      <c r="AT64" s="83">
        <v>0</v>
      </c>
      <c r="AU64" s="83"/>
      <c r="AV64" s="83"/>
      <c r="AW64" s="83"/>
      <c r="AX64" s="83"/>
      <c r="AY64" s="83"/>
      <c r="AZ64" s="83"/>
      <c r="BA64" s="83"/>
      <c r="BB64" s="83"/>
      <c r="BC64">
        <v>1</v>
      </c>
      <c r="BD64" s="82" t="str">
        <f>REPLACE(INDEX(GroupVertices[Group],MATCH(Edges[[#This Row],[Vertex 1]],GroupVertices[Vertex],0)),1,1,"")</f>
        <v>4</v>
      </c>
      <c r="BE64" s="82" t="str">
        <f>REPLACE(INDEX(GroupVertices[Group],MATCH(Edges[[#This Row],[Vertex 2]],GroupVertices[Vertex],0)),1,1,"")</f>
        <v>4</v>
      </c>
      <c r="BF64" s="51">
        <v>0</v>
      </c>
      <c r="BG64" s="52">
        <v>0</v>
      </c>
      <c r="BH64" s="51">
        <v>0</v>
      </c>
      <c r="BI64" s="52">
        <v>0</v>
      </c>
      <c r="BJ64" s="51">
        <v>0</v>
      </c>
      <c r="BK64" s="52">
        <v>0</v>
      </c>
      <c r="BL64" s="51">
        <v>33</v>
      </c>
      <c r="BM64" s="52">
        <v>100</v>
      </c>
      <c r="BN64" s="51">
        <v>33</v>
      </c>
    </row>
    <row r="65" spans="1:66" ht="15">
      <c r="A65" s="81" t="s">
        <v>268</v>
      </c>
      <c r="B65" s="81" t="s">
        <v>269</v>
      </c>
      <c r="C65" s="53" t="s">
        <v>1370</v>
      </c>
      <c r="D65" s="54">
        <v>3</v>
      </c>
      <c r="E65" s="53" t="s">
        <v>132</v>
      </c>
      <c r="F65" s="55">
        <v>32</v>
      </c>
      <c r="G65" s="53"/>
      <c r="H65" s="57"/>
      <c r="I65" s="56"/>
      <c r="J65" s="56"/>
      <c r="K65" s="36" t="s">
        <v>65</v>
      </c>
      <c r="L65" s="62">
        <v>65</v>
      </c>
      <c r="M65" s="62"/>
      <c r="N65" s="63"/>
      <c r="O65" s="83" t="s">
        <v>287</v>
      </c>
      <c r="P65" s="85">
        <v>44485.69798611111</v>
      </c>
      <c r="Q65" s="83" t="s">
        <v>306</v>
      </c>
      <c r="R65" s="87" t="str">
        <f>HYPERLINK("https://www.who.int/news/item/11-10-2021-who-s-10-calls-for-climate-action-to-assure-sustained-recovery-from-covid-19")</f>
        <v>https://www.who.int/news/item/11-10-2021-who-s-10-calls-for-climate-action-to-assure-sustained-recovery-from-covid-19</v>
      </c>
      <c r="S65" s="83" t="s">
        <v>328</v>
      </c>
      <c r="T65" s="89" t="s">
        <v>350</v>
      </c>
      <c r="U65" s="83"/>
      <c r="V65" s="87" t="str">
        <f>HYPERLINK("https://pbs.twimg.com/profile_images/1238295751098171398/QaPMEcwW_normal.jpg")</f>
        <v>https://pbs.twimg.com/profile_images/1238295751098171398/QaPMEcwW_normal.jpg</v>
      </c>
      <c r="W65" s="85">
        <v>44485.69798611111</v>
      </c>
      <c r="X65" s="91">
        <v>44485</v>
      </c>
      <c r="Y65" s="89" t="s">
        <v>399</v>
      </c>
      <c r="Z65" s="87" t="str">
        <f>HYPERLINK("https://twitter.com/alvinrio_1501/status/1449416121942114311")</f>
        <v>https://twitter.com/alvinrio_1501/status/1449416121942114311</v>
      </c>
      <c r="AA65" s="83"/>
      <c r="AB65" s="83"/>
      <c r="AC65" s="89" t="s">
        <v>442</v>
      </c>
      <c r="AD65" s="83"/>
      <c r="AE65" s="83" t="b">
        <v>0</v>
      </c>
      <c r="AF65" s="83">
        <v>0</v>
      </c>
      <c r="AG65" s="89" t="s">
        <v>448</v>
      </c>
      <c r="AH65" s="83" t="b">
        <v>0</v>
      </c>
      <c r="AI65" s="83" t="s">
        <v>453</v>
      </c>
      <c r="AJ65" s="83"/>
      <c r="AK65" s="89" t="s">
        <v>448</v>
      </c>
      <c r="AL65" s="83" t="b">
        <v>0</v>
      </c>
      <c r="AM65" s="83">
        <v>4</v>
      </c>
      <c r="AN65" s="89" t="s">
        <v>443</v>
      </c>
      <c r="AO65" s="89" t="s">
        <v>457</v>
      </c>
      <c r="AP65" s="83" t="b">
        <v>0</v>
      </c>
      <c r="AQ65" s="89" t="s">
        <v>443</v>
      </c>
      <c r="AR65" s="83" t="s">
        <v>196</v>
      </c>
      <c r="AS65" s="83">
        <v>0</v>
      </c>
      <c r="AT65" s="83">
        <v>0</v>
      </c>
      <c r="AU65" s="83"/>
      <c r="AV65" s="83"/>
      <c r="AW65" s="83"/>
      <c r="AX65" s="83"/>
      <c r="AY65" s="83"/>
      <c r="AZ65" s="83"/>
      <c r="BA65" s="83"/>
      <c r="BB65" s="83"/>
      <c r="BC65">
        <v>1</v>
      </c>
      <c r="BD65" s="82" t="str">
        <f>REPLACE(INDEX(GroupVertices[Group],MATCH(Edges[[#This Row],[Vertex 1]],GroupVertices[Vertex],0)),1,1,"")</f>
        <v>4</v>
      </c>
      <c r="BE65" s="82" t="str">
        <f>REPLACE(INDEX(GroupVertices[Group],MATCH(Edges[[#This Row],[Vertex 2]],GroupVertices[Vertex],0)),1,1,"")</f>
        <v>4</v>
      </c>
      <c r="BF65" s="51">
        <v>0</v>
      </c>
      <c r="BG65" s="52">
        <v>0</v>
      </c>
      <c r="BH65" s="51">
        <v>0</v>
      </c>
      <c r="BI65" s="52">
        <v>0</v>
      </c>
      <c r="BJ65" s="51">
        <v>0</v>
      </c>
      <c r="BK65" s="52">
        <v>0</v>
      </c>
      <c r="BL65" s="51">
        <v>33</v>
      </c>
      <c r="BM65" s="52">
        <v>100</v>
      </c>
      <c r="BN65" s="51">
        <v>33</v>
      </c>
    </row>
    <row r="66" spans="1:66" ht="15">
      <c r="A66" s="81" t="s">
        <v>269</v>
      </c>
      <c r="B66" s="81" t="s">
        <v>269</v>
      </c>
      <c r="C66" s="53" t="s">
        <v>1370</v>
      </c>
      <c r="D66" s="54">
        <v>3</v>
      </c>
      <c r="E66" s="53" t="s">
        <v>132</v>
      </c>
      <c r="F66" s="55">
        <v>32</v>
      </c>
      <c r="G66" s="53"/>
      <c r="H66" s="57"/>
      <c r="I66" s="56"/>
      <c r="J66" s="56"/>
      <c r="K66" s="36" t="s">
        <v>65</v>
      </c>
      <c r="L66" s="62">
        <v>66</v>
      </c>
      <c r="M66" s="62"/>
      <c r="N66" s="63"/>
      <c r="O66" s="83" t="s">
        <v>196</v>
      </c>
      <c r="P66" s="85">
        <v>44484.19299768518</v>
      </c>
      <c r="Q66" s="83" t="s">
        <v>306</v>
      </c>
      <c r="R66" s="87" t="str">
        <f>HYPERLINK("https://www.who.int/news/item/11-10-2021-who-s-10-calls-for-climate-action-to-assure-sustained-recovery-from-covid-19")</f>
        <v>https://www.who.int/news/item/11-10-2021-who-s-10-calls-for-climate-action-to-assure-sustained-recovery-from-covid-19</v>
      </c>
      <c r="S66" s="83" t="s">
        <v>328</v>
      </c>
      <c r="T66" s="89" t="s">
        <v>350</v>
      </c>
      <c r="U66" s="83"/>
      <c r="V66" s="87" t="str">
        <f>HYPERLINK("https://pbs.twimg.com/profile_images/1427658396963000320/2JmbMKai_normal.jpg")</f>
        <v>https://pbs.twimg.com/profile_images/1427658396963000320/2JmbMKai_normal.jpg</v>
      </c>
      <c r="W66" s="85">
        <v>44484.19299768518</v>
      </c>
      <c r="X66" s="91">
        <v>44484</v>
      </c>
      <c r="Y66" s="89" t="s">
        <v>400</v>
      </c>
      <c r="Z66" s="87" t="str">
        <f>HYPERLINK("https://twitter.com/mysubuh/status/1448870729496236032")</f>
        <v>https://twitter.com/mysubuh/status/1448870729496236032</v>
      </c>
      <c r="AA66" s="83"/>
      <c r="AB66" s="83"/>
      <c r="AC66" s="89" t="s">
        <v>443</v>
      </c>
      <c r="AD66" s="83"/>
      <c r="AE66" s="83" t="b">
        <v>0</v>
      </c>
      <c r="AF66" s="83">
        <v>7</v>
      </c>
      <c r="AG66" s="89" t="s">
        <v>448</v>
      </c>
      <c r="AH66" s="83" t="b">
        <v>0</v>
      </c>
      <c r="AI66" s="83" t="s">
        <v>453</v>
      </c>
      <c r="AJ66" s="83"/>
      <c r="AK66" s="89" t="s">
        <v>448</v>
      </c>
      <c r="AL66" s="83" t="b">
        <v>0</v>
      </c>
      <c r="AM66" s="83">
        <v>4</v>
      </c>
      <c r="AN66" s="89" t="s">
        <v>448</v>
      </c>
      <c r="AO66" s="89" t="s">
        <v>456</v>
      </c>
      <c r="AP66" s="83" t="b">
        <v>0</v>
      </c>
      <c r="AQ66" s="89" t="s">
        <v>443</v>
      </c>
      <c r="AR66" s="83" t="s">
        <v>196</v>
      </c>
      <c r="AS66" s="83">
        <v>0</v>
      </c>
      <c r="AT66" s="83">
        <v>0</v>
      </c>
      <c r="AU66" s="83"/>
      <c r="AV66" s="83"/>
      <c r="AW66" s="83"/>
      <c r="AX66" s="83"/>
      <c r="AY66" s="83"/>
      <c r="AZ66" s="83"/>
      <c r="BA66" s="83"/>
      <c r="BB66" s="83"/>
      <c r="BC66">
        <v>1</v>
      </c>
      <c r="BD66" s="82" t="str">
        <f>REPLACE(INDEX(GroupVertices[Group],MATCH(Edges[[#This Row],[Vertex 1]],GroupVertices[Vertex],0)),1,1,"")</f>
        <v>4</v>
      </c>
      <c r="BE66" s="82" t="str">
        <f>REPLACE(INDEX(GroupVertices[Group],MATCH(Edges[[#This Row],[Vertex 2]],GroupVertices[Vertex],0)),1,1,"")</f>
        <v>4</v>
      </c>
      <c r="BF66" s="51">
        <v>0</v>
      </c>
      <c r="BG66" s="52">
        <v>0</v>
      </c>
      <c r="BH66" s="51">
        <v>0</v>
      </c>
      <c r="BI66" s="52">
        <v>0</v>
      </c>
      <c r="BJ66" s="51">
        <v>0</v>
      </c>
      <c r="BK66" s="52">
        <v>0</v>
      </c>
      <c r="BL66" s="51">
        <v>33</v>
      </c>
      <c r="BM66" s="52">
        <v>100</v>
      </c>
      <c r="BN66" s="51">
        <v>33</v>
      </c>
    </row>
    <row r="67" spans="1:66" ht="15">
      <c r="A67" s="81" t="s">
        <v>270</v>
      </c>
      <c r="B67" s="81" t="s">
        <v>269</v>
      </c>
      <c r="C67" s="53" t="s">
        <v>1370</v>
      </c>
      <c r="D67" s="54">
        <v>3</v>
      </c>
      <c r="E67" s="53" t="s">
        <v>132</v>
      </c>
      <c r="F67" s="55">
        <v>32</v>
      </c>
      <c r="G67" s="53"/>
      <c r="H67" s="57"/>
      <c r="I67" s="56"/>
      <c r="J67" s="56"/>
      <c r="K67" s="36" t="s">
        <v>65</v>
      </c>
      <c r="L67" s="62">
        <v>67</v>
      </c>
      <c r="M67" s="62"/>
      <c r="N67" s="63"/>
      <c r="O67" s="83" t="s">
        <v>287</v>
      </c>
      <c r="P67" s="85">
        <v>44485.70033564815</v>
      </c>
      <c r="Q67" s="83" t="s">
        <v>306</v>
      </c>
      <c r="R67" s="87" t="str">
        <f>HYPERLINK("https://www.who.int/news/item/11-10-2021-who-s-10-calls-for-climate-action-to-assure-sustained-recovery-from-covid-19")</f>
        <v>https://www.who.int/news/item/11-10-2021-who-s-10-calls-for-climate-action-to-assure-sustained-recovery-from-covid-19</v>
      </c>
      <c r="S67" s="83" t="s">
        <v>328</v>
      </c>
      <c r="T67" s="89" t="s">
        <v>350</v>
      </c>
      <c r="U67" s="83"/>
      <c r="V67" s="87" t="str">
        <f>HYPERLINK("https://pbs.twimg.com/profile_images/1415713296242462722/5PeUNbEG_normal.jpg")</f>
        <v>https://pbs.twimg.com/profile_images/1415713296242462722/5PeUNbEG_normal.jpg</v>
      </c>
      <c r="W67" s="85">
        <v>44485.70033564815</v>
      </c>
      <c r="X67" s="91">
        <v>44485</v>
      </c>
      <c r="Y67" s="89" t="s">
        <v>401</v>
      </c>
      <c r="Z67" s="87" t="str">
        <f>HYPERLINK("https://twitter.com/darakasiwi/status/1449416971645177857")</f>
        <v>https://twitter.com/darakasiwi/status/1449416971645177857</v>
      </c>
      <c r="AA67" s="83"/>
      <c r="AB67" s="83"/>
      <c r="AC67" s="89" t="s">
        <v>444</v>
      </c>
      <c r="AD67" s="83"/>
      <c r="AE67" s="83" t="b">
        <v>0</v>
      </c>
      <c r="AF67" s="83">
        <v>0</v>
      </c>
      <c r="AG67" s="89" t="s">
        <v>448</v>
      </c>
      <c r="AH67" s="83" t="b">
        <v>0</v>
      </c>
      <c r="AI67" s="83" t="s">
        <v>453</v>
      </c>
      <c r="AJ67" s="83"/>
      <c r="AK67" s="89" t="s">
        <v>448</v>
      </c>
      <c r="AL67" s="83" t="b">
        <v>0</v>
      </c>
      <c r="AM67" s="83">
        <v>4</v>
      </c>
      <c r="AN67" s="89" t="s">
        <v>443</v>
      </c>
      <c r="AO67" s="89" t="s">
        <v>456</v>
      </c>
      <c r="AP67" s="83" t="b">
        <v>0</v>
      </c>
      <c r="AQ67" s="89" t="s">
        <v>443</v>
      </c>
      <c r="AR67" s="83" t="s">
        <v>196</v>
      </c>
      <c r="AS67" s="83">
        <v>0</v>
      </c>
      <c r="AT67" s="83">
        <v>0</v>
      </c>
      <c r="AU67" s="83"/>
      <c r="AV67" s="83"/>
      <c r="AW67" s="83"/>
      <c r="AX67" s="83"/>
      <c r="AY67" s="83"/>
      <c r="AZ67" s="83"/>
      <c r="BA67" s="83"/>
      <c r="BB67" s="83"/>
      <c r="BC67">
        <v>1</v>
      </c>
      <c r="BD67" s="82" t="str">
        <f>REPLACE(INDEX(GroupVertices[Group],MATCH(Edges[[#This Row],[Vertex 1]],GroupVertices[Vertex],0)),1,1,"")</f>
        <v>4</v>
      </c>
      <c r="BE67" s="82" t="str">
        <f>REPLACE(INDEX(GroupVertices[Group],MATCH(Edges[[#This Row],[Vertex 2]],GroupVertices[Vertex],0)),1,1,"")</f>
        <v>4</v>
      </c>
      <c r="BF67" s="51">
        <v>0</v>
      </c>
      <c r="BG67" s="52">
        <v>0</v>
      </c>
      <c r="BH67" s="51">
        <v>0</v>
      </c>
      <c r="BI67" s="52">
        <v>0</v>
      </c>
      <c r="BJ67" s="51">
        <v>0</v>
      </c>
      <c r="BK67" s="52">
        <v>0</v>
      </c>
      <c r="BL67" s="51">
        <v>33</v>
      </c>
      <c r="BM67" s="52">
        <v>100</v>
      </c>
      <c r="BN67" s="51">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ErrorMessage="1" sqref="N2:N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Color" prompt="To select an optional edge color, right-click and select Select Color on the right-click menu." sqref="C3:C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Opacity" prompt="Enter an optional edge opacity between 0 (transparent) and 100 (opaque)." errorTitle="Invalid Edge Opacity" error="The optional edge opacity must be a whole number between 0 and 10." sqref="F3:F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showErrorMessage="1" promptTitle="Vertex 1 Name" prompt="Enter the name of the edge's first vertex." sqref="A3:A67"/>
    <dataValidation allowBlank="1" showInputMessage="1" showErrorMessage="1" promptTitle="Vertex 2 Name" prompt="Enter the name of the edge's second vertex." sqref="B3:B67"/>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BEFA4-C3F5-4485-8268-91154422945D}">
  <dimension ref="A1:L4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1284</v>
      </c>
      <c r="B1" s="13" t="s">
        <v>1285</v>
      </c>
      <c r="C1" s="13" t="s">
        <v>1275</v>
      </c>
      <c r="D1" s="13" t="s">
        <v>1279</v>
      </c>
      <c r="E1" s="13" t="s">
        <v>1286</v>
      </c>
      <c r="F1" s="13" t="s">
        <v>144</v>
      </c>
      <c r="G1" s="13" t="s">
        <v>1287</v>
      </c>
      <c r="H1" s="13" t="s">
        <v>1288</v>
      </c>
      <c r="I1" s="13" t="s">
        <v>1289</v>
      </c>
      <c r="J1" s="13" t="s">
        <v>1290</v>
      </c>
      <c r="K1" s="13" t="s">
        <v>1291</v>
      </c>
      <c r="L1" s="13" t="s">
        <v>1292</v>
      </c>
    </row>
    <row r="2" spans="1:12" ht="15">
      <c r="A2" s="88" t="s">
        <v>872</v>
      </c>
      <c r="B2" s="88" t="s">
        <v>876</v>
      </c>
      <c r="C2" s="88">
        <v>10</v>
      </c>
      <c r="D2" s="121">
        <v>0.010177615001618198</v>
      </c>
      <c r="E2" s="121">
        <v>1.6454222693490919</v>
      </c>
      <c r="F2" s="88" t="s">
        <v>1280</v>
      </c>
      <c r="G2" s="88" t="b">
        <v>0</v>
      </c>
      <c r="H2" s="88" t="b">
        <v>0</v>
      </c>
      <c r="I2" s="88" t="b">
        <v>0</v>
      </c>
      <c r="J2" s="88" t="b">
        <v>0</v>
      </c>
      <c r="K2" s="88" t="b">
        <v>0</v>
      </c>
      <c r="L2" s="88" t="b">
        <v>0</v>
      </c>
    </row>
    <row r="3" spans="1:12" ht="15">
      <c r="A3" s="89" t="s">
        <v>873</v>
      </c>
      <c r="B3" s="88" t="s">
        <v>850</v>
      </c>
      <c r="C3" s="88">
        <v>10</v>
      </c>
      <c r="D3" s="121">
        <v>0.006933757289721848</v>
      </c>
      <c r="E3" s="121">
        <v>1.7533276666586115</v>
      </c>
      <c r="F3" s="88" t="s">
        <v>1280</v>
      </c>
      <c r="G3" s="88" t="b">
        <v>0</v>
      </c>
      <c r="H3" s="88" t="b">
        <v>0</v>
      </c>
      <c r="I3" s="88" t="b">
        <v>0</v>
      </c>
      <c r="J3" s="88" t="b">
        <v>0</v>
      </c>
      <c r="K3" s="88" t="b">
        <v>0</v>
      </c>
      <c r="L3" s="88" t="b">
        <v>0</v>
      </c>
    </row>
    <row r="4" spans="1:12" ht="15">
      <c r="A4" s="89" t="s">
        <v>884</v>
      </c>
      <c r="B4" s="88" t="s">
        <v>885</v>
      </c>
      <c r="C4" s="88">
        <v>6</v>
      </c>
      <c r="D4" s="121">
        <v>0.005594621289456102</v>
      </c>
      <c r="E4" s="121">
        <v>2.101354224998816</v>
      </c>
      <c r="F4" s="88" t="s">
        <v>1280</v>
      </c>
      <c r="G4" s="88" t="b">
        <v>0</v>
      </c>
      <c r="H4" s="88" t="b">
        <v>0</v>
      </c>
      <c r="I4" s="88" t="b">
        <v>0</v>
      </c>
      <c r="J4" s="88" t="b">
        <v>0</v>
      </c>
      <c r="K4" s="88" t="b">
        <v>0</v>
      </c>
      <c r="L4" s="88" t="b">
        <v>0</v>
      </c>
    </row>
    <row r="5" spans="1:12" ht="15">
      <c r="A5" s="89" t="s">
        <v>885</v>
      </c>
      <c r="B5" s="88" t="s">
        <v>886</v>
      </c>
      <c r="C5" s="88">
        <v>6</v>
      </c>
      <c r="D5" s="121">
        <v>0.005594621289456102</v>
      </c>
      <c r="E5" s="121">
        <v>2.034407435368203</v>
      </c>
      <c r="F5" s="88" t="s">
        <v>1280</v>
      </c>
      <c r="G5" s="88" t="b">
        <v>0</v>
      </c>
      <c r="H5" s="88" t="b">
        <v>0</v>
      </c>
      <c r="I5" s="88" t="b">
        <v>0</v>
      </c>
      <c r="J5" s="88" t="b">
        <v>0</v>
      </c>
      <c r="K5" s="88" t="b">
        <v>0</v>
      </c>
      <c r="L5" s="88" t="b">
        <v>0</v>
      </c>
    </row>
    <row r="6" spans="1:12" ht="15">
      <c r="A6" s="89" t="s">
        <v>886</v>
      </c>
      <c r="B6" s="88" t="s">
        <v>887</v>
      </c>
      <c r="C6" s="88">
        <v>6</v>
      </c>
      <c r="D6" s="121">
        <v>0.005594621289456102</v>
      </c>
      <c r="E6" s="121">
        <v>2.101354224998816</v>
      </c>
      <c r="F6" s="88" t="s">
        <v>1280</v>
      </c>
      <c r="G6" s="88" t="b">
        <v>0</v>
      </c>
      <c r="H6" s="88" t="b">
        <v>0</v>
      </c>
      <c r="I6" s="88" t="b">
        <v>0</v>
      </c>
      <c r="J6" s="88" t="b">
        <v>0</v>
      </c>
      <c r="K6" s="88" t="b">
        <v>0</v>
      </c>
      <c r="L6" s="88" t="b">
        <v>0</v>
      </c>
    </row>
    <row r="7" spans="1:12" ht="15">
      <c r="A7" s="89" t="s">
        <v>887</v>
      </c>
      <c r="B7" s="88" t="s">
        <v>874</v>
      </c>
      <c r="C7" s="88">
        <v>6</v>
      </c>
      <c r="D7" s="121">
        <v>0.005594621289456102</v>
      </c>
      <c r="E7" s="121">
        <v>1.8672710189654482</v>
      </c>
      <c r="F7" s="88" t="s">
        <v>1280</v>
      </c>
      <c r="G7" s="88" t="b">
        <v>0</v>
      </c>
      <c r="H7" s="88" t="b">
        <v>0</v>
      </c>
      <c r="I7" s="88" t="b">
        <v>0</v>
      </c>
      <c r="J7" s="88" t="b">
        <v>0</v>
      </c>
      <c r="K7" s="88" t="b">
        <v>0</v>
      </c>
      <c r="L7" s="88" t="b">
        <v>0</v>
      </c>
    </row>
    <row r="8" spans="1:12" ht="15">
      <c r="A8" s="89" t="s">
        <v>874</v>
      </c>
      <c r="B8" s="88" t="s">
        <v>888</v>
      </c>
      <c r="C8" s="88">
        <v>6</v>
      </c>
      <c r="D8" s="121">
        <v>0.005594621289456102</v>
      </c>
      <c r="E8" s="121">
        <v>1.8672710189654482</v>
      </c>
      <c r="F8" s="88" t="s">
        <v>1280</v>
      </c>
      <c r="G8" s="88" t="b">
        <v>0</v>
      </c>
      <c r="H8" s="88" t="b">
        <v>0</v>
      </c>
      <c r="I8" s="88" t="b">
        <v>0</v>
      </c>
      <c r="J8" s="88" t="b">
        <v>0</v>
      </c>
      <c r="K8" s="88" t="b">
        <v>0</v>
      </c>
      <c r="L8" s="88" t="b">
        <v>0</v>
      </c>
    </row>
    <row r="9" spans="1:12" ht="15">
      <c r="A9" s="89" t="s">
        <v>888</v>
      </c>
      <c r="B9" s="88" t="s">
        <v>1170</v>
      </c>
      <c r="C9" s="88">
        <v>6</v>
      </c>
      <c r="D9" s="121">
        <v>0.005594621289456102</v>
      </c>
      <c r="E9" s="121">
        <v>2.1683010146294293</v>
      </c>
      <c r="F9" s="88" t="s">
        <v>1280</v>
      </c>
      <c r="G9" s="88" t="b">
        <v>0</v>
      </c>
      <c r="H9" s="88" t="b">
        <v>0</v>
      </c>
      <c r="I9" s="88" t="b">
        <v>0</v>
      </c>
      <c r="J9" s="88" t="b">
        <v>0</v>
      </c>
      <c r="K9" s="88" t="b">
        <v>0</v>
      </c>
      <c r="L9" s="88" t="b">
        <v>0</v>
      </c>
    </row>
    <row r="10" spans="1:12" ht="15">
      <c r="A10" s="89" t="s">
        <v>1170</v>
      </c>
      <c r="B10" s="88" t="s">
        <v>1171</v>
      </c>
      <c r="C10" s="88">
        <v>6</v>
      </c>
      <c r="D10" s="121">
        <v>0.005594621289456102</v>
      </c>
      <c r="E10" s="121">
        <v>2.1683010146294293</v>
      </c>
      <c r="F10" s="88" t="s">
        <v>1280</v>
      </c>
      <c r="G10" s="88" t="b">
        <v>0</v>
      </c>
      <c r="H10" s="88" t="b">
        <v>0</v>
      </c>
      <c r="I10" s="88" t="b">
        <v>0</v>
      </c>
      <c r="J10" s="88" t="b">
        <v>1</v>
      </c>
      <c r="K10" s="88" t="b">
        <v>0</v>
      </c>
      <c r="L10" s="88" t="b">
        <v>0</v>
      </c>
    </row>
    <row r="11" spans="1:12" ht="15">
      <c r="A11" s="89" t="s">
        <v>1171</v>
      </c>
      <c r="B11" s="88" t="s">
        <v>1172</v>
      </c>
      <c r="C11" s="88">
        <v>6</v>
      </c>
      <c r="D11" s="121">
        <v>0.005594621289456102</v>
      </c>
      <c r="E11" s="121">
        <v>2.1683010146294293</v>
      </c>
      <c r="F11" s="88" t="s">
        <v>1280</v>
      </c>
      <c r="G11" s="88" t="b">
        <v>1</v>
      </c>
      <c r="H11" s="88" t="b">
        <v>0</v>
      </c>
      <c r="I11" s="88" t="b">
        <v>0</v>
      </c>
      <c r="J11" s="88" t="b">
        <v>1</v>
      </c>
      <c r="K11" s="88" t="b">
        <v>0</v>
      </c>
      <c r="L11" s="88" t="b">
        <v>0</v>
      </c>
    </row>
    <row r="12" spans="1:12" ht="15">
      <c r="A12" s="89" t="s">
        <v>1172</v>
      </c>
      <c r="B12" s="88" t="s">
        <v>1173</v>
      </c>
      <c r="C12" s="88">
        <v>6</v>
      </c>
      <c r="D12" s="121">
        <v>0.005594621289456102</v>
      </c>
      <c r="E12" s="121">
        <v>2.1683010146294293</v>
      </c>
      <c r="F12" s="88" t="s">
        <v>1280</v>
      </c>
      <c r="G12" s="88" t="b">
        <v>1</v>
      </c>
      <c r="H12" s="88" t="b">
        <v>0</v>
      </c>
      <c r="I12" s="88" t="b">
        <v>0</v>
      </c>
      <c r="J12" s="88" t="b">
        <v>0</v>
      </c>
      <c r="K12" s="88" t="b">
        <v>0</v>
      </c>
      <c r="L12" s="88" t="b">
        <v>0</v>
      </c>
    </row>
    <row r="13" spans="1:12" ht="15">
      <c r="A13" s="89" t="s">
        <v>1173</v>
      </c>
      <c r="B13" s="88" t="s">
        <v>1174</v>
      </c>
      <c r="C13" s="88">
        <v>6</v>
      </c>
      <c r="D13" s="121">
        <v>0.005594621289456102</v>
      </c>
      <c r="E13" s="121">
        <v>2.1683010146294293</v>
      </c>
      <c r="F13" s="88" t="s">
        <v>1280</v>
      </c>
      <c r="G13" s="88" t="b">
        <v>0</v>
      </c>
      <c r="H13" s="88" t="b">
        <v>0</v>
      </c>
      <c r="I13" s="88" t="b">
        <v>0</v>
      </c>
      <c r="J13" s="88" t="b">
        <v>0</v>
      </c>
      <c r="K13" s="88" t="b">
        <v>0</v>
      </c>
      <c r="L13" s="88" t="b">
        <v>0</v>
      </c>
    </row>
    <row r="14" spans="1:12" ht="15">
      <c r="A14" s="89" t="s">
        <v>1174</v>
      </c>
      <c r="B14" s="88" t="s">
        <v>1175</v>
      </c>
      <c r="C14" s="88">
        <v>6</v>
      </c>
      <c r="D14" s="121">
        <v>0.005594621289456102</v>
      </c>
      <c r="E14" s="121">
        <v>2.1683010146294293</v>
      </c>
      <c r="F14" s="88" t="s">
        <v>1280</v>
      </c>
      <c r="G14" s="88" t="b">
        <v>0</v>
      </c>
      <c r="H14" s="88" t="b">
        <v>0</v>
      </c>
      <c r="I14" s="88" t="b">
        <v>0</v>
      </c>
      <c r="J14" s="88" t="b">
        <v>0</v>
      </c>
      <c r="K14" s="88" t="b">
        <v>0</v>
      </c>
      <c r="L14" s="88" t="b">
        <v>0</v>
      </c>
    </row>
    <row r="15" spans="1:12" ht="15">
      <c r="A15" s="89" t="s">
        <v>1175</v>
      </c>
      <c r="B15" s="88" t="s">
        <v>1036</v>
      </c>
      <c r="C15" s="88">
        <v>6</v>
      </c>
      <c r="D15" s="121">
        <v>0.005594621289456102</v>
      </c>
      <c r="E15" s="121">
        <v>2.1683010146294293</v>
      </c>
      <c r="F15" s="88" t="s">
        <v>1280</v>
      </c>
      <c r="G15" s="88" t="b">
        <v>0</v>
      </c>
      <c r="H15" s="88" t="b">
        <v>0</v>
      </c>
      <c r="I15" s="88" t="b">
        <v>0</v>
      </c>
      <c r="J15" s="88" t="b">
        <v>0</v>
      </c>
      <c r="K15" s="88" t="b">
        <v>0</v>
      </c>
      <c r="L15" s="88" t="b">
        <v>0</v>
      </c>
    </row>
    <row r="16" spans="1:12" ht="15">
      <c r="A16" s="89" t="s">
        <v>1036</v>
      </c>
      <c r="B16" s="88" t="s">
        <v>874</v>
      </c>
      <c r="C16" s="88">
        <v>6</v>
      </c>
      <c r="D16" s="121">
        <v>0.005594621289456102</v>
      </c>
      <c r="E16" s="121">
        <v>1.8672710189654482</v>
      </c>
      <c r="F16" s="88" t="s">
        <v>1280</v>
      </c>
      <c r="G16" s="88" t="b">
        <v>0</v>
      </c>
      <c r="H16" s="88" t="b">
        <v>0</v>
      </c>
      <c r="I16" s="88" t="b">
        <v>0</v>
      </c>
      <c r="J16" s="88" t="b">
        <v>0</v>
      </c>
      <c r="K16" s="88" t="b">
        <v>0</v>
      </c>
      <c r="L16" s="88" t="b">
        <v>0</v>
      </c>
    </row>
    <row r="17" spans="1:12" ht="15">
      <c r="A17" s="89" t="s">
        <v>874</v>
      </c>
      <c r="B17" s="88" t="s">
        <v>1176</v>
      </c>
      <c r="C17" s="88">
        <v>6</v>
      </c>
      <c r="D17" s="121">
        <v>0.005594621289456102</v>
      </c>
      <c r="E17" s="121">
        <v>1.8672710189654482</v>
      </c>
      <c r="F17" s="88" t="s">
        <v>1280</v>
      </c>
      <c r="G17" s="88" t="b">
        <v>0</v>
      </c>
      <c r="H17" s="88" t="b">
        <v>0</v>
      </c>
      <c r="I17" s="88" t="b">
        <v>0</v>
      </c>
      <c r="J17" s="88" t="b">
        <v>0</v>
      </c>
      <c r="K17" s="88" t="b">
        <v>0</v>
      </c>
      <c r="L17" s="88" t="b">
        <v>0</v>
      </c>
    </row>
    <row r="18" spans="1:12" ht="15">
      <c r="A18" s="89" t="s">
        <v>1176</v>
      </c>
      <c r="B18" s="88" t="s">
        <v>878</v>
      </c>
      <c r="C18" s="88">
        <v>6</v>
      </c>
      <c r="D18" s="121">
        <v>0.005594621289456102</v>
      </c>
      <c r="E18" s="121">
        <v>2.0433622780211294</v>
      </c>
      <c r="F18" s="88" t="s">
        <v>1280</v>
      </c>
      <c r="G18" s="88" t="b">
        <v>0</v>
      </c>
      <c r="H18" s="88" t="b">
        <v>0</v>
      </c>
      <c r="I18" s="88" t="b">
        <v>0</v>
      </c>
      <c r="J18" s="88" t="b">
        <v>1</v>
      </c>
      <c r="K18" s="88" t="b">
        <v>0</v>
      </c>
      <c r="L18" s="88" t="b">
        <v>0</v>
      </c>
    </row>
    <row r="19" spans="1:12" ht="15">
      <c r="A19" s="89" t="s">
        <v>878</v>
      </c>
      <c r="B19" s="88" t="s">
        <v>1164</v>
      </c>
      <c r="C19" s="88">
        <v>6</v>
      </c>
      <c r="D19" s="121">
        <v>0.005594621289456102</v>
      </c>
      <c r="E19" s="121">
        <v>2.0433622780211294</v>
      </c>
      <c r="F19" s="88" t="s">
        <v>1280</v>
      </c>
      <c r="G19" s="88" t="b">
        <v>1</v>
      </c>
      <c r="H19" s="88" t="b">
        <v>0</v>
      </c>
      <c r="I19" s="88" t="b">
        <v>0</v>
      </c>
      <c r="J19" s="88" t="b">
        <v>0</v>
      </c>
      <c r="K19" s="88" t="b">
        <v>0</v>
      </c>
      <c r="L19" s="88" t="b">
        <v>0</v>
      </c>
    </row>
    <row r="20" spans="1:12" ht="15">
      <c r="A20" s="89" t="s">
        <v>1164</v>
      </c>
      <c r="B20" s="88" t="s">
        <v>1165</v>
      </c>
      <c r="C20" s="88">
        <v>6</v>
      </c>
      <c r="D20" s="121">
        <v>0.005594621289456102</v>
      </c>
      <c r="E20" s="121">
        <v>2.034407435368203</v>
      </c>
      <c r="F20" s="88" t="s">
        <v>1280</v>
      </c>
      <c r="G20" s="88" t="b">
        <v>0</v>
      </c>
      <c r="H20" s="88" t="b">
        <v>0</v>
      </c>
      <c r="I20" s="88" t="b">
        <v>0</v>
      </c>
      <c r="J20" s="88" t="b">
        <v>0</v>
      </c>
      <c r="K20" s="88" t="b">
        <v>0</v>
      </c>
      <c r="L20" s="88" t="b">
        <v>0</v>
      </c>
    </row>
    <row r="21" spans="1:12" ht="15">
      <c r="A21" s="89" t="s">
        <v>1165</v>
      </c>
      <c r="B21" s="88" t="s">
        <v>1177</v>
      </c>
      <c r="C21" s="88">
        <v>6</v>
      </c>
      <c r="D21" s="121">
        <v>0.005594621289456102</v>
      </c>
      <c r="E21" s="121">
        <v>2.101354224998816</v>
      </c>
      <c r="F21" s="88" t="s">
        <v>1280</v>
      </c>
      <c r="G21" s="88" t="b">
        <v>0</v>
      </c>
      <c r="H21" s="88" t="b">
        <v>0</v>
      </c>
      <c r="I21" s="88" t="b">
        <v>0</v>
      </c>
      <c r="J21" s="88" t="b">
        <v>0</v>
      </c>
      <c r="K21" s="88" t="b">
        <v>0</v>
      </c>
      <c r="L21" s="88" t="b">
        <v>0</v>
      </c>
    </row>
    <row r="22" spans="1:12" ht="15">
      <c r="A22" s="89" t="s">
        <v>1177</v>
      </c>
      <c r="B22" s="88" t="s">
        <v>879</v>
      </c>
      <c r="C22" s="88">
        <v>6</v>
      </c>
      <c r="D22" s="121">
        <v>0.005594621289456102</v>
      </c>
      <c r="E22" s="121">
        <v>2.0433622780211294</v>
      </c>
      <c r="F22" s="88" t="s">
        <v>1280</v>
      </c>
      <c r="G22" s="88" t="b">
        <v>0</v>
      </c>
      <c r="H22" s="88" t="b">
        <v>0</v>
      </c>
      <c r="I22" s="88" t="b">
        <v>0</v>
      </c>
      <c r="J22" s="88" t="b">
        <v>0</v>
      </c>
      <c r="K22" s="88" t="b">
        <v>0</v>
      </c>
      <c r="L22" s="88" t="b">
        <v>0</v>
      </c>
    </row>
    <row r="23" spans="1:12" ht="15">
      <c r="A23" s="89" t="s">
        <v>879</v>
      </c>
      <c r="B23" s="88" t="s">
        <v>871</v>
      </c>
      <c r="C23" s="88">
        <v>6</v>
      </c>
      <c r="D23" s="121">
        <v>0.005594621289456102</v>
      </c>
      <c r="E23" s="121">
        <v>1.1880450728251866</v>
      </c>
      <c r="F23" s="88" t="s">
        <v>1280</v>
      </c>
      <c r="G23" s="88" t="b">
        <v>0</v>
      </c>
      <c r="H23" s="88" t="b">
        <v>0</v>
      </c>
      <c r="I23" s="88" t="b">
        <v>0</v>
      </c>
      <c r="J23" s="88" t="b">
        <v>0</v>
      </c>
      <c r="K23" s="88" t="b">
        <v>0</v>
      </c>
      <c r="L23" s="88" t="b">
        <v>0</v>
      </c>
    </row>
    <row r="24" spans="1:12" ht="15">
      <c r="A24" s="89" t="s">
        <v>898</v>
      </c>
      <c r="B24" s="88" t="s">
        <v>875</v>
      </c>
      <c r="C24" s="88">
        <v>5</v>
      </c>
      <c r="D24" s="121">
        <v>0.005088807500809099</v>
      </c>
      <c r="E24" s="121">
        <v>1.9464522650130731</v>
      </c>
      <c r="F24" s="88" t="s">
        <v>1280</v>
      </c>
      <c r="G24" s="88" t="b">
        <v>0</v>
      </c>
      <c r="H24" s="88" t="b">
        <v>0</v>
      </c>
      <c r="I24" s="88" t="b">
        <v>0</v>
      </c>
      <c r="J24" s="88" t="b">
        <v>0</v>
      </c>
      <c r="K24" s="88" t="b">
        <v>0</v>
      </c>
      <c r="L24" s="88" t="b">
        <v>0</v>
      </c>
    </row>
    <row r="25" spans="1:12" ht="15">
      <c r="A25" s="89" t="s">
        <v>875</v>
      </c>
      <c r="B25" s="88" t="s">
        <v>899</v>
      </c>
      <c r="C25" s="88">
        <v>5</v>
      </c>
      <c r="D25" s="121">
        <v>0.005088807500809099</v>
      </c>
      <c r="E25" s="121">
        <v>1.9464522650130731</v>
      </c>
      <c r="F25" s="88" t="s">
        <v>1280</v>
      </c>
      <c r="G25" s="88" t="b">
        <v>0</v>
      </c>
      <c r="H25" s="88" t="b">
        <v>0</v>
      </c>
      <c r="I25" s="88" t="b">
        <v>0</v>
      </c>
      <c r="J25" s="88" t="b">
        <v>0</v>
      </c>
      <c r="K25" s="88" t="b">
        <v>0</v>
      </c>
      <c r="L25" s="88" t="b">
        <v>0</v>
      </c>
    </row>
    <row r="26" spans="1:12" ht="15">
      <c r="A26" s="89" t="s">
        <v>899</v>
      </c>
      <c r="B26" s="88" t="s">
        <v>900</v>
      </c>
      <c r="C26" s="88">
        <v>5</v>
      </c>
      <c r="D26" s="121">
        <v>0.005088807500809099</v>
      </c>
      <c r="E26" s="121">
        <v>2.2474822606770544</v>
      </c>
      <c r="F26" s="88" t="s">
        <v>1280</v>
      </c>
      <c r="G26" s="88" t="b">
        <v>0</v>
      </c>
      <c r="H26" s="88" t="b">
        <v>0</v>
      </c>
      <c r="I26" s="88" t="b">
        <v>0</v>
      </c>
      <c r="J26" s="88" t="b">
        <v>0</v>
      </c>
      <c r="K26" s="88" t="b">
        <v>0</v>
      </c>
      <c r="L26" s="88" t="b">
        <v>0</v>
      </c>
    </row>
    <row r="27" spans="1:12" ht="15">
      <c r="A27" s="89" t="s">
        <v>900</v>
      </c>
      <c r="B27" s="88" t="s">
        <v>875</v>
      </c>
      <c r="C27" s="88">
        <v>5</v>
      </c>
      <c r="D27" s="121">
        <v>0.005088807500809099</v>
      </c>
      <c r="E27" s="121">
        <v>1.9464522650130731</v>
      </c>
      <c r="F27" s="88" t="s">
        <v>1280</v>
      </c>
      <c r="G27" s="88" t="b">
        <v>0</v>
      </c>
      <c r="H27" s="88" t="b">
        <v>0</v>
      </c>
      <c r="I27" s="88" t="b">
        <v>0</v>
      </c>
      <c r="J27" s="88" t="b">
        <v>0</v>
      </c>
      <c r="K27" s="88" t="b">
        <v>0</v>
      </c>
      <c r="L27" s="88" t="b">
        <v>0</v>
      </c>
    </row>
    <row r="28" spans="1:12" ht="15">
      <c r="A28" s="89" t="s">
        <v>875</v>
      </c>
      <c r="B28" s="88" t="s">
        <v>901</v>
      </c>
      <c r="C28" s="88">
        <v>5</v>
      </c>
      <c r="D28" s="121">
        <v>0.005088807500809099</v>
      </c>
      <c r="E28" s="121">
        <v>1.9464522650130731</v>
      </c>
      <c r="F28" s="88" t="s">
        <v>1280</v>
      </c>
      <c r="G28" s="88" t="b">
        <v>0</v>
      </c>
      <c r="H28" s="88" t="b">
        <v>0</v>
      </c>
      <c r="I28" s="88" t="b">
        <v>0</v>
      </c>
      <c r="J28" s="88" t="b">
        <v>0</v>
      </c>
      <c r="K28" s="88" t="b">
        <v>0</v>
      </c>
      <c r="L28" s="88" t="b">
        <v>0</v>
      </c>
    </row>
    <row r="29" spans="1:12" ht="15">
      <c r="A29" s="89" t="s">
        <v>901</v>
      </c>
      <c r="B29" s="88" t="s">
        <v>902</v>
      </c>
      <c r="C29" s="88">
        <v>5</v>
      </c>
      <c r="D29" s="121">
        <v>0.005088807500809099</v>
      </c>
      <c r="E29" s="121">
        <v>2.2474822606770544</v>
      </c>
      <c r="F29" s="88" t="s">
        <v>1280</v>
      </c>
      <c r="G29" s="88" t="b">
        <v>0</v>
      </c>
      <c r="H29" s="88" t="b">
        <v>0</v>
      </c>
      <c r="I29" s="88" t="b">
        <v>0</v>
      </c>
      <c r="J29" s="88" t="b">
        <v>0</v>
      </c>
      <c r="K29" s="88" t="b">
        <v>0</v>
      </c>
      <c r="L29" s="88" t="b">
        <v>0</v>
      </c>
    </row>
    <row r="30" spans="1:12" ht="15">
      <c r="A30" s="89" t="s">
        <v>902</v>
      </c>
      <c r="B30" s="88" t="s">
        <v>903</v>
      </c>
      <c r="C30" s="88">
        <v>5</v>
      </c>
      <c r="D30" s="121">
        <v>0.005088807500809099</v>
      </c>
      <c r="E30" s="121">
        <v>2.2474822606770544</v>
      </c>
      <c r="F30" s="88" t="s">
        <v>1280</v>
      </c>
      <c r="G30" s="88" t="b">
        <v>0</v>
      </c>
      <c r="H30" s="88" t="b">
        <v>0</v>
      </c>
      <c r="I30" s="88" t="b">
        <v>0</v>
      </c>
      <c r="J30" s="88" t="b">
        <v>0</v>
      </c>
      <c r="K30" s="88" t="b">
        <v>0</v>
      </c>
      <c r="L30" s="88" t="b">
        <v>0</v>
      </c>
    </row>
    <row r="31" spans="1:12" ht="15">
      <c r="A31" s="89" t="s">
        <v>903</v>
      </c>
      <c r="B31" s="88" t="s">
        <v>872</v>
      </c>
      <c r="C31" s="88">
        <v>5</v>
      </c>
      <c r="D31" s="121">
        <v>0.005088807500809099</v>
      </c>
      <c r="E31" s="121">
        <v>1.6454222693490919</v>
      </c>
      <c r="F31" s="88" t="s">
        <v>1280</v>
      </c>
      <c r="G31" s="88" t="b">
        <v>0</v>
      </c>
      <c r="H31" s="88" t="b">
        <v>0</v>
      </c>
      <c r="I31" s="88" t="b">
        <v>0</v>
      </c>
      <c r="J31" s="88" t="b">
        <v>0</v>
      </c>
      <c r="K31" s="88" t="b">
        <v>0</v>
      </c>
      <c r="L31" s="88" t="b">
        <v>0</v>
      </c>
    </row>
    <row r="32" spans="1:12" ht="15">
      <c r="A32" s="89" t="s">
        <v>876</v>
      </c>
      <c r="B32" s="88" t="s">
        <v>904</v>
      </c>
      <c r="C32" s="88">
        <v>5</v>
      </c>
      <c r="D32" s="121">
        <v>0.005088807500809099</v>
      </c>
      <c r="E32" s="121">
        <v>1.9464522650130731</v>
      </c>
      <c r="F32" s="88" t="s">
        <v>1280</v>
      </c>
      <c r="G32" s="88" t="b">
        <v>0</v>
      </c>
      <c r="H32" s="88" t="b">
        <v>0</v>
      </c>
      <c r="I32" s="88" t="b">
        <v>0</v>
      </c>
      <c r="J32" s="88" t="b">
        <v>0</v>
      </c>
      <c r="K32" s="88" t="b">
        <v>0</v>
      </c>
      <c r="L32" s="88" t="b">
        <v>0</v>
      </c>
    </row>
    <row r="33" spans="1:12" ht="15">
      <c r="A33" s="89" t="s">
        <v>904</v>
      </c>
      <c r="B33" s="88" t="s">
        <v>1179</v>
      </c>
      <c r="C33" s="88">
        <v>5</v>
      </c>
      <c r="D33" s="121">
        <v>0.005088807500809099</v>
      </c>
      <c r="E33" s="121">
        <v>2.2474822606770544</v>
      </c>
      <c r="F33" s="88" t="s">
        <v>1280</v>
      </c>
      <c r="G33" s="88" t="b">
        <v>0</v>
      </c>
      <c r="H33" s="88" t="b">
        <v>0</v>
      </c>
      <c r="I33" s="88" t="b">
        <v>0</v>
      </c>
      <c r="J33" s="88" t="b">
        <v>0</v>
      </c>
      <c r="K33" s="88" t="b">
        <v>0</v>
      </c>
      <c r="L33" s="88" t="b">
        <v>0</v>
      </c>
    </row>
    <row r="34" spans="1:12" ht="15">
      <c r="A34" s="89" t="s">
        <v>1179</v>
      </c>
      <c r="B34" s="88" t="s">
        <v>1180</v>
      </c>
      <c r="C34" s="88">
        <v>5</v>
      </c>
      <c r="D34" s="121">
        <v>0.005088807500809099</v>
      </c>
      <c r="E34" s="121">
        <v>2.2474822606770544</v>
      </c>
      <c r="F34" s="88" t="s">
        <v>1280</v>
      </c>
      <c r="G34" s="88" t="b">
        <v>0</v>
      </c>
      <c r="H34" s="88" t="b">
        <v>0</v>
      </c>
      <c r="I34" s="88" t="b">
        <v>0</v>
      </c>
      <c r="J34" s="88" t="b">
        <v>0</v>
      </c>
      <c r="K34" s="88" t="b">
        <v>0</v>
      </c>
      <c r="L34" s="88" t="b">
        <v>0</v>
      </c>
    </row>
    <row r="35" spans="1:12" ht="15">
      <c r="A35" s="89" t="s">
        <v>1180</v>
      </c>
      <c r="B35" s="88" t="s">
        <v>1181</v>
      </c>
      <c r="C35" s="88">
        <v>5</v>
      </c>
      <c r="D35" s="121">
        <v>0.005088807500809099</v>
      </c>
      <c r="E35" s="121">
        <v>2.2474822606770544</v>
      </c>
      <c r="F35" s="88" t="s">
        <v>1280</v>
      </c>
      <c r="G35" s="88" t="b">
        <v>0</v>
      </c>
      <c r="H35" s="88" t="b">
        <v>0</v>
      </c>
      <c r="I35" s="88" t="b">
        <v>0</v>
      </c>
      <c r="J35" s="88" t="b">
        <v>0</v>
      </c>
      <c r="K35" s="88" t="b">
        <v>0</v>
      </c>
      <c r="L35" s="88" t="b">
        <v>0</v>
      </c>
    </row>
    <row r="36" spans="1:12" ht="15">
      <c r="A36" s="89" t="s">
        <v>1181</v>
      </c>
      <c r="B36" s="88" t="s">
        <v>1182</v>
      </c>
      <c r="C36" s="88">
        <v>5</v>
      </c>
      <c r="D36" s="121">
        <v>0.005088807500809099</v>
      </c>
      <c r="E36" s="121">
        <v>2.2474822606770544</v>
      </c>
      <c r="F36" s="88" t="s">
        <v>1280</v>
      </c>
      <c r="G36" s="88" t="b">
        <v>0</v>
      </c>
      <c r="H36" s="88" t="b">
        <v>0</v>
      </c>
      <c r="I36" s="88" t="b">
        <v>0</v>
      </c>
      <c r="J36" s="88" t="b">
        <v>0</v>
      </c>
      <c r="K36" s="88" t="b">
        <v>0</v>
      </c>
      <c r="L36" s="88" t="b">
        <v>0</v>
      </c>
    </row>
    <row r="37" spans="1:12" ht="15">
      <c r="A37" s="89" t="s">
        <v>1182</v>
      </c>
      <c r="B37" s="88" t="s">
        <v>1183</v>
      </c>
      <c r="C37" s="88">
        <v>5</v>
      </c>
      <c r="D37" s="121">
        <v>0.005088807500809099</v>
      </c>
      <c r="E37" s="121">
        <v>2.2474822606770544</v>
      </c>
      <c r="F37" s="88" t="s">
        <v>1280</v>
      </c>
      <c r="G37" s="88" t="b">
        <v>0</v>
      </c>
      <c r="H37" s="88" t="b">
        <v>0</v>
      </c>
      <c r="I37" s="88" t="b">
        <v>0</v>
      </c>
      <c r="J37" s="88" t="b">
        <v>0</v>
      </c>
      <c r="K37" s="88" t="b">
        <v>0</v>
      </c>
      <c r="L37" s="88" t="b">
        <v>0</v>
      </c>
    </row>
    <row r="38" spans="1:12" ht="15">
      <c r="A38" s="89" t="s">
        <v>1183</v>
      </c>
      <c r="B38" s="88" t="s">
        <v>1184</v>
      </c>
      <c r="C38" s="88">
        <v>5</v>
      </c>
      <c r="D38" s="121">
        <v>0.005088807500809099</v>
      </c>
      <c r="E38" s="121">
        <v>2.2474822606770544</v>
      </c>
      <c r="F38" s="88" t="s">
        <v>1280</v>
      </c>
      <c r="G38" s="88" t="b">
        <v>0</v>
      </c>
      <c r="H38" s="88" t="b">
        <v>0</v>
      </c>
      <c r="I38" s="88" t="b">
        <v>0</v>
      </c>
      <c r="J38" s="88" t="b">
        <v>0</v>
      </c>
      <c r="K38" s="88" t="b">
        <v>0</v>
      </c>
      <c r="L38" s="88" t="b">
        <v>0</v>
      </c>
    </row>
    <row r="39" spans="1:12" ht="15">
      <c r="A39" s="89" t="s">
        <v>1184</v>
      </c>
      <c r="B39" s="88" t="s">
        <v>872</v>
      </c>
      <c r="C39" s="88">
        <v>5</v>
      </c>
      <c r="D39" s="121">
        <v>0.005088807500809099</v>
      </c>
      <c r="E39" s="121">
        <v>1.6454222693490919</v>
      </c>
      <c r="F39" s="88" t="s">
        <v>1280</v>
      </c>
      <c r="G39" s="88" t="b">
        <v>0</v>
      </c>
      <c r="H39" s="88" t="b">
        <v>0</v>
      </c>
      <c r="I39" s="88" t="b">
        <v>0</v>
      </c>
      <c r="J39" s="88" t="b">
        <v>0</v>
      </c>
      <c r="K39" s="88" t="b">
        <v>0</v>
      </c>
      <c r="L39" s="88" t="b">
        <v>0</v>
      </c>
    </row>
    <row r="40" spans="1:12" ht="15">
      <c r="A40" s="89" t="s">
        <v>872</v>
      </c>
      <c r="B40" s="88" t="s">
        <v>1185</v>
      </c>
      <c r="C40" s="88">
        <v>5</v>
      </c>
      <c r="D40" s="121">
        <v>0.005088807500809099</v>
      </c>
      <c r="E40" s="121">
        <v>1.6454222693490919</v>
      </c>
      <c r="F40" s="88" t="s">
        <v>1280</v>
      </c>
      <c r="G40" s="88" t="b">
        <v>0</v>
      </c>
      <c r="H40" s="88" t="b">
        <v>0</v>
      </c>
      <c r="I40" s="88" t="b">
        <v>0</v>
      </c>
      <c r="J40" s="88" t="b">
        <v>0</v>
      </c>
      <c r="K40" s="88" t="b">
        <v>0</v>
      </c>
      <c r="L40" s="88" t="b">
        <v>0</v>
      </c>
    </row>
    <row r="41" spans="1:12" ht="15">
      <c r="A41" s="89" t="s">
        <v>1185</v>
      </c>
      <c r="B41" s="88" t="s">
        <v>1166</v>
      </c>
      <c r="C41" s="88">
        <v>5</v>
      </c>
      <c r="D41" s="121">
        <v>0.005088807500809099</v>
      </c>
      <c r="E41" s="121">
        <v>2.1683010146294293</v>
      </c>
      <c r="F41" s="88" t="s">
        <v>1280</v>
      </c>
      <c r="G41" s="88" t="b">
        <v>0</v>
      </c>
      <c r="H41" s="88" t="b">
        <v>0</v>
      </c>
      <c r="I41" s="88" t="b">
        <v>0</v>
      </c>
      <c r="J41" s="88" t="b">
        <v>0</v>
      </c>
      <c r="K41" s="88" t="b">
        <v>0</v>
      </c>
      <c r="L41" s="88" t="b">
        <v>0</v>
      </c>
    </row>
    <row r="42" spans="1:12" ht="15">
      <c r="A42" s="89" t="s">
        <v>1166</v>
      </c>
      <c r="B42" s="88" t="s">
        <v>872</v>
      </c>
      <c r="C42" s="88">
        <v>5</v>
      </c>
      <c r="D42" s="121">
        <v>0.005088807500809099</v>
      </c>
      <c r="E42" s="121">
        <v>1.566241023301467</v>
      </c>
      <c r="F42" s="88" t="s">
        <v>1280</v>
      </c>
      <c r="G42" s="88" t="b">
        <v>0</v>
      </c>
      <c r="H42" s="88" t="b">
        <v>0</v>
      </c>
      <c r="I42" s="88" t="b">
        <v>0</v>
      </c>
      <c r="J42" s="88" t="b">
        <v>0</v>
      </c>
      <c r="K42" s="88" t="b">
        <v>0</v>
      </c>
      <c r="L42" s="88" t="b">
        <v>0</v>
      </c>
    </row>
    <row r="43" spans="1:12" ht="15">
      <c r="A43" s="89" t="s">
        <v>876</v>
      </c>
      <c r="B43" s="88" t="s">
        <v>1186</v>
      </c>
      <c r="C43" s="88">
        <v>5</v>
      </c>
      <c r="D43" s="121">
        <v>0.005088807500809099</v>
      </c>
      <c r="E43" s="121">
        <v>1.9464522650130731</v>
      </c>
      <c r="F43" s="88" t="s">
        <v>1280</v>
      </c>
      <c r="G43" s="88" t="b">
        <v>0</v>
      </c>
      <c r="H43" s="88" t="b">
        <v>0</v>
      </c>
      <c r="I43" s="88" t="b">
        <v>0</v>
      </c>
      <c r="J43" s="88" t="b">
        <v>0</v>
      </c>
      <c r="K43" s="88" t="b">
        <v>0</v>
      </c>
      <c r="L43" s="88" t="b">
        <v>0</v>
      </c>
    </row>
    <row r="44" spans="1:12" ht="15">
      <c r="A44" s="89" t="s">
        <v>1186</v>
      </c>
      <c r="B44" s="88" t="s">
        <v>1187</v>
      </c>
      <c r="C44" s="88">
        <v>5</v>
      </c>
      <c r="D44" s="121">
        <v>0.005088807500809099</v>
      </c>
      <c r="E44" s="121">
        <v>2.2474822606770544</v>
      </c>
      <c r="F44" s="88" t="s">
        <v>1280</v>
      </c>
      <c r="G44" s="88" t="b">
        <v>0</v>
      </c>
      <c r="H44" s="88" t="b">
        <v>0</v>
      </c>
      <c r="I44" s="88" t="b">
        <v>0</v>
      </c>
      <c r="J44" s="88" t="b">
        <v>0</v>
      </c>
      <c r="K44" s="88" t="b">
        <v>0</v>
      </c>
      <c r="L44" s="88" t="b">
        <v>0</v>
      </c>
    </row>
    <row r="45" spans="1:12" ht="15">
      <c r="A45" s="89" t="s">
        <v>1187</v>
      </c>
      <c r="B45" s="88" t="s">
        <v>1188</v>
      </c>
      <c r="C45" s="88">
        <v>5</v>
      </c>
      <c r="D45" s="121">
        <v>0.005088807500809099</v>
      </c>
      <c r="E45" s="121">
        <v>2.2474822606770544</v>
      </c>
      <c r="F45" s="88" t="s">
        <v>1280</v>
      </c>
      <c r="G45" s="88" t="b">
        <v>0</v>
      </c>
      <c r="H45" s="88" t="b">
        <v>0</v>
      </c>
      <c r="I45" s="88" t="b">
        <v>0</v>
      </c>
      <c r="J45" s="88" t="b">
        <v>0</v>
      </c>
      <c r="K45" s="88" t="b">
        <v>0</v>
      </c>
      <c r="L45" s="88" t="b">
        <v>0</v>
      </c>
    </row>
    <row r="46" spans="1:12" ht="15">
      <c r="A46" s="89" t="s">
        <v>1188</v>
      </c>
      <c r="B46" s="88" t="s">
        <v>1189</v>
      </c>
      <c r="C46" s="88">
        <v>5</v>
      </c>
      <c r="D46" s="121">
        <v>0.005088807500809099</v>
      </c>
      <c r="E46" s="121">
        <v>2.2474822606770544</v>
      </c>
      <c r="F46" s="88" t="s">
        <v>1280</v>
      </c>
      <c r="G46" s="88" t="b">
        <v>0</v>
      </c>
      <c r="H46" s="88" t="b">
        <v>0</v>
      </c>
      <c r="I46" s="88" t="b">
        <v>0</v>
      </c>
      <c r="J46" s="88" t="b">
        <v>0</v>
      </c>
      <c r="K46" s="88" t="b">
        <v>0</v>
      </c>
      <c r="L46" s="88" t="b">
        <v>0</v>
      </c>
    </row>
    <row r="47" spans="1:12" ht="15">
      <c r="A47" s="89" t="s">
        <v>1189</v>
      </c>
      <c r="B47" s="88" t="s">
        <v>1190</v>
      </c>
      <c r="C47" s="88">
        <v>5</v>
      </c>
      <c r="D47" s="121">
        <v>0.005088807500809099</v>
      </c>
      <c r="E47" s="121">
        <v>2.2474822606770544</v>
      </c>
      <c r="F47" s="88" t="s">
        <v>1280</v>
      </c>
      <c r="G47" s="88" t="b">
        <v>0</v>
      </c>
      <c r="H47" s="88" t="b">
        <v>0</v>
      </c>
      <c r="I47" s="88" t="b">
        <v>0</v>
      </c>
      <c r="J47" s="88" t="b">
        <v>0</v>
      </c>
      <c r="K47" s="88" t="b">
        <v>0</v>
      </c>
      <c r="L47" s="88" t="b">
        <v>0</v>
      </c>
    </row>
    <row r="48" spans="1:12" ht="15">
      <c r="A48" s="89" t="s">
        <v>1190</v>
      </c>
      <c r="B48" s="88" t="s">
        <v>1167</v>
      </c>
      <c r="C48" s="88">
        <v>5</v>
      </c>
      <c r="D48" s="121">
        <v>0.005088807500809099</v>
      </c>
      <c r="E48" s="121">
        <v>2.1683010146294293</v>
      </c>
      <c r="F48" s="88" t="s">
        <v>1280</v>
      </c>
      <c r="G48" s="88" t="b">
        <v>0</v>
      </c>
      <c r="H48" s="88" t="b">
        <v>0</v>
      </c>
      <c r="I48" s="88" t="b">
        <v>0</v>
      </c>
      <c r="J48" s="88" t="b">
        <v>0</v>
      </c>
      <c r="K48" s="88" t="b">
        <v>0</v>
      </c>
      <c r="L48" s="88" t="b">
        <v>0</v>
      </c>
    </row>
    <row r="49" spans="1:12" ht="15">
      <c r="A49" s="89" t="s">
        <v>1167</v>
      </c>
      <c r="B49" s="88" t="s">
        <v>1191</v>
      </c>
      <c r="C49" s="88">
        <v>5</v>
      </c>
      <c r="D49" s="121">
        <v>0.005088807500809099</v>
      </c>
      <c r="E49" s="121">
        <v>2.1683010146294293</v>
      </c>
      <c r="F49" s="88" t="s">
        <v>1280</v>
      </c>
      <c r="G49" s="88" t="b">
        <v>0</v>
      </c>
      <c r="H49" s="88" t="b">
        <v>0</v>
      </c>
      <c r="I49" s="88" t="b">
        <v>0</v>
      </c>
      <c r="J49" s="88" t="b">
        <v>0</v>
      </c>
      <c r="K49" s="88" t="b">
        <v>0</v>
      </c>
      <c r="L49" s="88" t="b">
        <v>0</v>
      </c>
    </row>
    <row r="50" spans="1:12" ht="15">
      <c r="A50" s="89" t="s">
        <v>1191</v>
      </c>
      <c r="B50" s="88" t="s">
        <v>872</v>
      </c>
      <c r="C50" s="88">
        <v>5</v>
      </c>
      <c r="D50" s="121">
        <v>0.005088807500809099</v>
      </c>
      <c r="E50" s="121">
        <v>1.6454222693490919</v>
      </c>
      <c r="F50" s="88" t="s">
        <v>1280</v>
      </c>
      <c r="G50" s="88" t="b">
        <v>0</v>
      </c>
      <c r="H50" s="88" t="b">
        <v>0</v>
      </c>
      <c r="I50" s="88" t="b">
        <v>0</v>
      </c>
      <c r="J50" s="88" t="b">
        <v>0</v>
      </c>
      <c r="K50" s="88" t="b">
        <v>0</v>
      </c>
      <c r="L50" s="88" t="b">
        <v>0</v>
      </c>
    </row>
    <row r="51" spans="1:12" ht="15">
      <c r="A51" s="89" t="s">
        <v>872</v>
      </c>
      <c r="B51" s="88" t="s">
        <v>1192</v>
      </c>
      <c r="C51" s="88">
        <v>5</v>
      </c>
      <c r="D51" s="121">
        <v>0.005088807500809099</v>
      </c>
      <c r="E51" s="121">
        <v>1.6454222693490919</v>
      </c>
      <c r="F51" s="88" t="s">
        <v>1280</v>
      </c>
      <c r="G51" s="88" t="b">
        <v>0</v>
      </c>
      <c r="H51" s="88" t="b">
        <v>0</v>
      </c>
      <c r="I51" s="88" t="b">
        <v>0</v>
      </c>
      <c r="J51" s="88" t="b">
        <v>0</v>
      </c>
      <c r="K51" s="88" t="b">
        <v>0</v>
      </c>
      <c r="L51" s="88" t="b">
        <v>0</v>
      </c>
    </row>
    <row r="52" spans="1:12" ht="15">
      <c r="A52" s="89" t="s">
        <v>1192</v>
      </c>
      <c r="B52" s="88" t="s">
        <v>1193</v>
      </c>
      <c r="C52" s="88">
        <v>5</v>
      </c>
      <c r="D52" s="121">
        <v>0.005088807500809099</v>
      </c>
      <c r="E52" s="121">
        <v>2.2474822606770544</v>
      </c>
      <c r="F52" s="88" t="s">
        <v>1280</v>
      </c>
      <c r="G52" s="88" t="b">
        <v>0</v>
      </c>
      <c r="H52" s="88" t="b">
        <v>0</v>
      </c>
      <c r="I52" s="88" t="b">
        <v>0</v>
      </c>
      <c r="J52" s="88" t="b">
        <v>0</v>
      </c>
      <c r="K52" s="88" t="b">
        <v>0</v>
      </c>
      <c r="L52" s="88" t="b">
        <v>0</v>
      </c>
    </row>
    <row r="53" spans="1:12" ht="15">
      <c r="A53" s="89" t="s">
        <v>1193</v>
      </c>
      <c r="B53" s="88" t="s">
        <v>871</v>
      </c>
      <c r="C53" s="88">
        <v>5</v>
      </c>
      <c r="D53" s="121">
        <v>0.005088807500809099</v>
      </c>
      <c r="E53" s="121">
        <v>1.3129838094334867</v>
      </c>
      <c r="F53" s="88" t="s">
        <v>1280</v>
      </c>
      <c r="G53" s="88" t="b">
        <v>0</v>
      </c>
      <c r="H53" s="88" t="b">
        <v>0</v>
      </c>
      <c r="I53" s="88" t="b">
        <v>0</v>
      </c>
      <c r="J53" s="88" t="b">
        <v>0</v>
      </c>
      <c r="K53" s="88" t="b">
        <v>0</v>
      </c>
      <c r="L53" s="88" t="b">
        <v>0</v>
      </c>
    </row>
    <row r="54" spans="1:12" ht="15">
      <c r="A54" s="89" t="s">
        <v>1195</v>
      </c>
      <c r="B54" s="88" t="s">
        <v>1196</v>
      </c>
      <c r="C54" s="88">
        <v>5</v>
      </c>
      <c r="D54" s="121">
        <v>0.005088807500809099</v>
      </c>
      <c r="E54" s="121">
        <v>2.2474822606770544</v>
      </c>
      <c r="F54" s="88" t="s">
        <v>1280</v>
      </c>
      <c r="G54" s="88" t="b">
        <v>0</v>
      </c>
      <c r="H54" s="88" t="b">
        <v>0</v>
      </c>
      <c r="I54" s="88" t="b">
        <v>0</v>
      </c>
      <c r="J54" s="88" t="b">
        <v>0</v>
      </c>
      <c r="K54" s="88" t="b">
        <v>0</v>
      </c>
      <c r="L54" s="88" t="b">
        <v>0</v>
      </c>
    </row>
    <row r="55" spans="1:12" ht="15">
      <c r="A55" s="89" t="s">
        <v>1197</v>
      </c>
      <c r="B55" s="88" t="s">
        <v>1198</v>
      </c>
      <c r="C55" s="88">
        <v>5</v>
      </c>
      <c r="D55" s="121">
        <v>0.005088807500809099</v>
      </c>
      <c r="E55" s="121">
        <v>2.2474822606770544</v>
      </c>
      <c r="F55" s="88" t="s">
        <v>1280</v>
      </c>
      <c r="G55" s="88" t="b">
        <v>0</v>
      </c>
      <c r="H55" s="88" t="b">
        <v>0</v>
      </c>
      <c r="I55" s="88" t="b">
        <v>0</v>
      </c>
      <c r="J55" s="88" t="b">
        <v>0</v>
      </c>
      <c r="K55" s="88" t="b">
        <v>0</v>
      </c>
      <c r="L55" s="88" t="b">
        <v>0</v>
      </c>
    </row>
    <row r="56" spans="1:12" ht="15">
      <c r="A56" s="89" t="s">
        <v>1200</v>
      </c>
      <c r="B56" s="88" t="s">
        <v>1201</v>
      </c>
      <c r="C56" s="88">
        <v>4</v>
      </c>
      <c r="D56" s="121">
        <v>0.004488761573957867</v>
      </c>
      <c r="E56" s="121">
        <v>2.3443922736851106</v>
      </c>
      <c r="F56" s="88" t="s">
        <v>1280</v>
      </c>
      <c r="G56" s="88" t="b">
        <v>0</v>
      </c>
      <c r="H56" s="88" t="b">
        <v>0</v>
      </c>
      <c r="I56" s="88" t="b">
        <v>0</v>
      </c>
      <c r="J56" s="88" t="b">
        <v>0</v>
      </c>
      <c r="K56" s="88" t="b">
        <v>0</v>
      </c>
      <c r="L56" s="88" t="b">
        <v>0</v>
      </c>
    </row>
    <row r="57" spans="1:12" ht="15">
      <c r="A57" s="89" t="s">
        <v>871</v>
      </c>
      <c r="B57" s="88" t="s">
        <v>1204</v>
      </c>
      <c r="C57" s="88">
        <v>4</v>
      </c>
      <c r="D57" s="121">
        <v>0.004488761573957867</v>
      </c>
      <c r="E57" s="121">
        <v>1.441302286693167</v>
      </c>
      <c r="F57" s="88" t="s">
        <v>1280</v>
      </c>
      <c r="G57" s="88" t="b">
        <v>0</v>
      </c>
      <c r="H57" s="88" t="b">
        <v>0</v>
      </c>
      <c r="I57" s="88" t="b">
        <v>0</v>
      </c>
      <c r="J57" s="88" t="b">
        <v>0</v>
      </c>
      <c r="K57" s="88" t="b">
        <v>0</v>
      </c>
      <c r="L57" s="88" t="b">
        <v>0</v>
      </c>
    </row>
    <row r="58" spans="1:12" ht="15">
      <c r="A58" s="89" t="s">
        <v>927</v>
      </c>
      <c r="B58" s="88" t="s">
        <v>928</v>
      </c>
      <c r="C58" s="88">
        <v>4</v>
      </c>
      <c r="D58" s="121">
        <v>0.004488761573957867</v>
      </c>
      <c r="E58" s="121">
        <v>2.2474822606770544</v>
      </c>
      <c r="F58" s="88" t="s">
        <v>1280</v>
      </c>
      <c r="G58" s="88" t="b">
        <v>0</v>
      </c>
      <c r="H58" s="88" t="b">
        <v>0</v>
      </c>
      <c r="I58" s="88" t="b">
        <v>0</v>
      </c>
      <c r="J58" s="88" t="b">
        <v>0</v>
      </c>
      <c r="K58" s="88" t="b">
        <v>0</v>
      </c>
      <c r="L58" s="88" t="b">
        <v>0</v>
      </c>
    </row>
    <row r="59" spans="1:12" ht="15">
      <c r="A59" s="89" t="s">
        <v>1205</v>
      </c>
      <c r="B59" s="88" t="s">
        <v>1206</v>
      </c>
      <c r="C59" s="88">
        <v>3</v>
      </c>
      <c r="D59" s="121">
        <v>0.003770467958296956</v>
      </c>
      <c r="E59" s="121">
        <v>2.4693310102934105</v>
      </c>
      <c r="F59" s="88" t="s">
        <v>1280</v>
      </c>
      <c r="G59" s="88" t="b">
        <v>0</v>
      </c>
      <c r="H59" s="88" t="b">
        <v>0</v>
      </c>
      <c r="I59" s="88" t="b">
        <v>0</v>
      </c>
      <c r="J59" s="88" t="b">
        <v>0</v>
      </c>
      <c r="K59" s="88" t="b">
        <v>0</v>
      </c>
      <c r="L59" s="88" t="b">
        <v>0</v>
      </c>
    </row>
    <row r="60" spans="1:12" ht="15">
      <c r="A60" s="89" t="s">
        <v>1206</v>
      </c>
      <c r="B60" s="88" t="s">
        <v>1207</v>
      </c>
      <c r="C60" s="88">
        <v>3</v>
      </c>
      <c r="D60" s="121">
        <v>0.003770467958296956</v>
      </c>
      <c r="E60" s="121">
        <v>2.4693310102934105</v>
      </c>
      <c r="F60" s="88" t="s">
        <v>1280</v>
      </c>
      <c r="G60" s="88" t="b">
        <v>0</v>
      </c>
      <c r="H60" s="88" t="b">
        <v>0</v>
      </c>
      <c r="I60" s="88" t="b">
        <v>0</v>
      </c>
      <c r="J60" s="88" t="b">
        <v>0</v>
      </c>
      <c r="K60" s="88" t="b">
        <v>0</v>
      </c>
      <c r="L60" s="88" t="b">
        <v>0</v>
      </c>
    </row>
    <row r="61" spans="1:12" ht="15">
      <c r="A61" s="89" t="s">
        <v>1207</v>
      </c>
      <c r="B61" s="88" t="s">
        <v>877</v>
      </c>
      <c r="C61" s="88">
        <v>3</v>
      </c>
      <c r="D61" s="121">
        <v>0.003770467958296956</v>
      </c>
      <c r="E61" s="121">
        <v>1.9464522650130731</v>
      </c>
      <c r="F61" s="88" t="s">
        <v>1280</v>
      </c>
      <c r="G61" s="88" t="b">
        <v>0</v>
      </c>
      <c r="H61" s="88" t="b">
        <v>0</v>
      </c>
      <c r="I61" s="88" t="b">
        <v>0</v>
      </c>
      <c r="J61" s="88" t="b">
        <v>0</v>
      </c>
      <c r="K61" s="88" t="b">
        <v>0</v>
      </c>
      <c r="L61" s="88" t="b">
        <v>0</v>
      </c>
    </row>
    <row r="62" spans="1:12" ht="15">
      <c r="A62" s="89" t="s">
        <v>877</v>
      </c>
      <c r="B62" s="88" t="s">
        <v>1208</v>
      </c>
      <c r="C62" s="88">
        <v>3</v>
      </c>
      <c r="D62" s="121">
        <v>0.003770467958296956</v>
      </c>
      <c r="E62" s="121">
        <v>1.9464522650130731</v>
      </c>
      <c r="F62" s="88" t="s">
        <v>1280</v>
      </c>
      <c r="G62" s="88" t="b">
        <v>0</v>
      </c>
      <c r="H62" s="88" t="b">
        <v>0</v>
      </c>
      <c r="I62" s="88" t="b">
        <v>0</v>
      </c>
      <c r="J62" s="88" t="b">
        <v>0</v>
      </c>
      <c r="K62" s="88" t="b">
        <v>0</v>
      </c>
      <c r="L62" s="88" t="b">
        <v>0</v>
      </c>
    </row>
    <row r="63" spans="1:12" ht="15">
      <c r="A63" s="89" t="s">
        <v>1208</v>
      </c>
      <c r="B63" s="88" t="s">
        <v>1178</v>
      </c>
      <c r="C63" s="88">
        <v>3</v>
      </c>
      <c r="D63" s="121">
        <v>0.003770467958296956</v>
      </c>
      <c r="E63" s="121">
        <v>2.1683010146294293</v>
      </c>
      <c r="F63" s="88" t="s">
        <v>1280</v>
      </c>
      <c r="G63" s="88" t="b">
        <v>0</v>
      </c>
      <c r="H63" s="88" t="b">
        <v>0</v>
      </c>
      <c r="I63" s="88" t="b">
        <v>0</v>
      </c>
      <c r="J63" s="88" t="b">
        <v>0</v>
      </c>
      <c r="K63" s="88" t="b">
        <v>0</v>
      </c>
      <c r="L63" s="88" t="b">
        <v>0</v>
      </c>
    </row>
    <row r="64" spans="1:12" ht="15">
      <c r="A64" s="89" t="s">
        <v>1178</v>
      </c>
      <c r="B64" s="88" t="s">
        <v>1209</v>
      </c>
      <c r="C64" s="88">
        <v>3</v>
      </c>
      <c r="D64" s="121">
        <v>0.003770467958296956</v>
      </c>
      <c r="E64" s="121">
        <v>2.1683010146294293</v>
      </c>
      <c r="F64" s="88" t="s">
        <v>1280</v>
      </c>
      <c r="G64" s="88" t="b">
        <v>0</v>
      </c>
      <c r="H64" s="88" t="b">
        <v>0</v>
      </c>
      <c r="I64" s="88" t="b">
        <v>0</v>
      </c>
      <c r="J64" s="88" t="b">
        <v>0</v>
      </c>
      <c r="K64" s="88" t="b">
        <v>0</v>
      </c>
      <c r="L64" s="88" t="b">
        <v>0</v>
      </c>
    </row>
    <row r="65" spans="1:12" ht="15">
      <c r="A65" s="89" t="s">
        <v>1209</v>
      </c>
      <c r="B65" s="88" t="s">
        <v>1210</v>
      </c>
      <c r="C65" s="88">
        <v>3</v>
      </c>
      <c r="D65" s="121">
        <v>0.003770467958296956</v>
      </c>
      <c r="E65" s="121">
        <v>2.4693310102934105</v>
      </c>
      <c r="F65" s="88" t="s">
        <v>1280</v>
      </c>
      <c r="G65" s="88" t="b">
        <v>0</v>
      </c>
      <c r="H65" s="88" t="b">
        <v>0</v>
      </c>
      <c r="I65" s="88" t="b">
        <v>0</v>
      </c>
      <c r="J65" s="88" t="b">
        <v>0</v>
      </c>
      <c r="K65" s="88" t="b">
        <v>1</v>
      </c>
      <c r="L65" s="88" t="b">
        <v>0</v>
      </c>
    </row>
    <row r="66" spans="1:12" ht="15">
      <c r="A66" s="89" t="s">
        <v>1210</v>
      </c>
      <c r="B66" s="88" t="s">
        <v>1194</v>
      </c>
      <c r="C66" s="88">
        <v>3</v>
      </c>
      <c r="D66" s="121">
        <v>0.003770467958296956</v>
      </c>
      <c r="E66" s="121">
        <v>2.2474822606770544</v>
      </c>
      <c r="F66" s="88" t="s">
        <v>1280</v>
      </c>
      <c r="G66" s="88" t="b">
        <v>0</v>
      </c>
      <c r="H66" s="88" t="b">
        <v>1</v>
      </c>
      <c r="I66" s="88" t="b">
        <v>0</v>
      </c>
      <c r="J66" s="88" t="b">
        <v>0</v>
      </c>
      <c r="K66" s="88" t="b">
        <v>0</v>
      </c>
      <c r="L66" s="88" t="b">
        <v>0</v>
      </c>
    </row>
    <row r="67" spans="1:12" ht="15">
      <c r="A67" s="89" t="s">
        <v>1194</v>
      </c>
      <c r="B67" s="88" t="s">
        <v>1195</v>
      </c>
      <c r="C67" s="88">
        <v>3</v>
      </c>
      <c r="D67" s="121">
        <v>0.003770467958296956</v>
      </c>
      <c r="E67" s="121">
        <v>2.0256335110606978</v>
      </c>
      <c r="F67" s="88" t="s">
        <v>1280</v>
      </c>
      <c r="G67" s="88" t="b">
        <v>0</v>
      </c>
      <c r="H67" s="88" t="b">
        <v>0</v>
      </c>
      <c r="I67" s="88" t="b">
        <v>0</v>
      </c>
      <c r="J67" s="88" t="b">
        <v>0</v>
      </c>
      <c r="K67" s="88" t="b">
        <v>0</v>
      </c>
      <c r="L67" s="88" t="b">
        <v>0</v>
      </c>
    </row>
    <row r="68" spans="1:12" ht="15">
      <c r="A68" s="89" t="s">
        <v>1196</v>
      </c>
      <c r="B68" s="88" t="s">
        <v>1211</v>
      </c>
      <c r="C68" s="88">
        <v>3</v>
      </c>
      <c r="D68" s="121">
        <v>0.003770467958296956</v>
      </c>
      <c r="E68" s="121">
        <v>2.2474822606770544</v>
      </c>
      <c r="F68" s="88" t="s">
        <v>1280</v>
      </c>
      <c r="G68" s="88" t="b">
        <v>0</v>
      </c>
      <c r="H68" s="88" t="b">
        <v>0</v>
      </c>
      <c r="I68" s="88" t="b">
        <v>0</v>
      </c>
      <c r="J68" s="88" t="b">
        <v>0</v>
      </c>
      <c r="K68" s="88" t="b">
        <v>0</v>
      </c>
      <c r="L68" s="88" t="b">
        <v>0</v>
      </c>
    </row>
    <row r="69" spans="1:12" ht="15">
      <c r="A69" s="89" t="s">
        <v>1211</v>
      </c>
      <c r="B69" s="88" t="s">
        <v>1197</v>
      </c>
      <c r="C69" s="88">
        <v>3</v>
      </c>
      <c r="D69" s="121">
        <v>0.003770467958296956</v>
      </c>
      <c r="E69" s="121">
        <v>2.2474822606770544</v>
      </c>
      <c r="F69" s="88" t="s">
        <v>1280</v>
      </c>
      <c r="G69" s="88" t="b">
        <v>0</v>
      </c>
      <c r="H69" s="88" t="b">
        <v>0</v>
      </c>
      <c r="I69" s="88" t="b">
        <v>0</v>
      </c>
      <c r="J69" s="88" t="b">
        <v>0</v>
      </c>
      <c r="K69" s="88" t="b">
        <v>0</v>
      </c>
      <c r="L69" s="88" t="b">
        <v>0</v>
      </c>
    </row>
    <row r="70" spans="1:12" ht="15">
      <c r="A70" s="89" t="s">
        <v>1198</v>
      </c>
      <c r="B70" s="88" t="s">
        <v>1203</v>
      </c>
      <c r="C70" s="88">
        <v>3</v>
      </c>
      <c r="D70" s="121">
        <v>0.003770467958296956</v>
      </c>
      <c r="E70" s="121">
        <v>2.2474822606770544</v>
      </c>
      <c r="F70" s="88" t="s">
        <v>1280</v>
      </c>
      <c r="G70" s="88" t="b">
        <v>0</v>
      </c>
      <c r="H70" s="88" t="b">
        <v>0</v>
      </c>
      <c r="I70" s="88" t="b">
        <v>0</v>
      </c>
      <c r="J70" s="88" t="b">
        <v>0</v>
      </c>
      <c r="K70" s="88" t="b">
        <v>0</v>
      </c>
      <c r="L70" s="88" t="b">
        <v>0</v>
      </c>
    </row>
    <row r="71" spans="1:12" ht="15">
      <c r="A71" s="89" t="s">
        <v>1203</v>
      </c>
      <c r="B71" s="88" t="s">
        <v>871</v>
      </c>
      <c r="C71" s="88">
        <v>3</v>
      </c>
      <c r="D71" s="121">
        <v>0.003770467958296956</v>
      </c>
      <c r="E71" s="121">
        <v>1.1880450728251866</v>
      </c>
      <c r="F71" s="88" t="s">
        <v>1280</v>
      </c>
      <c r="G71" s="88" t="b">
        <v>0</v>
      </c>
      <c r="H71" s="88" t="b">
        <v>0</v>
      </c>
      <c r="I71" s="88" t="b">
        <v>0</v>
      </c>
      <c r="J71" s="88" t="b">
        <v>0</v>
      </c>
      <c r="K71" s="88" t="b">
        <v>0</v>
      </c>
      <c r="L71" s="88" t="b">
        <v>0</v>
      </c>
    </row>
    <row r="72" spans="1:12" ht="15">
      <c r="A72" s="89" t="s">
        <v>1204</v>
      </c>
      <c r="B72" s="88" t="s">
        <v>1212</v>
      </c>
      <c r="C72" s="88">
        <v>3</v>
      </c>
      <c r="D72" s="121">
        <v>0.003770467958296956</v>
      </c>
      <c r="E72" s="121">
        <v>2.3443922736851106</v>
      </c>
      <c r="F72" s="88" t="s">
        <v>1280</v>
      </c>
      <c r="G72" s="88" t="b">
        <v>0</v>
      </c>
      <c r="H72" s="88" t="b">
        <v>0</v>
      </c>
      <c r="I72" s="88" t="b">
        <v>0</v>
      </c>
      <c r="J72" s="88" t="b">
        <v>0</v>
      </c>
      <c r="K72" s="88" t="b">
        <v>0</v>
      </c>
      <c r="L72" s="88" t="b">
        <v>0</v>
      </c>
    </row>
    <row r="73" spans="1:12" ht="15">
      <c r="A73" s="89" t="s">
        <v>1212</v>
      </c>
      <c r="B73" s="88" t="s">
        <v>1213</v>
      </c>
      <c r="C73" s="88">
        <v>3</v>
      </c>
      <c r="D73" s="121">
        <v>0.003770467958296956</v>
      </c>
      <c r="E73" s="121">
        <v>2.4693310102934105</v>
      </c>
      <c r="F73" s="88" t="s">
        <v>1280</v>
      </c>
      <c r="G73" s="88" t="b">
        <v>0</v>
      </c>
      <c r="H73" s="88" t="b">
        <v>0</v>
      </c>
      <c r="I73" s="88" t="b">
        <v>0</v>
      </c>
      <c r="J73" s="88" t="b">
        <v>0</v>
      </c>
      <c r="K73" s="88" t="b">
        <v>0</v>
      </c>
      <c r="L73" s="88" t="b">
        <v>0</v>
      </c>
    </row>
    <row r="74" spans="1:12" ht="15">
      <c r="A74" s="89" t="s">
        <v>1213</v>
      </c>
      <c r="B74" s="88" t="s">
        <v>877</v>
      </c>
      <c r="C74" s="88">
        <v>3</v>
      </c>
      <c r="D74" s="121">
        <v>0.003770467958296956</v>
      </c>
      <c r="E74" s="121">
        <v>1.9464522650130731</v>
      </c>
      <c r="F74" s="88" t="s">
        <v>1280</v>
      </c>
      <c r="G74" s="88" t="b">
        <v>0</v>
      </c>
      <c r="H74" s="88" t="b">
        <v>0</v>
      </c>
      <c r="I74" s="88" t="b">
        <v>0</v>
      </c>
      <c r="J74" s="88" t="b">
        <v>0</v>
      </c>
      <c r="K74" s="88" t="b">
        <v>0</v>
      </c>
      <c r="L74" s="88" t="b">
        <v>0</v>
      </c>
    </row>
    <row r="75" spans="1:12" ht="15">
      <c r="A75" s="89" t="s">
        <v>877</v>
      </c>
      <c r="B75" s="88" t="s">
        <v>1214</v>
      </c>
      <c r="C75" s="88">
        <v>3</v>
      </c>
      <c r="D75" s="121">
        <v>0.003770467958296956</v>
      </c>
      <c r="E75" s="121">
        <v>1.9464522650130731</v>
      </c>
      <c r="F75" s="88" t="s">
        <v>1280</v>
      </c>
      <c r="G75" s="88" t="b">
        <v>0</v>
      </c>
      <c r="H75" s="88" t="b">
        <v>0</v>
      </c>
      <c r="I75" s="88" t="b">
        <v>0</v>
      </c>
      <c r="J75" s="88" t="b">
        <v>0</v>
      </c>
      <c r="K75" s="88" t="b">
        <v>0</v>
      </c>
      <c r="L75" s="88" t="b">
        <v>0</v>
      </c>
    </row>
    <row r="76" spans="1:12" ht="15">
      <c r="A76" s="89" t="s">
        <v>1214</v>
      </c>
      <c r="B76" s="88" t="s">
        <v>1215</v>
      </c>
      <c r="C76" s="88">
        <v>3</v>
      </c>
      <c r="D76" s="121">
        <v>0.003770467958296956</v>
      </c>
      <c r="E76" s="121">
        <v>2.4693310102934105</v>
      </c>
      <c r="F76" s="88" t="s">
        <v>1280</v>
      </c>
      <c r="G76" s="88" t="b">
        <v>0</v>
      </c>
      <c r="H76" s="88" t="b">
        <v>0</v>
      </c>
      <c r="I76" s="88" t="b">
        <v>0</v>
      </c>
      <c r="J76" s="88" t="b">
        <v>0</v>
      </c>
      <c r="K76" s="88" t="b">
        <v>0</v>
      </c>
      <c r="L76" s="88" t="b">
        <v>0</v>
      </c>
    </row>
    <row r="77" spans="1:12" ht="15">
      <c r="A77" s="89" t="s">
        <v>1215</v>
      </c>
      <c r="B77" s="88" t="s">
        <v>1216</v>
      </c>
      <c r="C77" s="88">
        <v>3</v>
      </c>
      <c r="D77" s="121">
        <v>0.003770467958296956</v>
      </c>
      <c r="E77" s="121">
        <v>2.4693310102934105</v>
      </c>
      <c r="F77" s="88" t="s">
        <v>1280</v>
      </c>
      <c r="G77" s="88" t="b">
        <v>0</v>
      </c>
      <c r="H77" s="88" t="b">
        <v>0</v>
      </c>
      <c r="I77" s="88" t="b">
        <v>0</v>
      </c>
      <c r="J77" s="88" t="b">
        <v>0</v>
      </c>
      <c r="K77" s="88" t="b">
        <v>0</v>
      </c>
      <c r="L77" s="88" t="b">
        <v>0</v>
      </c>
    </row>
    <row r="78" spans="1:12" ht="15">
      <c r="A78" s="89" t="s">
        <v>1216</v>
      </c>
      <c r="B78" s="88" t="s">
        <v>1217</v>
      </c>
      <c r="C78" s="88">
        <v>3</v>
      </c>
      <c r="D78" s="121">
        <v>0.003770467958296956</v>
      </c>
      <c r="E78" s="121">
        <v>2.4693310102934105</v>
      </c>
      <c r="F78" s="88" t="s">
        <v>1280</v>
      </c>
      <c r="G78" s="88" t="b">
        <v>0</v>
      </c>
      <c r="H78" s="88" t="b">
        <v>0</v>
      </c>
      <c r="I78" s="88" t="b">
        <v>0</v>
      </c>
      <c r="J78" s="88" t="b">
        <v>0</v>
      </c>
      <c r="K78" s="88" t="b">
        <v>0</v>
      </c>
      <c r="L78" s="88" t="b">
        <v>0</v>
      </c>
    </row>
    <row r="79" spans="1:12" ht="15">
      <c r="A79" s="89" t="s">
        <v>1217</v>
      </c>
      <c r="B79" s="88" t="s">
        <v>1218</v>
      </c>
      <c r="C79" s="88">
        <v>3</v>
      </c>
      <c r="D79" s="121">
        <v>0.003770467958296956</v>
      </c>
      <c r="E79" s="121">
        <v>2.4693310102934105</v>
      </c>
      <c r="F79" s="88" t="s">
        <v>1280</v>
      </c>
      <c r="G79" s="88" t="b">
        <v>0</v>
      </c>
      <c r="H79" s="88" t="b">
        <v>0</v>
      </c>
      <c r="I79" s="88" t="b">
        <v>0</v>
      </c>
      <c r="J79" s="88" t="b">
        <v>0</v>
      </c>
      <c r="K79" s="88" t="b">
        <v>0</v>
      </c>
      <c r="L79" s="88" t="b">
        <v>0</v>
      </c>
    </row>
    <row r="80" spans="1:12" ht="15">
      <c r="A80" s="89" t="s">
        <v>1218</v>
      </c>
      <c r="B80" s="88" t="s">
        <v>1178</v>
      </c>
      <c r="C80" s="88">
        <v>3</v>
      </c>
      <c r="D80" s="121">
        <v>0.003770467958296956</v>
      </c>
      <c r="E80" s="121">
        <v>2.1683010146294293</v>
      </c>
      <c r="F80" s="88" t="s">
        <v>1280</v>
      </c>
      <c r="G80" s="88" t="b">
        <v>0</v>
      </c>
      <c r="H80" s="88" t="b">
        <v>0</v>
      </c>
      <c r="I80" s="88" t="b">
        <v>0</v>
      </c>
      <c r="J80" s="88" t="b">
        <v>0</v>
      </c>
      <c r="K80" s="88" t="b">
        <v>0</v>
      </c>
      <c r="L80" s="88" t="b">
        <v>0</v>
      </c>
    </row>
    <row r="81" spans="1:12" ht="15">
      <c r="A81" s="89" t="s">
        <v>1178</v>
      </c>
      <c r="B81" s="88" t="s">
        <v>1219</v>
      </c>
      <c r="C81" s="88">
        <v>3</v>
      </c>
      <c r="D81" s="121">
        <v>0.003770467958296956</v>
      </c>
      <c r="E81" s="121">
        <v>2.1683010146294293</v>
      </c>
      <c r="F81" s="88" t="s">
        <v>1280</v>
      </c>
      <c r="G81" s="88" t="b">
        <v>0</v>
      </c>
      <c r="H81" s="88" t="b">
        <v>0</v>
      </c>
      <c r="I81" s="88" t="b">
        <v>0</v>
      </c>
      <c r="J81" s="88" t="b">
        <v>0</v>
      </c>
      <c r="K81" s="88" t="b">
        <v>0</v>
      </c>
      <c r="L81" s="88" t="b">
        <v>0</v>
      </c>
    </row>
    <row r="82" spans="1:12" ht="15">
      <c r="A82" s="89" t="s">
        <v>1219</v>
      </c>
      <c r="B82" s="88" t="s">
        <v>1220</v>
      </c>
      <c r="C82" s="88">
        <v>3</v>
      </c>
      <c r="D82" s="121">
        <v>0.003770467958296956</v>
      </c>
      <c r="E82" s="121">
        <v>2.4693310102934105</v>
      </c>
      <c r="F82" s="88" t="s">
        <v>1280</v>
      </c>
      <c r="G82" s="88" t="b">
        <v>0</v>
      </c>
      <c r="H82" s="88" t="b">
        <v>0</v>
      </c>
      <c r="I82" s="88" t="b">
        <v>0</v>
      </c>
      <c r="J82" s="88" t="b">
        <v>0</v>
      </c>
      <c r="K82" s="88" t="b">
        <v>0</v>
      </c>
      <c r="L82" s="88" t="b">
        <v>0</v>
      </c>
    </row>
    <row r="83" spans="1:12" ht="15">
      <c r="A83" s="89" t="s">
        <v>1220</v>
      </c>
      <c r="B83" s="88" t="s">
        <v>883</v>
      </c>
      <c r="C83" s="88">
        <v>3</v>
      </c>
      <c r="D83" s="121">
        <v>0.003770467958296956</v>
      </c>
      <c r="E83" s="121">
        <v>2.101354224998816</v>
      </c>
      <c r="F83" s="88" t="s">
        <v>1280</v>
      </c>
      <c r="G83" s="88" t="b">
        <v>0</v>
      </c>
      <c r="H83" s="88" t="b">
        <v>0</v>
      </c>
      <c r="I83" s="88" t="b">
        <v>0</v>
      </c>
      <c r="J83" s="88" t="b">
        <v>0</v>
      </c>
      <c r="K83" s="88" t="b">
        <v>0</v>
      </c>
      <c r="L83" s="88" t="b">
        <v>0</v>
      </c>
    </row>
    <row r="84" spans="1:12" ht="15">
      <c r="A84" s="89" t="s">
        <v>922</v>
      </c>
      <c r="B84" s="88" t="s">
        <v>923</v>
      </c>
      <c r="C84" s="88">
        <v>3</v>
      </c>
      <c r="D84" s="121">
        <v>0.003770467958296956</v>
      </c>
      <c r="E84" s="121">
        <v>2.4693310102934105</v>
      </c>
      <c r="F84" s="88" t="s">
        <v>1280</v>
      </c>
      <c r="G84" s="88" t="b">
        <v>0</v>
      </c>
      <c r="H84" s="88" t="b">
        <v>0</v>
      </c>
      <c r="I84" s="88" t="b">
        <v>0</v>
      </c>
      <c r="J84" s="88" t="b">
        <v>0</v>
      </c>
      <c r="K84" s="88" t="b">
        <v>0</v>
      </c>
      <c r="L84" s="88" t="b">
        <v>0</v>
      </c>
    </row>
    <row r="85" spans="1:12" ht="15">
      <c r="A85" s="89" t="s">
        <v>923</v>
      </c>
      <c r="B85" s="88" t="s">
        <v>924</v>
      </c>
      <c r="C85" s="88">
        <v>3</v>
      </c>
      <c r="D85" s="121">
        <v>0.003770467958296956</v>
      </c>
      <c r="E85" s="121">
        <v>2.4693310102934105</v>
      </c>
      <c r="F85" s="88" t="s">
        <v>1280</v>
      </c>
      <c r="G85" s="88" t="b">
        <v>0</v>
      </c>
      <c r="H85" s="88" t="b">
        <v>0</v>
      </c>
      <c r="I85" s="88" t="b">
        <v>0</v>
      </c>
      <c r="J85" s="88" t="b">
        <v>1</v>
      </c>
      <c r="K85" s="88" t="b">
        <v>0</v>
      </c>
      <c r="L85" s="88" t="b">
        <v>0</v>
      </c>
    </row>
    <row r="86" spans="1:12" ht="15">
      <c r="A86" s="89" t="s">
        <v>924</v>
      </c>
      <c r="B86" s="88" t="s">
        <v>925</v>
      </c>
      <c r="C86" s="88">
        <v>3</v>
      </c>
      <c r="D86" s="121">
        <v>0.003770467958296956</v>
      </c>
      <c r="E86" s="121">
        <v>2.3443922736851106</v>
      </c>
      <c r="F86" s="88" t="s">
        <v>1280</v>
      </c>
      <c r="G86" s="88" t="b">
        <v>1</v>
      </c>
      <c r="H86" s="88" t="b">
        <v>0</v>
      </c>
      <c r="I86" s="88" t="b">
        <v>0</v>
      </c>
      <c r="J86" s="88" t="b">
        <v>0</v>
      </c>
      <c r="K86" s="88" t="b">
        <v>0</v>
      </c>
      <c r="L86" s="88" t="b">
        <v>0</v>
      </c>
    </row>
    <row r="87" spans="1:12" ht="15">
      <c r="A87" s="89" t="s">
        <v>925</v>
      </c>
      <c r="B87" s="88" t="s">
        <v>926</v>
      </c>
      <c r="C87" s="88">
        <v>3</v>
      </c>
      <c r="D87" s="121">
        <v>0.003770467958296956</v>
      </c>
      <c r="E87" s="121">
        <v>2.3443922736851106</v>
      </c>
      <c r="F87" s="88" t="s">
        <v>1280</v>
      </c>
      <c r="G87" s="88" t="b">
        <v>0</v>
      </c>
      <c r="H87" s="88" t="b">
        <v>0</v>
      </c>
      <c r="I87" s="88" t="b">
        <v>0</v>
      </c>
      <c r="J87" s="88" t="b">
        <v>0</v>
      </c>
      <c r="K87" s="88" t="b">
        <v>0</v>
      </c>
      <c r="L87" s="88" t="b">
        <v>0</v>
      </c>
    </row>
    <row r="88" spans="1:12" ht="15">
      <c r="A88" s="89" t="s">
        <v>926</v>
      </c>
      <c r="B88" s="88" t="s">
        <v>927</v>
      </c>
      <c r="C88" s="88">
        <v>3</v>
      </c>
      <c r="D88" s="121">
        <v>0.003770467958296956</v>
      </c>
      <c r="E88" s="121">
        <v>2.2474822606770544</v>
      </c>
      <c r="F88" s="88" t="s">
        <v>1280</v>
      </c>
      <c r="G88" s="88" t="b">
        <v>0</v>
      </c>
      <c r="H88" s="88" t="b">
        <v>0</v>
      </c>
      <c r="I88" s="88" t="b">
        <v>0</v>
      </c>
      <c r="J88" s="88" t="b">
        <v>0</v>
      </c>
      <c r="K88" s="88" t="b">
        <v>0</v>
      </c>
      <c r="L88" s="88" t="b">
        <v>0</v>
      </c>
    </row>
    <row r="89" spans="1:12" ht="15">
      <c r="A89" s="89" t="s">
        <v>928</v>
      </c>
      <c r="B89" s="88" t="s">
        <v>929</v>
      </c>
      <c r="C89" s="88">
        <v>3</v>
      </c>
      <c r="D89" s="121">
        <v>0.003770467958296956</v>
      </c>
      <c r="E89" s="121">
        <v>2.2194535370768107</v>
      </c>
      <c r="F89" s="88" t="s">
        <v>1280</v>
      </c>
      <c r="G89" s="88" t="b">
        <v>0</v>
      </c>
      <c r="H89" s="88" t="b">
        <v>0</v>
      </c>
      <c r="I89" s="88" t="b">
        <v>0</v>
      </c>
      <c r="J89" s="88" t="b">
        <v>0</v>
      </c>
      <c r="K89" s="88" t="b">
        <v>0</v>
      </c>
      <c r="L89" s="88" t="b">
        <v>0</v>
      </c>
    </row>
    <row r="90" spans="1:12" ht="15">
      <c r="A90" s="89" t="s">
        <v>929</v>
      </c>
      <c r="B90" s="88" t="s">
        <v>930</v>
      </c>
      <c r="C90" s="88">
        <v>3</v>
      </c>
      <c r="D90" s="121">
        <v>0.003770467958296956</v>
      </c>
      <c r="E90" s="121">
        <v>2.3443922736851106</v>
      </c>
      <c r="F90" s="88" t="s">
        <v>1280</v>
      </c>
      <c r="G90" s="88" t="b">
        <v>0</v>
      </c>
      <c r="H90" s="88" t="b">
        <v>0</v>
      </c>
      <c r="I90" s="88" t="b">
        <v>0</v>
      </c>
      <c r="J90" s="88" t="b">
        <v>0</v>
      </c>
      <c r="K90" s="88" t="b">
        <v>0</v>
      </c>
      <c r="L90" s="88" t="b">
        <v>0</v>
      </c>
    </row>
    <row r="91" spans="1:12" ht="15">
      <c r="A91" s="89" t="s">
        <v>930</v>
      </c>
      <c r="B91" s="88" t="s">
        <v>234</v>
      </c>
      <c r="C91" s="88">
        <v>3</v>
      </c>
      <c r="D91" s="121">
        <v>0.003770467958296956</v>
      </c>
      <c r="E91" s="121">
        <v>2.4693310102934105</v>
      </c>
      <c r="F91" s="88" t="s">
        <v>1280</v>
      </c>
      <c r="G91" s="88" t="b">
        <v>0</v>
      </c>
      <c r="H91" s="88" t="b">
        <v>0</v>
      </c>
      <c r="I91" s="88" t="b">
        <v>0</v>
      </c>
      <c r="J91" s="88" t="b">
        <v>0</v>
      </c>
      <c r="K91" s="88" t="b">
        <v>0</v>
      </c>
      <c r="L91" s="88" t="b">
        <v>0</v>
      </c>
    </row>
    <row r="92" spans="1:12" ht="15">
      <c r="A92" s="89" t="s">
        <v>234</v>
      </c>
      <c r="B92" s="88" t="s">
        <v>871</v>
      </c>
      <c r="C92" s="88">
        <v>3</v>
      </c>
      <c r="D92" s="121">
        <v>0.003770467958296956</v>
      </c>
      <c r="E92" s="121">
        <v>1.3129838094334867</v>
      </c>
      <c r="F92" s="88" t="s">
        <v>1280</v>
      </c>
      <c r="G92" s="88" t="b">
        <v>0</v>
      </c>
      <c r="H92" s="88" t="b">
        <v>0</v>
      </c>
      <c r="I92" s="88" t="b">
        <v>0</v>
      </c>
      <c r="J92" s="88" t="b">
        <v>0</v>
      </c>
      <c r="K92" s="88" t="b">
        <v>0</v>
      </c>
      <c r="L92" s="88" t="b">
        <v>0</v>
      </c>
    </row>
    <row r="93" spans="1:12" ht="15">
      <c r="A93" s="89" t="s">
        <v>871</v>
      </c>
      <c r="B93" s="88" t="s">
        <v>1169</v>
      </c>
      <c r="C93" s="88">
        <v>3</v>
      </c>
      <c r="D93" s="121">
        <v>0.003770467958296956</v>
      </c>
      <c r="E93" s="121">
        <v>1.1402722910291858</v>
      </c>
      <c r="F93" s="88" t="s">
        <v>1280</v>
      </c>
      <c r="G93" s="88" t="b">
        <v>0</v>
      </c>
      <c r="H93" s="88" t="b">
        <v>0</v>
      </c>
      <c r="I93" s="88" t="b">
        <v>0</v>
      </c>
      <c r="J93" s="88" t="b">
        <v>0</v>
      </c>
      <c r="K93" s="88" t="b">
        <v>0</v>
      </c>
      <c r="L93" s="88" t="b">
        <v>0</v>
      </c>
    </row>
    <row r="94" spans="1:12" ht="15">
      <c r="A94" s="89" t="s">
        <v>871</v>
      </c>
      <c r="B94" s="88" t="s">
        <v>1223</v>
      </c>
      <c r="C94" s="88">
        <v>2</v>
      </c>
      <c r="D94" s="121">
        <v>0.002893152329358203</v>
      </c>
      <c r="E94" s="121">
        <v>1.441302286693167</v>
      </c>
      <c r="F94" s="88" t="s">
        <v>1280</v>
      </c>
      <c r="G94" s="88" t="b">
        <v>0</v>
      </c>
      <c r="H94" s="88" t="b">
        <v>0</v>
      </c>
      <c r="I94" s="88" t="b">
        <v>0</v>
      </c>
      <c r="J94" s="88" t="b">
        <v>0</v>
      </c>
      <c r="K94" s="88" t="b">
        <v>0</v>
      </c>
      <c r="L94" s="88" t="b">
        <v>0</v>
      </c>
    </row>
    <row r="95" spans="1:12" ht="15">
      <c r="A95" s="89" t="s">
        <v>908</v>
      </c>
      <c r="B95" s="88" t="s">
        <v>909</v>
      </c>
      <c r="C95" s="88">
        <v>2</v>
      </c>
      <c r="D95" s="121">
        <v>0.002893152329358203</v>
      </c>
      <c r="E95" s="121">
        <v>2.4693310102934105</v>
      </c>
      <c r="F95" s="88" t="s">
        <v>1280</v>
      </c>
      <c r="G95" s="88" t="b">
        <v>0</v>
      </c>
      <c r="H95" s="88" t="b">
        <v>1</v>
      </c>
      <c r="I95" s="88" t="b">
        <v>0</v>
      </c>
      <c r="J95" s="88" t="b">
        <v>1</v>
      </c>
      <c r="K95" s="88" t="b">
        <v>0</v>
      </c>
      <c r="L95" s="88" t="b">
        <v>0</v>
      </c>
    </row>
    <row r="96" spans="1:12" ht="15">
      <c r="A96" s="89" t="s">
        <v>909</v>
      </c>
      <c r="B96" s="88" t="s">
        <v>910</v>
      </c>
      <c r="C96" s="88">
        <v>2</v>
      </c>
      <c r="D96" s="121">
        <v>0.002893152329358203</v>
      </c>
      <c r="E96" s="121">
        <v>2.2932397512377296</v>
      </c>
      <c r="F96" s="88" t="s">
        <v>1280</v>
      </c>
      <c r="G96" s="88" t="b">
        <v>1</v>
      </c>
      <c r="H96" s="88" t="b">
        <v>0</v>
      </c>
      <c r="I96" s="88" t="b">
        <v>0</v>
      </c>
      <c r="J96" s="88" t="b">
        <v>0</v>
      </c>
      <c r="K96" s="88" t="b">
        <v>0</v>
      </c>
      <c r="L96" s="88" t="b">
        <v>0</v>
      </c>
    </row>
    <row r="97" spans="1:12" ht="15">
      <c r="A97" s="89" t="s">
        <v>910</v>
      </c>
      <c r="B97" s="88" t="s">
        <v>274</v>
      </c>
      <c r="C97" s="88">
        <v>2</v>
      </c>
      <c r="D97" s="121">
        <v>0.002893152329358203</v>
      </c>
      <c r="E97" s="121">
        <v>2.4693310102934105</v>
      </c>
      <c r="F97" s="88" t="s">
        <v>1280</v>
      </c>
      <c r="G97" s="88" t="b">
        <v>0</v>
      </c>
      <c r="H97" s="88" t="b">
        <v>0</v>
      </c>
      <c r="I97" s="88" t="b">
        <v>0</v>
      </c>
      <c r="J97" s="88" t="b">
        <v>0</v>
      </c>
      <c r="K97" s="88" t="b">
        <v>0</v>
      </c>
      <c r="L97" s="88" t="b">
        <v>0</v>
      </c>
    </row>
    <row r="98" spans="1:12" ht="15">
      <c r="A98" s="89" t="s">
        <v>274</v>
      </c>
      <c r="B98" s="88" t="s">
        <v>273</v>
      </c>
      <c r="C98" s="88">
        <v>2</v>
      </c>
      <c r="D98" s="121">
        <v>0.002893152329358203</v>
      </c>
      <c r="E98" s="121">
        <v>2.645422269349092</v>
      </c>
      <c r="F98" s="88" t="s">
        <v>1280</v>
      </c>
      <c r="G98" s="88" t="b">
        <v>0</v>
      </c>
      <c r="H98" s="88" t="b">
        <v>0</v>
      </c>
      <c r="I98" s="88" t="b">
        <v>0</v>
      </c>
      <c r="J98" s="88" t="b">
        <v>0</v>
      </c>
      <c r="K98" s="88" t="b">
        <v>0</v>
      </c>
      <c r="L98" s="88" t="b">
        <v>0</v>
      </c>
    </row>
    <row r="99" spans="1:12" ht="15">
      <c r="A99" s="89" t="s">
        <v>273</v>
      </c>
      <c r="B99" s="88" t="s">
        <v>911</v>
      </c>
      <c r="C99" s="88">
        <v>2</v>
      </c>
      <c r="D99" s="121">
        <v>0.002893152329358203</v>
      </c>
      <c r="E99" s="121">
        <v>2.645422269349092</v>
      </c>
      <c r="F99" s="88" t="s">
        <v>1280</v>
      </c>
      <c r="G99" s="88" t="b">
        <v>0</v>
      </c>
      <c r="H99" s="88" t="b">
        <v>0</v>
      </c>
      <c r="I99" s="88" t="b">
        <v>0</v>
      </c>
      <c r="J99" s="88" t="b">
        <v>0</v>
      </c>
      <c r="K99" s="88" t="b">
        <v>0</v>
      </c>
      <c r="L99" s="88" t="b">
        <v>0</v>
      </c>
    </row>
    <row r="100" spans="1:12" ht="15">
      <c r="A100" s="89" t="s">
        <v>912</v>
      </c>
      <c r="B100" s="88" t="s">
        <v>913</v>
      </c>
      <c r="C100" s="88">
        <v>2</v>
      </c>
      <c r="D100" s="121">
        <v>0.002893152329358203</v>
      </c>
      <c r="E100" s="121">
        <v>2.645422269349092</v>
      </c>
      <c r="F100" s="88" t="s">
        <v>1280</v>
      </c>
      <c r="G100" s="88" t="b">
        <v>0</v>
      </c>
      <c r="H100" s="88" t="b">
        <v>0</v>
      </c>
      <c r="I100" s="88" t="b">
        <v>0</v>
      </c>
      <c r="J100" s="88" t="b">
        <v>0</v>
      </c>
      <c r="K100" s="88" t="b">
        <v>1</v>
      </c>
      <c r="L100" s="88" t="b">
        <v>0</v>
      </c>
    </row>
    <row r="101" spans="1:12" ht="15">
      <c r="A101" s="89" t="s">
        <v>1224</v>
      </c>
      <c r="B101" s="88" t="s">
        <v>1225</v>
      </c>
      <c r="C101" s="88">
        <v>2</v>
      </c>
      <c r="D101" s="121">
        <v>0.002893152329358203</v>
      </c>
      <c r="E101" s="121">
        <v>2.645422269349092</v>
      </c>
      <c r="F101" s="88" t="s">
        <v>1280</v>
      </c>
      <c r="G101" s="88" t="b">
        <v>0</v>
      </c>
      <c r="H101" s="88" t="b">
        <v>0</v>
      </c>
      <c r="I101" s="88" t="b">
        <v>0</v>
      </c>
      <c r="J101" s="88" t="b">
        <v>0</v>
      </c>
      <c r="K101" s="88" t="b">
        <v>0</v>
      </c>
      <c r="L101" s="88" t="b">
        <v>0</v>
      </c>
    </row>
    <row r="102" spans="1:12" ht="15">
      <c r="A102" s="89" t="s">
        <v>1225</v>
      </c>
      <c r="B102" s="88" t="s">
        <v>906</v>
      </c>
      <c r="C102" s="88">
        <v>2</v>
      </c>
      <c r="D102" s="121">
        <v>0.002893152329358203</v>
      </c>
      <c r="E102" s="121">
        <v>2.4693310102934105</v>
      </c>
      <c r="F102" s="88" t="s">
        <v>1280</v>
      </c>
      <c r="G102" s="88" t="b">
        <v>0</v>
      </c>
      <c r="H102" s="88" t="b">
        <v>0</v>
      </c>
      <c r="I102" s="88" t="b">
        <v>0</v>
      </c>
      <c r="J102" s="88" t="b">
        <v>0</v>
      </c>
      <c r="K102" s="88" t="b">
        <v>0</v>
      </c>
      <c r="L102" s="88" t="b">
        <v>0</v>
      </c>
    </row>
    <row r="103" spans="1:12" ht="15">
      <c r="A103" s="89" t="s">
        <v>906</v>
      </c>
      <c r="B103" s="88" t="s">
        <v>871</v>
      </c>
      <c r="C103" s="88">
        <v>2</v>
      </c>
      <c r="D103" s="121">
        <v>0.002893152329358203</v>
      </c>
      <c r="E103" s="121">
        <v>1.1368925503778053</v>
      </c>
      <c r="F103" s="88" t="s">
        <v>1280</v>
      </c>
      <c r="G103" s="88" t="b">
        <v>0</v>
      </c>
      <c r="H103" s="88" t="b">
        <v>0</v>
      </c>
      <c r="I103" s="88" t="b">
        <v>0</v>
      </c>
      <c r="J103" s="88" t="b">
        <v>0</v>
      </c>
      <c r="K103" s="88" t="b">
        <v>0</v>
      </c>
      <c r="L103" s="88" t="b">
        <v>0</v>
      </c>
    </row>
    <row r="104" spans="1:12" ht="15">
      <c r="A104" s="89" t="s">
        <v>894</v>
      </c>
      <c r="B104" s="88" t="s">
        <v>890</v>
      </c>
      <c r="C104" s="88">
        <v>2</v>
      </c>
      <c r="D104" s="121">
        <v>0.002893152329358203</v>
      </c>
      <c r="E104" s="121">
        <v>2.1683010146294297</v>
      </c>
      <c r="F104" s="88" t="s">
        <v>1280</v>
      </c>
      <c r="G104" s="88" t="b">
        <v>0</v>
      </c>
      <c r="H104" s="88" t="b">
        <v>0</v>
      </c>
      <c r="I104" s="88" t="b">
        <v>0</v>
      </c>
      <c r="J104" s="88" t="b">
        <v>0</v>
      </c>
      <c r="K104" s="88" t="b">
        <v>0</v>
      </c>
      <c r="L104" s="88" t="b">
        <v>0</v>
      </c>
    </row>
    <row r="105" spans="1:12" ht="15">
      <c r="A105" s="89" t="s">
        <v>1226</v>
      </c>
      <c r="B105" s="88" t="s">
        <v>1227</v>
      </c>
      <c r="C105" s="88">
        <v>2</v>
      </c>
      <c r="D105" s="121">
        <v>0.002893152329358203</v>
      </c>
      <c r="E105" s="121">
        <v>2.645422269349092</v>
      </c>
      <c r="F105" s="88" t="s">
        <v>1280</v>
      </c>
      <c r="G105" s="88" t="b">
        <v>0</v>
      </c>
      <c r="H105" s="88" t="b">
        <v>0</v>
      </c>
      <c r="I105" s="88" t="b">
        <v>0</v>
      </c>
      <c r="J105" s="88" t="b">
        <v>0</v>
      </c>
      <c r="K105" s="88" t="b">
        <v>0</v>
      </c>
      <c r="L105" s="88" t="b">
        <v>0</v>
      </c>
    </row>
    <row r="106" spans="1:12" ht="15">
      <c r="A106" s="89" t="s">
        <v>1227</v>
      </c>
      <c r="B106" s="88" t="s">
        <v>1228</v>
      </c>
      <c r="C106" s="88">
        <v>2</v>
      </c>
      <c r="D106" s="121">
        <v>0.002893152329358203</v>
      </c>
      <c r="E106" s="121">
        <v>2.645422269349092</v>
      </c>
      <c r="F106" s="88" t="s">
        <v>1280</v>
      </c>
      <c r="G106" s="88" t="b">
        <v>0</v>
      </c>
      <c r="H106" s="88" t="b">
        <v>0</v>
      </c>
      <c r="I106" s="88" t="b">
        <v>0</v>
      </c>
      <c r="J106" s="88" t="b">
        <v>0</v>
      </c>
      <c r="K106" s="88" t="b">
        <v>0</v>
      </c>
      <c r="L106" s="88" t="b">
        <v>0</v>
      </c>
    </row>
    <row r="107" spans="1:12" ht="15">
      <c r="A107" s="89" t="s">
        <v>1228</v>
      </c>
      <c r="B107" s="88" t="s">
        <v>878</v>
      </c>
      <c r="C107" s="88">
        <v>2</v>
      </c>
      <c r="D107" s="121">
        <v>0.002893152329358203</v>
      </c>
      <c r="E107" s="121">
        <v>2.0433622780211294</v>
      </c>
      <c r="F107" s="88" t="s">
        <v>1280</v>
      </c>
      <c r="G107" s="88" t="b">
        <v>0</v>
      </c>
      <c r="H107" s="88" t="b">
        <v>0</v>
      </c>
      <c r="I107" s="88" t="b">
        <v>0</v>
      </c>
      <c r="J107" s="88" t="b">
        <v>1</v>
      </c>
      <c r="K107" s="88" t="b">
        <v>0</v>
      </c>
      <c r="L107" s="88" t="b">
        <v>0</v>
      </c>
    </row>
    <row r="108" spans="1:12" ht="15">
      <c r="A108" s="89" t="s">
        <v>878</v>
      </c>
      <c r="B108" s="88" t="s">
        <v>855</v>
      </c>
      <c r="C108" s="88">
        <v>2</v>
      </c>
      <c r="D108" s="121">
        <v>0.002893152329358203</v>
      </c>
      <c r="E108" s="121">
        <v>2.0433622780211294</v>
      </c>
      <c r="F108" s="88" t="s">
        <v>1280</v>
      </c>
      <c r="G108" s="88" t="b">
        <v>1</v>
      </c>
      <c r="H108" s="88" t="b">
        <v>0</v>
      </c>
      <c r="I108" s="88" t="b">
        <v>0</v>
      </c>
      <c r="J108" s="88" t="b">
        <v>0</v>
      </c>
      <c r="K108" s="88" t="b">
        <v>0</v>
      </c>
      <c r="L108" s="88" t="b">
        <v>0</v>
      </c>
    </row>
    <row r="109" spans="1:12" ht="15">
      <c r="A109" s="89" t="s">
        <v>855</v>
      </c>
      <c r="B109" s="88" t="s">
        <v>1229</v>
      </c>
      <c r="C109" s="88">
        <v>2</v>
      </c>
      <c r="D109" s="121">
        <v>0.002893152329358203</v>
      </c>
      <c r="E109" s="121">
        <v>2.645422269349092</v>
      </c>
      <c r="F109" s="88" t="s">
        <v>1280</v>
      </c>
      <c r="G109" s="88" t="b">
        <v>0</v>
      </c>
      <c r="H109" s="88" t="b">
        <v>0</v>
      </c>
      <c r="I109" s="88" t="b">
        <v>0</v>
      </c>
      <c r="J109" s="88" t="b">
        <v>0</v>
      </c>
      <c r="K109" s="88" t="b">
        <v>0</v>
      </c>
      <c r="L109" s="88" t="b">
        <v>0</v>
      </c>
    </row>
    <row r="110" spans="1:12" ht="15">
      <c r="A110" s="89" t="s">
        <v>1229</v>
      </c>
      <c r="B110" s="88" t="s">
        <v>1230</v>
      </c>
      <c r="C110" s="88">
        <v>2</v>
      </c>
      <c r="D110" s="121">
        <v>0.002893152329358203</v>
      </c>
      <c r="E110" s="121">
        <v>2.645422269349092</v>
      </c>
      <c r="F110" s="88" t="s">
        <v>1280</v>
      </c>
      <c r="G110" s="88" t="b">
        <v>0</v>
      </c>
      <c r="H110" s="88" t="b">
        <v>0</v>
      </c>
      <c r="I110" s="88" t="b">
        <v>0</v>
      </c>
      <c r="J110" s="88" t="b">
        <v>0</v>
      </c>
      <c r="K110" s="88" t="b">
        <v>0</v>
      </c>
      <c r="L110" s="88" t="b">
        <v>0</v>
      </c>
    </row>
    <row r="111" spans="1:12" ht="15">
      <c r="A111" s="89" t="s">
        <v>1230</v>
      </c>
      <c r="B111" s="88" t="s">
        <v>1231</v>
      </c>
      <c r="C111" s="88">
        <v>2</v>
      </c>
      <c r="D111" s="121">
        <v>0.002893152329358203</v>
      </c>
      <c r="E111" s="121">
        <v>2.645422269349092</v>
      </c>
      <c r="F111" s="88" t="s">
        <v>1280</v>
      </c>
      <c r="G111" s="88" t="b">
        <v>0</v>
      </c>
      <c r="H111" s="88" t="b">
        <v>0</v>
      </c>
      <c r="I111" s="88" t="b">
        <v>0</v>
      </c>
      <c r="J111" s="88" t="b">
        <v>0</v>
      </c>
      <c r="K111" s="88" t="b">
        <v>0</v>
      </c>
      <c r="L111" s="88" t="b">
        <v>0</v>
      </c>
    </row>
    <row r="112" spans="1:12" ht="15">
      <c r="A112" s="89" t="s">
        <v>1231</v>
      </c>
      <c r="B112" s="88" t="s">
        <v>1232</v>
      </c>
      <c r="C112" s="88">
        <v>2</v>
      </c>
      <c r="D112" s="121">
        <v>0.002893152329358203</v>
      </c>
      <c r="E112" s="121">
        <v>2.645422269349092</v>
      </c>
      <c r="F112" s="88" t="s">
        <v>1280</v>
      </c>
      <c r="G112" s="88" t="b">
        <v>0</v>
      </c>
      <c r="H112" s="88" t="b">
        <v>0</v>
      </c>
      <c r="I112" s="88" t="b">
        <v>0</v>
      </c>
      <c r="J112" s="88" t="b">
        <v>0</v>
      </c>
      <c r="K112" s="88" t="b">
        <v>0</v>
      </c>
      <c r="L112" s="88" t="b">
        <v>0</v>
      </c>
    </row>
    <row r="113" spans="1:12" ht="15">
      <c r="A113" s="89" t="s">
        <v>1232</v>
      </c>
      <c r="B113" s="88" t="s">
        <v>1233</v>
      </c>
      <c r="C113" s="88">
        <v>2</v>
      </c>
      <c r="D113" s="121">
        <v>0.002893152329358203</v>
      </c>
      <c r="E113" s="121">
        <v>2.645422269349092</v>
      </c>
      <c r="F113" s="88" t="s">
        <v>1280</v>
      </c>
      <c r="G113" s="88" t="b">
        <v>0</v>
      </c>
      <c r="H113" s="88" t="b">
        <v>0</v>
      </c>
      <c r="I113" s="88" t="b">
        <v>0</v>
      </c>
      <c r="J113" s="88" t="b">
        <v>0</v>
      </c>
      <c r="K113" s="88" t="b">
        <v>0</v>
      </c>
      <c r="L113" s="88" t="b">
        <v>0</v>
      </c>
    </row>
    <row r="114" spans="1:12" ht="15">
      <c r="A114" s="89" t="s">
        <v>1233</v>
      </c>
      <c r="B114" s="88" t="s">
        <v>1194</v>
      </c>
      <c r="C114" s="88">
        <v>2</v>
      </c>
      <c r="D114" s="121">
        <v>0.002893152329358203</v>
      </c>
      <c r="E114" s="121">
        <v>2.2474822606770544</v>
      </c>
      <c r="F114" s="88" t="s">
        <v>1280</v>
      </c>
      <c r="G114" s="88" t="b">
        <v>0</v>
      </c>
      <c r="H114" s="88" t="b">
        <v>0</v>
      </c>
      <c r="I114" s="88" t="b">
        <v>0</v>
      </c>
      <c r="J114" s="88" t="b">
        <v>0</v>
      </c>
      <c r="K114" s="88" t="b">
        <v>0</v>
      </c>
      <c r="L114" s="88" t="b">
        <v>0</v>
      </c>
    </row>
    <row r="115" spans="1:12" ht="15">
      <c r="A115" s="89" t="s">
        <v>1194</v>
      </c>
      <c r="B115" s="88" t="s">
        <v>1234</v>
      </c>
      <c r="C115" s="88">
        <v>2</v>
      </c>
      <c r="D115" s="121">
        <v>0.002893152329358203</v>
      </c>
      <c r="E115" s="121">
        <v>2.2474822606770544</v>
      </c>
      <c r="F115" s="88" t="s">
        <v>1280</v>
      </c>
      <c r="G115" s="88" t="b">
        <v>0</v>
      </c>
      <c r="H115" s="88" t="b">
        <v>0</v>
      </c>
      <c r="I115" s="88" t="b">
        <v>0</v>
      </c>
      <c r="J115" s="88" t="b">
        <v>0</v>
      </c>
      <c r="K115" s="88" t="b">
        <v>0</v>
      </c>
      <c r="L115" s="88" t="b">
        <v>0</v>
      </c>
    </row>
    <row r="116" spans="1:12" ht="15">
      <c r="A116" s="89" t="s">
        <v>1234</v>
      </c>
      <c r="B116" s="88" t="s">
        <v>1235</v>
      </c>
      <c r="C116" s="88">
        <v>2</v>
      </c>
      <c r="D116" s="121">
        <v>0.002893152329358203</v>
      </c>
      <c r="E116" s="121">
        <v>2.645422269349092</v>
      </c>
      <c r="F116" s="88" t="s">
        <v>1280</v>
      </c>
      <c r="G116" s="88" t="b">
        <v>0</v>
      </c>
      <c r="H116" s="88" t="b">
        <v>0</v>
      </c>
      <c r="I116" s="88" t="b">
        <v>0</v>
      </c>
      <c r="J116" s="88" t="b">
        <v>0</v>
      </c>
      <c r="K116" s="88" t="b">
        <v>0</v>
      </c>
      <c r="L116" s="88" t="b">
        <v>0</v>
      </c>
    </row>
    <row r="117" spans="1:12" ht="15">
      <c r="A117" s="89" t="s">
        <v>1235</v>
      </c>
      <c r="B117" s="88" t="s">
        <v>1195</v>
      </c>
      <c r="C117" s="88">
        <v>2</v>
      </c>
      <c r="D117" s="121">
        <v>0.002893152329358203</v>
      </c>
      <c r="E117" s="121">
        <v>2.2474822606770544</v>
      </c>
      <c r="F117" s="88" t="s">
        <v>1280</v>
      </c>
      <c r="G117" s="88" t="b">
        <v>0</v>
      </c>
      <c r="H117" s="88" t="b">
        <v>0</v>
      </c>
      <c r="I117" s="88" t="b">
        <v>0</v>
      </c>
      <c r="J117" s="88" t="b">
        <v>0</v>
      </c>
      <c r="K117" s="88" t="b">
        <v>0</v>
      </c>
      <c r="L117" s="88" t="b">
        <v>0</v>
      </c>
    </row>
    <row r="118" spans="1:12" ht="15">
      <c r="A118" s="89" t="s">
        <v>1196</v>
      </c>
      <c r="B118" s="88" t="s">
        <v>1197</v>
      </c>
      <c r="C118" s="88">
        <v>2</v>
      </c>
      <c r="D118" s="121">
        <v>0.002893152329358203</v>
      </c>
      <c r="E118" s="121">
        <v>1.8495422520050167</v>
      </c>
      <c r="F118" s="88" t="s">
        <v>1280</v>
      </c>
      <c r="G118" s="88" t="b">
        <v>0</v>
      </c>
      <c r="H118" s="88" t="b">
        <v>0</v>
      </c>
      <c r="I118" s="88" t="b">
        <v>0</v>
      </c>
      <c r="J118" s="88" t="b">
        <v>0</v>
      </c>
      <c r="K118" s="88" t="b">
        <v>0</v>
      </c>
      <c r="L118" s="88" t="b">
        <v>0</v>
      </c>
    </row>
    <row r="119" spans="1:12" ht="15">
      <c r="A119" s="89" t="s">
        <v>1198</v>
      </c>
      <c r="B119" s="88" t="s">
        <v>1200</v>
      </c>
      <c r="C119" s="88">
        <v>2</v>
      </c>
      <c r="D119" s="121">
        <v>0.002893152329358203</v>
      </c>
      <c r="E119" s="121">
        <v>1.9464522650130731</v>
      </c>
      <c r="F119" s="88" t="s">
        <v>1280</v>
      </c>
      <c r="G119" s="88" t="b">
        <v>0</v>
      </c>
      <c r="H119" s="88" t="b">
        <v>0</v>
      </c>
      <c r="I119" s="88" t="b">
        <v>0</v>
      </c>
      <c r="J119" s="88" t="b">
        <v>0</v>
      </c>
      <c r="K119" s="88" t="b">
        <v>0</v>
      </c>
      <c r="L119" s="88" t="b">
        <v>0</v>
      </c>
    </row>
    <row r="120" spans="1:12" ht="15">
      <c r="A120" s="89" t="s">
        <v>1201</v>
      </c>
      <c r="B120" s="88" t="s">
        <v>1202</v>
      </c>
      <c r="C120" s="88">
        <v>2</v>
      </c>
      <c r="D120" s="121">
        <v>0.002893152329358203</v>
      </c>
      <c r="E120" s="121">
        <v>2.0433622780211294</v>
      </c>
      <c r="F120" s="88" t="s">
        <v>1280</v>
      </c>
      <c r="G120" s="88" t="b">
        <v>0</v>
      </c>
      <c r="H120" s="88" t="b">
        <v>0</v>
      </c>
      <c r="I120" s="88" t="b">
        <v>0</v>
      </c>
      <c r="J120" s="88" t="b">
        <v>0</v>
      </c>
      <c r="K120" s="88" t="b">
        <v>0</v>
      </c>
      <c r="L120" s="88" t="b">
        <v>0</v>
      </c>
    </row>
    <row r="121" spans="1:12" ht="15">
      <c r="A121" s="89" t="s">
        <v>1202</v>
      </c>
      <c r="B121" s="88" t="s">
        <v>936</v>
      </c>
      <c r="C121" s="88">
        <v>2</v>
      </c>
      <c r="D121" s="121">
        <v>0.002893152329358203</v>
      </c>
      <c r="E121" s="121">
        <v>1.8003242293348352</v>
      </c>
      <c r="F121" s="88" t="s">
        <v>1280</v>
      </c>
      <c r="G121" s="88" t="b">
        <v>0</v>
      </c>
      <c r="H121" s="88" t="b">
        <v>0</v>
      </c>
      <c r="I121" s="88" t="b">
        <v>0</v>
      </c>
      <c r="J121" s="88" t="b">
        <v>0</v>
      </c>
      <c r="K121" s="88" t="b">
        <v>0</v>
      </c>
      <c r="L121" s="88" t="b">
        <v>0</v>
      </c>
    </row>
    <row r="122" spans="1:12" ht="15">
      <c r="A122" s="89" t="s">
        <v>936</v>
      </c>
      <c r="B122" s="88" t="s">
        <v>871</v>
      </c>
      <c r="C122" s="88">
        <v>2</v>
      </c>
      <c r="D122" s="121">
        <v>0.002893152329358203</v>
      </c>
      <c r="E122" s="121">
        <v>0.768915765083211</v>
      </c>
      <c r="F122" s="88" t="s">
        <v>1280</v>
      </c>
      <c r="G122" s="88" t="b">
        <v>0</v>
      </c>
      <c r="H122" s="88" t="b">
        <v>0</v>
      </c>
      <c r="I122" s="88" t="b">
        <v>0</v>
      </c>
      <c r="J122" s="88" t="b">
        <v>0</v>
      </c>
      <c r="K122" s="88" t="b">
        <v>0</v>
      </c>
      <c r="L122" s="88" t="b">
        <v>0</v>
      </c>
    </row>
    <row r="123" spans="1:12" ht="15">
      <c r="A123" s="89" t="s">
        <v>871</v>
      </c>
      <c r="B123" s="88" t="s">
        <v>1199</v>
      </c>
      <c r="C123" s="88">
        <v>2</v>
      </c>
      <c r="D123" s="121">
        <v>0.002893152329358203</v>
      </c>
      <c r="E123" s="121">
        <v>1.0433622780211296</v>
      </c>
      <c r="F123" s="88" t="s">
        <v>1280</v>
      </c>
      <c r="G123" s="88" t="b">
        <v>0</v>
      </c>
      <c r="H123" s="88" t="b">
        <v>0</v>
      </c>
      <c r="I123" s="88" t="b">
        <v>0</v>
      </c>
      <c r="J123" s="88" t="b">
        <v>0</v>
      </c>
      <c r="K123" s="88" t="b">
        <v>0</v>
      </c>
      <c r="L123" s="88" t="b">
        <v>0</v>
      </c>
    </row>
    <row r="124" spans="1:12" ht="15">
      <c r="A124" s="89" t="s">
        <v>1199</v>
      </c>
      <c r="B124" s="88" t="s">
        <v>1236</v>
      </c>
      <c r="C124" s="88">
        <v>2</v>
      </c>
      <c r="D124" s="121">
        <v>0.002893152329358203</v>
      </c>
      <c r="E124" s="121">
        <v>2.2474822606770544</v>
      </c>
      <c r="F124" s="88" t="s">
        <v>1280</v>
      </c>
      <c r="G124" s="88" t="b">
        <v>0</v>
      </c>
      <c r="H124" s="88" t="b">
        <v>0</v>
      </c>
      <c r="I124" s="88" t="b">
        <v>0</v>
      </c>
      <c r="J124" s="88" t="b">
        <v>0</v>
      </c>
      <c r="K124" s="88" t="b">
        <v>0</v>
      </c>
      <c r="L124" s="88" t="b">
        <v>0</v>
      </c>
    </row>
    <row r="125" spans="1:12" ht="15">
      <c r="A125" s="89" t="s">
        <v>1236</v>
      </c>
      <c r="B125" s="88" t="s">
        <v>879</v>
      </c>
      <c r="C125" s="88">
        <v>2</v>
      </c>
      <c r="D125" s="121">
        <v>0.002893152329358203</v>
      </c>
      <c r="E125" s="121">
        <v>2.0433622780211294</v>
      </c>
      <c r="F125" s="88" t="s">
        <v>1280</v>
      </c>
      <c r="G125" s="88" t="b">
        <v>0</v>
      </c>
      <c r="H125" s="88" t="b">
        <v>0</v>
      </c>
      <c r="I125" s="88" t="b">
        <v>0</v>
      </c>
      <c r="J125" s="88" t="b">
        <v>0</v>
      </c>
      <c r="K125" s="88" t="b">
        <v>0</v>
      </c>
      <c r="L125" s="88" t="b">
        <v>0</v>
      </c>
    </row>
    <row r="126" spans="1:12" ht="15">
      <c r="A126" s="89" t="s">
        <v>879</v>
      </c>
      <c r="B126" s="88" t="s">
        <v>883</v>
      </c>
      <c r="C126" s="88">
        <v>2</v>
      </c>
      <c r="D126" s="121">
        <v>0.002893152329358203</v>
      </c>
      <c r="E126" s="121">
        <v>1.499294233670854</v>
      </c>
      <c r="F126" s="88" t="s">
        <v>1280</v>
      </c>
      <c r="G126" s="88" t="b">
        <v>0</v>
      </c>
      <c r="H126" s="88" t="b">
        <v>0</v>
      </c>
      <c r="I126" s="88" t="b">
        <v>0</v>
      </c>
      <c r="J126" s="88" t="b">
        <v>0</v>
      </c>
      <c r="K126" s="88" t="b">
        <v>0</v>
      </c>
      <c r="L126" s="88" t="b">
        <v>0</v>
      </c>
    </row>
    <row r="127" spans="1:12" ht="15">
      <c r="A127" s="89" t="s">
        <v>850</v>
      </c>
      <c r="B127" s="88" t="s">
        <v>881</v>
      </c>
      <c r="C127" s="88">
        <v>2</v>
      </c>
      <c r="D127" s="121">
        <v>0.002893152329358203</v>
      </c>
      <c r="E127" s="121">
        <v>1.8672710189654482</v>
      </c>
      <c r="F127" s="88" t="s">
        <v>1280</v>
      </c>
      <c r="G127" s="88" t="b">
        <v>0</v>
      </c>
      <c r="H127" s="88" t="b">
        <v>0</v>
      </c>
      <c r="I127" s="88" t="b">
        <v>0</v>
      </c>
      <c r="J127" s="88" t="b">
        <v>0</v>
      </c>
      <c r="K127" s="88" t="b">
        <v>0</v>
      </c>
      <c r="L127" s="88" t="b">
        <v>0</v>
      </c>
    </row>
    <row r="128" spans="1:12" ht="15">
      <c r="A128" s="89" t="s">
        <v>881</v>
      </c>
      <c r="B128" s="88" t="s">
        <v>254</v>
      </c>
      <c r="C128" s="88">
        <v>2</v>
      </c>
      <c r="D128" s="121">
        <v>0.002893152329358203</v>
      </c>
      <c r="E128" s="121">
        <v>2.645422269349092</v>
      </c>
      <c r="F128" s="88" t="s">
        <v>1280</v>
      </c>
      <c r="G128" s="88" t="b">
        <v>0</v>
      </c>
      <c r="H128" s="88" t="b">
        <v>0</v>
      </c>
      <c r="I128" s="88" t="b">
        <v>0</v>
      </c>
      <c r="J128" s="88" t="b">
        <v>0</v>
      </c>
      <c r="K128" s="88" t="b">
        <v>0</v>
      </c>
      <c r="L128" s="88" t="b">
        <v>0</v>
      </c>
    </row>
    <row r="129" spans="1:12" ht="15">
      <c r="A129" s="89" t="s">
        <v>254</v>
      </c>
      <c r="B129" s="88" t="s">
        <v>283</v>
      </c>
      <c r="C129" s="88">
        <v>2</v>
      </c>
      <c r="D129" s="121">
        <v>0.002893152329358203</v>
      </c>
      <c r="E129" s="121">
        <v>2.645422269349092</v>
      </c>
      <c r="F129" s="88" t="s">
        <v>1280</v>
      </c>
      <c r="G129" s="88" t="b">
        <v>0</v>
      </c>
      <c r="H129" s="88" t="b">
        <v>0</v>
      </c>
      <c r="I129" s="88" t="b">
        <v>0</v>
      </c>
      <c r="J129" s="88" t="b">
        <v>0</v>
      </c>
      <c r="K129" s="88" t="b">
        <v>0</v>
      </c>
      <c r="L129" s="88" t="b">
        <v>0</v>
      </c>
    </row>
    <row r="130" spans="1:12" ht="15">
      <c r="A130" s="89" t="s">
        <v>283</v>
      </c>
      <c r="B130" s="88" t="s">
        <v>275</v>
      </c>
      <c r="C130" s="88">
        <v>2</v>
      </c>
      <c r="D130" s="121">
        <v>0.002893152329358203</v>
      </c>
      <c r="E130" s="121">
        <v>2.3443922736851106</v>
      </c>
      <c r="F130" s="88" t="s">
        <v>1280</v>
      </c>
      <c r="G130" s="88" t="b">
        <v>0</v>
      </c>
      <c r="H130" s="88" t="b">
        <v>0</v>
      </c>
      <c r="I130" s="88" t="b">
        <v>0</v>
      </c>
      <c r="J130" s="88" t="b">
        <v>0</v>
      </c>
      <c r="K130" s="88" t="b">
        <v>0</v>
      </c>
      <c r="L130" s="88" t="b">
        <v>0</v>
      </c>
    </row>
    <row r="131" spans="1:12" ht="15">
      <c r="A131" s="89" t="s">
        <v>275</v>
      </c>
      <c r="B131" s="88" t="s">
        <v>282</v>
      </c>
      <c r="C131" s="88">
        <v>2</v>
      </c>
      <c r="D131" s="121">
        <v>0.002893152329358203</v>
      </c>
      <c r="E131" s="121">
        <v>2.645422269349092</v>
      </c>
      <c r="F131" s="88" t="s">
        <v>1280</v>
      </c>
      <c r="G131" s="88" t="b">
        <v>0</v>
      </c>
      <c r="H131" s="88" t="b">
        <v>0</v>
      </c>
      <c r="I131" s="88" t="b">
        <v>0</v>
      </c>
      <c r="J131" s="88" t="b">
        <v>0</v>
      </c>
      <c r="K131" s="88" t="b">
        <v>0</v>
      </c>
      <c r="L131" s="88" t="b">
        <v>0</v>
      </c>
    </row>
    <row r="132" spans="1:12" ht="15">
      <c r="A132" s="89" t="s">
        <v>282</v>
      </c>
      <c r="B132" s="88" t="s">
        <v>281</v>
      </c>
      <c r="C132" s="88">
        <v>2</v>
      </c>
      <c r="D132" s="121">
        <v>0.002893152329358203</v>
      </c>
      <c r="E132" s="121">
        <v>2.645422269349092</v>
      </c>
      <c r="F132" s="88" t="s">
        <v>1280</v>
      </c>
      <c r="G132" s="88" t="b">
        <v>0</v>
      </c>
      <c r="H132" s="88" t="b">
        <v>0</v>
      </c>
      <c r="I132" s="88" t="b">
        <v>0</v>
      </c>
      <c r="J132" s="88" t="b">
        <v>0</v>
      </c>
      <c r="K132" s="88" t="b">
        <v>0</v>
      </c>
      <c r="L132" s="88" t="b">
        <v>0</v>
      </c>
    </row>
    <row r="133" spans="1:12" ht="15">
      <c r="A133" s="89" t="s">
        <v>281</v>
      </c>
      <c r="B133" s="88" t="s">
        <v>251</v>
      </c>
      <c r="C133" s="88">
        <v>2</v>
      </c>
      <c r="D133" s="121">
        <v>0.002893152329358203</v>
      </c>
      <c r="E133" s="121">
        <v>2.645422269349092</v>
      </c>
      <c r="F133" s="88" t="s">
        <v>1280</v>
      </c>
      <c r="G133" s="88" t="b">
        <v>0</v>
      </c>
      <c r="H133" s="88" t="b">
        <v>0</v>
      </c>
      <c r="I133" s="88" t="b">
        <v>0</v>
      </c>
      <c r="J133" s="88" t="b">
        <v>0</v>
      </c>
      <c r="K133" s="88" t="b">
        <v>0</v>
      </c>
      <c r="L133" s="88" t="b">
        <v>0</v>
      </c>
    </row>
    <row r="134" spans="1:12" ht="15">
      <c r="A134" s="89" t="s">
        <v>251</v>
      </c>
      <c r="B134" s="88" t="s">
        <v>280</v>
      </c>
      <c r="C134" s="88">
        <v>2</v>
      </c>
      <c r="D134" s="121">
        <v>0.002893152329358203</v>
      </c>
      <c r="E134" s="121">
        <v>2.645422269349092</v>
      </c>
      <c r="F134" s="88" t="s">
        <v>1280</v>
      </c>
      <c r="G134" s="88" t="b">
        <v>0</v>
      </c>
      <c r="H134" s="88" t="b">
        <v>0</v>
      </c>
      <c r="I134" s="88" t="b">
        <v>0</v>
      </c>
      <c r="J134" s="88" t="b">
        <v>0</v>
      </c>
      <c r="K134" s="88" t="b">
        <v>0</v>
      </c>
      <c r="L134" s="88" t="b">
        <v>0</v>
      </c>
    </row>
    <row r="135" spans="1:12" ht="15">
      <c r="A135" s="89" t="s">
        <v>280</v>
      </c>
      <c r="B135" s="88" t="s">
        <v>279</v>
      </c>
      <c r="C135" s="88">
        <v>2</v>
      </c>
      <c r="D135" s="121">
        <v>0.002893152329358203</v>
      </c>
      <c r="E135" s="121">
        <v>2.645422269349092</v>
      </c>
      <c r="F135" s="88" t="s">
        <v>1280</v>
      </c>
      <c r="G135" s="88" t="b">
        <v>0</v>
      </c>
      <c r="H135" s="88" t="b">
        <v>0</v>
      </c>
      <c r="I135" s="88" t="b">
        <v>0</v>
      </c>
      <c r="J135" s="88" t="b">
        <v>0</v>
      </c>
      <c r="K135" s="88" t="b">
        <v>0</v>
      </c>
      <c r="L135" s="88" t="b">
        <v>0</v>
      </c>
    </row>
    <row r="136" spans="1:12" ht="15">
      <c r="A136" s="89" t="s">
        <v>279</v>
      </c>
      <c r="B136" s="88" t="s">
        <v>278</v>
      </c>
      <c r="C136" s="88">
        <v>2</v>
      </c>
      <c r="D136" s="121">
        <v>0.002893152329358203</v>
      </c>
      <c r="E136" s="121">
        <v>2.645422269349092</v>
      </c>
      <c r="F136" s="88" t="s">
        <v>1280</v>
      </c>
      <c r="G136" s="88" t="b">
        <v>0</v>
      </c>
      <c r="H136" s="88" t="b">
        <v>0</v>
      </c>
      <c r="I136" s="88" t="b">
        <v>0</v>
      </c>
      <c r="J136" s="88" t="b">
        <v>0</v>
      </c>
      <c r="K136" s="88" t="b">
        <v>0</v>
      </c>
      <c r="L136" s="88" t="b">
        <v>0</v>
      </c>
    </row>
    <row r="137" spans="1:12" ht="15">
      <c r="A137" s="89" t="s">
        <v>278</v>
      </c>
      <c r="B137" s="88" t="s">
        <v>277</v>
      </c>
      <c r="C137" s="88">
        <v>2</v>
      </c>
      <c r="D137" s="121">
        <v>0.002893152329358203</v>
      </c>
      <c r="E137" s="121">
        <v>2.645422269349092</v>
      </c>
      <c r="F137" s="88" t="s">
        <v>1280</v>
      </c>
      <c r="G137" s="88" t="b">
        <v>0</v>
      </c>
      <c r="H137" s="88" t="b">
        <v>0</v>
      </c>
      <c r="I137" s="88" t="b">
        <v>0</v>
      </c>
      <c r="J137" s="88" t="b">
        <v>0</v>
      </c>
      <c r="K137" s="88" t="b">
        <v>0</v>
      </c>
      <c r="L137" s="88" t="b">
        <v>0</v>
      </c>
    </row>
    <row r="138" spans="1:12" ht="15">
      <c r="A138" s="89" t="s">
        <v>277</v>
      </c>
      <c r="B138" s="88" t="s">
        <v>1237</v>
      </c>
      <c r="C138" s="88">
        <v>2</v>
      </c>
      <c r="D138" s="121">
        <v>0.002893152329358203</v>
      </c>
      <c r="E138" s="121">
        <v>2.645422269349092</v>
      </c>
      <c r="F138" s="88" t="s">
        <v>1280</v>
      </c>
      <c r="G138" s="88" t="b">
        <v>0</v>
      </c>
      <c r="H138" s="88" t="b">
        <v>0</v>
      </c>
      <c r="I138" s="88" t="b">
        <v>0</v>
      </c>
      <c r="J138" s="88" t="b">
        <v>1</v>
      </c>
      <c r="K138" s="88" t="b">
        <v>0</v>
      </c>
      <c r="L138" s="88" t="b">
        <v>0</v>
      </c>
    </row>
    <row r="139" spans="1:12" ht="15">
      <c r="A139" s="89" t="s">
        <v>1237</v>
      </c>
      <c r="B139" s="88" t="s">
        <v>1238</v>
      </c>
      <c r="C139" s="88">
        <v>2</v>
      </c>
      <c r="D139" s="121">
        <v>0.002893152329358203</v>
      </c>
      <c r="E139" s="121">
        <v>2.645422269349092</v>
      </c>
      <c r="F139" s="88" t="s">
        <v>1280</v>
      </c>
      <c r="G139" s="88" t="b">
        <v>1</v>
      </c>
      <c r="H139" s="88" t="b">
        <v>0</v>
      </c>
      <c r="I139" s="88" t="b">
        <v>0</v>
      </c>
      <c r="J139" s="88" t="b">
        <v>0</v>
      </c>
      <c r="K139" s="88" t="b">
        <v>0</v>
      </c>
      <c r="L139" s="88" t="b">
        <v>0</v>
      </c>
    </row>
    <row r="140" spans="1:12" ht="15">
      <c r="A140" s="89" t="s">
        <v>1238</v>
      </c>
      <c r="B140" s="88" t="s">
        <v>1239</v>
      </c>
      <c r="C140" s="88">
        <v>2</v>
      </c>
      <c r="D140" s="121">
        <v>0.002893152329358203</v>
      </c>
      <c r="E140" s="121">
        <v>2.645422269349092</v>
      </c>
      <c r="F140" s="88" t="s">
        <v>1280</v>
      </c>
      <c r="G140" s="88" t="b">
        <v>0</v>
      </c>
      <c r="H140" s="88" t="b">
        <v>0</v>
      </c>
      <c r="I140" s="88" t="b">
        <v>0</v>
      </c>
      <c r="J140" s="88" t="b">
        <v>0</v>
      </c>
      <c r="K140" s="88" t="b">
        <v>0</v>
      </c>
      <c r="L140" s="88" t="b">
        <v>0</v>
      </c>
    </row>
    <row r="141" spans="1:12" ht="15">
      <c r="A141" s="89" t="s">
        <v>1239</v>
      </c>
      <c r="B141" s="88" t="s">
        <v>871</v>
      </c>
      <c r="C141" s="88">
        <v>2</v>
      </c>
      <c r="D141" s="121">
        <v>0.002893152329358203</v>
      </c>
      <c r="E141" s="121">
        <v>1.3129838094334865</v>
      </c>
      <c r="F141" s="88" t="s">
        <v>1280</v>
      </c>
      <c r="G141" s="88" t="b">
        <v>0</v>
      </c>
      <c r="H141" s="88" t="b">
        <v>0</v>
      </c>
      <c r="I141" s="88" t="b">
        <v>0</v>
      </c>
      <c r="J141" s="88" t="b">
        <v>0</v>
      </c>
      <c r="K141" s="88" t="b">
        <v>0</v>
      </c>
      <c r="L141" s="88" t="b">
        <v>0</v>
      </c>
    </row>
    <row r="142" spans="1:12" ht="15">
      <c r="A142" s="89" t="s">
        <v>871</v>
      </c>
      <c r="B142" s="88" t="s">
        <v>1240</v>
      </c>
      <c r="C142" s="88">
        <v>2</v>
      </c>
      <c r="D142" s="121">
        <v>0.002893152329358203</v>
      </c>
      <c r="E142" s="121">
        <v>1.441302286693167</v>
      </c>
      <c r="F142" s="88" t="s">
        <v>1280</v>
      </c>
      <c r="G142" s="88" t="b">
        <v>0</v>
      </c>
      <c r="H142" s="88" t="b">
        <v>0</v>
      </c>
      <c r="I142" s="88" t="b">
        <v>0</v>
      </c>
      <c r="J142" s="88" t="b">
        <v>0</v>
      </c>
      <c r="K142" s="88" t="b">
        <v>0</v>
      </c>
      <c r="L142" s="88" t="b">
        <v>0</v>
      </c>
    </row>
    <row r="143" spans="1:12" ht="15">
      <c r="A143" s="89" t="s">
        <v>1240</v>
      </c>
      <c r="B143" s="88" t="s">
        <v>1241</v>
      </c>
      <c r="C143" s="88">
        <v>2</v>
      </c>
      <c r="D143" s="121">
        <v>0.002893152329358203</v>
      </c>
      <c r="E143" s="121">
        <v>2.645422269349092</v>
      </c>
      <c r="F143" s="88" t="s">
        <v>1280</v>
      </c>
      <c r="G143" s="88" t="b">
        <v>0</v>
      </c>
      <c r="H143" s="88" t="b">
        <v>0</v>
      </c>
      <c r="I143" s="88" t="b">
        <v>0</v>
      </c>
      <c r="J143" s="88" t="b">
        <v>0</v>
      </c>
      <c r="K143" s="88" t="b">
        <v>0</v>
      </c>
      <c r="L143" s="88" t="b">
        <v>0</v>
      </c>
    </row>
    <row r="144" spans="1:12" ht="15">
      <c r="A144" s="89" t="s">
        <v>1241</v>
      </c>
      <c r="B144" s="88" t="s">
        <v>1242</v>
      </c>
      <c r="C144" s="88">
        <v>2</v>
      </c>
      <c r="D144" s="121">
        <v>0.002893152329358203</v>
      </c>
      <c r="E144" s="121">
        <v>2.645422269349092</v>
      </c>
      <c r="F144" s="88" t="s">
        <v>1280</v>
      </c>
      <c r="G144" s="88" t="b">
        <v>0</v>
      </c>
      <c r="H144" s="88" t="b">
        <v>0</v>
      </c>
      <c r="I144" s="88" t="b">
        <v>0</v>
      </c>
      <c r="J144" s="88" t="b">
        <v>0</v>
      </c>
      <c r="K144" s="88" t="b">
        <v>0</v>
      </c>
      <c r="L144" s="88" t="b">
        <v>0</v>
      </c>
    </row>
    <row r="145" spans="1:12" ht="15">
      <c r="A145" s="89" t="s">
        <v>1244</v>
      </c>
      <c r="B145" s="88" t="s">
        <v>891</v>
      </c>
      <c r="C145" s="88">
        <v>2</v>
      </c>
      <c r="D145" s="121">
        <v>0.002893152329358203</v>
      </c>
      <c r="E145" s="121">
        <v>2.4693310102934105</v>
      </c>
      <c r="F145" s="88" t="s">
        <v>1280</v>
      </c>
      <c r="G145" s="88" t="b">
        <v>0</v>
      </c>
      <c r="H145" s="88" t="b">
        <v>0</v>
      </c>
      <c r="I145" s="88" t="b">
        <v>0</v>
      </c>
      <c r="J145" s="88" t="b">
        <v>0</v>
      </c>
      <c r="K145" s="88" t="b">
        <v>0</v>
      </c>
      <c r="L145" s="88" t="b">
        <v>0</v>
      </c>
    </row>
    <row r="146" spans="1:12" ht="15">
      <c r="A146" s="89" t="s">
        <v>850</v>
      </c>
      <c r="B146" s="88" t="s">
        <v>935</v>
      </c>
      <c r="C146" s="88">
        <v>2</v>
      </c>
      <c r="D146" s="121">
        <v>0.002893152329358203</v>
      </c>
      <c r="E146" s="121">
        <v>1.8672710189654482</v>
      </c>
      <c r="F146" s="88" t="s">
        <v>1280</v>
      </c>
      <c r="G146" s="88" t="b">
        <v>0</v>
      </c>
      <c r="H146" s="88" t="b">
        <v>0</v>
      </c>
      <c r="I146" s="88" t="b">
        <v>0</v>
      </c>
      <c r="J146" s="88" t="b">
        <v>0</v>
      </c>
      <c r="K146" s="88" t="b">
        <v>0</v>
      </c>
      <c r="L146" s="88" t="b">
        <v>0</v>
      </c>
    </row>
    <row r="147" spans="1:12" ht="15">
      <c r="A147" s="89" t="s">
        <v>871</v>
      </c>
      <c r="B147" s="88" t="s">
        <v>936</v>
      </c>
      <c r="C147" s="88">
        <v>2</v>
      </c>
      <c r="D147" s="121">
        <v>0.002893152329358203</v>
      </c>
      <c r="E147" s="121">
        <v>0.8972342423428915</v>
      </c>
      <c r="F147" s="88" t="s">
        <v>1280</v>
      </c>
      <c r="G147" s="88" t="b">
        <v>0</v>
      </c>
      <c r="H147" s="88" t="b">
        <v>0</v>
      </c>
      <c r="I147" s="88" t="b">
        <v>0</v>
      </c>
      <c r="J147" s="88" t="b">
        <v>0</v>
      </c>
      <c r="K147" s="88" t="b">
        <v>0</v>
      </c>
      <c r="L147" s="88" t="b">
        <v>0</v>
      </c>
    </row>
    <row r="148" spans="1:12" ht="15">
      <c r="A148" s="89" t="s">
        <v>936</v>
      </c>
      <c r="B148" s="88" t="s">
        <v>937</v>
      </c>
      <c r="C148" s="88">
        <v>2</v>
      </c>
      <c r="D148" s="121">
        <v>0.002893152329358203</v>
      </c>
      <c r="E148" s="121">
        <v>2.101354224998816</v>
      </c>
      <c r="F148" s="88" t="s">
        <v>1280</v>
      </c>
      <c r="G148" s="88" t="b">
        <v>0</v>
      </c>
      <c r="H148" s="88" t="b">
        <v>0</v>
      </c>
      <c r="I148" s="88" t="b">
        <v>0</v>
      </c>
      <c r="J148" s="88" t="b">
        <v>0</v>
      </c>
      <c r="K148" s="88" t="b">
        <v>0</v>
      </c>
      <c r="L148" s="88" t="b">
        <v>0</v>
      </c>
    </row>
    <row r="149" spans="1:12" ht="15">
      <c r="A149" s="89" t="s">
        <v>1245</v>
      </c>
      <c r="B149" s="88" t="s">
        <v>1246</v>
      </c>
      <c r="C149" s="88">
        <v>2</v>
      </c>
      <c r="D149" s="121">
        <v>0.002893152329358203</v>
      </c>
      <c r="E149" s="121">
        <v>2.645422269349092</v>
      </c>
      <c r="F149" s="88" t="s">
        <v>1280</v>
      </c>
      <c r="G149" s="88" t="b">
        <v>1</v>
      </c>
      <c r="H149" s="88" t="b">
        <v>0</v>
      </c>
      <c r="I149" s="88" t="b">
        <v>0</v>
      </c>
      <c r="J149" s="88" t="b">
        <v>0</v>
      </c>
      <c r="K149" s="88" t="b">
        <v>0</v>
      </c>
      <c r="L149" s="88" t="b">
        <v>0</v>
      </c>
    </row>
    <row r="150" spans="1:12" ht="15">
      <c r="A150" s="89" t="s">
        <v>1246</v>
      </c>
      <c r="B150" s="88" t="s">
        <v>1247</v>
      </c>
      <c r="C150" s="88">
        <v>2</v>
      </c>
      <c r="D150" s="121">
        <v>0.002893152329358203</v>
      </c>
      <c r="E150" s="121">
        <v>2.645422269349092</v>
      </c>
      <c r="F150" s="88" t="s">
        <v>1280</v>
      </c>
      <c r="G150" s="88" t="b">
        <v>0</v>
      </c>
      <c r="H150" s="88" t="b">
        <v>0</v>
      </c>
      <c r="I150" s="88" t="b">
        <v>0</v>
      </c>
      <c r="J150" s="88" t="b">
        <v>0</v>
      </c>
      <c r="K150" s="88" t="b">
        <v>0</v>
      </c>
      <c r="L150" s="88" t="b">
        <v>0</v>
      </c>
    </row>
    <row r="151" spans="1:12" ht="15">
      <c r="A151" s="89" t="s">
        <v>1247</v>
      </c>
      <c r="B151" s="88" t="s">
        <v>917</v>
      </c>
      <c r="C151" s="88">
        <v>2</v>
      </c>
      <c r="D151" s="121">
        <v>0.002893152329358203</v>
      </c>
      <c r="E151" s="121">
        <v>2.3443922736851106</v>
      </c>
      <c r="F151" s="88" t="s">
        <v>1280</v>
      </c>
      <c r="G151" s="88" t="b">
        <v>0</v>
      </c>
      <c r="H151" s="88" t="b">
        <v>0</v>
      </c>
      <c r="I151" s="88" t="b">
        <v>0</v>
      </c>
      <c r="J151" s="88" t="b">
        <v>0</v>
      </c>
      <c r="K151" s="88" t="b">
        <v>0</v>
      </c>
      <c r="L151" s="88" t="b">
        <v>0</v>
      </c>
    </row>
    <row r="152" spans="1:12" ht="15">
      <c r="A152" s="89" t="s">
        <v>917</v>
      </c>
      <c r="B152" s="88" t="s">
        <v>936</v>
      </c>
      <c r="C152" s="88">
        <v>2</v>
      </c>
      <c r="D152" s="121">
        <v>0.002893152329358203</v>
      </c>
      <c r="E152" s="121">
        <v>1.8003242293348352</v>
      </c>
      <c r="F152" s="88" t="s">
        <v>1280</v>
      </c>
      <c r="G152" s="88" t="b">
        <v>0</v>
      </c>
      <c r="H152" s="88" t="b">
        <v>0</v>
      </c>
      <c r="I152" s="88" t="b">
        <v>0</v>
      </c>
      <c r="J152" s="88" t="b">
        <v>0</v>
      </c>
      <c r="K152" s="88" t="b">
        <v>0</v>
      </c>
      <c r="L152" s="88" t="b">
        <v>0</v>
      </c>
    </row>
    <row r="153" spans="1:12" ht="15">
      <c r="A153" s="89" t="s">
        <v>936</v>
      </c>
      <c r="B153" s="88" t="s">
        <v>1200</v>
      </c>
      <c r="C153" s="88">
        <v>2</v>
      </c>
      <c r="D153" s="121">
        <v>0.002893152329358203</v>
      </c>
      <c r="E153" s="121">
        <v>1.8003242293348352</v>
      </c>
      <c r="F153" s="88" t="s">
        <v>1280</v>
      </c>
      <c r="G153" s="88" t="b">
        <v>0</v>
      </c>
      <c r="H153" s="88" t="b">
        <v>0</v>
      </c>
      <c r="I153" s="88" t="b">
        <v>0</v>
      </c>
      <c r="J153" s="88" t="b">
        <v>0</v>
      </c>
      <c r="K153" s="88" t="b">
        <v>0</v>
      </c>
      <c r="L153" s="88" t="b">
        <v>0</v>
      </c>
    </row>
    <row r="154" spans="1:12" ht="15">
      <c r="A154" s="89" t="s">
        <v>1201</v>
      </c>
      <c r="B154" s="88" t="s">
        <v>871</v>
      </c>
      <c r="C154" s="88">
        <v>2</v>
      </c>
      <c r="D154" s="121">
        <v>0.002893152329358203</v>
      </c>
      <c r="E154" s="121">
        <v>1.0119538137695052</v>
      </c>
      <c r="F154" s="88" t="s">
        <v>1280</v>
      </c>
      <c r="G154" s="88" t="b">
        <v>0</v>
      </c>
      <c r="H154" s="88" t="b">
        <v>0</v>
      </c>
      <c r="I154" s="88" t="b">
        <v>0</v>
      </c>
      <c r="J154" s="88" t="b">
        <v>0</v>
      </c>
      <c r="K154" s="88" t="b">
        <v>0</v>
      </c>
      <c r="L154" s="88" t="b">
        <v>0</v>
      </c>
    </row>
    <row r="155" spans="1:12" ht="15">
      <c r="A155" s="89" t="s">
        <v>871</v>
      </c>
      <c r="B155" s="88" t="s">
        <v>1248</v>
      </c>
      <c r="C155" s="88">
        <v>2</v>
      </c>
      <c r="D155" s="121">
        <v>0.002893152329358203</v>
      </c>
      <c r="E155" s="121">
        <v>1.441302286693167</v>
      </c>
      <c r="F155" s="88" t="s">
        <v>1280</v>
      </c>
      <c r="G155" s="88" t="b">
        <v>0</v>
      </c>
      <c r="H155" s="88" t="b">
        <v>0</v>
      </c>
      <c r="I155" s="88" t="b">
        <v>0</v>
      </c>
      <c r="J155" s="88" t="b">
        <v>0</v>
      </c>
      <c r="K155" s="88" t="b">
        <v>0</v>
      </c>
      <c r="L155" s="88" t="b">
        <v>0</v>
      </c>
    </row>
    <row r="156" spans="1:12" ht="15">
      <c r="A156" s="89" t="s">
        <v>1248</v>
      </c>
      <c r="B156" s="88" t="s">
        <v>1202</v>
      </c>
      <c r="C156" s="88">
        <v>2</v>
      </c>
      <c r="D156" s="121">
        <v>0.002893152329358203</v>
      </c>
      <c r="E156" s="121">
        <v>2.3443922736851106</v>
      </c>
      <c r="F156" s="88" t="s">
        <v>1280</v>
      </c>
      <c r="G156" s="88" t="b">
        <v>0</v>
      </c>
      <c r="H156" s="88" t="b">
        <v>0</v>
      </c>
      <c r="I156" s="88" t="b">
        <v>0</v>
      </c>
      <c r="J156" s="88" t="b">
        <v>0</v>
      </c>
      <c r="K156" s="88" t="b">
        <v>0</v>
      </c>
      <c r="L156" s="88" t="b">
        <v>0</v>
      </c>
    </row>
    <row r="157" spans="1:12" ht="15">
      <c r="A157" s="89" t="s">
        <v>1202</v>
      </c>
      <c r="B157" s="88" t="s">
        <v>1168</v>
      </c>
      <c r="C157" s="88">
        <v>2</v>
      </c>
      <c r="D157" s="121">
        <v>0.002893152329358203</v>
      </c>
      <c r="E157" s="121">
        <v>1.8672710189654482</v>
      </c>
      <c r="F157" s="88" t="s">
        <v>1280</v>
      </c>
      <c r="G157" s="88" t="b">
        <v>0</v>
      </c>
      <c r="H157" s="88" t="b">
        <v>0</v>
      </c>
      <c r="I157" s="88" t="b">
        <v>0</v>
      </c>
      <c r="J157" s="88" t="b">
        <v>0</v>
      </c>
      <c r="K157" s="88" t="b">
        <v>0</v>
      </c>
      <c r="L157" s="88" t="b">
        <v>0</v>
      </c>
    </row>
    <row r="158" spans="1:12" ht="15">
      <c r="A158" s="89" t="s">
        <v>1168</v>
      </c>
      <c r="B158" s="88" t="s">
        <v>1249</v>
      </c>
      <c r="C158" s="88">
        <v>2</v>
      </c>
      <c r="D158" s="121">
        <v>0.002893152329358203</v>
      </c>
      <c r="E158" s="121">
        <v>2.2474822606770544</v>
      </c>
      <c r="F158" s="88" t="s">
        <v>1280</v>
      </c>
      <c r="G158" s="88" t="b">
        <v>0</v>
      </c>
      <c r="H158" s="88" t="b">
        <v>0</v>
      </c>
      <c r="I158" s="88" t="b">
        <v>0</v>
      </c>
      <c r="J158" s="88" t="b">
        <v>0</v>
      </c>
      <c r="K158" s="88" t="b">
        <v>0</v>
      </c>
      <c r="L158" s="88" t="b">
        <v>0</v>
      </c>
    </row>
    <row r="159" spans="1:12" ht="15">
      <c r="A159" s="89" t="s">
        <v>1249</v>
      </c>
      <c r="B159" s="88" t="s">
        <v>1199</v>
      </c>
      <c r="C159" s="88">
        <v>2</v>
      </c>
      <c r="D159" s="121">
        <v>0.002893152329358203</v>
      </c>
      <c r="E159" s="121">
        <v>2.2474822606770544</v>
      </c>
      <c r="F159" s="88" t="s">
        <v>1280</v>
      </c>
      <c r="G159" s="88" t="b">
        <v>0</v>
      </c>
      <c r="H159" s="88" t="b">
        <v>0</v>
      </c>
      <c r="I159" s="88" t="b">
        <v>0</v>
      </c>
      <c r="J159" s="88" t="b">
        <v>0</v>
      </c>
      <c r="K159" s="88" t="b">
        <v>0</v>
      </c>
      <c r="L159" s="88" t="b">
        <v>0</v>
      </c>
    </row>
    <row r="160" spans="1:12" ht="15">
      <c r="A160" s="89" t="s">
        <v>1199</v>
      </c>
      <c r="B160" s="88" t="s">
        <v>1250</v>
      </c>
      <c r="C160" s="88">
        <v>2</v>
      </c>
      <c r="D160" s="121">
        <v>0.002893152329358203</v>
      </c>
      <c r="E160" s="121">
        <v>2.2474822606770544</v>
      </c>
      <c r="F160" s="88" t="s">
        <v>1280</v>
      </c>
      <c r="G160" s="88" t="b">
        <v>0</v>
      </c>
      <c r="H160" s="88" t="b">
        <v>0</v>
      </c>
      <c r="I160" s="88" t="b">
        <v>0</v>
      </c>
      <c r="J160" s="88" t="b">
        <v>0</v>
      </c>
      <c r="K160" s="88" t="b">
        <v>0</v>
      </c>
      <c r="L160" s="88" t="b">
        <v>0</v>
      </c>
    </row>
    <row r="161" spans="1:12" ht="15">
      <c r="A161" s="89" t="s">
        <v>1250</v>
      </c>
      <c r="B161" s="88" t="s">
        <v>894</v>
      </c>
      <c r="C161" s="88">
        <v>2</v>
      </c>
      <c r="D161" s="121">
        <v>0.002893152329358203</v>
      </c>
      <c r="E161" s="121">
        <v>2.3443922736851106</v>
      </c>
      <c r="F161" s="88" t="s">
        <v>1280</v>
      </c>
      <c r="G161" s="88" t="b">
        <v>0</v>
      </c>
      <c r="H161" s="88" t="b">
        <v>0</v>
      </c>
      <c r="I161" s="88" t="b">
        <v>0</v>
      </c>
      <c r="J161" s="88" t="b">
        <v>0</v>
      </c>
      <c r="K161" s="88" t="b">
        <v>0</v>
      </c>
      <c r="L161" s="88" t="b">
        <v>0</v>
      </c>
    </row>
    <row r="162" spans="1:12" ht="15">
      <c r="A162" s="89" t="s">
        <v>894</v>
      </c>
      <c r="B162" s="88" t="s">
        <v>1251</v>
      </c>
      <c r="C162" s="88">
        <v>2</v>
      </c>
      <c r="D162" s="121">
        <v>0.002893152329358203</v>
      </c>
      <c r="E162" s="121">
        <v>2.3443922736851106</v>
      </c>
      <c r="F162" s="88" t="s">
        <v>1280</v>
      </c>
      <c r="G162" s="88" t="b">
        <v>0</v>
      </c>
      <c r="H162" s="88" t="b">
        <v>0</v>
      </c>
      <c r="I162" s="88" t="b">
        <v>0</v>
      </c>
      <c r="J162" s="88" t="b">
        <v>0</v>
      </c>
      <c r="K162" s="88" t="b">
        <v>0</v>
      </c>
      <c r="L162" s="88" t="b">
        <v>0</v>
      </c>
    </row>
    <row r="163" spans="1:12" ht="15">
      <c r="A163" s="89" t="s">
        <v>1251</v>
      </c>
      <c r="B163" s="88" t="s">
        <v>883</v>
      </c>
      <c r="C163" s="88">
        <v>2</v>
      </c>
      <c r="D163" s="121">
        <v>0.002893152329358203</v>
      </c>
      <c r="E163" s="121">
        <v>2.101354224998816</v>
      </c>
      <c r="F163" s="88" t="s">
        <v>1280</v>
      </c>
      <c r="G163" s="88" t="b">
        <v>0</v>
      </c>
      <c r="H163" s="88" t="b">
        <v>0</v>
      </c>
      <c r="I163" s="88" t="b">
        <v>0</v>
      </c>
      <c r="J163" s="88" t="b">
        <v>0</v>
      </c>
      <c r="K163" s="88" t="b">
        <v>0</v>
      </c>
      <c r="L163" s="88" t="b">
        <v>0</v>
      </c>
    </row>
    <row r="164" spans="1:12" ht="15">
      <c r="A164" s="89" t="s">
        <v>1252</v>
      </c>
      <c r="B164" s="88" t="s">
        <v>1253</v>
      </c>
      <c r="C164" s="88">
        <v>2</v>
      </c>
      <c r="D164" s="121">
        <v>0.002893152329358203</v>
      </c>
      <c r="E164" s="121">
        <v>2.645422269349092</v>
      </c>
      <c r="F164" s="88" t="s">
        <v>1280</v>
      </c>
      <c r="G164" s="88" t="b">
        <v>0</v>
      </c>
      <c r="H164" s="88" t="b">
        <v>0</v>
      </c>
      <c r="I164" s="88" t="b">
        <v>0</v>
      </c>
      <c r="J164" s="88" t="b">
        <v>0</v>
      </c>
      <c r="K164" s="88" t="b">
        <v>0</v>
      </c>
      <c r="L164" s="88" t="b">
        <v>0</v>
      </c>
    </row>
    <row r="165" spans="1:12" ht="15">
      <c r="A165" s="89" t="s">
        <v>1253</v>
      </c>
      <c r="B165" s="88" t="s">
        <v>1254</v>
      </c>
      <c r="C165" s="88">
        <v>2</v>
      </c>
      <c r="D165" s="121">
        <v>0.002893152329358203</v>
      </c>
      <c r="E165" s="121">
        <v>2.645422269349092</v>
      </c>
      <c r="F165" s="88" t="s">
        <v>1280</v>
      </c>
      <c r="G165" s="88" t="b">
        <v>0</v>
      </c>
      <c r="H165" s="88" t="b">
        <v>0</v>
      </c>
      <c r="I165" s="88" t="b">
        <v>0</v>
      </c>
      <c r="J165" s="88" t="b">
        <v>1</v>
      </c>
      <c r="K165" s="88" t="b">
        <v>0</v>
      </c>
      <c r="L165" s="88" t="b">
        <v>0</v>
      </c>
    </row>
    <row r="166" spans="1:12" ht="15">
      <c r="A166" s="89" t="s">
        <v>1254</v>
      </c>
      <c r="B166" s="88" t="s">
        <v>1255</v>
      </c>
      <c r="C166" s="88">
        <v>2</v>
      </c>
      <c r="D166" s="121">
        <v>0.002893152329358203</v>
      </c>
      <c r="E166" s="121">
        <v>2.645422269349092</v>
      </c>
      <c r="F166" s="88" t="s">
        <v>1280</v>
      </c>
      <c r="G166" s="88" t="b">
        <v>1</v>
      </c>
      <c r="H166" s="88" t="b">
        <v>0</v>
      </c>
      <c r="I166" s="88" t="b">
        <v>0</v>
      </c>
      <c r="J166" s="88" t="b">
        <v>0</v>
      </c>
      <c r="K166" s="88" t="b">
        <v>0</v>
      </c>
      <c r="L166" s="88" t="b">
        <v>0</v>
      </c>
    </row>
    <row r="167" spans="1:12" ht="15">
      <c r="A167" s="89" t="s">
        <v>1255</v>
      </c>
      <c r="B167" s="88" t="s">
        <v>1256</v>
      </c>
      <c r="C167" s="88">
        <v>2</v>
      </c>
      <c r="D167" s="121">
        <v>0.002893152329358203</v>
      </c>
      <c r="E167" s="121">
        <v>2.645422269349092</v>
      </c>
      <c r="F167" s="88" t="s">
        <v>1280</v>
      </c>
      <c r="G167" s="88" t="b">
        <v>0</v>
      </c>
      <c r="H167" s="88" t="b">
        <v>0</v>
      </c>
      <c r="I167" s="88" t="b">
        <v>0</v>
      </c>
      <c r="J167" s="88" t="b">
        <v>0</v>
      </c>
      <c r="K167" s="88" t="b">
        <v>0</v>
      </c>
      <c r="L167" s="88" t="b">
        <v>0</v>
      </c>
    </row>
    <row r="168" spans="1:12" ht="15">
      <c r="A168" s="89" t="s">
        <v>1256</v>
      </c>
      <c r="B168" s="88" t="s">
        <v>1257</v>
      </c>
      <c r="C168" s="88">
        <v>2</v>
      </c>
      <c r="D168" s="121">
        <v>0.002893152329358203</v>
      </c>
      <c r="E168" s="121">
        <v>2.645422269349092</v>
      </c>
      <c r="F168" s="88" t="s">
        <v>1280</v>
      </c>
      <c r="G168" s="88" t="b">
        <v>0</v>
      </c>
      <c r="H168" s="88" t="b">
        <v>0</v>
      </c>
      <c r="I168" s="88" t="b">
        <v>0</v>
      </c>
      <c r="J168" s="88" t="b">
        <v>0</v>
      </c>
      <c r="K168" s="88" t="b">
        <v>0</v>
      </c>
      <c r="L168" s="88" t="b">
        <v>0</v>
      </c>
    </row>
    <row r="169" spans="1:12" ht="15">
      <c r="A169" s="89" t="s">
        <v>1257</v>
      </c>
      <c r="B169" s="88" t="s">
        <v>1258</v>
      </c>
      <c r="C169" s="88">
        <v>2</v>
      </c>
      <c r="D169" s="121">
        <v>0.002893152329358203</v>
      </c>
      <c r="E169" s="121">
        <v>2.645422269349092</v>
      </c>
      <c r="F169" s="88" t="s">
        <v>1280</v>
      </c>
      <c r="G169" s="88" t="b">
        <v>0</v>
      </c>
      <c r="H169" s="88" t="b">
        <v>0</v>
      </c>
      <c r="I169" s="88" t="b">
        <v>0</v>
      </c>
      <c r="J169" s="88" t="b">
        <v>0</v>
      </c>
      <c r="K169" s="88" t="b">
        <v>0</v>
      </c>
      <c r="L169" s="88" t="b">
        <v>0</v>
      </c>
    </row>
    <row r="170" spans="1:12" ht="15">
      <c r="A170" s="89" t="s">
        <v>1258</v>
      </c>
      <c r="B170" s="88" t="s">
        <v>871</v>
      </c>
      <c r="C170" s="88">
        <v>2</v>
      </c>
      <c r="D170" s="121">
        <v>0.002893152329358203</v>
      </c>
      <c r="E170" s="121">
        <v>1.3129838094334865</v>
      </c>
      <c r="F170" s="88" t="s">
        <v>1280</v>
      </c>
      <c r="G170" s="88" t="b">
        <v>0</v>
      </c>
      <c r="H170" s="88" t="b">
        <v>0</v>
      </c>
      <c r="I170" s="88" t="b">
        <v>0</v>
      </c>
      <c r="J170" s="88" t="b">
        <v>0</v>
      </c>
      <c r="K170" s="88" t="b">
        <v>0</v>
      </c>
      <c r="L170" s="88" t="b">
        <v>0</v>
      </c>
    </row>
    <row r="171" spans="1:12" ht="15">
      <c r="A171" s="89" t="s">
        <v>871</v>
      </c>
      <c r="B171" s="88" t="s">
        <v>1259</v>
      </c>
      <c r="C171" s="88">
        <v>2</v>
      </c>
      <c r="D171" s="121">
        <v>0.002893152329358203</v>
      </c>
      <c r="E171" s="121">
        <v>1.441302286693167</v>
      </c>
      <c r="F171" s="88" t="s">
        <v>1280</v>
      </c>
      <c r="G171" s="88" t="b">
        <v>0</v>
      </c>
      <c r="H171" s="88" t="b">
        <v>0</v>
      </c>
      <c r="I171" s="88" t="b">
        <v>0</v>
      </c>
      <c r="J171" s="88" t="b">
        <v>0</v>
      </c>
      <c r="K171" s="88" t="b">
        <v>0</v>
      </c>
      <c r="L171" s="88" t="b">
        <v>0</v>
      </c>
    </row>
    <row r="172" spans="1:12" ht="15">
      <c r="A172" s="89" t="s">
        <v>1259</v>
      </c>
      <c r="B172" s="88" t="s">
        <v>1260</v>
      </c>
      <c r="C172" s="88">
        <v>2</v>
      </c>
      <c r="D172" s="121">
        <v>0.002893152329358203</v>
      </c>
      <c r="E172" s="121">
        <v>2.645422269349092</v>
      </c>
      <c r="F172" s="88" t="s">
        <v>1280</v>
      </c>
      <c r="G172" s="88" t="b">
        <v>0</v>
      </c>
      <c r="H172" s="88" t="b">
        <v>0</v>
      </c>
      <c r="I172" s="88" t="b">
        <v>0</v>
      </c>
      <c r="J172" s="88" t="b">
        <v>0</v>
      </c>
      <c r="K172" s="88" t="b">
        <v>0</v>
      </c>
      <c r="L172" s="88" t="b">
        <v>0</v>
      </c>
    </row>
    <row r="173" spans="1:12" ht="15">
      <c r="A173" s="89" t="s">
        <v>1260</v>
      </c>
      <c r="B173" s="88" t="s">
        <v>1261</v>
      </c>
      <c r="C173" s="88">
        <v>2</v>
      </c>
      <c r="D173" s="121">
        <v>0.002893152329358203</v>
      </c>
      <c r="E173" s="121">
        <v>2.645422269349092</v>
      </c>
      <c r="F173" s="88" t="s">
        <v>1280</v>
      </c>
      <c r="G173" s="88" t="b">
        <v>0</v>
      </c>
      <c r="H173" s="88" t="b">
        <v>0</v>
      </c>
      <c r="I173" s="88" t="b">
        <v>0</v>
      </c>
      <c r="J173" s="88" t="b">
        <v>0</v>
      </c>
      <c r="K173" s="88" t="b">
        <v>0</v>
      </c>
      <c r="L173" s="88" t="b">
        <v>0</v>
      </c>
    </row>
    <row r="174" spans="1:12" ht="15">
      <c r="A174" s="89" t="s">
        <v>1261</v>
      </c>
      <c r="B174" s="88" t="s">
        <v>1262</v>
      </c>
      <c r="C174" s="88">
        <v>2</v>
      </c>
      <c r="D174" s="121">
        <v>0.002893152329358203</v>
      </c>
      <c r="E174" s="121">
        <v>2.645422269349092</v>
      </c>
      <c r="F174" s="88" t="s">
        <v>1280</v>
      </c>
      <c r="G174" s="88" t="b">
        <v>0</v>
      </c>
      <c r="H174" s="88" t="b">
        <v>0</v>
      </c>
      <c r="I174" s="88" t="b">
        <v>0</v>
      </c>
      <c r="J174" s="88" t="b">
        <v>0</v>
      </c>
      <c r="K174" s="88" t="b">
        <v>0</v>
      </c>
      <c r="L174" s="88" t="b">
        <v>0</v>
      </c>
    </row>
    <row r="175" spans="1:12" ht="15">
      <c r="A175" s="89" t="s">
        <v>1262</v>
      </c>
      <c r="B175" s="88" t="s">
        <v>1263</v>
      </c>
      <c r="C175" s="88">
        <v>2</v>
      </c>
      <c r="D175" s="121">
        <v>0.002893152329358203</v>
      </c>
      <c r="E175" s="121">
        <v>2.645422269349092</v>
      </c>
      <c r="F175" s="88" t="s">
        <v>1280</v>
      </c>
      <c r="G175" s="88" t="b">
        <v>0</v>
      </c>
      <c r="H175" s="88" t="b">
        <v>0</v>
      </c>
      <c r="I175" s="88" t="b">
        <v>0</v>
      </c>
      <c r="J175" s="88" t="b">
        <v>0</v>
      </c>
      <c r="K175" s="88" t="b">
        <v>0</v>
      </c>
      <c r="L175" s="88" t="b">
        <v>0</v>
      </c>
    </row>
    <row r="176" spans="1:12" ht="15">
      <c r="A176" s="89" t="s">
        <v>1263</v>
      </c>
      <c r="B176" s="88" t="s">
        <v>1264</v>
      </c>
      <c r="C176" s="88">
        <v>2</v>
      </c>
      <c r="D176" s="121">
        <v>0.002893152329358203</v>
      </c>
      <c r="E176" s="121">
        <v>2.645422269349092</v>
      </c>
      <c r="F176" s="88" t="s">
        <v>1280</v>
      </c>
      <c r="G176" s="88" t="b">
        <v>0</v>
      </c>
      <c r="H176" s="88" t="b">
        <v>0</v>
      </c>
      <c r="I176" s="88" t="b">
        <v>0</v>
      </c>
      <c r="J176" s="88" t="b">
        <v>0</v>
      </c>
      <c r="K176" s="88" t="b">
        <v>0</v>
      </c>
      <c r="L176" s="88" t="b">
        <v>0</v>
      </c>
    </row>
    <row r="177" spans="1:12" ht="15">
      <c r="A177" s="89" t="s">
        <v>1264</v>
      </c>
      <c r="B177" s="88" t="s">
        <v>1265</v>
      </c>
      <c r="C177" s="88">
        <v>2</v>
      </c>
      <c r="D177" s="121">
        <v>0.002893152329358203</v>
      </c>
      <c r="E177" s="121">
        <v>2.645422269349092</v>
      </c>
      <c r="F177" s="88" t="s">
        <v>1280</v>
      </c>
      <c r="G177" s="88" t="b">
        <v>0</v>
      </c>
      <c r="H177" s="88" t="b">
        <v>0</v>
      </c>
      <c r="I177" s="88" t="b">
        <v>0</v>
      </c>
      <c r="J177" s="88" t="b">
        <v>0</v>
      </c>
      <c r="K177" s="88" t="b">
        <v>0</v>
      </c>
      <c r="L177" s="88" t="b">
        <v>0</v>
      </c>
    </row>
    <row r="178" spans="1:12" ht="15">
      <c r="A178" s="89" t="s">
        <v>1265</v>
      </c>
      <c r="B178" s="88" t="s">
        <v>1266</v>
      </c>
      <c r="C178" s="88">
        <v>2</v>
      </c>
      <c r="D178" s="121">
        <v>0.002893152329358203</v>
      </c>
      <c r="E178" s="121">
        <v>2.645422269349092</v>
      </c>
      <c r="F178" s="88" t="s">
        <v>1280</v>
      </c>
      <c r="G178" s="88" t="b">
        <v>0</v>
      </c>
      <c r="H178" s="88" t="b">
        <v>0</v>
      </c>
      <c r="I178" s="88" t="b">
        <v>0</v>
      </c>
      <c r="J178" s="88" t="b">
        <v>1</v>
      </c>
      <c r="K178" s="88" t="b">
        <v>0</v>
      </c>
      <c r="L178" s="88" t="b">
        <v>0</v>
      </c>
    </row>
    <row r="179" spans="1:12" ht="15">
      <c r="A179" s="89" t="s">
        <v>1266</v>
      </c>
      <c r="B179" s="88" t="s">
        <v>1267</v>
      </c>
      <c r="C179" s="88">
        <v>2</v>
      </c>
      <c r="D179" s="121">
        <v>0.002893152329358203</v>
      </c>
      <c r="E179" s="121">
        <v>2.645422269349092</v>
      </c>
      <c r="F179" s="88" t="s">
        <v>1280</v>
      </c>
      <c r="G179" s="88" t="b">
        <v>1</v>
      </c>
      <c r="H179" s="88" t="b">
        <v>0</v>
      </c>
      <c r="I179" s="88" t="b">
        <v>0</v>
      </c>
      <c r="J179" s="88" t="b">
        <v>0</v>
      </c>
      <c r="K179" s="88" t="b">
        <v>0</v>
      </c>
      <c r="L179" s="88" t="b">
        <v>0</v>
      </c>
    </row>
    <row r="180" spans="1:12" ht="15">
      <c r="A180" s="89" t="s">
        <v>1267</v>
      </c>
      <c r="B180" s="88" t="s">
        <v>1268</v>
      </c>
      <c r="C180" s="88">
        <v>2</v>
      </c>
      <c r="D180" s="121">
        <v>0.002893152329358203</v>
      </c>
      <c r="E180" s="121">
        <v>2.645422269349092</v>
      </c>
      <c r="F180" s="88" t="s">
        <v>1280</v>
      </c>
      <c r="G180" s="88" t="b">
        <v>0</v>
      </c>
      <c r="H180" s="88" t="b">
        <v>0</v>
      </c>
      <c r="I180" s="88" t="b">
        <v>0</v>
      </c>
      <c r="J180" s="88" t="b">
        <v>0</v>
      </c>
      <c r="K180" s="88" t="b">
        <v>0</v>
      </c>
      <c r="L180" s="88" t="b">
        <v>0</v>
      </c>
    </row>
    <row r="181" spans="1:12" ht="15">
      <c r="A181" s="89" t="s">
        <v>1268</v>
      </c>
      <c r="B181" s="88" t="s">
        <v>843</v>
      </c>
      <c r="C181" s="88">
        <v>2</v>
      </c>
      <c r="D181" s="121">
        <v>0.002893152329358203</v>
      </c>
      <c r="E181" s="121">
        <v>2.645422269349092</v>
      </c>
      <c r="F181" s="88" t="s">
        <v>1280</v>
      </c>
      <c r="G181" s="88" t="b">
        <v>0</v>
      </c>
      <c r="H181" s="88" t="b">
        <v>0</v>
      </c>
      <c r="I181" s="88" t="b">
        <v>0</v>
      </c>
      <c r="J181" s="88" t="b">
        <v>0</v>
      </c>
      <c r="K181" s="88" t="b">
        <v>0</v>
      </c>
      <c r="L181" s="88" t="b">
        <v>0</v>
      </c>
    </row>
    <row r="182" spans="1:12" ht="15">
      <c r="A182" s="89" t="s">
        <v>1269</v>
      </c>
      <c r="B182" s="88" t="s">
        <v>877</v>
      </c>
      <c r="C182" s="88">
        <v>2</v>
      </c>
      <c r="D182" s="121">
        <v>0.002893152329358203</v>
      </c>
      <c r="E182" s="121">
        <v>1.9464522650130731</v>
      </c>
      <c r="F182" s="88" t="s">
        <v>1280</v>
      </c>
      <c r="G182" s="88" t="b">
        <v>0</v>
      </c>
      <c r="H182" s="88" t="b">
        <v>0</v>
      </c>
      <c r="I182" s="88" t="b">
        <v>0</v>
      </c>
      <c r="J182" s="88" t="b">
        <v>0</v>
      </c>
      <c r="K182" s="88" t="b">
        <v>0</v>
      </c>
      <c r="L182" s="88" t="b">
        <v>0</v>
      </c>
    </row>
    <row r="183" spans="1:12" ht="15">
      <c r="A183" s="89" t="s">
        <v>877</v>
      </c>
      <c r="B183" s="88" t="s">
        <v>1270</v>
      </c>
      <c r="C183" s="88">
        <v>2</v>
      </c>
      <c r="D183" s="121">
        <v>0.002893152329358203</v>
      </c>
      <c r="E183" s="121">
        <v>1.9464522650130731</v>
      </c>
      <c r="F183" s="88" t="s">
        <v>1280</v>
      </c>
      <c r="G183" s="88" t="b">
        <v>0</v>
      </c>
      <c r="H183" s="88" t="b">
        <v>0</v>
      </c>
      <c r="I183" s="88" t="b">
        <v>0</v>
      </c>
      <c r="J183" s="88" t="b">
        <v>0</v>
      </c>
      <c r="K183" s="88" t="b">
        <v>0</v>
      </c>
      <c r="L183" s="88" t="b">
        <v>0</v>
      </c>
    </row>
    <row r="184" spans="1:12" ht="15">
      <c r="A184" s="89" t="s">
        <v>1270</v>
      </c>
      <c r="B184" s="88" t="s">
        <v>1271</v>
      </c>
      <c r="C184" s="88">
        <v>2</v>
      </c>
      <c r="D184" s="121">
        <v>0.002893152329358203</v>
      </c>
      <c r="E184" s="121">
        <v>2.645422269349092</v>
      </c>
      <c r="F184" s="88" t="s">
        <v>1280</v>
      </c>
      <c r="G184" s="88" t="b">
        <v>0</v>
      </c>
      <c r="H184" s="88" t="b">
        <v>0</v>
      </c>
      <c r="I184" s="88" t="b">
        <v>0</v>
      </c>
      <c r="J184" s="88" t="b">
        <v>0</v>
      </c>
      <c r="K184" s="88" t="b">
        <v>0</v>
      </c>
      <c r="L184" s="88" t="b">
        <v>0</v>
      </c>
    </row>
    <row r="185" spans="1:12" ht="15">
      <c r="A185" s="89" t="s">
        <v>1271</v>
      </c>
      <c r="B185" s="88" t="s">
        <v>873</v>
      </c>
      <c r="C185" s="88">
        <v>2</v>
      </c>
      <c r="D185" s="121">
        <v>0.002893152329358203</v>
      </c>
      <c r="E185" s="121">
        <v>1.9922097555737481</v>
      </c>
      <c r="F185" s="88" t="s">
        <v>1280</v>
      </c>
      <c r="G185" s="88" t="b">
        <v>0</v>
      </c>
      <c r="H185" s="88" t="b">
        <v>0</v>
      </c>
      <c r="I185" s="88" t="b">
        <v>0</v>
      </c>
      <c r="J185" s="88" t="b">
        <v>0</v>
      </c>
      <c r="K185" s="88" t="b">
        <v>0</v>
      </c>
      <c r="L185" s="88" t="b">
        <v>0</v>
      </c>
    </row>
    <row r="186" spans="1:12" ht="15">
      <c r="A186" s="89" t="s">
        <v>850</v>
      </c>
      <c r="B186" s="88" t="s">
        <v>1272</v>
      </c>
      <c r="C186" s="88">
        <v>2</v>
      </c>
      <c r="D186" s="121">
        <v>0.002893152329358203</v>
      </c>
      <c r="E186" s="121">
        <v>1.8672710189654482</v>
      </c>
      <c r="F186" s="88" t="s">
        <v>1280</v>
      </c>
      <c r="G186" s="88" t="b">
        <v>0</v>
      </c>
      <c r="H186" s="88" t="b">
        <v>0</v>
      </c>
      <c r="I186" s="88" t="b">
        <v>0</v>
      </c>
      <c r="J186" s="88" t="b">
        <v>0</v>
      </c>
      <c r="K186" s="88" t="b">
        <v>0</v>
      </c>
      <c r="L186" s="88" t="b">
        <v>0</v>
      </c>
    </row>
    <row r="187" spans="1:12" ht="15">
      <c r="A187" s="89" t="s">
        <v>1272</v>
      </c>
      <c r="B187" s="88" t="s">
        <v>871</v>
      </c>
      <c r="C187" s="88">
        <v>2</v>
      </c>
      <c r="D187" s="121">
        <v>0.002893152329358203</v>
      </c>
      <c r="E187" s="121">
        <v>1.3129838094334865</v>
      </c>
      <c r="F187" s="88" t="s">
        <v>1280</v>
      </c>
      <c r="G187" s="88" t="b">
        <v>0</v>
      </c>
      <c r="H187" s="88" t="b">
        <v>0</v>
      </c>
      <c r="I187" s="88" t="b">
        <v>0</v>
      </c>
      <c r="J187" s="88" t="b">
        <v>0</v>
      </c>
      <c r="K187" s="88" t="b">
        <v>0</v>
      </c>
      <c r="L187" s="88" t="b">
        <v>0</v>
      </c>
    </row>
    <row r="188" spans="1:12" ht="15">
      <c r="A188" s="89" t="s">
        <v>871</v>
      </c>
      <c r="B188" s="88" t="s">
        <v>1168</v>
      </c>
      <c r="C188" s="88">
        <v>2</v>
      </c>
      <c r="D188" s="121">
        <v>0.002893152329358203</v>
      </c>
      <c r="E188" s="121">
        <v>0.9641810319735047</v>
      </c>
      <c r="F188" s="88" t="s">
        <v>1280</v>
      </c>
      <c r="G188" s="88" t="b">
        <v>0</v>
      </c>
      <c r="H188" s="88" t="b">
        <v>0</v>
      </c>
      <c r="I188" s="88" t="b">
        <v>0</v>
      </c>
      <c r="J188" s="88" t="b">
        <v>0</v>
      </c>
      <c r="K188" s="88" t="b">
        <v>0</v>
      </c>
      <c r="L188" s="88" t="b">
        <v>0</v>
      </c>
    </row>
    <row r="189" spans="1:12" ht="15">
      <c r="A189" s="89" t="s">
        <v>1168</v>
      </c>
      <c r="B189" s="88" t="s">
        <v>1169</v>
      </c>
      <c r="C189" s="88">
        <v>2</v>
      </c>
      <c r="D189" s="121">
        <v>0.002893152329358203</v>
      </c>
      <c r="E189" s="121">
        <v>1.7703610059573918</v>
      </c>
      <c r="F189" s="88" t="s">
        <v>1280</v>
      </c>
      <c r="G189" s="88" t="b">
        <v>0</v>
      </c>
      <c r="H189" s="88" t="b">
        <v>0</v>
      </c>
      <c r="I189" s="88" t="b">
        <v>0</v>
      </c>
      <c r="J189" s="88" t="b">
        <v>0</v>
      </c>
      <c r="K189" s="88" t="b">
        <v>0</v>
      </c>
      <c r="L189" s="88" t="b">
        <v>0</v>
      </c>
    </row>
    <row r="190" spans="1:12" ht="15">
      <c r="A190" s="89" t="s">
        <v>845</v>
      </c>
      <c r="B190" s="88" t="s">
        <v>915</v>
      </c>
      <c r="C190" s="88">
        <v>2</v>
      </c>
      <c r="D190" s="121">
        <v>0.002893152329358203</v>
      </c>
      <c r="E190" s="121">
        <v>2.645422269349092</v>
      </c>
      <c r="F190" s="88" t="s">
        <v>1280</v>
      </c>
      <c r="G190" s="88" t="b">
        <v>0</v>
      </c>
      <c r="H190" s="88" t="b">
        <v>0</v>
      </c>
      <c r="I190" s="88" t="b">
        <v>0</v>
      </c>
      <c r="J190" s="88" t="b">
        <v>0</v>
      </c>
      <c r="K190" s="88" t="b">
        <v>0</v>
      </c>
      <c r="L190" s="88" t="b">
        <v>0</v>
      </c>
    </row>
    <row r="191" spans="1:12" ht="15">
      <c r="A191" s="89" t="s">
        <v>915</v>
      </c>
      <c r="B191" s="88" t="s">
        <v>873</v>
      </c>
      <c r="C191" s="88">
        <v>2</v>
      </c>
      <c r="D191" s="121">
        <v>0.002893152329358203</v>
      </c>
      <c r="E191" s="121">
        <v>1.9922097555737481</v>
      </c>
      <c r="F191" s="88" t="s">
        <v>1280</v>
      </c>
      <c r="G191" s="88" t="b">
        <v>0</v>
      </c>
      <c r="H191" s="88" t="b">
        <v>0</v>
      </c>
      <c r="I191" s="88" t="b">
        <v>0</v>
      </c>
      <c r="J191" s="88" t="b">
        <v>0</v>
      </c>
      <c r="K191" s="88" t="b">
        <v>0</v>
      </c>
      <c r="L191" s="88" t="b">
        <v>0</v>
      </c>
    </row>
    <row r="192" spans="1:12" ht="15">
      <c r="A192" s="89" t="s">
        <v>873</v>
      </c>
      <c r="B192" s="88" t="s">
        <v>916</v>
      </c>
      <c r="C192" s="88">
        <v>2</v>
      </c>
      <c r="D192" s="121">
        <v>0.002893152329358203</v>
      </c>
      <c r="E192" s="121">
        <v>1.8325089127062364</v>
      </c>
      <c r="F192" s="88" t="s">
        <v>1280</v>
      </c>
      <c r="G192" s="88" t="b">
        <v>0</v>
      </c>
      <c r="H192" s="88" t="b">
        <v>0</v>
      </c>
      <c r="I192" s="88" t="b">
        <v>0</v>
      </c>
      <c r="J192" s="88" t="b">
        <v>0</v>
      </c>
      <c r="K192" s="88" t="b">
        <v>0</v>
      </c>
      <c r="L192" s="88" t="b">
        <v>0</v>
      </c>
    </row>
    <row r="193" spans="1:12" ht="15">
      <c r="A193" s="89" t="s">
        <v>916</v>
      </c>
      <c r="B193" s="88" t="s">
        <v>917</v>
      </c>
      <c r="C193" s="88">
        <v>2</v>
      </c>
      <c r="D193" s="121">
        <v>0.002893152329358203</v>
      </c>
      <c r="E193" s="121">
        <v>2.3443922736851106</v>
      </c>
      <c r="F193" s="88" t="s">
        <v>1280</v>
      </c>
      <c r="G193" s="88" t="b">
        <v>0</v>
      </c>
      <c r="H193" s="88" t="b">
        <v>0</v>
      </c>
      <c r="I193" s="88" t="b">
        <v>0</v>
      </c>
      <c r="J193" s="88" t="b">
        <v>0</v>
      </c>
      <c r="K193" s="88" t="b">
        <v>0</v>
      </c>
      <c r="L193" s="88" t="b">
        <v>0</v>
      </c>
    </row>
    <row r="194" spans="1:12" ht="15">
      <c r="A194" s="89" t="s">
        <v>917</v>
      </c>
      <c r="B194" s="88" t="s">
        <v>918</v>
      </c>
      <c r="C194" s="88">
        <v>2</v>
      </c>
      <c r="D194" s="121">
        <v>0.002893152329358203</v>
      </c>
      <c r="E194" s="121">
        <v>2.3443922736851106</v>
      </c>
      <c r="F194" s="88" t="s">
        <v>1280</v>
      </c>
      <c r="G194" s="88" t="b">
        <v>0</v>
      </c>
      <c r="H194" s="88" t="b">
        <v>0</v>
      </c>
      <c r="I194" s="88" t="b">
        <v>0</v>
      </c>
      <c r="J194" s="88" t="b">
        <v>0</v>
      </c>
      <c r="K194" s="88" t="b">
        <v>0</v>
      </c>
      <c r="L194" s="88" t="b">
        <v>0</v>
      </c>
    </row>
    <row r="195" spans="1:12" ht="15">
      <c r="A195" s="89" t="s">
        <v>918</v>
      </c>
      <c r="B195" s="88" t="s">
        <v>919</v>
      </c>
      <c r="C195" s="88">
        <v>2</v>
      </c>
      <c r="D195" s="121">
        <v>0.002893152329358203</v>
      </c>
      <c r="E195" s="121">
        <v>2.645422269349092</v>
      </c>
      <c r="F195" s="88" t="s">
        <v>1280</v>
      </c>
      <c r="G195" s="88" t="b">
        <v>0</v>
      </c>
      <c r="H195" s="88" t="b">
        <v>0</v>
      </c>
      <c r="I195" s="88" t="b">
        <v>0</v>
      </c>
      <c r="J195" s="88" t="b">
        <v>0</v>
      </c>
      <c r="K195" s="88" t="b">
        <v>0</v>
      </c>
      <c r="L195" s="88" t="b">
        <v>0</v>
      </c>
    </row>
    <row r="196" spans="1:12" ht="15">
      <c r="A196" s="89" t="s">
        <v>919</v>
      </c>
      <c r="B196" s="88" t="s">
        <v>272</v>
      </c>
      <c r="C196" s="88">
        <v>2</v>
      </c>
      <c r="D196" s="121">
        <v>0.002893152329358203</v>
      </c>
      <c r="E196" s="121">
        <v>2.645422269349092</v>
      </c>
      <c r="F196" s="88" t="s">
        <v>1280</v>
      </c>
      <c r="G196" s="88" t="b">
        <v>0</v>
      </c>
      <c r="H196" s="88" t="b">
        <v>0</v>
      </c>
      <c r="I196" s="88" t="b">
        <v>0</v>
      </c>
      <c r="J196" s="88" t="b">
        <v>0</v>
      </c>
      <c r="K196" s="88" t="b">
        <v>0</v>
      </c>
      <c r="L196" s="88" t="b">
        <v>0</v>
      </c>
    </row>
    <row r="197" spans="1:12" ht="15">
      <c r="A197" s="89" t="s">
        <v>272</v>
      </c>
      <c r="B197" s="88" t="s">
        <v>920</v>
      </c>
      <c r="C197" s="88">
        <v>2</v>
      </c>
      <c r="D197" s="121">
        <v>0.002893152329358203</v>
      </c>
      <c r="E197" s="121">
        <v>2.645422269349092</v>
      </c>
      <c r="F197" s="88" t="s">
        <v>1280</v>
      </c>
      <c r="G197" s="88" t="b">
        <v>0</v>
      </c>
      <c r="H197" s="88" t="b">
        <v>0</v>
      </c>
      <c r="I197" s="88" t="b">
        <v>0</v>
      </c>
      <c r="J197" s="88" t="b">
        <v>0</v>
      </c>
      <c r="K197" s="88" t="b">
        <v>0</v>
      </c>
      <c r="L197" s="88" t="b">
        <v>0</v>
      </c>
    </row>
    <row r="198" spans="1:12" ht="15">
      <c r="A198" s="89" t="s">
        <v>920</v>
      </c>
      <c r="B198" s="88" t="s">
        <v>871</v>
      </c>
      <c r="C198" s="88">
        <v>2</v>
      </c>
      <c r="D198" s="121">
        <v>0.002893152329358203</v>
      </c>
      <c r="E198" s="121">
        <v>1.3129838094334865</v>
      </c>
      <c r="F198" s="88" t="s">
        <v>1280</v>
      </c>
      <c r="G198" s="88" t="b">
        <v>0</v>
      </c>
      <c r="H198" s="88" t="b">
        <v>0</v>
      </c>
      <c r="I198" s="88" t="b">
        <v>0</v>
      </c>
      <c r="J198" s="88" t="b">
        <v>0</v>
      </c>
      <c r="K198" s="88" t="b">
        <v>0</v>
      </c>
      <c r="L198" s="88" t="b">
        <v>0</v>
      </c>
    </row>
    <row r="199" spans="1:12" ht="15">
      <c r="A199" s="89" t="s">
        <v>871</v>
      </c>
      <c r="B199" s="88" t="s">
        <v>1273</v>
      </c>
      <c r="C199" s="88">
        <v>2</v>
      </c>
      <c r="D199" s="121">
        <v>0.002893152329358203</v>
      </c>
      <c r="E199" s="121">
        <v>1.441302286693167</v>
      </c>
      <c r="F199" s="88" t="s">
        <v>1280</v>
      </c>
      <c r="G199" s="88" t="b">
        <v>0</v>
      </c>
      <c r="H199" s="88" t="b">
        <v>0</v>
      </c>
      <c r="I199" s="88" t="b">
        <v>0</v>
      </c>
      <c r="J199" s="88" t="b">
        <v>0</v>
      </c>
      <c r="K199" s="88" t="b">
        <v>0</v>
      </c>
      <c r="L199" s="88" t="b">
        <v>0</v>
      </c>
    </row>
    <row r="200" spans="1:12" ht="15">
      <c r="A200" s="89" t="s">
        <v>1273</v>
      </c>
      <c r="B200" s="88" t="s">
        <v>1274</v>
      </c>
      <c r="C200" s="88">
        <v>2</v>
      </c>
      <c r="D200" s="121">
        <v>0.002893152329358203</v>
      </c>
      <c r="E200" s="121">
        <v>2.645422269349092</v>
      </c>
      <c r="F200" s="88" t="s">
        <v>1280</v>
      </c>
      <c r="G200" s="88" t="b">
        <v>0</v>
      </c>
      <c r="H200" s="88" t="b">
        <v>0</v>
      </c>
      <c r="I200" s="88" t="b">
        <v>0</v>
      </c>
      <c r="J200" s="88" t="b">
        <v>0</v>
      </c>
      <c r="K200" s="88" t="b">
        <v>0</v>
      </c>
      <c r="L200" s="88" t="b">
        <v>0</v>
      </c>
    </row>
    <row r="201" spans="1:12" ht="15">
      <c r="A201" s="89" t="s">
        <v>873</v>
      </c>
      <c r="B201" s="88" t="s">
        <v>850</v>
      </c>
      <c r="C201" s="88">
        <v>2</v>
      </c>
      <c r="D201" s="121">
        <v>0.010204406632677328</v>
      </c>
      <c r="E201" s="121">
        <v>1.4393326938302626</v>
      </c>
      <c r="F201" s="88" t="s">
        <v>718</v>
      </c>
      <c r="G201" s="88" t="b">
        <v>0</v>
      </c>
      <c r="H201" s="88" t="b">
        <v>0</v>
      </c>
      <c r="I201" s="88" t="b">
        <v>0</v>
      </c>
      <c r="J201" s="88" t="b">
        <v>0</v>
      </c>
      <c r="K201" s="88" t="b">
        <v>0</v>
      </c>
      <c r="L201" s="88" t="b">
        <v>0</v>
      </c>
    </row>
    <row r="202" spans="1:12" ht="15">
      <c r="A202" s="89" t="s">
        <v>850</v>
      </c>
      <c r="B202" s="88" t="s">
        <v>881</v>
      </c>
      <c r="C202" s="88">
        <v>2</v>
      </c>
      <c r="D202" s="121">
        <v>0.010204406632677328</v>
      </c>
      <c r="E202" s="121">
        <v>1.4393326938302626</v>
      </c>
      <c r="F202" s="88" t="s">
        <v>718</v>
      </c>
      <c r="G202" s="88" t="b">
        <v>0</v>
      </c>
      <c r="H202" s="88" t="b">
        <v>0</v>
      </c>
      <c r="I202" s="88" t="b">
        <v>0</v>
      </c>
      <c r="J202" s="88" t="b">
        <v>0</v>
      </c>
      <c r="K202" s="88" t="b">
        <v>0</v>
      </c>
      <c r="L202" s="88" t="b">
        <v>0</v>
      </c>
    </row>
    <row r="203" spans="1:12" ht="15">
      <c r="A203" s="89" t="s">
        <v>881</v>
      </c>
      <c r="B203" s="88" t="s">
        <v>254</v>
      </c>
      <c r="C203" s="88">
        <v>2</v>
      </c>
      <c r="D203" s="121">
        <v>0.010204406632677328</v>
      </c>
      <c r="E203" s="121">
        <v>1.4393326938302626</v>
      </c>
      <c r="F203" s="88" t="s">
        <v>718</v>
      </c>
      <c r="G203" s="88" t="b">
        <v>0</v>
      </c>
      <c r="H203" s="88" t="b">
        <v>0</v>
      </c>
      <c r="I203" s="88" t="b">
        <v>0</v>
      </c>
      <c r="J203" s="88" t="b">
        <v>0</v>
      </c>
      <c r="K203" s="88" t="b">
        <v>0</v>
      </c>
      <c r="L203" s="88" t="b">
        <v>0</v>
      </c>
    </row>
    <row r="204" spans="1:12" ht="15">
      <c r="A204" s="89" t="s">
        <v>254</v>
      </c>
      <c r="B204" s="88" t="s">
        <v>283</v>
      </c>
      <c r="C204" s="88">
        <v>2</v>
      </c>
      <c r="D204" s="121">
        <v>0.010204406632677328</v>
      </c>
      <c r="E204" s="121">
        <v>1.4393326938302626</v>
      </c>
      <c r="F204" s="88" t="s">
        <v>718</v>
      </c>
      <c r="G204" s="88" t="b">
        <v>0</v>
      </c>
      <c r="H204" s="88" t="b">
        <v>0</v>
      </c>
      <c r="I204" s="88" t="b">
        <v>0</v>
      </c>
      <c r="J204" s="88" t="b">
        <v>0</v>
      </c>
      <c r="K204" s="88" t="b">
        <v>0</v>
      </c>
      <c r="L204" s="88" t="b">
        <v>0</v>
      </c>
    </row>
    <row r="205" spans="1:12" ht="15">
      <c r="A205" s="89" t="s">
        <v>283</v>
      </c>
      <c r="B205" s="88" t="s">
        <v>275</v>
      </c>
      <c r="C205" s="88">
        <v>2</v>
      </c>
      <c r="D205" s="121">
        <v>0.010204406632677328</v>
      </c>
      <c r="E205" s="121">
        <v>1.1383026981662814</v>
      </c>
      <c r="F205" s="88" t="s">
        <v>718</v>
      </c>
      <c r="G205" s="88" t="b">
        <v>0</v>
      </c>
      <c r="H205" s="88" t="b">
        <v>0</v>
      </c>
      <c r="I205" s="88" t="b">
        <v>0</v>
      </c>
      <c r="J205" s="88" t="b">
        <v>0</v>
      </c>
      <c r="K205" s="88" t="b">
        <v>0</v>
      </c>
      <c r="L205" s="88" t="b">
        <v>0</v>
      </c>
    </row>
    <row r="206" spans="1:12" ht="15">
      <c r="A206" s="89" t="s">
        <v>275</v>
      </c>
      <c r="B206" s="88" t="s">
        <v>282</v>
      </c>
      <c r="C206" s="88">
        <v>2</v>
      </c>
      <c r="D206" s="121">
        <v>0.010204406632677328</v>
      </c>
      <c r="E206" s="121">
        <v>1.4393326938302626</v>
      </c>
      <c r="F206" s="88" t="s">
        <v>718</v>
      </c>
      <c r="G206" s="88" t="b">
        <v>0</v>
      </c>
      <c r="H206" s="88" t="b">
        <v>0</v>
      </c>
      <c r="I206" s="88" t="b">
        <v>0</v>
      </c>
      <c r="J206" s="88" t="b">
        <v>0</v>
      </c>
      <c r="K206" s="88" t="b">
        <v>0</v>
      </c>
      <c r="L206" s="88" t="b">
        <v>0</v>
      </c>
    </row>
    <row r="207" spans="1:12" ht="15">
      <c r="A207" s="89" t="s">
        <v>282</v>
      </c>
      <c r="B207" s="88" t="s">
        <v>281</v>
      </c>
      <c r="C207" s="88">
        <v>2</v>
      </c>
      <c r="D207" s="121">
        <v>0.010204406632677328</v>
      </c>
      <c r="E207" s="121">
        <v>1.4393326938302626</v>
      </c>
      <c r="F207" s="88" t="s">
        <v>718</v>
      </c>
      <c r="G207" s="88" t="b">
        <v>0</v>
      </c>
      <c r="H207" s="88" t="b">
        <v>0</v>
      </c>
      <c r="I207" s="88" t="b">
        <v>0</v>
      </c>
      <c r="J207" s="88" t="b">
        <v>0</v>
      </c>
      <c r="K207" s="88" t="b">
        <v>0</v>
      </c>
      <c r="L207" s="88" t="b">
        <v>0</v>
      </c>
    </row>
    <row r="208" spans="1:12" ht="15">
      <c r="A208" s="89" t="s">
        <v>281</v>
      </c>
      <c r="B208" s="88" t="s">
        <v>251</v>
      </c>
      <c r="C208" s="88">
        <v>2</v>
      </c>
      <c r="D208" s="121">
        <v>0.010204406632677328</v>
      </c>
      <c r="E208" s="121">
        <v>1.4393326938302626</v>
      </c>
      <c r="F208" s="88" t="s">
        <v>718</v>
      </c>
      <c r="G208" s="88" t="b">
        <v>0</v>
      </c>
      <c r="H208" s="88" t="b">
        <v>0</v>
      </c>
      <c r="I208" s="88" t="b">
        <v>0</v>
      </c>
      <c r="J208" s="88" t="b">
        <v>0</v>
      </c>
      <c r="K208" s="88" t="b">
        <v>0</v>
      </c>
      <c r="L208" s="88" t="b">
        <v>0</v>
      </c>
    </row>
    <row r="209" spans="1:12" ht="15">
      <c r="A209" s="89" t="s">
        <v>251</v>
      </c>
      <c r="B209" s="88" t="s">
        <v>280</v>
      </c>
      <c r="C209" s="88">
        <v>2</v>
      </c>
      <c r="D209" s="121">
        <v>0.010204406632677328</v>
      </c>
      <c r="E209" s="121">
        <v>1.4393326938302626</v>
      </c>
      <c r="F209" s="88" t="s">
        <v>718</v>
      </c>
      <c r="G209" s="88" t="b">
        <v>0</v>
      </c>
      <c r="H209" s="88" t="b">
        <v>0</v>
      </c>
      <c r="I209" s="88" t="b">
        <v>0</v>
      </c>
      <c r="J209" s="88" t="b">
        <v>0</v>
      </c>
      <c r="K209" s="88" t="b">
        <v>0</v>
      </c>
      <c r="L209" s="88" t="b">
        <v>0</v>
      </c>
    </row>
    <row r="210" spans="1:12" ht="15">
      <c r="A210" s="89" t="s">
        <v>280</v>
      </c>
      <c r="B210" s="88" t="s">
        <v>279</v>
      </c>
      <c r="C210" s="88">
        <v>2</v>
      </c>
      <c r="D210" s="121">
        <v>0.010204406632677328</v>
      </c>
      <c r="E210" s="121">
        <v>1.4393326938302626</v>
      </c>
      <c r="F210" s="88" t="s">
        <v>718</v>
      </c>
      <c r="G210" s="88" t="b">
        <v>0</v>
      </c>
      <c r="H210" s="88" t="b">
        <v>0</v>
      </c>
      <c r="I210" s="88" t="b">
        <v>0</v>
      </c>
      <c r="J210" s="88" t="b">
        <v>0</v>
      </c>
      <c r="K210" s="88" t="b">
        <v>0</v>
      </c>
      <c r="L210" s="88" t="b">
        <v>0</v>
      </c>
    </row>
    <row r="211" spans="1:12" ht="15">
      <c r="A211" s="89" t="s">
        <v>279</v>
      </c>
      <c r="B211" s="88" t="s">
        <v>278</v>
      </c>
      <c r="C211" s="88">
        <v>2</v>
      </c>
      <c r="D211" s="121">
        <v>0.010204406632677328</v>
      </c>
      <c r="E211" s="121">
        <v>1.4393326938302626</v>
      </c>
      <c r="F211" s="88" t="s">
        <v>718</v>
      </c>
      <c r="G211" s="88" t="b">
        <v>0</v>
      </c>
      <c r="H211" s="88" t="b">
        <v>0</v>
      </c>
      <c r="I211" s="88" t="b">
        <v>0</v>
      </c>
      <c r="J211" s="88" t="b">
        <v>0</v>
      </c>
      <c r="K211" s="88" t="b">
        <v>0</v>
      </c>
      <c r="L211" s="88" t="b">
        <v>0</v>
      </c>
    </row>
    <row r="212" spans="1:12" ht="15">
      <c r="A212" s="89" t="s">
        <v>278</v>
      </c>
      <c r="B212" s="88" t="s">
        <v>277</v>
      </c>
      <c r="C212" s="88">
        <v>2</v>
      </c>
      <c r="D212" s="121">
        <v>0.010204406632677328</v>
      </c>
      <c r="E212" s="121">
        <v>1.4393326938302626</v>
      </c>
      <c r="F212" s="88" t="s">
        <v>718</v>
      </c>
      <c r="G212" s="88" t="b">
        <v>0</v>
      </c>
      <c r="H212" s="88" t="b">
        <v>0</v>
      </c>
      <c r="I212" s="88" t="b">
        <v>0</v>
      </c>
      <c r="J212" s="88" t="b">
        <v>0</v>
      </c>
      <c r="K212" s="88" t="b">
        <v>0</v>
      </c>
      <c r="L212" s="88" t="b">
        <v>0</v>
      </c>
    </row>
    <row r="213" spans="1:12" ht="15">
      <c r="A213" s="89" t="s">
        <v>277</v>
      </c>
      <c r="B213" s="88" t="s">
        <v>1237</v>
      </c>
      <c r="C213" s="88">
        <v>2</v>
      </c>
      <c r="D213" s="121">
        <v>0.010204406632677328</v>
      </c>
      <c r="E213" s="121">
        <v>1.4393326938302626</v>
      </c>
      <c r="F213" s="88" t="s">
        <v>718</v>
      </c>
      <c r="G213" s="88" t="b">
        <v>0</v>
      </c>
      <c r="H213" s="88" t="b">
        <v>0</v>
      </c>
      <c r="I213" s="88" t="b">
        <v>0</v>
      </c>
      <c r="J213" s="88" t="b">
        <v>1</v>
      </c>
      <c r="K213" s="88" t="b">
        <v>0</v>
      </c>
      <c r="L213" s="88" t="b">
        <v>0</v>
      </c>
    </row>
    <row r="214" spans="1:12" ht="15">
      <c r="A214" s="89" t="s">
        <v>1237</v>
      </c>
      <c r="B214" s="88" t="s">
        <v>1238</v>
      </c>
      <c r="C214" s="88">
        <v>2</v>
      </c>
      <c r="D214" s="121">
        <v>0.010204406632677328</v>
      </c>
      <c r="E214" s="121">
        <v>1.4393326938302626</v>
      </c>
      <c r="F214" s="88" t="s">
        <v>718</v>
      </c>
      <c r="G214" s="88" t="b">
        <v>1</v>
      </c>
      <c r="H214" s="88" t="b">
        <v>0</v>
      </c>
      <c r="I214" s="88" t="b">
        <v>0</v>
      </c>
      <c r="J214" s="88" t="b">
        <v>0</v>
      </c>
      <c r="K214" s="88" t="b">
        <v>0</v>
      </c>
      <c r="L214" s="88" t="b">
        <v>0</v>
      </c>
    </row>
    <row r="215" spans="1:12" ht="15">
      <c r="A215" s="89" t="s">
        <v>1238</v>
      </c>
      <c r="B215" s="88" t="s">
        <v>1239</v>
      </c>
      <c r="C215" s="88">
        <v>2</v>
      </c>
      <c r="D215" s="121">
        <v>0.010204406632677328</v>
      </c>
      <c r="E215" s="121">
        <v>1.4393326938302626</v>
      </c>
      <c r="F215" s="88" t="s">
        <v>718</v>
      </c>
      <c r="G215" s="88" t="b">
        <v>0</v>
      </c>
      <c r="H215" s="88" t="b">
        <v>0</v>
      </c>
      <c r="I215" s="88" t="b">
        <v>0</v>
      </c>
      <c r="J215" s="88" t="b">
        <v>0</v>
      </c>
      <c r="K215" s="88" t="b">
        <v>0</v>
      </c>
      <c r="L215" s="88" t="b">
        <v>0</v>
      </c>
    </row>
    <row r="216" spans="1:12" ht="15">
      <c r="A216" s="89" t="s">
        <v>1239</v>
      </c>
      <c r="B216" s="88" t="s">
        <v>871</v>
      </c>
      <c r="C216" s="88">
        <v>2</v>
      </c>
      <c r="D216" s="121">
        <v>0.010204406632677328</v>
      </c>
      <c r="E216" s="121">
        <v>1.2632414347745815</v>
      </c>
      <c r="F216" s="88" t="s">
        <v>718</v>
      </c>
      <c r="G216" s="88" t="b">
        <v>0</v>
      </c>
      <c r="H216" s="88" t="b">
        <v>0</v>
      </c>
      <c r="I216" s="88" t="b">
        <v>0</v>
      </c>
      <c r="J216" s="88" t="b">
        <v>0</v>
      </c>
      <c r="K216" s="88" t="b">
        <v>0</v>
      </c>
      <c r="L216" s="88" t="b">
        <v>0</v>
      </c>
    </row>
    <row r="217" spans="1:12" ht="15">
      <c r="A217" s="89" t="s">
        <v>871</v>
      </c>
      <c r="B217" s="88" t="s">
        <v>1240</v>
      </c>
      <c r="C217" s="88">
        <v>2</v>
      </c>
      <c r="D217" s="121">
        <v>0.010204406632677328</v>
      </c>
      <c r="E217" s="121">
        <v>1.1383026981662814</v>
      </c>
      <c r="F217" s="88" t="s">
        <v>718</v>
      </c>
      <c r="G217" s="88" t="b">
        <v>0</v>
      </c>
      <c r="H217" s="88" t="b">
        <v>0</v>
      </c>
      <c r="I217" s="88" t="b">
        <v>0</v>
      </c>
      <c r="J217" s="88" t="b">
        <v>0</v>
      </c>
      <c r="K217" s="88" t="b">
        <v>0</v>
      </c>
      <c r="L217" s="88" t="b">
        <v>0</v>
      </c>
    </row>
    <row r="218" spans="1:12" ht="15">
      <c r="A218" s="89" t="s">
        <v>1240</v>
      </c>
      <c r="B218" s="88" t="s">
        <v>1241</v>
      </c>
      <c r="C218" s="88">
        <v>2</v>
      </c>
      <c r="D218" s="121">
        <v>0.010204406632677328</v>
      </c>
      <c r="E218" s="121">
        <v>1.4393326938302626</v>
      </c>
      <c r="F218" s="88" t="s">
        <v>718</v>
      </c>
      <c r="G218" s="88" t="b">
        <v>0</v>
      </c>
      <c r="H218" s="88" t="b">
        <v>0</v>
      </c>
      <c r="I218" s="88" t="b">
        <v>0</v>
      </c>
      <c r="J218" s="88" t="b">
        <v>0</v>
      </c>
      <c r="K218" s="88" t="b">
        <v>0</v>
      </c>
      <c r="L218" s="88" t="b">
        <v>0</v>
      </c>
    </row>
    <row r="219" spans="1:12" ht="15">
      <c r="A219" s="89" t="s">
        <v>1241</v>
      </c>
      <c r="B219" s="88" t="s">
        <v>1242</v>
      </c>
      <c r="C219" s="88">
        <v>2</v>
      </c>
      <c r="D219" s="121">
        <v>0.010204406632677328</v>
      </c>
      <c r="E219" s="121">
        <v>1.4393326938302626</v>
      </c>
      <c r="F219" s="88" t="s">
        <v>718</v>
      </c>
      <c r="G219" s="88" t="b">
        <v>0</v>
      </c>
      <c r="H219" s="88" t="b">
        <v>0</v>
      </c>
      <c r="I219" s="88" t="b">
        <v>0</v>
      </c>
      <c r="J219" s="88" t="b">
        <v>0</v>
      </c>
      <c r="K219" s="88" t="b">
        <v>0</v>
      </c>
      <c r="L219" s="88" t="b">
        <v>0</v>
      </c>
    </row>
    <row r="220" spans="1:12" ht="15">
      <c r="A220" s="89" t="s">
        <v>884</v>
      </c>
      <c r="B220" s="88" t="s">
        <v>885</v>
      </c>
      <c r="C220" s="88">
        <v>6</v>
      </c>
      <c r="D220" s="121">
        <v>0.006738303048625948</v>
      </c>
      <c r="E220" s="121">
        <v>1.6782147827453993</v>
      </c>
      <c r="F220" s="88" t="s">
        <v>719</v>
      </c>
      <c r="G220" s="88" t="b">
        <v>0</v>
      </c>
      <c r="H220" s="88" t="b">
        <v>0</v>
      </c>
      <c r="I220" s="88" t="b">
        <v>0</v>
      </c>
      <c r="J220" s="88" t="b">
        <v>0</v>
      </c>
      <c r="K220" s="88" t="b">
        <v>0</v>
      </c>
      <c r="L220" s="88" t="b">
        <v>0</v>
      </c>
    </row>
    <row r="221" spans="1:12" ht="15">
      <c r="A221" s="89" t="s">
        <v>885</v>
      </c>
      <c r="B221" s="88" t="s">
        <v>886</v>
      </c>
      <c r="C221" s="88">
        <v>6</v>
      </c>
      <c r="D221" s="121">
        <v>0.006738303048625948</v>
      </c>
      <c r="E221" s="121">
        <v>1.6782147827453993</v>
      </c>
      <c r="F221" s="88" t="s">
        <v>719</v>
      </c>
      <c r="G221" s="88" t="b">
        <v>0</v>
      </c>
      <c r="H221" s="88" t="b">
        <v>0</v>
      </c>
      <c r="I221" s="88" t="b">
        <v>0</v>
      </c>
      <c r="J221" s="88" t="b">
        <v>0</v>
      </c>
      <c r="K221" s="88" t="b">
        <v>0</v>
      </c>
      <c r="L221" s="88" t="b">
        <v>0</v>
      </c>
    </row>
    <row r="222" spans="1:12" ht="15">
      <c r="A222" s="89" t="s">
        <v>886</v>
      </c>
      <c r="B222" s="88" t="s">
        <v>887</v>
      </c>
      <c r="C222" s="88">
        <v>6</v>
      </c>
      <c r="D222" s="121">
        <v>0.006738303048625948</v>
      </c>
      <c r="E222" s="121">
        <v>1.6782147827453993</v>
      </c>
      <c r="F222" s="88" t="s">
        <v>719</v>
      </c>
      <c r="G222" s="88" t="b">
        <v>0</v>
      </c>
      <c r="H222" s="88" t="b">
        <v>0</v>
      </c>
      <c r="I222" s="88" t="b">
        <v>0</v>
      </c>
      <c r="J222" s="88" t="b">
        <v>0</v>
      </c>
      <c r="K222" s="88" t="b">
        <v>0</v>
      </c>
      <c r="L222" s="88" t="b">
        <v>0</v>
      </c>
    </row>
    <row r="223" spans="1:12" ht="15">
      <c r="A223" s="89" t="s">
        <v>887</v>
      </c>
      <c r="B223" s="88" t="s">
        <v>874</v>
      </c>
      <c r="C223" s="88">
        <v>6</v>
      </c>
      <c r="D223" s="121">
        <v>0.006738303048625948</v>
      </c>
      <c r="E223" s="121">
        <v>1.3771847870814182</v>
      </c>
      <c r="F223" s="88" t="s">
        <v>719</v>
      </c>
      <c r="G223" s="88" t="b">
        <v>0</v>
      </c>
      <c r="H223" s="88" t="b">
        <v>0</v>
      </c>
      <c r="I223" s="88" t="b">
        <v>0</v>
      </c>
      <c r="J223" s="88" t="b">
        <v>0</v>
      </c>
      <c r="K223" s="88" t="b">
        <v>0</v>
      </c>
      <c r="L223" s="88" t="b">
        <v>0</v>
      </c>
    </row>
    <row r="224" spans="1:12" ht="15">
      <c r="A224" s="89" t="s">
        <v>874</v>
      </c>
      <c r="B224" s="88" t="s">
        <v>888</v>
      </c>
      <c r="C224" s="88">
        <v>6</v>
      </c>
      <c r="D224" s="121">
        <v>0.006738303048625948</v>
      </c>
      <c r="E224" s="121">
        <v>1.3771847870814182</v>
      </c>
      <c r="F224" s="88" t="s">
        <v>719</v>
      </c>
      <c r="G224" s="88" t="b">
        <v>0</v>
      </c>
      <c r="H224" s="88" t="b">
        <v>0</v>
      </c>
      <c r="I224" s="88" t="b">
        <v>0</v>
      </c>
      <c r="J224" s="88" t="b">
        <v>0</v>
      </c>
      <c r="K224" s="88" t="b">
        <v>0</v>
      </c>
      <c r="L224" s="88" t="b">
        <v>0</v>
      </c>
    </row>
    <row r="225" spans="1:12" ht="15">
      <c r="A225" s="89" t="s">
        <v>888</v>
      </c>
      <c r="B225" s="88" t="s">
        <v>1170</v>
      </c>
      <c r="C225" s="88">
        <v>6</v>
      </c>
      <c r="D225" s="121">
        <v>0.006738303048625948</v>
      </c>
      <c r="E225" s="121">
        <v>1.6782147827453993</v>
      </c>
      <c r="F225" s="88" t="s">
        <v>719</v>
      </c>
      <c r="G225" s="88" t="b">
        <v>0</v>
      </c>
      <c r="H225" s="88" t="b">
        <v>0</v>
      </c>
      <c r="I225" s="88" t="b">
        <v>0</v>
      </c>
      <c r="J225" s="88" t="b">
        <v>0</v>
      </c>
      <c r="K225" s="88" t="b">
        <v>0</v>
      </c>
      <c r="L225" s="88" t="b">
        <v>0</v>
      </c>
    </row>
    <row r="226" spans="1:12" ht="15">
      <c r="A226" s="89" t="s">
        <v>1170</v>
      </c>
      <c r="B226" s="88" t="s">
        <v>1171</v>
      </c>
      <c r="C226" s="88">
        <v>6</v>
      </c>
      <c r="D226" s="121">
        <v>0.006738303048625948</v>
      </c>
      <c r="E226" s="121">
        <v>1.6782147827453993</v>
      </c>
      <c r="F226" s="88" t="s">
        <v>719</v>
      </c>
      <c r="G226" s="88" t="b">
        <v>0</v>
      </c>
      <c r="H226" s="88" t="b">
        <v>0</v>
      </c>
      <c r="I226" s="88" t="b">
        <v>0</v>
      </c>
      <c r="J226" s="88" t="b">
        <v>1</v>
      </c>
      <c r="K226" s="88" t="b">
        <v>0</v>
      </c>
      <c r="L226" s="88" t="b">
        <v>0</v>
      </c>
    </row>
    <row r="227" spans="1:12" ht="15">
      <c r="A227" s="89" t="s">
        <v>1171</v>
      </c>
      <c r="B227" s="88" t="s">
        <v>1172</v>
      </c>
      <c r="C227" s="88">
        <v>6</v>
      </c>
      <c r="D227" s="121">
        <v>0.006738303048625948</v>
      </c>
      <c r="E227" s="121">
        <v>1.6782147827453993</v>
      </c>
      <c r="F227" s="88" t="s">
        <v>719</v>
      </c>
      <c r="G227" s="88" t="b">
        <v>1</v>
      </c>
      <c r="H227" s="88" t="b">
        <v>0</v>
      </c>
      <c r="I227" s="88" t="b">
        <v>0</v>
      </c>
      <c r="J227" s="88" t="b">
        <v>1</v>
      </c>
      <c r="K227" s="88" t="b">
        <v>0</v>
      </c>
      <c r="L227" s="88" t="b">
        <v>0</v>
      </c>
    </row>
    <row r="228" spans="1:12" ht="15">
      <c r="A228" s="89" t="s">
        <v>1172</v>
      </c>
      <c r="B228" s="88" t="s">
        <v>1173</v>
      </c>
      <c r="C228" s="88">
        <v>6</v>
      </c>
      <c r="D228" s="121">
        <v>0.006738303048625948</v>
      </c>
      <c r="E228" s="121">
        <v>1.6782147827453993</v>
      </c>
      <c r="F228" s="88" t="s">
        <v>719</v>
      </c>
      <c r="G228" s="88" t="b">
        <v>1</v>
      </c>
      <c r="H228" s="88" t="b">
        <v>0</v>
      </c>
      <c r="I228" s="88" t="b">
        <v>0</v>
      </c>
      <c r="J228" s="88" t="b">
        <v>0</v>
      </c>
      <c r="K228" s="88" t="b">
        <v>0</v>
      </c>
      <c r="L228" s="88" t="b">
        <v>0</v>
      </c>
    </row>
    <row r="229" spans="1:12" ht="15">
      <c r="A229" s="89" t="s">
        <v>1173</v>
      </c>
      <c r="B229" s="88" t="s">
        <v>1174</v>
      </c>
      <c r="C229" s="88">
        <v>6</v>
      </c>
      <c r="D229" s="121">
        <v>0.006738303048625948</v>
      </c>
      <c r="E229" s="121">
        <v>1.6782147827453993</v>
      </c>
      <c r="F229" s="88" t="s">
        <v>719</v>
      </c>
      <c r="G229" s="88" t="b">
        <v>0</v>
      </c>
      <c r="H229" s="88" t="b">
        <v>0</v>
      </c>
      <c r="I229" s="88" t="b">
        <v>0</v>
      </c>
      <c r="J229" s="88" t="b">
        <v>0</v>
      </c>
      <c r="K229" s="88" t="b">
        <v>0</v>
      </c>
      <c r="L229" s="88" t="b">
        <v>0</v>
      </c>
    </row>
    <row r="230" spans="1:12" ht="15">
      <c r="A230" s="89" t="s">
        <v>1174</v>
      </c>
      <c r="B230" s="88" t="s">
        <v>1175</v>
      </c>
      <c r="C230" s="88">
        <v>6</v>
      </c>
      <c r="D230" s="121">
        <v>0.006738303048625948</v>
      </c>
      <c r="E230" s="121">
        <v>1.6782147827453993</v>
      </c>
      <c r="F230" s="88" t="s">
        <v>719</v>
      </c>
      <c r="G230" s="88" t="b">
        <v>0</v>
      </c>
      <c r="H230" s="88" t="b">
        <v>0</v>
      </c>
      <c r="I230" s="88" t="b">
        <v>0</v>
      </c>
      <c r="J230" s="88" t="b">
        <v>0</v>
      </c>
      <c r="K230" s="88" t="b">
        <v>0</v>
      </c>
      <c r="L230" s="88" t="b">
        <v>0</v>
      </c>
    </row>
    <row r="231" spans="1:12" ht="15">
      <c r="A231" s="89" t="s">
        <v>1175</v>
      </c>
      <c r="B231" s="88" t="s">
        <v>1036</v>
      </c>
      <c r="C231" s="88">
        <v>6</v>
      </c>
      <c r="D231" s="121">
        <v>0.006738303048625948</v>
      </c>
      <c r="E231" s="121">
        <v>1.6782147827453993</v>
      </c>
      <c r="F231" s="88" t="s">
        <v>719</v>
      </c>
      <c r="G231" s="88" t="b">
        <v>0</v>
      </c>
      <c r="H231" s="88" t="b">
        <v>0</v>
      </c>
      <c r="I231" s="88" t="b">
        <v>0</v>
      </c>
      <c r="J231" s="88" t="b">
        <v>0</v>
      </c>
      <c r="K231" s="88" t="b">
        <v>0</v>
      </c>
      <c r="L231" s="88" t="b">
        <v>0</v>
      </c>
    </row>
    <row r="232" spans="1:12" ht="15">
      <c r="A232" s="89" t="s">
        <v>1036</v>
      </c>
      <c r="B232" s="88" t="s">
        <v>874</v>
      </c>
      <c r="C232" s="88">
        <v>6</v>
      </c>
      <c r="D232" s="121">
        <v>0.006738303048625948</v>
      </c>
      <c r="E232" s="121">
        <v>1.3771847870814182</v>
      </c>
      <c r="F232" s="88" t="s">
        <v>719</v>
      </c>
      <c r="G232" s="88" t="b">
        <v>0</v>
      </c>
      <c r="H232" s="88" t="b">
        <v>0</v>
      </c>
      <c r="I232" s="88" t="b">
        <v>0</v>
      </c>
      <c r="J232" s="88" t="b">
        <v>0</v>
      </c>
      <c r="K232" s="88" t="b">
        <v>0</v>
      </c>
      <c r="L232" s="88" t="b">
        <v>0</v>
      </c>
    </row>
    <row r="233" spans="1:12" ht="15">
      <c r="A233" s="89" t="s">
        <v>874</v>
      </c>
      <c r="B233" s="88" t="s">
        <v>1176</v>
      </c>
      <c r="C233" s="88">
        <v>6</v>
      </c>
      <c r="D233" s="121">
        <v>0.006738303048625948</v>
      </c>
      <c r="E233" s="121">
        <v>1.3771847870814182</v>
      </c>
      <c r="F233" s="88" t="s">
        <v>719</v>
      </c>
      <c r="G233" s="88" t="b">
        <v>0</v>
      </c>
      <c r="H233" s="88" t="b">
        <v>0</v>
      </c>
      <c r="I233" s="88" t="b">
        <v>0</v>
      </c>
      <c r="J233" s="88" t="b">
        <v>0</v>
      </c>
      <c r="K233" s="88" t="b">
        <v>0</v>
      </c>
      <c r="L233" s="88" t="b">
        <v>0</v>
      </c>
    </row>
    <row r="234" spans="1:12" ht="15">
      <c r="A234" s="89" t="s">
        <v>1176</v>
      </c>
      <c r="B234" s="88" t="s">
        <v>878</v>
      </c>
      <c r="C234" s="88">
        <v>6</v>
      </c>
      <c r="D234" s="121">
        <v>0.006738303048625948</v>
      </c>
      <c r="E234" s="121">
        <v>1.5532760461370994</v>
      </c>
      <c r="F234" s="88" t="s">
        <v>719</v>
      </c>
      <c r="G234" s="88" t="b">
        <v>0</v>
      </c>
      <c r="H234" s="88" t="b">
        <v>0</v>
      </c>
      <c r="I234" s="88" t="b">
        <v>0</v>
      </c>
      <c r="J234" s="88" t="b">
        <v>1</v>
      </c>
      <c r="K234" s="88" t="b">
        <v>0</v>
      </c>
      <c r="L234" s="88" t="b">
        <v>0</v>
      </c>
    </row>
    <row r="235" spans="1:12" ht="15">
      <c r="A235" s="89" t="s">
        <v>878</v>
      </c>
      <c r="B235" s="88" t="s">
        <v>1164</v>
      </c>
      <c r="C235" s="88">
        <v>6</v>
      </c>
      <c r="D235" s="121">
        <v>0.006738303048625948</v>
      </c>
      <c r="E235" s="121">
        <v>1.5532760461370994</v>
      </c>
      <c r="F235" s="88" t="s">
        <v>719</v>
      </c>
      <c r="G235" s="88" t="b">
        <v>1</v>
      </c>
      <c r="H235" s="88" t="b">
        <v>0</v>
      </c>
      <c r="I235" s="88" t="b">
        <v>0</v>
      </c>
      <c r="J235" s="88" t="b">
        <v>0</v>
      </c>
      <c r="K235" s="88" t="b">
        <v>0</v>
      </c>
      <c r="L235" s="88" t="b">
        <v>0</v>
      </c>
    </row>
    <row r="236" spans="1:12" ht="15">
      <c r="A236" s="89" t="s">
        <v>1164</v>
      </c>
      <c r="B236" s="88" t="s">
        <v>1165</v>
      </c>
      <c r="C236" s="88">
        <v>6</v>
      </c>
      <c r="D236" s="121">
        <v>0.006738303048625948</v>
      </c>
      <c r="E236" s="121">
        <v>1.6782147827453993</v>
      </c>
      <c r="F236" s="88" t="s">
        <v>719</v>
      </c>
      <c r="G236" s="88" t="b">
        <v>0</v>
      </c>
      <c r="H236" s="88" t="b">
        <v>0</v>
      </c>
      <c r="I236" s="88" t="b">
        <v>0</v>
      </c>
      <c r="J236" s="88" t="b">
        <v>0</v>
      </c>
      <c r="K236" s="88" t="b">
        <v>0</v>
      </c>
      <c r="L236" s="88" t="b">
        <v>0</v>
      </c>
    </row>
    <row r="237" spans="1:12" ht="15">
      <c r="A237" s="89" t="s">
        <v>1165</v>
      </c>
      <c r="B237" s="88" t="s">
        <v>1177</v>
      </c>
      <c r="C237" s="88">
        <v>6</v>
      </c>
      <c r="D237" s="121">
        <v>0.006738303048625948</v>
      </c>
      <c r="E237" s="121">
        <v>1.6782147827453993</v>
      </c>
      <c r="F237" s="88" t="s">
        <v>719</v>
      </c>
      <c r="G237" s="88" t="b">
        <v>0</v>
      </c>
      <c r="H237" s="88" t="b">
        <v>0</v>
      </c>
      <c r="I237" s="88" t="b">
        <v>0</v>
      </c>
      <c r="J237" s="88" t="b">
        <v>0</v>
      </c>
      <c r="K237" s="88" t="b">
        <v>0</v>
      </c>
      <c r="L237" s="88" t="b">
        <v>0</v>
      </c>
    </row>
    <row r="238" spans="1:12" ht="15">
      <c r="A238" s="89" t="s">
        <v>1177</v>
      </c>
      <c r="B238" s="88" t="s">
        <v>879</v>
      </c>
      <c r="C238" s="88">
        <v>6</v>
      </c>
      <c r="D238" s="121">
        <v>0.006738303048625948</v>
      </c>
      <c r="E238" s="121">
        <v>1.5532760461370994</v>
      </c>
      <c r="F238" s="88" t="s">
        <v>719</v>
      </c>
      <c r="G238" s="88" t="b">
        <v>0</v>
      </c>
      <c r="H238" s="88" t="b">
        <v>0</v>
      </c>
      <c r="I238" s="88" t="b">
        <v>0</v>
      </c>
      <c r="J238" s="88" t="b">
        <v>0</v>
      </c>
      <c r="K238" s="88" t="b">
        <v>0</v>
      </c>
      <c r="L238" s="88" t="b">
        <v>0</v>
      </c>
    </row>
    <row r="239" spans="1:12" ht="15">
      <c r="A239" s="89" t="s">
        <v>879</v>
      </c>
      <c r="B239" s="88" t="s">
        <v>871</v>
      </c>
      <c r="C239" s="88">
        <v>6</v>
      </c>
      <c r="D239" s="121">
        <v>0.006738303048625948</v>
      </c>
      <c r="E239" s="121">
        <v>1.2174839442139063</v>
      </c>
      <c r="F239" s="88" t="s">
        <v>719</v>
      </c>
      <c r="G239" s="88" t="b">
        <v>0</v>
      </c>
      <c r="H239" s="88" t="b">
        <v>0</v>
      </c>
      <c r="I239" s="88" t="b">
        <v>0</v>
      </c>
      <c r="J239" s="88" t="b">
        <v>0</v>
      </c>
      <c r="K239" s="88" t="b">
        <v>0</v>
      </c>
      <c r="L239" s="88" t="b">
        <v>0</v>
      </c>
    </row>
    <row r="240" spans="1:12" ht="15">
      <c r="A240" s="89" t="s">
        <v>1195</v>
      </c>
      <c r="B240" s="88" t="s">
        <v>1196</v>
      </c>
      <c r="C240" s="88">
        <v>5</v>
      </c>
      <c r="D240" s="121">
        <v>0.006939353644996956</v>
      </c>
      <c r="E240" s="121">
        <v>1.7573960287930241</v>
      </c>
      <c r="F240" s="88" t="s">
        <v>719</v>
      </c>
      <c r="G240" s="88" t="b">
        <v>0</v>
      </c>
      <c r="H240" s="88" t="b">
        <v>0</v>
      </c>
      <c r="I240" s="88" t="b">
        <v>0</v>
      </c>
      <c r="J240" s="88" t="b">
        <v>0</v>
      </c>
      <c r="K240" s="88" t="b">
        <v>0</v>
      </c>
      <c r="L240" s="88" t="b">
        <v>0</v>
      </c>
    </row>
    <row r="241" spans="1:12" ht="15">
      <c r="A241" s="89" t="s">
        <v>1197</v>
      </c>
      <c r="B241" s="88" t="s">
        <v>1198</v>
      </c>
      <c r="C241" s="88">
        <v>5</v>
      </c>
      <c r="D241" s="121">
        <v>0.006939353644996956</v>
      </c>
      <c r="E241" s="121">
        <v>1.7573960287930241</v>
      </c>
      <c r="F241" s="88" t="s">
        <v>719</v>
      </c>
      <c r="G241" s="88" t="b">
        <v>0</v>
      </c>
      <c r="H241" s="88" t="b">
        <v>0</v>
      </c>
      <c r="I241" s="88" t="b">
        <v>0</v>
      </c>
      <c r="J241" s="88" t="b">
        <v>0</v>
      </c>
      <c r="K241" s="88" t="b">
        <v>0</v>
      </c>
      <c r="L241" s="88" t="b">
        <v>0</v>
      </c>
    </row>
    <row r="242" spans="1:12" ht="15">
      <c r="A242" s="89" t="s">
        <v>1200</v>
      </c>
      <c r="B242" s="88" t="s">
        <v>1201</v>
      </c>
      <c r="C242" s="88">
        <v>4</v>
      </c>
      <c r="D242" s="121">
        <v>0.006847937939516714</v>
      </c>
      <c r="E242" s="121">
        <v>1.8543060418010806</v>
      </c>
      <c r="F242" s="88" t="s">
        <v>719</v>
      </c>
      <c r="G242" s="88" t="b">
        <v>0</v>
      </c>
      <c r="H242" s="88" t="b">
        <v>0</v>
      </c>
      <c r="I242" s="88" t="b">
        <v>0</v>
      </c>
      <c r="J242" s="88" t="b">
        <v>0</v>
      </c>
      <c r="K242" s="88" t="b">
        <v>0</v>
      </c>
      <c r="L242" s="88" t="b">
        <v>0</v>
      </c>
    </row>
    <row r="243" spans="1:12" ht="15">
      <c r="A243" s="89" t="s">
        <v>1205</v>
      </c>
      <c r="B243" s="88" t="s">
        <v>1206</v>
      </c>
      <c r="C243" s="88">
        <v>3</v>
      </c>
      <c r="D243" s="121">
        <v>0.006389519373784358</v>
      </c>
      <c r="E243" s="121">
        <v>1.9792447784093805</v>
      </c>
      <c r="F243" s="88" t="s">
        <v>719</v>
      </c>
      <c r="G243" s="88" t="b">
        <v>0</v>
      </c>
      <c r="H243" s="88" t="b">
        <v>0</v>
      </c>
      <c r="I243" s="88" t="b">
        <v>0</v>
      </c>
      <c r="J243" s="88" t="b">
        <v>0</v>
      </c>
      <c r="K243" s="88" t="b">
        <v>0</v>
      </c>
      <c r="L243" s="88" t="b">
        <v>0</v>
      </c>
    </row>
    <row r="244" spans="1:12" ht="15">
      <c r="A244" s="89" t="s">
        <v>1206</v>
      </c>
      <c r="B244" s="88" t="s">
        <v>1207</v>
      </c>
      <c r="C244" s="88">
        <v>3</v>
      </c>
      <c r="D244" s="121">
        <v>0.006389519373784358</v>
      </c>
      <c r="E244" s="121">
        <v>1.9792447784093805</v>
      </c>
      <c r="F244" s="88" t="s">
        <v>719</v>
      </c>
      <c r="G244" s="88" t="b">
        <v>0</v>
      </c>
      <c r="H244" s="88" t="b">
        <v>0</v>
      </c>
      <c r="I244" s="88" t="b">
        <v>0</v>
      </c>
      <c r="J244" s="88" t="b">
        <v>0</v>
      </c>
      <c r="K244" s="88" t="b">
        <v>0</v>
      </c>
      <c r="L244" s="88" t="b">
        <v>0</v>
      </c>
    </row>
    <row r="245" spans="1:12" ht="15">
      <c r="A245" s="89" t="s">
        <v>1207</v>
      </c>
      <c r="B245" s="88" t="s">
        <v>877</v>
      </c>
      <c r="C245" s="88">
        <v>3</v>
      </c>
      <c r="D245" s="121">
        <v>0.006389519373784358</v>
      </c>
      <c r="E245" s="121">
        <v>1.6782147827453993</v>
      </c>
      <c r="F245" s="88" t="s">
        <v>719</v>
      </c>
      <c r="G245" s="88" t="b">
        <v>0</v>
      </c>
      <c r="H245" s="88" t="b">
        <v>0</v>
      </c>
      <c r="I245" s="88" t="b">
        <v>0</v>
      </c>
      <c r="J245" s="88" t="b">
        <v>0</v>
      </c>
      <c r="K245" s="88" t="b">
        <v>0</v>
      </c>
      <c r="L245" s="88" t="b">
        <v>0</v>
      </c>
    </row>
    <row r="246" spans="1:12" ht="15">
      <c r="A246" s="89" t="s">
        <v>877</v>
      </c>
      <c r="B246" s="88" t="s">
        <v>1208</v>
      </c>
      <c r="C246" s="88">
        <v>3</v>
      </c>
      <c r="D246" s="121">
        <v>0.006389519373784358</v>
      </c>
      <c r="E246" s="121">
        <v>1.6782147827453993</v>
      </c>
      <c r="F246" s="88" t="s">
        <v>719</v>
      </c>
      <c r="G246" s="88" t="b">
        <v>0</v>
      </c>
      <c r="H246" s="88" t="b">
        <v>0</v>
      </c>
      <c r="I246" s="88" t="b">
        <v>0</v>
      </c>
      <c r="J246" s="88" t="b">
        <v>0</v>
      </c>
      <c r="K246" s="88" t="b">
        <v>0</v>
      </c>
      <c r="L246" s="88" t="b">
        <v>0</v>
      </c>
    </row>
    <row r="247" spans="1:12" ht="15">
      <c r="A247" s="89" t="s">
        <v>1208</v>
      </c>
      <c r="B247" s="88" t="s">
        <v>1178</v>
      </c>
      <c r="C247" s="88">
        <v>3</v>
      </c>
      <c r="D247" s="121">
        <v>0.006389519373784358</v>
      </c>
      <c r="E247" s="121">
        <v>1.6782147827453993</v>
      </c>
      <c r="F247" s="88" t="s">
        <v>719</v>
      </c>
      <c r="G247" s="88" t="b">
        <v>0</v>
      </c>
      <c r="H247" s="88" t="b">
        <v>0</v>
      </c>
      <c r="I247" s="88" t="b">
        <v>0</v>
      </c>
      <c r="J247" s="88" t="b">
        <v>0</v>
      </c>
      <c r="K247" s="88" t="b">
        <v>0</v>
      </c>
      <c r="L247" s="88" t="b">
        <v>0</v>
      </c>
    </row>
    <row r="248" spans="1:12" ht="15">
      <c r="A248" s="89" t="s">
        <v>1178</v>
      </c>
      <c r="B248" s="88" t="s">
        <v>1209</v>
      </c>
      <c r="C248" s="88">
        <v>3</v>
      </c>
      <c r="D248" s="121">
        <v>0.006389519373784358</v>
      </c>
      <c r="E248" s="121">
        <v>1.6782147827453993</v>
      </c>
      <c r="F248" s="88" t="s">
        <v>719</v>
      </c>
      <c r="G248" s="88" t="b">
        <v>0</v>
      </c>
      <c r="H248" s="88" t="b">
        <v>0</v>
      </c>
      <c r="I248" s="88" t="b">
        <v>0</v>
      </c>
      <c r="J248" s="88" t="b">
        <v>0</v>
      </c>
      <c r="K248" s="88" t="b">
        <v>0</v>
      </c>
      <c r="L248" s="88" t="b">
        <v>0</v>
      </c>
    </row>
    <row r="249" spans="1:12" ht="15">
      <c r="A249" s="89" t="s">
        <v>1209</v>
      </c>
      <c r="B249" s="88" t="s">
        <v>1210</v>
      </c>
      <c r="C249" s="88">
        <v>3</v>
      </c>
      <c r="D249" s="121">
        <v>0.006389519373784358</v>
      </c>
      <c r="E249" s="121">
        <v>1.9792447784093805</v>
      </c>
      <c r="F249" s="88" t="s">
        <v>719</v>
      </c>
      <c r="G249" s="88" t="b">
        <v>0</v>
      </c>
      <c r="H249" s="88" t="b">
        <v>0</v>
      </c>
      <c r="I249" s="88" t="b">
        <v>0</v>
      </c>
      <c r="J249" s="88" t="b">
        <v>0</v>
      </c>
      <c r="K249" s="88" t="b">
        <v>1</v>
      </c>
      <c r="L249" s="88" t="b">
        <v>0</v>
      </c>
    </row>
    <row r="250" spans="1:12" ht="15">
      <c r="A250" s="89" t="s">
        <v>1210</v>
      </c>
      <c r="B250" s="88" t="s">
        <v>1194</v>
      </c>
      <c r="C250" s="88">
        <v>3</v>
      </c>
      <c r="D250" s="121">
        <v>0.006389519373784358</v>
      </c>
      <c r="E250" s="121">
        <v>1.7573960287930241</v>
      </c>
      <c r="F250" s="88" t="s">
        <v>719</v>
      </c>
      <c r="G250" s="88" t="b">
        <v>0</v>
      </c>
      <c r="H250" s="88" t="b">
        <v>1</v>
      </c>
      <c r="I250" s="88" t="b">
        <v>0</v>
      </c>
      <c r="J250" s="88" t="b">
        <v>0</v>
      </c>
      <c r="K250" s="88" t="b">
        <v>0</v>
      </c>
      <c r="L250" s="88" t="b">
        <v>0</v>
      </c>
    </row>
    <row r="251" spans="1:12" ht="15">
      <c r="A251" s="89" t="s">
        <v>1194</v>
      </c>
      <c r="B251" s="88" t="s">
        <v>1195</v>
      </c>
      <c r="C251" s="88">
        <v>3</v>
      </c>
      <c r="D251" s="121">
        <v>0.006389519373784358</v>
      </c>
      <c r="E251" s="121">
        <v>1.5355472791766678</v>
      </c>
      <c r="F251" s="88" t="s">
        <v>719</v>
      </c>
      <c r="G251" s="88" t="b">
        <v>0</v>
      </c>
      <c r="H251" s="88" t="b">
        <v>0</v>
      </c>
      <c r="I251" s="88" t="b">
        <v>0</v>
      </c>
      <c r="J251" s="88" t="b">
        <v>0</v>
      </c>
      <c r="K251" s="88" t="b">
        <v>0</v>
      </c>
      <c r="L251" s="88" t="b">
        <v>0</v>
      </c>
    </row>
    <row r="252" spans="1:12" ht="15">
      <c r="A252" s="89" t="s">
        <v>1196</v>
      </c>
      <c r="B252" s="88" t="s">
        <v>1211</v>
      </c>
      <c r="C252" s="88">
        <v>3</v>
      </c>
      <c r="D252" s="121">
        <v>0.006389519373784358</v>
      </c>
      <c r="E252" s="121">
        <v>1.7573960287930241</v>
      </c>
      <c r="F252" s="88" t="s">
        <v>719</v>
      </c>
      <c r="G252" s="88" t="b">
        <v>0</v>
      </c>
      <c r="H252" s="88" t="b">
        <v>0</v>
      </c>
      <c r="I252" s="88" t="b">
        <v>0</v>
      </c>
      <c r="J252" s="88" t="b">
        <v>0</v>
      </c>
      <c r="K252" s="88" t="b">
        <v>0</v>
      </c>
      <c r="L252" s="88" t="b">
        <v>0</v>
      </c>
    </row>
    <row r="253" spans="1:12" ht="15">
      <c r="A253" s="89" t="s">
        <v>1211</v>
      </c>
      <c r="B253" s="88" t="s">
        <v>1197</v>
      </c>
      <c r="C253" s="88">
        <v>3</v>
      </c>
      <c r="D253" s="121">
        <v>0.006389519373784358</v>
      </c>
      <c r="E253" s="121">
        <v>1.7573960287930241</v>
      </c>
      <c r="F253" s="88" t="s">
        <v>719</v>
      </c>
      <c r="G253" s="88" t="b">
        <v>0</v>
      </c>
      <c r="H253" s="88" t="b">
        <v>0</v>
      </c>
      <c r="I253" s="88" t="b">
        <v>0</v>
      </c>
      <c r="J253" s="88" t="b">
        <v>0</v>
      </c>
      <c r="K253" s="88" t="b">
        <v>0</v>
      </c>
      <c r="L253" s="88" t="b">
        <v>0</v>
      </c>
    </row>
    <row r="254" spans="1:12" ht="15">
      <c r="A254" s="89" t="s">
        <v>1198</v>
      </c>
      <c r="B254" s="88" t="s">
        <v>1203</v>
      </c>
      <c r="C254" s="88">
        <v>3</v>
      </c>
      <c r="D254" s="121">
        <v>0.006389519373784358</v>
      </c>
      <c r="E254" s="121">
        <v>1.7573960287930241</v>
      </c>
      <c r="F254" s="88" t="s">
        <v>719</v>
      </c>
      <c r="G254" s="88" t="b">
        <v>0</v>
      </c>
      <c r="H254" s="88" t="b">
        <v>0</v>
      </c>
      <c r="I254" s="88" t="b">
        <v>0</v>
      </c>
      <c r="J254" s="88" t="b">
        <v>0</v>
      </c>
      <c r="K254" s="88" t="b">
        <v>0</v>
      </c>
      <c r="L254" s="88" t="b">
        <v>0</v>
      </c>
    </row>
    <row r="255" spans="1:12" ht="15">
      <c r="A255" s="89" t="s">
        <v>1203</v>
      </c>
      <c r="B255" s="88" t="s">
        <v>871</v>
      </c>
      <c r="C255" s="88">
        <v>3</v>
      </c>
      <c r="D255" s="121">
        <v>0.006389519373784358</v>
      </c>
      <c r="E255" s="121">
        <v>1.3424226808222062</v>
      </c>
      <c r="F255" s="88" t="s">
        <v>719</v>
      </c>
      <c r="G255" s="88" t="b">
        <v>0</v>
      </c>
      <c r="H255" s="88" t="b">
        <v>0</v>
      </c>
      <c r="I255" s="88" t="b">
        <v>0</v>
      </c>
      <c r="J255" s="88" t="b">
        <v>0</v>
      </c>
      <c r="K255" s="88" t="b">
        <v>0</v>
      </c>
      <c r="L255" s="88" t="b">
        <v>0</v>
      </c>
    </row>
    <row r="256" spans="1:12" ht="15">
      <c r="A256" s="89" t="s">
        <v>871</v>
      </c>
      <c r="B256" s="88" t="s">
        <v>1204</v>
      </c>
      <c r="C256" s="88">
        <v>3</v>
      </c>
      <c r="D256" s="121">
        <v>0.006389519373784358</v>
      </c>
      <c r="E256" s="121">
        <v>1.6112679931147862</v>
      </c>
      <c r="F256" s="88" t="s">
        <v>719</v>
      </c>
      <c r="G256" s="88" t="b">
        <v>0</v>
      </c>
      <c r="H256" s="88" t="b">
        <v>0</v>
      </c>
      <c r="I256" s="88" t="b">
        <v>0</v>
      </c>
      <c r="J256" s="88" t="b">
        <v>0</v>
      </c>
      <c r="K256" s="88" t="b">
        <v>0</v>
      </c>
      <c r="L256" s="88" t="b">
        <v>0</v>
      </c>
    </row>
    <row r="257" spans="1:12" ht="15">
      <c r="A257" s="89" t="s">
        <v>1204</v>
      </c>
      <c r="B257" s="88" t="s">
        <v>1212</v>
      </c>
      <c r="C257" s="88">
        <v>3</v>
      </c>
      <c r="D257" s="121">
        <v>0.006389519373784358</v>
      </c>
      <c r="E257" s="121">
        <v>1.9792447784093805</v>
      </c>
      <c r="F257" s="88" t="s">
        <v>719</v>
      </c>
      <c r="G257" s="88" t="b">
        <v>0</v>
      </c>
      <c r="H257" s="88" t="b">
        <v>0</v>
      </c>
      <c r="I257" s="88" t="b">
        <v>0</v>
      </c>
      <c r="J257" s="88" t="b">
        <v>0</v>
      </c>
      <c r="K257" s="88" t="b">
        <v>0</v>
      </c>
      <c r="L257" s="88" t="b">
        <v>0</v>
      </c>
    </row>
    <row r="258" spans="1:12" ht="15">
      <c r="A258" s="89" t="s">
        <v>1212</v>
      </c>
      <c r="B258" s="88" t="s">
        <v>1213</v>
      </c>
      <c r="C258" s="88">
        <v>3</v>
      </c>
      <c r="D258" s="121">
        <v>0.006389519373784358</v>
      </c>
      <c r="E258" s="121">
        <v>1.9792447784093805</v>
      </c>
      <c r="F258" s="88" t="s">
        <v>719</v>
      </c>
      <c r="G258" s="88" t="b">
        <v>0</v>
      </c>
      <c r="H258" s="88" t="b">
        <v>0</v>
      </c>
      <c r="I258" s="88" t="b">
        <v>0</v>
      </c>
      <c r="J258" s="88" t="b">
        <v>0</v>
      </c>
      <c r="K258" s="88" t="b">
        <v>0</v>
      </c>
      <c r="L258" s="88" t="b">
        <v>0</v>
      </c>
    </row>
    <row r="259" spans="1:12" ht="15">
      <c r="A259" s="89" t="s">
        <v>1213</v>
      </c>
      <c r="B259" s="88" t="s">
        <v>877</v>
      </c>
      <c r="C259" s="88">
        <v>3</v>
      </c>
      <c r="D259" s="121">
        <v>0.006389519373784358</v>
      </c>
      <c r="E259" s="121">
        <v>1.6782147827453993</v>
      </c>
      <c r="F259" s="88" t="s">
        <v>719</v>
      </c>
      <c r="G259" s="88" t="b">
        <v>0</v>
      </c>
      <c r="H259" s="88" t="b">
        <v>0</v>
      </c>
      <c r="I259" s="88" t="b">
        <v>0</v>
      </c>
      <c r="J259" s="88" t="b">
        <v>0</v>
      </c>
      <c r="K259" s="88" t="b">
        <v>0</v>
      </c>
      <c r="L259" s="88" t="b">
        <v>0</v>
      </c>
    </row>
    <row r="260" spans="1:12" ht="15">
      <c r="A260" s="89" t="s">
        <v>877</v>
      </c>
      <c r="B260" s="88" t="s">
        <v>1214</v>
      </c>
      <c r="C260" s="88">
        <v>3</v>
      </c>
      <c r="D260" s="121">
        <v>0.006389519373784358</v>
      </c>
      <c r="E260" s="121">
        <v>1.6782147827453993</v>
      </c>
      <c r="F260" s="88" t="s">
        <v>719</v>
      </c>
      <c r="G260" s="88" t="b">
        <v>0</v>
      </c>
      <c r="H260" s="88" t="b">
        <v>0</v>
      </c>
      <c r="I260" s="88" t="b">
        <v>0</v>
      </c>
      <c r="J260" s="88" t="b">
        <v>0</v>
      </c>
      <c r="K260" s="88" t="b">
        <v>0</v>
      </c>
      <c r="L260" s="88" t="b">
        <v>0</v>
      </c>
    </row>
    <row r="261" spans="1:12" ht="15">
      <c r="A261" s="89" t="s">
        <v>1214</v>
      </c>
      <c r="B261" s="88" t="s">
        <v>1215</v>
      </c>
      <c r="C261" s="88">
        <v>3</v>
      </c>
      <c r="D261" s="121">
        <v>0.006389519373784358</v>
      </c>
      <c r="E261" s="121">
        <v>1.9792447784093805</v>
      </c>
      <c r="F261" s="88" t="s">
        <v>719</v>
      </c>
      <c r="G261" s="88" t="b">
        <v>0</v>
      </c>
      <c r="H261" s="88" t="b">
        <v>0</v>
      </c>
      <c r="I261" s="88" t="b">
        <v>0</v>
      </c>
      <c r="J261" s="88" t="b">
        <v>0</v>
      </c>
      <c r="K261" s="88" t="b">
        <v>0</v>
      </c>
      <c r="L261" s="88" t="b">
        <v>0</v>
      </c>
    </row>
    <row r="262" spans="1:12" ht="15">
      <c r="A262" s="89" t="s">
        <v>1215</v>
      </c>
      <c r="B262" s="88" t="s">
        <v>1216</v>
      </c>
      <c r="C262" s="88">
        <v>3</v>
      </c>
      <c r="D262" s="121">
        <v>0.006389519373784358</v>
      </c>
      <c r="E262" s="121">
        <v>1.9792447784093805</v>
      </c>
      <c r="F262" s="88" t="s">
        <v>719</v>
      </c>
      <c r="G262" s="88" t="b">
        <v>0</v>
      </c>
      <c r="H262" s="88" t="b">
        <v>0</v>
      </c>
      <c r="I262" s="88" t="b">
        <v>0</v>
      </c>
      <c r="J262" s="88" t="b">
        <v>0</v>
      </c>
      <c r="K262" s="88" t="b">
        <v>0</v>
      </c>
      <c r="L262" s="88" t="b">
        <v>0</v>
      </c>
    </row>
    <row r="263" spans="1:12" ht="15">
      <c r="A263" s="89" t="s">
        <v>1216</v>
      </c>
      <c r="B263" s="88" t="s">
        <v>1217</v>
      </c>
      <c r="C263" s="88">
        <v>3</v>
      </c>
      <c r="D263" s="121">
        <v>0.006389519373784358</v>
      </c>
      <c r="E263" s="121">
        <v>1.9792447784093805</v>
      </c>
      <c r="F263" s="88" t="s">
        <v>719</v>
      </c>
      <c r="G263" s="88" t="b">
        <v>0</v>
      </c>
      <c r="H263" s="88" t="b">
        <v>0</v>
      </c>
      <c r="I263" s="88" t="b">
        <v>0</v>
      </c>
      <c r="J263" s="88" t="b">
        <v>0</v>
      </c>
      <c r="K263" s="88" t="b">
        <v>0</v>
      </c>
      <c r="L263" s="88" t="b">
        <v>0</v>
      </c>
    </row>
    <row r="264" spans="1:12" ht="15">
      <c r="A264" s="89" t="s">
        <v>1217</v>
      </c>
      <c r="B264" s="88" t="s">
        <v>1218</v>
      </c>
      <c r="C264" s="88">
        <v>3</v>
      </c>
      <c r="D264" s="121">
        <v>0.006389519373784358</v>
      </c>
      <c r="E264" s="121">
        <v>1.9792447784093805</v>
      </c>
      <c r="F264" s="88" t="s">
        <v>719</v>
      </c>
      <c r="G264" s="88" t="b">
        <v>0</v>
      </c>
      <c r="H264" s="88" t="b">
        <v>0</v>
      </c>
      <c r="I264" s="88" t="b">
        <v>0</v>
      </c>
      <c r="J264" s="88" t="b">
        <v>0</v>
      </c>
      <c r="K264" s="88" t="b">
        <v>0</v>
      </c>
      <c r="L264" s="88" t="b">
        <v>0</v>
      </c>
    </row>
    <row r="265" spans="1:12" ht="15">
      <c r="A265" s="89" t="s">
        <v>1218</v>
      </c>
      <c r="B265" s="88" t="s">
        <v>1178</v>
      </c>
      <c r="C265" s="88">
        <v>3</v>
      </c>
      <c r="D265" s="121">
        <v>0.006389519373784358</v>
      </c>
      <c r="E265" s="121">
        <v>1.6782147827453993</v>
      </c>
      <c r="F265" s="88" t="s">
        <v>719</v>
      </c>
      <c r="G265" s="88" t="b">
        <v>0</v>
      </c>
      <c r="H265" s="88" t="b">
        <v>0</v>
      </c>
      <c r="I265" s="88" t="b">
        <v>0</v>
      </c>
      <c r="J265" s="88" t="b">
        <v>0</v>
      </c>
      <c r="K265" s="88" t="b">
        <v>0</v>
      </c>
      <c r="L265" s="88" t="b">
        <v>0</v>
      </c>
    </row>
    <row r="266" spans="1:12" ht="15">
      <c r="A266" s="89" t="s">
        <v>1178</v>
      </c>
      <c r="B266" s="88" t="s">
        <v>1219</v>
      </c>
      <c r="C266" s="88">
        <v>3</v>
      </c>
      <c r="D266" s="121">
        <v>0.006389519373784358</v>
      </c>
      <c r="E266" s="121">
        <v>1.6782147827453993</v>
      </c>
      <c r="F266" s="88" t="s">
        <v>719</v>
      </c>
      <c r="G266" s="88" t="b">
        <v>0</v>
      </c>
      <c r="H266" s="88" t="b">
        <v>0</v>
      </c>
      <c r="I266" s="88" t="b">
        <v>0</v>
      </c>
      <c r="J266" s="88" t="b">
        <v>0</v>
      </c>
      <c r="K266" s="88" t="b">
        <v>0</v>
      </c>
      <c r="L266" s="88" t="b">
        <v>0</v>
      </c>
    </row>
    <row r="267" spans="1:12" ht="15">
      <c r="A267" s="89" t="s">
        <v>1219</v>
      </c>
      <c r="B267" s="88" t="s">
        <v>1220</v>
      </c>
      <c r="C267" s="88">
        <v>3</v>
      </c>
      <c r="D267" s="121">
        <v>0.006389519373784358</v>
      </c>
      <c r="E267" s="121">
        <v>1.9792447784093805</v>
      </c>
      <c r="F267" s="88" t="s">
        <v>719</v>
      </c>
      <c r="G267" s="88" t="b">
        <v>0</v>
      </c>
      <c r="H267" s="88" t="b">
        <v>0</v>
      </c>
      <c r="I267" s="88" t="b">
        <v>0</v>
      </c>
      <c r="J267" s="88" t="b">
        <v>0</v>
      </c>
      <c r="K267" s="88" t="b">
        <v>0</v>
      </c>
      <c r="L267" s="88" t="b">
        <v>0</v>
      </c>
    </row>
    <row r="268" spans="1:12" ht="15">
      <c r="A268" s="89" t="s">
        <v>1220</v>
      </c>
      <c r="B268" s="88" t="s">
        <v>883</v>
      </c>
      <c r="C268" s="88">
        <v>3</v>
      </c>
      <c r="D268" s="121">
        <v>0.006389519373784358</v>
      </c>
      <c r="E268" s="121">
        <v>1.6112679931147862</v>
      </c>
      <c r="F268" s="88" t="s">
        <v>719</v>
      </c>
      <c r="G268" s="88" t="b">
        <v>0</v>
      </c>
      <c r="H268" s="88" t="b">
        <v>0</v>
      </c>
      <c r="I268" s="88" t="b">
        <v>0</v>
      </c>
      <c r="J268" s="88" t="b">
        <v>0</v>
      </c>
      <c r="K268" s="88" t="b">
        <v>0</v>
      </c>
      <c r="L268" s="88" t="b">
        <v>0</v>
      </c>
    </row>
    <row r="269" spans="1:12" ht="15">
      <c r="A269" s="89" t="s">
        <v>1226</v>
      </c>
      <c r="B269" s="88" t="s">
        <v>1227</v>
      </c>
      <c r="C269" s="88">
        <v>2</v>
      </c>
      <c r="D269" s="121">
        <v>0.0054375475360726126</v>
      </c>
      <c r="E269" s="121">
        <v>2.155336037465062</v>
      </c>
      <c r="F269" s="88" t="s">
        <v>719</v>
      </c>
      <c r="G269" s="88" t="b">
        <v>0</v>
      </c>
      <c r="H269" s="88" t="b">
        <v>0</v>
      </c>
      <c r="I269" s="88" t="b">
        <v>0</v>
      </c>
      <c r="J269" s="88" t="b">
        <v>0</v>
      </c>
      <c r="K269" s="88" t="b">
        <v>0</v>
      </c>
      <c r="L269" s="88" t="b">
        <v>0</v>
      </c>
    </row>
    <row r="270" spans="1:12" ht="15">
      <c r="A270" s="89" t="s">
        <v>1227</v>
      </c>
      <c r="B270" s="88" t="s">
        <v>1228</v>
      </c>
      <c r="C270" s="88">
        <v>2</v>
      </c>
      <c r="D270" s="121">
        <v>0.0054375475360726126</v>
      </c>
      <c r="E270" s="121">
        <v>2.155336037465062</v>
      </c>
      <c r="F270" s="88" t="s">
        <v>719</v>
      </c>
      <c r="G270" s="88" t="b">
        <v>0</v>
      </c>
      <c r="H270" s="88" t="b">
        <v>0</v>
      </c>
      <c r="I270" s="88" t="b">
        <v>0</v>
      </c>
      <c r="J270" s="88" t="b">
        <v>0</v>
      </c>
      <c r="K270" s="88" t="b">
        <v>0</v>
      </c>
      <c r="L270" s="88" t="b">
        <v>0</v>
      </c>
    </row>
    <row r="271" spans="1:12" ht="15">
      <c r="A271" s="89" t="s">
        <v>1228</v>
      </c>
      <c r="B271" s="88" t="s">
        <v>878</v>
      </c>
      <c r="C271" s="88">
        <v>2</v>
      </c>
      <c r="D271" s="121">
        <v>0.0054375475360726126</v>
      </c>
      <c r="E271" s="121">
        <v>1.5532760461370994</v>
      </c>
      <c r="F271" s="88" t="s">
        <v>719</v>
      </c>
      <c r="G271" s="88" t="b">
        <v>0</v>
      </c>
      <c r="H271" s="88" t="b">
        <v>0</v>
      </c>
      <c r="I271" s="88" t="b">
        <v>0</v>
      </c>
      <c r="J271" s="88" t="b">
        <v>1</v>
      </c>
      <c r="K271" s="88" t="b">
        <v>0</v>
      </c>
      <c r="L271" s="88" t="b">
        <v>0</v>
      </c>
    </row>
    <row r="272" spans="1:12" ht="15">
      <c r="A272" s="89" t="s">
        <v>878</v>
      </c>
      <c r="B272" s="88" t="s">
        <v>855</v>
      </c>
      <c r="C272" s="88">
        <v>2</v>
      </c>
      <c r="D272" s="121">
        <v>0.0054375475360726126</v>
      </c>
      <c r="E272" s="121">
        <v>1.5532760461370994</v>
      </c>
      <c r="F272" s="88" t="s">
        <v>719</v>
      </c>
      <c r="G272" s="88" t="b">
        <v>1</v>
      </c>
      <c r="H272" s="88" t="b">
        <v>0</v>
      </c>
      <c r="I272" s="88" t="b">
        <v>0</v>
      </c>
      <c r="J272" s="88" t="b">
        <v>0</v>
      </c>
      <c r="K272" s="88" t="b">
        <v>0</v>
      </c>
      <c r="L272" s="88" t="b">
        <v>0</v>
      </c>
    </row>
    <row r="273" spans="1:12" ht="15">
      <c r="A273" s="89" t="s">
        <v>855</v>
      </c>
      <c r="B273" s="88" t="s">
        <v>1229</v>
      </c>
      <c r="C273" s="88">
        <v>2</v>
      </c>
      <c r="D273" s="121">
        <v>0.0054375475360726126</v>
      </c>
      <c r="E273" s="121">
        <v>2.155336037465062</v>
      </c>
      <c r="F273" s="88" t="s">
        <v>719</v>
      </c>
      <c r="G273" s="88" t="b">
        <v>0</v>
      </c>
      <c r="H273" s="88" t="b">
        <v>0</v>
      </c>
      <c r="I273" s="88" t="b">
        <v>0</v>
      </c>
      <c r="J273" s="88" t="b">
        <v>0</v>
      </c>
      <c r="K273" s="88" t="b">
        <v>0</v>
      </c>
      <c r="L273" s="88" t="b">
        <v>0</v>
      </c>
    </row>
    <row r="274" spans="1:12" ht="15">
      <c r="A274" s="89" t="s">
        <v>1229</v>
      </c>
      <c r="B274" s="88" t="s">
        <v>1230</v>
      </c>
      <c r="C274" s="88">
        <v>2</v>
      </c>
      <c r="D274" s="121">
        <v>0.0054375475360726126</v>
      </c>
      <c r="E274" s="121">
        <v>2.155336037465062</v>
      </c>
      <c r="F274" s="88" t="s">
        <v>719</v>
      </c>
      <c r="G274" s="88" t="b">
        <v>0</v>
      </c>
      <c r="H274" s="88" t="b">
        <v>0</v>
      </c>
      <c r="I274" s="88" t="b">
        <v>0</v>
      </c>
      <c r="J274" s="88" t="b">
        <v>0</v>
      </c>
      <c r="K274" s="88" t="b">
        <v>0</v>
      </c>
      <c r="L274" s="88" t="b">
        <v>0</v>
      </c>
    </row>
    <row r="275" spans="1:12" ht="15">
      <c r="A275" s="89" t="s">
        <v>1230</v>
      </c>
      <c r="B275" s="88" t="s">
        <v>1231</v>
      </c>
      <c r="C275" s="88">
        <v>2</v>
      </c>
      <c r="D275" s="121">
        <v>0.0054375475360726126</v>
      </c>
      <c r="E275" s="121">
        <v>2.155336037465062</v>
      </c>
      <c r="F275" s="88" t="s">
        <v>719</v>
      </c>
      <c r="G275" s="88" t="b">
        <v>0</v>
      </c>
      <c r="H275" s="88" t="b">
        <v>0</v>
      </c>
      <c r="I275" s="88" t="b">
        <v>0</v>
      </c>
      <c r="J275" s="88" t="b">
        <v>0</v>
      </c>
      <c r="K275" s="88" t="b">
        <v>0</v>
      </c>
      <c r="L275" s="88" t="b">
        <v>0</v>
      </c>
    </row>
    <row r="276" spans="1:12" ht="15">
      <c r="A276" s="89" t="s">
        <v>1231</v>
      </c>
      <c r="B276" s="88" t="s">
        <v>1232</v>
      </c>
      <c r="C276" s="88">
        <v>2</v>
      </c>
      <c r="D276" s="121">
        <v>0.0054375475360726126</v>
      </c>
      <c r="E276" s="121">
        <v>2.155336037465062</v>
      </c>
      <c r="F276" s="88" t="s">
        <v>719</v>
      </c>
      <c r="G276" s="88" t="b">
        <v>0</v>
      </c>
      <c r="H276" s="88" t="b">
        <v>0</v>
      </c>
      <c r="I276" s="88" t="b">
        <v>0</v>
      </c>
      <c r="J276" s="88" t="b">
        <v>0</v>
      </c>
      <c r="K276" s="88" t="b">
        <v>0</v>
      </c>
      <c r="L276" s="88" t="b">
        <v>0</v>
      </c>
    </row>
    <row r="277" spans="1:12" ht="15">
      <c r="A277" s="89" t="s">
        <v>1232</v>
      </c>
      <c r="B277" s="88" t="s">
        <v>1233</v>
      </c>
      <c r="C277" s="88">
        <v>2</v>
      </c>
      <c r="D277" s="121">
        <v>0.0054375475360726126</v>
      </c>
      <c r="E277" s="121">
        <v>2.155336037465062</v>
      </c>
      <c r="F277" s="88" t="s">
        <v>719</v>
      </c>
      <c r="G277" s="88" t="b">
        <v>0</v>
      </c>
      <c r="H277" s="88" t="b">
        <v>0</v>
      </c>
      <c r="I277" s="88" t="b">
        <v>0</v>
      </c>
      <c r="J277" s="88" t="b">
        <v>0</v>
      </c>
      <c r="K277" s="88" t="b">
        <v>0</v>
      </c>
      <c r="L277" s="88" t="b">
        <v>0</v>
      </c>
    </row>
    <row r="278" spans="1:12" ht="15">
      <c r="A278" s="89" t="s">
        <v>1233</v>
      </c>
      <c r="B278" s="88" t="s">
        <v>1194</v>
      </c>
      <c r="C278" s="88">
        <v>2</v>
      </c>
      <c r="D278" s="121">
        <v>0.0054375475360726126</v>
      </c>
      <c r="E278" s="121">
        <v>1.7573960287930241</v>
      </c>
      <c r="F278" s="88" t="s">
        <v>719</v>
      </c>
      <c r="G278" s="88" t="b">
        <v>0</v>
      </c>
      <c r="H278" s="88" t="b">
        <v>0</v>
      </c>
      <c r="I278" s="88" t="b">
        <v>0</v>
      </c>
      <c r="J278" s="88" t="b">
        <v>0</v>
      </c>
      <c r="K278" s="88" t="b">
        <v>0</v>
      </c>
      <c r="L278" s="88" t="b">
        <v>0</v>
      </c>
    </row>
    <row r="279" spans="1:12" ht="15">
      <c r="A279" s="89" t="s">
        <v>1194</v>
      </c>
      <c r="B279" s="88" t="s">
        <v>1234</v>
      </c>
      <c r="C279" s="88">
        <v>2</v>
      </c>
      <c r="D279" s="121">
        <v>0.0054375475360726126</v>
      </c>
      <c r="E279" s="121">
        <v>1.7573960287930241</v>
      </c>
      <c r="F279" s="88" t="s">
        <v>719</v>
      </c>
      <c r="G279" s="88" t="b">
        <v>0</v>
      </c>
      <c r="H279" s="88" t="b">
        <v>0</v>
      </c>
      <c r="I279" s="88" t="b">
        <v>0</v>
      </c>
      <c r="J279" s="88" t="b">
        <v>0</v>
      </c>
      <c r="K279" s="88" t="b">
        <v>0</v>
      </c>
      <c r="L279" s="88" t="b">
        <v>0</v>
      </c>
    </row>
    <row r="280" spans="1:12" ht="15">
      <c r="A280" s="89" t="s">
        <v>1234</v>
      </c>
      <c r="B280" s="88" t="s">
        <v>1235</v>
      </c>
      <c r="C280" s="88">
        <v>2</v>
      </c>
      <c r="D280" s="121">
        <v>0.0054375475360726126</v>
      </c>
      <c r="E280" s="121">
        <v>2.155336037465062</v>
      </c>
      <c r="F280" s="88" t="s">
        <v>719</v>
      </c>
      <c r="G280" s="88" t="b">
        <v>0</v>
      </c>
      <c r="H280" s="88" t="b">
        <v>0</v>
      </c>
      <c r="I280" s="88" t="b">
        <v>0</v>
      </c>
      <c r="J280" s="88" t="b">
        <v>0</v>
      </c>
      <c r="K280" s="88" t="b">
        <v>0</v>
      </c>
      <c r="L280" s="88" t="b">
        <v>0</v>
      </c>
    </row>
    <row r="281" spans="1:12" ht="15">
      <c r="A281" s="89" t="s">
        <v>1235</v>
      </c>
      <c r="B281" s="88" t="s">
        <v>1195</v>
      </c>
      <c r="C281" s="88">
        <v>2</v>
      </c>
      <c r="D281" s="121">
        <v>0.0054375475360726126</v>
      </c>
      <c r="E281" s="121">
        <v>1.7573960287930241</v>
      </c>
      <c r="F281" s="88" t="s">
        <v>719</v>
      </c>
      <c r="G281" s="88" t="b">
        <v>0</v>
      </c>
      <c r="H281" s="88" t="b">
        <v>0</v>
      </c>
      <c r="I281" s="88" t="b">
        <v>0</v>
      </c>
      <c r="J281" s="88" t="b">
        <v>0</v>
      </c>
      <c r="K281" s="88" t="b">
        <v>0</v>
      </c>
      <c r="L281" s="88" t="b">
        <v>0</v>
      </c>
    </row>
    <row r="282" spans="1:12" ht="15">
      <c r="A282" s="89" t="s">
        <v>1196</v>
      </c>
      <c r="B282" s="88" t="s">
        <v>1197</v>
      </c>
      <c r="C282" s="88">
        <v>2</v>
      </c>
      <c r="D282" s="121">
        <v>0.0054375475360726126</v>
      </c>
      <c r="E282" s="121">
        <v>1.3594560201209864</v>
      </c>
      <c r="F282" s="88" t="s">
        <v>719</v>
      </c>
      <c r="G282" s="88" t="b">
        <v>0</v>
      </c>
      <c r="H282" s="88" t="b">
        <v>0</v>
      </c>
      <c r="I282" s="88" t="b">
        <v>0</v>
      </c>
      <c r="J282" s="88" t="b">
        <v>0</v>
      </c>
      <c r="K282" s="88" t="b">
        <v>0</v>
      </c>
      <c r="L282" s="88" t="b">
        <v>0</v>
      </c>
    </row>
    <row r="283" spans="1:12" ht="15">
      <c r="A283" s="89" t="s">
        <v>1198</v>
      </c>
      <c r="B283" s="88" t="s">
        <v>1200</v>
      </c>
      <c r="C283" s="88">
        <v>2</v>
      </c>
      <c r="D283" s="121">
        <v>0.0054375475360726126</v>
      </c>
      <c r="E283" s="121">
        <v>1.456366033129043</v>
      </c>
      <c r="F283" s="88" t="s">
        <v>719</v>
      </c>
      <c r="G283" s="88" t="b">
        <v>0</v>
      </c>
      <c r="H283" s="88" t="b">
        <v>0</v>
      </c>
      <c r="I283" s="88" t="b">
        <v>0</v>
      </c>
      <c r="J283" s="88" t="b">
        <v>0</v>
      </c>
      <c r="K283" s="88" t="b">
        <v>0</v>
      </c>
      <c r="L283" s="88" t="b">
        <v>0</v>
      </c>
    </row>
    <row r="284" spans="1:12" ht="15">
      <c r="A284" s="89" t="s">
        <v>1201</v>
      </c>
      <c r="B284" s="88" t="s">
        <v>1202</v>
      </c>
      <c r="C284" s="88">
        <v>2</v>
      </c>
      <c r="D284" s="121">
        <v>0.0054375475360726126</v>
      </c>
      <c r="E284" s="121">
        <v>1.5532760461370994</v>
      </c>
      <c r="F284" s="88" t="s">
        <v>719</v>
      </c>
      <c r="G284" s="88" t="b">
        <v>0</v>
      </c>
      <c r="H284" s="88" t="b">
        <v>0</v>
      </c>
      <c r="I284" s="88" t="b">
        <v>0</v>
      </c>
      <c r="J284" s="88" t="b">
        <v>0</v>
      </c>
      <c r="K284" s="88" t="b">
        <v>0</v>
      </c>
      <c r="L284" s="88" t="b">
        <v>0</v>
      </c>
    </row>
    <row r="285" spans="1:12" ht="15">
      <c r="A285" s="89" t="s">
        <v>1202</v>
      </c>
      <c r="B285" s="88" t="s">
        <v>936</v>
      </c>
      <c r="C285" s="88">
        <v>2</v>
      </c>
      <c r="D285" s="121">
        <v>0.0054375475360726126</v>
      </c>
      <c r="E285" s="121">
        <v>1.5532760461370994</v>
      </c>
      <c r="F285" s="88" t="s">
        <v>719</v>
      </c>
      <c r="G285" s="88" t="b">
        <v>0</v>
      </c>
      <c r="H285" s="88" t="b">
        <v>0</v>
      </c>
      <c r="I285" s="88" t="b">
        <v>0</v>
      </c>
      <c r="J285" s="88" t="b">
        <v>0</v>
      </c>
      <c r="K285" s="88" t="b">
        <v>0</v>
      </c>
      <c r="L285" s="88" t="b">
        <v>0</v>
      </c>
    </row>
    <row r="286" spans="1:12" ht="15">
      <c r="A286" s="89" t="s">
        <v>936</v>
      </c>
      <c r="B286" s="88" t="s">
        <v>871</v>
      </c>
      <c r="C286" s="88">
        <v>2</v>
      </c>
      <c r="D286" s="121">
        <v>0.0054375475360726126</v>
      </c>
      <c r="E286" s="121">
        <v>1.0413926851582251</v>
      </c>
      <c r="F286" s="88" t="s">
        <v>719</v>
      </c>
      <c r="G286" s="88" t="b">
        <v>0</v>
      </c>
      <c r="H286" s="88" t="b">
        <v>0</v>
      </c>
      <c r="I286" s="88" t="b">
        <v>0</v>
      </c>
      <c r="J286" s="88" t="b">
        <v>0</v>
      </c>
      <c r="K286" s="88" t="b">
        <v>0</v>
      </c>
      <c r="L286" s="88" t="b">
        <v>0</v>
      </c>
    </row>
    <row r="287" spans="1:12" ht="15">
      <c r="A287" s="89" t="s">
        <v>871</v>
      </c>
      <c r="B287" s="88" t="s">
        <v>1199</v>
      </c>
      <c r="C287" s="88">
        <v>2</v>
      </c>
      <c r="D287" s="121">
        <v>0.0054375475360726126</v>
      </c>
      <c r="E287" s="121">
        <v>1.310237997450805</v>
      </c>
      <c r="F287" s="88" t="s">
        <v>719</v>
      </c>
      <c r="G287" s="88" t="b">
        <v>0</v>
      </c>
      <c r="H287" s="88" t="b">
        <v>0</v>
      </c>
      <c r="I287" s="88" t="b">
        <v>0</v>
      </c>
      <c r="J287" s="88" t="b">
        <v>0</v>
      </c>
      <c r="K287" s="88" t="b">
        <v>0</v>
      </c>
      <c r="L287" s="88" t="b">
        <v>0</v>
      </c>
    </row>
    <row r="288" spans="1:12" ht="15">
      <c r="A288" s="89" t="s">
        <v>1199</v>
      </c>
      <c r="B288" s="88" t="s">
        <v>1236</v>
      </c>
      <c r="C288" s="88">
        <v>2</v>
      </c>
      <c r="D288" s="121">
        <v>0.0054375475360726126</v>
      </c>
      <c r="E288" s="121">
        <v>1.8543060418010806</v>
      </c>
      <c r="F288" s="88" t="s">
        <v>719</v>
      </c>
      <c r="G288" s="88" t="b">
        <v>0</v>
      </c>
      <c r="H288" s="88" t="b">
        <v>0</v>
      </c>
      <c r="I288" s="88" t="b">
        <v>0</v>
      </c>
      <c r="J288" s="88" t="b">
        <v>0</v>
      </c>
      <c r="K288" s="88" t="b">
        <v>0</v>
      </c>
      <c r="L288" s="88" t="b">
        <v>0</v>
      </c>
    </row>
    <row r="289" spans="1:12" ht="15">
      <c r="A289" s="89" t="s">
        <v>1236</v>
      </c>
      <c r="B289" s="88" t="s">
        <v>879</v>
      </c>
      <c r="C289" s="88">
        <v>2</v>
      </c>
      <c r="D289" s="121">
        <v>0.0054375475360726126</v>
      </c>
      <c r="E289" s="121">
        <v>1.5532760461370994</v>
      </c>
      <c r="F289" s="88" t="s">
        <v>719</v>
      </c>
      <c r="G289" s="88" t="b">
        <v>0</v>
      </c>
      <c r="H289" s="88" t="b">
        <v>0</v>
      </c>
      <c r="I289" s="88" t="b">
        <v>0</v>
      </c>
      <c r="J289" s="88" t="b">
        <v>0</v>
      </c>
      <c r="K289" s="88" t="b">
        <v>0</v>
      </c>
      <c r="L289" s="88" t="b">
        <v>0</v>
      </c>
    </row>
    <row r="290" spans="1:12" ht="15">
      <c r="A290" s="89" t="s">
        <v>879</v>
      </c>
      <c r="B290" s="88" t="s">
        <v>883</v>
      </c>
      <c r="C290" s="88">
        <v>2</v>
      </c>
      <c r="D290" s="121">
        <v>0.0054375475360726126</v>
      </c>
      <c r="E290" s="121">
        <v>1.0092080017868237</v>
      </c>
      <c r="F290" s="88" t="s">
        <v>719</v>
      </c>
      <c r="G290" s="88" t="b">
        <v>0</v>
      </c>
      <c r="H290" s="88" t="b">
        <v>0</v>
      </c>
      <c r="I290" s="88" t="b">
        <v>0</v>
      </c>
      <c r="J290" s="88" t="b">
        <v>0</v>
      </c>
      <c r="K290" s="88" t="b">
        <v>0</v>
      </c>
      <c r="L290" s="88" t="b">
        <v>0</v>
      </c>
    </row>
    <row r="291" spans="1:12" ht="15">
      <c r="A291" s="89" t="s">
        <v>1245</v>
      </c>
      <c r="B291" s="88" t="s">
        <v>1246</v>
      </c>
      <c r="C291" s="88">
        <v>2</v>
      </c>
      <c r="D291" s="121">
        <v>0.0054375475360726126</v>
      </c>
      <c r="E291" s="121">
        <v>2.155336037465062</v>
      </c>
      <c r="F291" s="88" t="s">
        <v>719</v>
      </c>
      <c r="G291" s="88" t="b">
        <v>1</v>
      </c>
      <c r="H291" s="88" t="b">
        <v>0</v>
      </c>
      <c r="I291" s="88" t="b">
        <v>0</v>
      </c>
      <c r="J291" s="88" t="b">
        <v>0</v>
      </c>
      <c r="K291" s="88" t="b">
        <v>0</v>
      </c>
      <c r="L291" s="88" t="b">
        <v>0</v>
      </c>
    </row>
    <row r="292" spans="1:12" ht="15">
      <c r="A292" s="89" t="s">
        <v>1246</v>
      </c>
      <c r="B292" s="88" t="s">
        <v>1247</v>
      </c>
      <c r="C292" s="88">
        <v>2</v>
      </c>
      <c r="D292" s="121">
        <v>0.0054375475360726126</v>
      </c>
      <c r="E292" s="121">
        <v>2.155336037465062</v>
      </c>
      <c r="F292" s="88" t="s">
        <v>719</v>
      </c>
      <c r="G292" s="88" t="b">
        <v>0</v>
      </c>
      <c r="H292" s="88" t="b">
        <v>0</v>
      </c>
      <c r="I292" s="88" t="b">
        <v>0</v>
      </c>
      <c r="J292" s="88" t="b">
        <v>0</v>
      </c>
      <c r="K292" s="88" t="b">
        <v>0</v>
      </c>
      <c r="L292" s="88" t="b">
        <v>0</v>
      </c>
    </row>
    <row r="293" spans="1:12" ht="15">
      <c r="A293" s="89" t="s">
        <v>1247</v>
      </c>
      <c r="B293" s="88" t="s">
        <v>917</v>
      </c>
      <c r="C293" s="88">
        <v>2</v>
      </c>
      <c r="D293" s="121">
        <v>0.0054375475360726126</v>
      </c>
      <c r="E293" s="121">
        <v>2.155336037465062</v>
      </c>
      <c r="F293" s="88" t="s">
        <v>719</v>
      </c>
      <c r="G293" s="88" t="b">
        <v>0</v>
      </c>
      <c r="H293" s="88" t="b">
        <v>0</v>
      </c>
      <c r="I293" s="88" t="b">
        <v>0</v>
      </c>
      <c r="J293" s="88" t="b">
        <v>0</v>
      </c>
      <c r="K293" s="88" t="b">
        <v>0</v>
      </c>
      <c r="L293" s="88" t="b">
        <v>0</v>
      </c>
    </row>
    <row r="294" spans="1:12" ht="15">
      <c r="A294" s="89" t="s">
        <v>917</v>
      </c>
      <c r="B294" s="88" t="s">
        <v>936</v>
      </c>
      <c r="C294" s="88">
        <v>2</v>
      </c>
      <c r="D294" s="121">
        <v>0.0054375475360726126</v>
      </c>
      <c r="E294" s="121">
        <v>1.8543060418010806</v>
      </c>
      <c r="F294" s="88" t="s">
        <v>719</v>
      </c>
      <c r="G294" s="88" t="b">
        <v>0</v>
      </c>
      <c r="H294" s="88" t="b">
        <v>0</v>
      </c>
      <c r="I294" s="88" t="b">
        <v>0</v>
      </c>
      <c r="J294" s="88" t="b">
        <v>0</v>
      </c>
      <c r="K294" s="88" t="b">
        <v>0</v>
      </c>
      <c r="L294" s="88" t="b">
        <v>0</v>
      </c>
    </row>
    <row r="295" spans="1:12" ht="15">
      <c r="A295" s="89" t="s">
        <v>936</v>
      </c>
      <c r="B295" s="88" t="s">
        <v>1200</v>
      </c>
      <c r="C295" s="88">
        <v>2</v>
      </c>
      <c r="D295" s="121">
        <v>0.0054375475360726126</v>
      </c>
      <c r="E295" s="121">
        <v>1.5532760461370994</v>
      </c>
      <c r="F295" s="88" t="s">
        <v>719</v>
      </c>
      <c r="G295" s="88" t="b">
        <v>0</v>
      </c>
      <c r="H295" s="88" t="b">
        <v>0</v>
      </c>
      <c r="I295" s="88" t="b">
        <v>0</v>
      </c>
      <c r="J295" s="88" t="b">
        <v>0</v>
      </c>
      <c r="K295" s="88" t="b">
        <v>0</v>
      </c>
      <c r="L295" s="88" t="b">
        <v>0</v>
      </c>
    </row>
    <row r="296" spans="1:12" ht="15">
      <c r="A296" s="89" t="s">
        <v>1201</v>
      </c>
      <c r="B296" s="88" t="s">
        <v>871</v>
      </c>
      <c r="C296" s="88">
        <v>2</v>
      </c>
      <c r="D296" s="121">
        <v>0.0054375475360726126</v>
      </c>
      <c r="E296" s="121">
        <v>1.0413926851582251</v>
      </c>
      <c r="F296" s="88" t="s">
        <v>719</v>
      </c>
      <c r="G296" s="88" t="b">
        <v>0</v>
      </c>
      <c r="H296" s="88" t="b">
        <v>0</v>
      </c>
      <c r="I296" s="88" t="b">
        <v>0</v>
      </c>
      <c r="J296" s="88" t="b">
        <v>0</v>
      </c>
      <c r="K296" s="88" t="b">
        <v>0</v>
      </c>
      <c r="L296" s="88" t="b">
        <v>0</v>
      </c>
    </row>
    <row r="297" spans="1:12" ht="15">
      <c r="A297" s="89" t="s">
        <v>871</v>
      </c>
      <c r="B297" s="88" t="s">
        <v>1248</v>
      </c>
      <c r="C297" s="88">
        <v>2</v>
      </c>
      <c r="D297" s="121">
        <v>0.0054375475360726126</v>
      </c>
      <c r="E297" s="121">
        <v>1.6112679931147862</v>
      </c>
      <c r="F297" s="88" t="s">
        <v>719</v>
      </c>
      <c r="G297" s="88" t="b">
        <v>0</v>
      </c>
      <c r="H297" s="88" t="b">
        <v>0</v>
      </c>
      <c r="I297" s="88" t="b">
        <v>0</v>
      </c>
      <c r="J297" s="88" t="b">
        <v>0</v>
      </c>
      <c r="K297" s="88" t="b">
        <v>0</v>
      </c>
      <c r="L297" s="88" t="b">
        <v>0</v>
      </c>
    </row>
    <row r="298" spans="1:12" ht="15">
      <c r="A298" s="89" t="s">
        <v>1248</v>
      </c>
      <c r="B298" s="88" t="s">
        <v>1202</v>
      </c>
      <c r="C298" s="88">
        <v>2</v>
      </c>
      <c r="D298" s="121">
        <v>0.0054375475360726126</v>
      </c>
      <c r="E298" s="121">
        <v>1.8543060418010806</v>
      </c>
      <c r="F298" s="88" t="s">
        <v>719</v>
      </c>
      <c r="G298" s="88" t="b">
        <v>0</v>
      </c>
      <c r="H298" s="88" t="b">
        <v>0</v>
      </c>
      <c r="I298" s="88" t="b">
        <v>0</v>
      </c>
      <c r="J298" s="88" t="b">
        <v>0</v>
      </c>
      <c r="K298" s="88" t="b">
        <v>0</v>
      </c>
      <c r="L298" s="88" t="b">
        <v>0</v>
      </c>
    </row>
    <row r="299" spans="1:12" ht="15">
      <c r="A299" s="89" t="s">
        <v>1202</v>
      </c>
      <c r="B299" s="88" t="s">
        <v>1168</v>
      </c>
      <c r="C299" s="88">
        <v>2</v>
      </c>
      <c r="D299" s="121">
        <v>0.0054375475360726126</v>
      </c>
      <c r="E299" s="121">
        <v>1.8543060418010806</v>
      </c>
      <c r="F299" s="88" t="s">
        <v>719</v>
      </c>
      <c r="G299" s="88" t="b">
        <v>0</v>
      </c>
      <c r="H299" s="88" t="b">
        <v>0</v>
      </c>
      <c r="I299" s="88" t="b">
        <v>0</v>
      </c>
      <c r="J299" s="88" t="b">
        <v>0</v>
      </c>
      <c r="K299" s="88" t="b">
        <v>0</v>
      </c>
      <c r="L299" s="88" t="b">
        <v>0</v>
      </c>
    </row>
    <row r="300" spans="1:12" ht="15">
      <c r="A300" s="89" t="s">
        <v>1168</v>
      </c>
      <c r="B300" s="88" t="s">
        <v>1249</v>
      </c>
      <c r="C300" s="88">
        <v>2</v>
      </c>
      <c r="D300" s="121">
        <v>0.0054375475360726126</v>
      </c>
      <c r="E300" s="121">
        <v>2.155336037465062</v>
      </c>
      <c r="F300" s="88" t="s">
        <v>719</v>
      </c>
      <c r="G300" s="88" t="b">
        <v>0</v>
      </c>
      <c r="H300" s="88" t="b">
        <v>0</v>
      </c>
      <c r="I300" s="88" t="b">
        <v>0</v>
      </c>
      <c r="J300" s="88" t="b">
        <v>0</v>
      </c>
      <c r="K300" s="88" t="b">
        <v>0</v>
      </c>
      <c r="L300" s="88" t="b">
        <v>0</v>
      </c>
    </row>
    <row r="301" spans="1:12" ht="15">
      <c r="A301" s="89" t="s">
        <v>1249</v>
      </c>
      <c r="B301" s="88" t="s">
        <v>1199</v>
      </c>
      <c r="C301" s="88">
        <v>2</v>
      </c>
      <c r="D301" s="121">
        <v>0.0054375475360726126</v>
      </c>
      <c r="E301" s="121">
        <v>1.8543060418010806</v>
      </c>
      <c r="F301" s="88" t="s">
        <v>719</v>
      </c>
      <c r="G301" s="88" t="b">
        <v>0</v>
      </c>
      <c r="H301" s="88" t="b">
        <v>0</v>
      </c>
      <c r="I301" s="88" t="b">
        <v>0</v>
      </c>
      <c r="J301" s="88" t="b">
        <v>0</v>
      </c>
      <c r="K301" s="88" t="b">
        <v>0</v>
      </c>
      <c r="L301" s="88" t="b">
        <v>0</v>
      </c>
    </row>
    <row r="302" spans="1:12" ht="15">
      <c r="A302" s="89" t="s">
        <v>1199</v>
      </c>
      <c r="B302" s="88" t="s">
        <v>1250</v>
      </c>
      <c r="C302" s="88">
        <v>2</v>
      </c>
      <c r="D302" s="121">
        <v>0.0054375475360726126</v>
      </c>
      <c r="E302" s="121">
        <v>1.8543060418010806</v>
      </c>
      <c r="F302" s="88" t="s">
        <v>719</v>
      </c>
      <c r="G302" s="88" t="b">
        <v>0</v>
      </c>
      <c r="H302" s="88" t="b">
        <v>0</v>
      </c>
      <c r="I302" s="88" t="b">
        <v>0</v>
      </c>
      <c r="J302" s="88" t="b">
        <v>0</v>
      </c>
      <c r="K302" s="88" t="b">
        <v>0</v>
      </c>
      <c r="L302" s="88" t="b">
        <v>0</v>
      </c>
    </row>
    <row r="303" spans="1:12" ht="15">
      <c r="A303" s="89" t="s">
        <v>1250</v>
      </c>
      <c r="B303" s="88" t="s">
        <v>894</v>
      </c>
      <c r="C303" s="88">
        <v>2</v>
      </c>
      <c r="D303" s="121">
        <v>0.0054375475360726126</v>
      </c>
      <c r="E303" s="121">
        <v>2.155336037465062</v>
      </c>
      <c r="F303" s="88" t="s">
        <v>719</v>
      </c>
      <c r="G303" s="88" t="b">
        <v>0</v>
      </c>
      <c r="H303" s="88" t="b">
        <v>0</v>
      </c>
      <c r="I303" s="88" t="b">
        <v>0</v>
      </c>
      <c r="J303" s="88" t="b">
        <v>0</v>
      </c>
      <c r="K303" s="88" t="b">
        <v>0</v>
      </c>
      <c r="L303" s="88" t="b">
        <v>0</v>
      </c>
    </row>
    <row r="304" spans="1:12" ht="15">
      <c r="A304" s="89" t="s">
        <v>894</v>
      </c>
      <c r="B304" s="88" t="s">
        <v>1251</v>
      </c>
      <c r="C304" s="88">
        <v>2</v>
      </c>
      <c r="D304" s="121">
        <v>0.0054375475360726126</v>
      </c>
      <c r="E304" s="121">
        <v>2.155336037465062</v>
      </c>
      <c r="F304" s="88" t="s">
        <v>719</v>
      </c>
      <c r="G304" s="88" t="b">
        <v>0</v>
      </c>
      <c r="H304" s="88" t="b">
        <v>0</v>
      </c>
      <c r="I304" s="88" t="b">
        <v>0</v>
      </c>
      <c r="J304" s="88" t="b">
        <v>0</v>
      </c>
      <c r="K304" s="88" t="b">
        <v>0</v>
      </c>
      <c r="L304" s="88" t="b">
        <v>0</v>
      </c>
    </row>
    <row r="305" spans="1:12" ht="15">
      <c r="A305" s="89" t="s">
        <v>1251</v>
      </c>
      <c r="B305" s="88" t="s">
        <v>883</v>
      </c>
      <c r="C305" s="88">
        <v>2</v>
      </c>
      <c r="D305" s="121">
        <v>0.0054375475360726126</v>
      </c>
      <c r="E305" s="121">
        <v>1.6112679931147862</v>
      </c>
      <c r="F305" s="88" t="s">
        <v>719</v>
      </c>
      <c r="G305" s="88" t="b">
        <v>0</v>
      </c>
      <c r="H305" s="88" t="b">
        <v>0</v>
      </c>
      <c r="I305" s="88" t="b">
        <v>0</v>
      </c>
      <c r="J305" s="88" t="b">
        <v>0</v>
      </c>
      <c r="K305" s="88" t="b">
        <v>0</v>
      </c>
      <c r="L305" s="88" t="b">
        <v>0</v>
      </c>
    </row>
    <row r="306" spans="1:12" ht="15">
      <c r="A306" s="89" t="s">
        <v>873</v>
      </c>
      <c r="B306" s="88" t="s">
        <v>850</v>
      </c>
      <c r="C306" s="88">
        <v>3</v>
      </c>
      <c r="D306" s="121">
        <v>0.006772578870452658</v>
      </c>
      <c r="E306" s="121">
        <v>1.4661258704181992</v>
      </c>
      <c r="F306" s="88" t="s">
        <v>720</v>
      </c>
      <c r="G306" s="88" t="b">
        <v>0</v>
      </c>
      <c r="H306" s="88" t="b">
        <v>0</v>
      </c>
      <c r="I306" s="88" t="b">
        <v>0</v>
      </c>
      <c r="J306" s="88" t="b">
        <v>0</v>
      </c>
      <c r="K306" s="88" t="b">
        <v>0</v>
      </c>
      <c r="L306" s="88" t="b">
        <v>0</v>
      </c>
    </row>
    <row r="307" spans="1:12" ht="15">
      <c r="A307" s="89" t="s">
        <v>894</v>
      </c>
      <c r="B307" s="88" t="s">
        <v>890</v>
      </c>
      <c r="C307" s="88">
        <v>2</v>
      </c>
      <c r="D307" s="121">
        <v>0.006675681525770254</v>
      </c>
      <c r="E307" s="121">
        <v>1.716003343634799</v>
      </c>
      <c r="F307" s="88" t="s">
        <v>720</v>
      </c>
      <c r="G307" s="88" t="b">
        <v>0</v>
      </c>
      <c r="H307" s="88" t="b">
        <v>0</v>
      </c>
      <c r="I307" s="88" t="b">
        <v>0</v>
      </c>
      <c r="J307" s="88" t="b">
        <v>0</v>
      </c>
      <c r="K307" s="88" t="b">
        <v>0</v>
      </c>
      <c r="L307" s="88" t="b">
        <v>0</v>
      </c>
    </row>
    <row r="308" spans="1:12" ht="15">
      <c r="A308" s="89" t="s">
        <v>872</v>
      </c>
      <c r="B308" s="88" t="s">
        <v>876</v>
      </c>
      <c r="C308" s="88">
        <v>10</v>
      </c>
      <c r="D308" s="121">
        <v>0</v>
      </c>
      <c r="E308" s="121">
        <v>0.9030899869919435</v>
      </c>
      <c r="F308" s="88" t="s">
        <v>721</v>
      </c>
      <c r="G308" s="88" t="b">
        <v>0</v>
      </c>
      <c r="H308" s="88" t="b">
        <v>0</v>
      </c>
      <c r="I308" s="88" t="b">
        <v>0</v>
      </c>
      <c r="J308" s="88" t="b">
        <v>0</v>
      </c>
      <c r="K308" s="88" t="b">
        <v>0</v>
      </c>
      <c r="L308" s="88" t="b">
        <v>0</v>
      </c>
    </row>
    <row r="309" spans="1:12" ht="15">
      <c r="A309" s="89" t="s">
        <v>898</v>
      </c>
      <c r="B309" s="88" t="s">
        <v>875</v>
      </c>
      <c r="C309" s="88">
        <v>5</v>
      </c>
      <c r="D309" s="121">
        <v>0</v>
      </c>
      <c r="E309" s="121">
        <v>1.2041199826559248</v>
      </c>
      <c r="F309" s="88" t="s">
        <v>721</v>
      </c>
      <c r="G309" s="88" t="b">
        <v>0</v>
      </c>
      <c r="H309" s="88" t="b">
        <v>0</v>
      </c>
      <c r="I309" s="88" t="b">
        <v>0</v>
      </c>
      <c r="J309" s="88" t="b">
        <v>0</v>
      </c>
      <c r="K309" s="88" t="b">
        <v>0</v>
      </c>
      <c r="L309" s="88" t="b">
        <v>0</v>
      </c>
    </row>
    <row r="310" spans="1:12" ht="15">
      <c r="A310" s="89" t="s">
        <v>875</v>
      </c>
      <c r="B310" s="88" t="s">
        <v>899</v>
      </c>
      <c r="C310" s="88">
        <v>5</v>
      </c>
      <c r="D310" s="121">
        <v>0</v>
      </c>
      <c r="E310" s="121">
        <v>1.2041199826559248</v>
      </c>
      <c r="F310" s="88" t="s">
        <v>721</v>
      </c>
      <c r="G310" s="88" t="b">
        <v>0</v>
      </c>
      <c r="H310" s="88" t="b">
        <v>0</v>
      </c>
      <c r="I310" s="88" t="b">
        <v>0</v>
      </c>
      <c r="J310" s="88" t="b">
        <v>0</v>
      </c>
      <c r="K310" s="88" t="b">
        <v>0</v>
      </c>
      <c r="L310" s="88" t="b">
        <v>0</v>
      </c>
    </row>
    <row r="311" spans="1:12" ht="15">
      <c r="A311" s="89" t="s">
        <v>899</v>
      </c>
      <c r="B311" s="88" t="s">
        <v>900</v>
      </c>
      <c r="C311" s="88">
        <v>5</v>
      </c>
      <c r="D311" s="121">
        <v>0</v>
      </c>
      <c r="E311" s="121">
        <v>1.505149978319906</v>
      </c>
      <c r="F311" s="88" t="s">
        <v>721</v>
      </c>
      <c r="G311" s="88" t="b">
        <v>0</v>
      </c>
      <c r="H311" s="88" t="b">
        <v>0</v>
      </c>
      <c r="I311" s="88" t="b">
        <v>0</v>
      </c>
      <c r="J311" s="88" t="b">
        <v>0</v>
      </c>
      <c r="K311" s="88" t="b">
        <v>0</v>
      </c>
      <c r="L311" s="88" t="b">
        <v>0</v>
      </c>
    </row>
    <row r="312" spans="1:12" ht="15">
      <c r="A312" s="89" t="s">
        <v>900</v>
      </c>
      <c r="B312" s="88" t="s">
        <v>875</v>
      </c>
      <c r="C312" s="88">
        <v>5</v>
      </c>
      <c r="D312" s="121">
        <v>0</v>
      </c>
      <c r="E312" s="121">
        <v>1.2041199826559248</v>
      </c>
      <c r="F312" s="88" t="s">
        <v>721</v>
      </c>
      <c r="G312" s="88" t="b">
        <v>0</v>
      </c>
      <c r="H312" s="88" t="b">
        <v>0</v>
      </c>
      <c r="I312" s="88" t="b">
        <v>0</v>
      </c>
      <c r="J312" s="88" t="b">
        <v>0</v>
      </c>
      <c r="K312" s="88" t="b">
        <v>0</v>
      </c>
      <c r="L312" s="88" t="b">
        <v>0</v>
      </c>
    </row>
    <row r="313" spans="1:12" ht="15">
      <c r="A313" s="89" t="s">
        <v>875</v>
      </c>
      <c r="B313" s="88" t="s">
        <v>901</v>
      </c>
      <c r="C313" s="88">
        <v>5</v>
      </c>
      <c r="D313" s="121">
        <v>0</v>
      </c>
      <c r="E313" s="121">
        <v>1.2041199826559248</v>
      </c>
      <c r="F313" s="88" t="s">
        <v>721</v>
      </c>
      <c r="G313" s="88" t="b">
        <v>0</v>
      </c>
      <c r="H313" s="88" t="b">
        <v>0</v>
      </c>
      <c r="I313" s="88" t="b">
        <v>0</v>
      </c>
      <c r="J313" s="88" t="b">
        <v>0</v>
      </c>
      <c r="K313" s="88" t="b">
        <v>0</v>
      </c>
      <c r="L313" s="88" t="b">
        <v>0</v>
      </c>
    </row>
    <row r="314" spans="1:12" ht="15">
      <c r="A314" s="89" t="s">
        <v>901</v>
      </c>
      <c r="B314" s="88" t="s">
        <v>902</v>
      </c>
      <c r="C314" s="88">
        <v>5</v>
      </c>
      <c r="D314" s="121">
        <v>0</v>
      </c>
      <c r="E314" s="121">
        <v>1.505149978319906</v>
      </c>
      <c r="F314" s="88" t="s">
        <v>721</v>
      </c>
      <c r="G314" s="88" t="b">
        <v>0</v>
      </c>
      <c r="H314" s="88" t="b">
        <v>0</v>
      </c>
      <c r="I314" s="88" t="b">
        <v>0</v>
      </c>
      <c r="J314" s="88" t="b">
        <v>0</v>
      </c>
      <c r="K314" s="88" t="b">
        <v>0</v>
      </c>
      <c r="L314" s="88" t="b">
        <v>0</v>
      </c>
    </row>
    <row r="315" spans="1:12" ht="15">
      <c r="A315" s="89" t="s">
        <v>902</v>
      </c>
      <c r="B315" s="88" t="s">
        <v>903</v>
      </c>
      <c r="C315" s="88">
        <v>5</v>
      </c>
      <c r="D315" s="121">
        <v>0</v>
      </c>
      <c r="E315" s="121">
        <v>1.505149978319906</v>
      </c>
      <c r="F315" s="88" t="s">
        <v>721</v>
      </c>
      <c r="G315" s="88" t="b">
        <v>0</v>
      </c>
      <c r="H315" s="88" t="b">
        <v>0</v>
      </c>
      <c r="I315" s="88" t="b">
        <v>0</v>
      </c>
      <c r="J315" s="88" t="b">
        <v>0</v>
      </c>
      <c r="K315" s="88" t="b">
        <v>0</v>
      </c>
      <c r="L315" s="88" t="b">
        <v>0</v>
      </c>
    </row>
    <row r="316" spans="1:12" ht="15">
      <c r="A316" s="89" t="s">
        <v>903</v>
      </c>
      <c r="B316" s="88" t="s">
        <v>872</v>
      </c>
      <c r="C316" s="88">
        <v>5</v>
      </c>
      <c r="D316" s="121">
        <v>0</v>
      </c>
      <c r="E316" s="121">
        <v>0.9030899869919435</v>
      </c>
      <c r="F316" s="88" t="s">
        <v>721</v>
      </c>
      <c r="G316" s="88" t="b">
        <v>0</v>
      </c>
      <c r="H316" s="88" t="b">
        <v>0</v>
      </c>
      <c r="I316" s="88" t="b">
        <v>0</v>
      </c>
      <c r="J316" s="88" t="b">
        <v>0</v>
      </c>
      <c r="K316" s="88" t="b">
        <v>0</v>
      </c>
      <c r="L316" s="88" t="b">
        <v>0</v>
      </c>
    </row>
    <row r="317" spans="1:12" ht="15">
      <c r="A317" s="89" t="s">
        <v>876</v>
      </c>
      <c r="B317" s="88" t="s">
        <v>904</v>
      </c>
      <c r="C317" s="88">
        <v>5</v>
      </c>
      <c r="D317" s="121">
        <v>0</v>
      </c>
      <c r="E317" s="121">
        <v>1.2041199826559248</v>
      </c>
      <c r="F317" s="88" t="s">
        <v>721</v>
      </c>
      <c r="G317" s="88" t="b">
        <v>0</v>
      </c>
      <c r="H317" s="88" t="b">
        <v>0</v>
      </c>
      <c r="I317" s="88" t="b">
        <v>0</v>
      </c>
      <c r="J317" s="88" t="b">
        <v>0</v>
      </c>
      <c r="K317" s="88" t="b">
        <v>0</v>
      </c>
      <c r="L317" s="88" t="b">
        <v>0</v>
      </c>
    </row>
    <row r="318" spans="1:12" ht="15">
      <c r="A318" s="89" t="s">
        <v>904</v>
      </c>
      <c r="B318" s="88" t="s">
        <v>1179</v>
      </c>
      <c r="C318" s="88">
        <v>5</v>
      </c>
      <c r="D318" s="121">
        <v>0</v>
      </c>
      <c r="E318" s="121">
        <v>1.505149978319906</v>
      </c>
      <c r="F318" s="88" t="s">
        <v>721</v>
      </c>
      <c r="G318" s="88" t="b">
        <v>0</v>
      </c>
      <c r="H318" s="88" t="b">
        <v>0</v>
      </c>
      <c r="I318" s="88" t="b">
        <v>0</v>
      </c>
      <c r="J318" s="88" t="b">
        <v>0</v>
      </c>
      <c r="K318" s="88" t="b">
        <v>0</v>
      </c>
      <c r="L318" s="88" t="b">
        <v>0</v>
      </c>
    </row>
    <row r="319" spans="1:12" ht="15">
      <c r="A319" s="89" t="s">
        <v>1179</v>
      </c>
      <c r="B319" s="88" t="s">
        <v>1180</v>
      </c>
      <c r="C319" s="88">
        <v>5</v>
      </c>
      <c r="D319" s="121">
        <v>0</v>
      </c>
      <c r="E319" s="121">
        <v>1.505149978319906</v>
      </c>
      <c r="F319" s="88" t="s">
        <v>721</v>
      </c>
      <c r="G319" s="88" t="b">
        <v>0</v>
      </c>
      <c r="H319" s="88" t="b">
        <v>0</v>
      </c>
      <c r="I319" s="88" t="b">
        <v>0</v>
      </c>
      <c r="J319" s="88" t="b">
        <v>0</v>
      </c>
      <c r="K319" s="88" t="b">
        <v>0</v>
      </c>
      <c r="L319" s="88" t="b">
        <v>0</v>
      </c>
    </row>
    <row r="320" spans="1:12" ht="15">
      <c r="A320" s="89" t="s">
        <v>1180</v>
      </c>
      <c r="B320" s="88" t="s">
        <v>1181</v>
      </c>
      <c r="C320" s="88">
        <v>5</v>
      </c>
      <c r="D320" s="121">
        <v>0</v>
      </c>
      <c r="E320" s="121">
        <v>1.505149978319906</v>
      </c>
      <c r="F320" s="88" t="s">
        <v>721</v>
      </c>
      <c r="G320" s="88" t="b">
        <v>0</v>
      </c>
      <c r="H320" s="88" t="b">
        <v>0</v>
      </c>
      <c r="I320" s="88" t="b">
        <v>0</v>
      </c>
      <c r="J320" s="88" t="b">
        <v>0</v>
      </c>
      <c r="K320" s="88" t="b">
        <v>0</v>
      </c>
      <c r="L320" s="88" t="b">
        <v>0</v>
      </c>
    </row>
    <row r="321" spans="1:12" ht="15">
      <c r="A321" s="89" t="s">
        <v>1181</v>
      </c>
      <c r="B321" s="88" t="s">
        <v>1182</v>
      </c>
      <c r="C321" s="88">
        <v>5</v>
      </c>
      <c r="D321" s="121">
        <v>0</v>
      </c>
      <c r="E321" s="121">
        <v>1.505149978319906</v>
      </c>
      <c r="F321" s="88" t="s">
        <v>721</v>
      </c>
      <c r="G321" s="88" t="b">
        <v>0</v>
      </c>
      <c r="H321" s="88" t="b">
        <v>0</v>
      </c>
      <c r="I321" s="88" t="b">
        <v>0</v>
      </c>
      <c r="J321" s="88" t="b">
        <v>0</v>
      </c>
      <c r="K321" s="88" t="b">
        <v>0</v>
      </c>
      <c r="L321" s="88" t="b">
        <v>0</v>
      </c>
    </row>
    <row r="322" spans="1:12" ht="15">
      <c r="A322" s="89" t="s">
        <v>1182</v>
      </c>
      <c r="B322" s="88" t="s">
        <v>1183</v>
      </c>
      <c r="C322" s="88">
        <v>5</v>
      </c>
      <c r="D322" s="121">
        <v>0</v>
      </c>
      <c r="E322" s="121">
        <v>1.505149978319906</v>
      </c>
      <c r="F322" s="88" t="s">
        <v>721</v>
      </c>
      <c r="G322" s="88" t="b">
        <v>0</v>
      </c>
      <c r="H322" s="88" t="b">
        <v>0</v>
      </c>
      <c r="I322" s="88" t="b">
        <v>0</v>
      </c>
      <c r="J322" s="88" t="b">
        <v>0</v>
      </c>
      <c r="K322" s="88" t="b">
        <v>0</v>
      </c>
      <c r="L322" s="88" t="b">
        <v>0</v>
      </c>
    </row>
    <row r="323" spans="1:12" ht="15">
      <c r="A323" s="89" t="s">
        <v>1183</v>
      </c>
      <c r="B323" s="88" t="s">
        <v>1184</v>
      </c>
      <c r="C323" s="88">
        <v>5</v>
      </c>
      <c r="D323" s="121">
        <v>0</v>
      </c>
      <c r="E323" s="121">
        <v>1.505149978319906</v>
      </c>
      <c r="F323" s="88" t="s">
        <v>721</v>
      </c>
      <c r="G323" s="88" t="b">
        <v>0</v>
      </c>
      <c r="H323" s="88" t="b">
        <v>0</v>
      </c>
      <c r="I323" s="88" t="b">
        <v>0</v>
      </c>
      <c r="J323" s="88" t="b">
        <v>0</v>
      </c>
      <c r="K323" s="88" t="b">
        <v>0</v>
      </c>
      <c r="L323" s="88" t="b">
        <v>0</v>
      </c>
    </row>
    <row r="324" spans="1:12" ht="15">
      <c r="A324" s="89" t="s">
        <v>1184</v>
      </c>
      <c r="B324" s="88" t="s">
        <v>872</v>
      </c>
      <c r="C324" s="88">
        <v>5</v>
      </c>
      <c r="D324" s="121">
        <v>0</v>
      </c>
      <c r="E324" s="121">
        <v>0.9030899869919435</v>
      </c>
      <c r="F324" s="88" t="s">
        <v>721</v>
      </c>
      <c r="G324" s="88" t="b">
        <v>0</v>
      </c>
      <c r="H324" s="88" t="b">
        <v>0</v>
      </c>
      <c r="I324" s="88" t="b">
        <v>0</v>
      </c>
      <c r="J324" s="88" t="b">
        <v>0</v>
      </c>
      <c r="K324" s="88" t="b">
        <v>0</v>
      </c>
      <c r="L324" s="88" t="b">
        <v>0</v>
      </c>
    </row>
    <row r="325" spans="1:12" ht="15">
      <c r="A325" s="89" t="s">
        <v>872</v>
      </c>
      <c r="B325" s="88" t="s">
        <v>1185</v>
      </c>
      <c r="C325" s="88">
        <v>5</v>
      </c>
      <c r="D325" s="121">
        <v>0</v>
      </c>
      <c r="E325" s="121">
        <v>0.9030899869919435</v>
      </c>
      <c r="F325" s="88" t="s">
        <v>721</v>
      </c>
      <c r="G325" s="88" t="b">
        <v>0</v>
      </c>
      <c r="H325" s="88" t="b">
        <v>0</v>
      </c>
      <c r="I325" s="88" t="b">
        <v>0</v>
      </c>
      <c r="J325" s="88" t="b">
        <v>0</v>
      </c>
      <c r="K325" s="88" t="b">
        <v>0</v>
      </c>
      <c r="L325" s="88" t="b">
        <v>0</v>
      </c>
    </row>
    <row r="326" spans="1:12" ht="15">
      <c r="A326" s="89" t="s">
        <v>1185</v>
      </c>
      <c r="B326" s="88" t="s">
        <v>1166</v>
      </c>
      <c r="C326" s="88">
        <v>5</v>
      </c>
      <c r="D326" s="121">
        <v>0</v>
      </c>
      <c r="E326" s="121">
        <v>1.505149978319906</v>
      </c>
      <c r="F326" s="88" t="s">
        <v>721</v>
      </c>
      <c r="G326" s="88" t="b">
        <v>0</v>
      </c>
      <c r="H326" s="88" t="b">
        <v>0</v>
      </c>
      <c r="I326" s="88" t="b">
        <v>0</v>
      </c>
      <c r="J326" s="88" t="b">
        <v>0</v>
      </c>
      <c r="K326" s="88" t="b">
        <v>0</v>
      </c>
      <c r="L326" s="88" t="b">
        <v>0</v>
      </c>
    </row>
    <row r="327" spans="1:12" ht="15">
      <c r="A327" s="89" t="s">
        <v>1166</v>
      </c>
      <c r="B327" s="88" t="s">
        <v>872</v>
      </c>
      <c r="C327" s="88">
        <v>5</v>
      </c>
      <c r="D327" s="121">
        <v>0</v>
      </c>
      <c r="E327" s="121">
        <v>0.9030899869919435</v>
      </c>
      <c r="F327" s="88" t="s">
        <v>721</v>
      </c>
      <c r="G327" s="88" t="b">
        <v>0</v>
      </c>
      <c r="H327" s="88" t="b">
        <v>0</v>
      </c>
      <c r="I327" s="88" t="b">
        <v>0</v>
      </c>
      <c r="J327" s="88" t="b">
        <v>0</v>
      </c>
      <c r="K327" s="88" t="b">
        <v>0</v>
      </c>
      <c r="L327" s="88" t="b">
        <v>0</v>
      </c>
    </row>
    <row r="328" spans="1:12" ht="15">
      <c r="A328" s="89" t="s">
        <v>876</v>
      </c>
      <c r="B328" s="88" t="s">
        <v>1186</v>
      </c>
      <c r="C328" s="88">
        <v>5</v>
      </c>
      <c r="D328" s="121">
        <v>0</v>
      </c>
      <c r="E328" s="121">
        <v>1.2041199826559248</v>
      </c>
      <c r="F328" s="88" t="s">
        <v>721</v>
      </c>
      <c r="G328" s="88" t="b">
        <v>0</v>
      </c>
      <c r="H328" s="88" t="b">
        <v>0</v>
      </c>
      <c r="I328" s="88" t="b">
        <v>0</v>
      </c>
      <c r="J328" s="88" t="b">
        <v>0</v>
      </c>
      <c r="K328" s="88" t="b">
        <v>0</v>
      </c>
      <c r="L328" s="88" t="b">
        <v>0</v>
      </c>
    </row>
    <row r="329" spans="1:12" ht="15">
      <c r="A329" s="89" t="s">
        <v>1186</v>
      </c>
      <c r="B329" s="88" t="s">
        <v>1187</v>
      </c>
      <c r="C329" s="88">
        <v>5</v>
      </c>
      <c r="D329" s="121">
        <v>0</v>
      </c>
      <c r="E329" s="121">
        <v>1.505149978319906</v>
      </c>
      <c r="F329" s="88" t="s">
        <v>721</v>
      </c>
      <c r="G329" s="88" t="b">
        <v>0</v>
      </c>
      <c r="H329" s="88" t="b">
        <v>0</v>
      </c>
      <c r="I329" s="88" t="b">
        <v>0</v>
      </c>
      <c r="J329" s="88" t="b">
        <v>0</v>
      </c>
      <c r="K329" s="88" t="b">
        <v>0</v>
      </c>
      <c r="L329" s="88" t="b">
        <v>0</v>
      </c>
    </row>
    <row r="330" spans="1:12" ht="15">
      <c r="A330" s="89" t="s">
        <v>1187</v>
      </c>
      <c r="B330" s="88" t="s">
        <v>1188</v>
      </c>
      <c r="C330" s="88">
        <v>5</v>
      </c>
      <c r="D330" s="121">
        <v>0</v>
      </c>
      <c r="E330" s="121">
        <v>1.505149978319906</v>
      </c>
      <c r="F330" s="88" t="s">
        <v>721</v>
      </c>
      <c r="G330" s="88" t="b">
        <v>0</v>
      </c>
      <c r="H330" s="88" t="b">
        <v>0</v>
      </c>
      <c r="I330" s="88" t="b">
        <v>0</v>
      </c>
      <c r="J330" s="88" t="b">
        <v>0</v>
      </c>
      <c r="K330" s="88" t="b">
        <v>0</v>
      </c>
      <c r="L330" s="88" t="b">
        <v>0</v>
      </c>
    </row>
    <row r="331" spans="1:12" ht="15">
      <c r="A331" s="89" t="s">
        <v>1188</v>
      </c>
      <c r="B331" s="88" t="s">
        <v>1189</v>
      </c>
      <c r="C331" s="88">
        <v>5</v>
      </c>
      <c r="D331" s="121">
        <v>0</v>
      </c>
      <c r="E331" s="121">
        <v>1.505149978319906</v>
      </c>
      <c r="F331" s="88" t="s">
        <v>721</v>
      </c>
      <c r="G331" s="88" t="b">
        <v>0</v>
      </c>
      <c r="H331" s="88" t="b">
        <v>0</v>
      </c>
      <c r="I331" s="88" t="b">
        <v>0</v>
      </c>
      <c r="J331" s="88" t="b">
        <v>0</v>
      </c>
      <c r="K331" s="88" t="b">
        <v>0</v>
      </c>
      <c r="L331" s="88" t="b">
        <v>0</v>
      </c>
    </row>
    <row r="332" spans="1:12" ht="15">
      <c r="A332" s="89" t="s">
        <v>1189</v>
      </c>
      <c r="B332" s="88" t="s">
        <v>1190</v>
      </c>
      <c r="C332" s="88">
        <v>5</v>
      </c>
      <c r="D332" s="121">
        <v>0</v>
      </c>
      <c r="E332" s="121">
        <v>1.505149978319906</v>
      </c>
      <c r="F332" s="88" t="s">
        <v>721</v>
      </c>
      <c r="G332" s="88" t="b">
        <v>0</v>
      </c>
      <c r="H332" s="88" t="b">
        <v>0</v>
      </c>
      <c r="I332" s="88" t="b">
        <v>0</v>
      </c>
      <c r="J332" s="88" t="b">
        <v>0</v>
      </c>
      <c r="K332" s="88" t="b">
        <v>0</v>
      </c>
      <c r="L332" s="88" t="b">
        <v>0</v>
      </c>
    </row>
    <row r="333" spans="1:12" ht="15">
      <c r="A333" s="89" t="s">
        <v>1190</v>
      </c>
      <c r="B333" s="88" t="s">
        <v>1167</v>
      </c>
      <c r="C333" s="88">
        <v>5</v>
      </c>
      <c r="D333" s="121">
        <v>0</v>
      </c>
      <c r="E333" s="121">
        <v>1.505149978319906</v>
      </c>
      <c r="F333" s="88" t="s">
        <v>721</v>
      </c>
      <c r="G333" s="88" t="b">
        <v>0</v>
      </c>
      <c r="H333" s="88" t="b">
        <v>0</v>
      </c>
      <c r="I333" s="88" t="b">
        <v>0</v>
      </c>
      <c r="J333" s="88" t="b">
        <v>0</v>
      </c>
      <c r="K333" s="88" t="b">
        <v>0</v>
      </c>
      <c r="L333" s="88" t="b">
        <v>0</v>
      </c>
    </row>
    <row r="334" spans="1:12" ht="15">
      <c r="A334" s="89" t="s">
        <v>1167</v>
      </c>
      <c r="B334" s="88" t="s">
        <v>1191</v>
      </c>
      <c r="C334" s="88">
        <v>5</v>
      </c>
      <c r="D334" s="121">
        <v>0</v>
      </c>
      <c r="E334" s="121">
        <v>1.505149978319906</v>
      </c>
      <c r="F334" s="88" t="s">
        <v>721</v>
      </c>
      <c r="G334" s="88" t="b">
        <v>0</v>
      </c>
      <c r="H334" s="88" t="b">
        <v>0</v>
      </c>
      <c r="I334" s="88" t="b">
        <v>0</v>
      </c>
      <c r="J334" s="88" t="b">
        <v>0</v>
      </c>
      <c r="K334" s="88" t="b">
        <v>0</v>
      </c>
      <c r="L334" s="88" t="b">
        <v>0</v>
      </c>
    </row>
    <row r="335" spans="1:12" ht="15">
      <c r="A335" s="89" t="s">
        <v>1191</v>
      </c>
      <c r="B335" s="88" t="s">
        <v>872</v>
      </c>
      <c r="C335" s="88">
        <v>5</v>
      </c>
      <c r="D335" s="121">
        <v>0</v>
      </c>
      <c r="E335" s="121">
        <v>0.9030899869919435</v>
      </c>
      <c r="F335" s="88" t="s">
        <v>721</v>
      </c>
      <c r="G335" s="88" t="b">
        <v>0</v>
      </c>
      <c r="H335" s="88" t="b">
        <v>0</v>
      </c>
      <c r="I335" s="88" t="b">
        <v>0</v>
      </c>
      <c r="J335" s="88" t="b">
        <v>0</v>
      </c>
      <c r="K335" s="88" t="b">
        <v>0</v>
      </c>
      <c r="L335" s="88" t="b">
        <v>0</v>
      </c>
    </row>
    <row r="336" spans="1:12" ht="15">
      <c r="A336" s="89" t="s">
        <v>872</v>
      </c>
      <c r="B336" s="88" t="s">
        <v>1192</v>
      </c>
      <c r="C336" s="88">
        <v>5</v>
      </c>
      <c r="D336" s="121">
        <v>0</v>
      </c>
      <c r="E336" s="121">
        <v>0.9030899869919435</v>
      </c>
      <c r="F336" s="88" t="s">
        <v>721</v>
      </c>
      <c r="G336" s="88" t="b">
        <v>0</v>
      </c>
      <c r="H336" s="88" t="b">
        <v>0</v>
      </c>
      <c r="I336" s="88" t="b">
        <v>0</v>
      </c>
      <c r="J336" s="88" t="b">
        <v>0</v>
      </c>
      <c r="K336" s="88" t="b">
        <v>0</v>
      </c>
      <c r="L336" s="88" t="b">
        <v>0</v>
      </c>
    </row>
    <row r="337" spans="1:12" ht="15">
      <c r="A337" s="89" t="s">
        <v>1192</v>
      </c>
      <c r="B337" s="88" t="s">
        <v>1193</v>
      </c>
      <c r="C337" s="88">
        <v>5</v>
      </c>
      <c r="D337" s="121">
        <v>0</v>
      </c>
      <c r="E337" s="121">
        <v>1.505149978319906</v>
      </c>
      <c r="F337" s="88" t="s">
        <v>721</v>
      </c>
      <c r="G337" s="88" t="b">
        <v>0</v>
      </c>
      <c r="H337" s="88" t="b">
        <v>0</v>
      </c>
      <c r="I337" s="88" t="b">
        <v>0</v>
      </c>
      <c r="J337" s="88" t="b">
        <v>0</v>
      </c>
      <c r="K337" s="88" t="b">
        <v>0</v>
      </c>
      <c r="L337" s="88" t="b">
        <v>0</v>
      </c>
    </row>
    <row r="338" spans="1:12" ht="15">
      <c r="A338" s="89" t="s">
        <v>1193</v>
      </c>
      <c r="B338" s="88" t="s">
        <v>871</v>
      </c>
      <c r="C338" s="88">
        <v>5</v>
      </c>
      <c r="D338" s="121">
        <v>0</v>
      </c>
      <c r="E338" s="121">
        <v>1.505149978319906</v>
      </c>
      <c r="F338" s="88" t="s">
        <v>721</v>
      </c>
      <c r="G338" s="88" t="b">
        <v>0</v>
      </c>
      <c r="H338" s="88" t="b">
        <v>0</v>
      </c>
      <c r="I338" s="88" t="b">
        <v>0</v>
      </c>
      <c r="J338" s="88" t="b">
        <v>0</v>
      </c>
      <c r="K338" s="88" t="b">
        <v>0</v>
      </c>
      <c r="L338" s="88" t="b">
        <v>0</v>
      </c>
    </row>
    <row r="339" spans="1:12" ht="15">
      <c r="A339" s="89" t="s">
        <v>908</v>
      </c>
      <c r="B339" s="88" t="s">
        <v>909</v>
      </c>
      <c r="C339" s="88">
        <v>2</v>
      </c>
      <c r="D339" s="121">
        <v>0</v>
      </c>
      <c r="E339" s="121">
        <v>1.255272505103306</v>
      </c>
      <c r="F339" s="88" t="s">
        <v>722</v>
      </c>
      <c r="G339" s="88" t="b">
        <v>0</v>
      </c>
      <c r="H339" s="88" t="b">
        <v>1</v>
      </c>
      <c r="I339" s="88" t="b">
        <v>0</v>
      </c>
      <c r="J339" s="88" t="b">
        <v>1</v>
      </c>
      <c r="K339" s="88" t="b">
        <v>0</v>
      </c>
      <c r="L339" s="88" t="b">
        <v>0</v>
      </c>
    </row>
    <row r="340" spans="1:12" ht="15">
      <c r="A340" s="89" t="s">
        <v>909</v>
      </c>
      <c r="B340" s="88" t="s">
        <v>910</v>
      </c>
      <c r="C340" s="88">
        <v>2</v>
      </c>
      <c r="D340" s="121">
        <v>0</v>
      </c>
      <c r="E340" s="121">
        <v>1.255272505103306</v>
      </c>
      <c r="F340" s="88" t="s">
        <v>722</v>
      </c>
      <c r="G340" s="88" t="b">
        <v>1</v>
      </c>
      <c r="H340" s="88" t="b">
        <v>0</v>
      </c>
      <c r="I340" s="88" t="b">
        <v>0</v>
      </c>
      <c r="J340" s="88" t="b">
        <v>0</v>
      </c>
      <c r="K340" s="88" t="b">
        <v>0</v>
      </c>
      <c r="L340" s="88" t="b">
        <v>0</v>
      </c>
    </row>
    <row r="341" spans="1:12" ht="15">
      <c r="A341" s="89" t="s">
        <v>910</v>
      </c>
      <c r="B341" s="88" t="s">
        <v>274</v>
      </c>
      <c r="C341" s="88">
        <v>2</v>
      </c>
      <c r="D341" s="121">
        <v>0</v>
      </c>
      <c r="E341" s="121">
        <v>1.255272505103306</v>
      </c>
      <c r="F341" s="88" t="s">
        <v>722</v>
      </c>
      <c r="G341" s="88" t="b">
        <v>0</v>
      </c>
      <c r="H341" s="88" t="b">
        <v>0</v>
      </c>
      <c r="I341" s="88" t="b">
        <v>0</v>
      </c>
      <c r="J341" s="88" t="b">
        <v>0</v>
      </c>
      <c r="K341" s="88" t="b">
        <v>0</v>
      </c>
      <c r="L341" s="88" t="b">
        <v>0</v>
      </c>
    </row>
    <row r="342" spans="1:12" ht="15">
      <c r="A342" s="89" t="s">
        <v>274</v>
      </c>
      <c r="B342" s="88" t="s">
        <v>273</v>
      </c>
      <c r="C342" s="88">
        <v>2</v>
      </c>
      <c r="D342" s="121">
        <v>0</v>
      </c>
      <c r="E342" s="121">
        <v>1.255272505103306</v>
      </c>
      <c r="F342" s="88" t="s">
        <v>722</v>
      </c>
      <c r="G342" s="88" t="b">
        <v>0</v>
      </c>
      <c r="H342" s="88" t="b">
        <v>0</v>
      </c>
      <c r="I342" s="88" t="b">
        <v>0</v>
      </c>
      <c r="J342" s="88" t="b">
        <v>0</v>
      </c>
      <c r="K342" s="88" t="b">
        <v>0</v>
      </c>
      <c r="L342" s="88" t="b">
        <v>0</v>
      </c>
    </row>
    <row r="343" spans="1:12" ht="15">
      <c r="A343" s="89" t="s">
        <v>273</v>
      </c>
      <c r="B343" s="88" t="s">
        <v>911</v>
      </c>
      <c r="C343" s="88">
        <v>2</v>
      </c>
      <c r="D343" s="121">
        <v>0</v>
      </c>
      <c r="E343" s="121">
        <v>1.255272505103306</v>
      </c>
      <c r="F343" s="88" t="s">
        <v>722</v>
      </c>
      <c r="G343" s="88" t="b">
        <v>0</v>
      </c>
      <c r="H343" s="88" t="b">
        <v>0</v>
      </c>
      <c r="I343" s="88" t="b">
        <v>0</v>
      </c>
      <c r="J343" s="88" t="b">
        <v>0</v>
      </c>
      <c r="K343" s="88" t="b">
        <v>0</v>
      </c>
      <c r="L343" s="88" t="b">
        <v>0</v>
      </c>
    </row>
    <row r="344" spans="1:12" ht="15">
      <c r="A344" s="89" t="s">
        <v>912</v>
      </c>
      <c r="B344" s="88" t="s">
        <v>913</v>
      </c>
      <c r="C344" s="88">
        <v>2</v>
      </c>
      <c r="D344" s="121">
        <v>0</v>
      </c>
      <c r="E344" s="121">
        <v>1.255272505103306</v>
      </c>
      <c r="F344" s="88" t="s">
        <v>722</v>
      </c>
      <c r="G344" s="88" t="b">
        <v>0</v>
      </c>
      <c r="H344" s="88" t="b">
        <v>0</v>
      </c>
      <c r="I344" s="88" t="b">
        <v>0</v>
      </c>
      <c r="J344" s="88" t="b">
        <v>0</v>
      </c>
      <c r="K344" s="88" t="b">
        <v>1</v>
      </c>
      <c r="L344" s="88" t="b">
        <v>0</v>
      </c>
    </row>
    <row r="345" spans="1:12" ht="15">
      <c r="A345" s="89" t="s">
        <v>1224</v>
      </c>
      <c r="B345" s="88" t="s">
        <v>1225</v>
      </c>
      <c r="C345" s="88">
        <v>2</v>
      </c>
      <c r="D345" s="121">
        <v>0</v>
      </c>
      <c r="E345" s="121">
        <v>1.255272505103306</v>
      </c>
      <c r="F345" s="88" t="s">
        <v>722</v>
      </c>
      <c r="G345" s="88" t="b">
        <v>0</v>
      </c>
      <c r="H345" s="88" t="b">
        <v>0</v>
      </c>
      <c r="I345" s="88" t="b">
        <v>0</v>
      </c>
      <c r="J345" s="88" t="b">
        <v>0</v>
      </c>
      <c r="K345" s="88" t="b">
        <v>0</v>
      </c>
      <c r="L345" s="88" t="b">
        <v>0</v>
      </c>
    </row>
    <row r="346" spans="1:12" ht="15">
      <c r="A346" s="89" t="s">
        <v>1225</v>
      </c>
      <c r="B346" s="88" t="s">
        <v>906</v>
      </c>
      <c r="C346" s="88">
        <v>2</v>
      </c>
      <c r="D346" s="121">
        <v>0</v>
      </c>
      <c r="E346" s="121">
        <v>1.0791812460476249</v>
      </c>
      <c r="F346" s="88" t="s">
        <v>722</v>
      </c>
      <c r="G346" s="88" t="b">
        <v>0</v>
      </c>
      <c r="H346" s="88" t="b">
        <v>0</v>
      </c>
      <c r="I346" s="88" t="b">
        <v>0</v>
      </c>
      <c r="J346" s="88" t="b">
        <v>0</v>
      </c>
      <c r="K346" s="88" t="b">
        <v>0</v>
      </c>
      <c r="L346" s="88" t="b">
        <v>0</v>
      </c>
    </row>
    <row r="347" spans="1:12" ht="15">
      <c r="A347" s="89" t="s">
        <v>906</v>
      </c>
      <c r="B347" s="88" t="s">
        <v>871</v>
      </c>
      <c r="C347" s="88">
        <v>2</v>
      </c>
      <c r="D347" s="121">
        <v>0</v>
      </c>
      <c r="E347" s="121">
        <v>1.0791812460476249</v>
      </c>
      <c r="F347" s="88" t="s">
        <v>722</v>
      </c>
      <c r="G347" s="88" t="b">
        <v>0</v>
      </c>
      <c r="H347" s="88" t="b">
        <v>0</v>
      </c>
      <c r="I347" s="88" t="b">
        <v>0</v>
      </c>
      <c r="J347" s="88" t="b">
        <v>0</v>
      </c>
      <c r="K347" s="88" t="b">
        <v>0</v>
      </c>
      <c r="L347" s="88" t="b">
        <v>0</v>
      </c>
    </row>
    <row r="348" spans="1:12" ht="15">
      <c r="A348" s="89" t="s">
        <v>845</v>
      </c>
      <c r="B348" s="88" t="s">
        <v>915</v>
      </c>
      <c r="C348" s="88">
        <v>2</v>
      </c>
      <c r="D348" s="121">
        <v>0</v>
      </c>
      <c r="E348" s="121">
        <v>1.0413926851582251</v>
      </c>
      <c r="F348" s="88" t="s">
        <v>723</v>
      </c>
      <c r="G348" s="88" t="b">
        <v>0</v>
      </c>
      <c r="H348" s="88" t="b">
        <v>0</v>
      </c>
      <c r="I348" s="88" t="b">
        <v>0</v>
      </c>
      <c r="J348" s="88" t="b">
        <v>0</v>
      </c>
      <c r="K348" s="88" t="b">
        <v>0</v>
      </c>
      <c r="L348" s="88" t="b">
        <v>0</v>
      </c>
    </row>
    <row r="349" spans="1:12" ht="15">
      <c r="A349" s="89" t="s">
        <v>915</v>
      </c>
      <c r="B349" s="88" t="s">
        <v>873</v>
      </c>
      <c r="C349" s="88">
        <v>2</v>
      </c>
      <c r="D349" s="121">
        <v>0</v>
      </c>
      <c r="E349" s="121">
        <v>1.0413926851582251</v>
      </c>
      <c r="F349" s="88" t="s">
        <v>723</v>
      </c>
      <c r="G349" s="88" t="b">
        <v>0</v>
      </c>
      <c r="H349" s="88" t="b">
        <v>0</v>
      </c>
      <c r="I349" s="88" t="b">
        <v>0</v>
      </c>
      <c r="J349" s="88" t="b">
        <v>0</v>
      </c>
      <c r="K349" s="88" t="b">
        <v>0</v>
      </c>
      <c r="L349" s="88" t="b">
        <v>0</v>
      </c>
    </row>
    <row r="350" spans="1:12" ht="15">
      <c r="A350" s="89" t="s">
        <v>873</v>
      </c>
      <c r="B350" s="88" t="s">
        <v>916</v>
      </c>
      <c r="C350" s="88">
        <v>2</v>
      </c>
      <c r="D350" s="121">
        <v>0</v>
      </c>
      <c r="E350" s="121">
        <v>1.0413926851582251</v>
      </c>
      <c r="F350" s="88" t="s">
        <v>723</v>
      </c>
      <c r="G350" s="88" t="b">
        <v>0</v>
      </c>
      <c r="H350" s="88" t="b">
        <v>0</v>
      </c>
      <c r="I350" s="88" t="b">
        <v>0</v>
      </c>
      <c r="J350" s="88" t="b">
        <v>0</v>
      </c>
      <c r="K350" s="88" t="b">
        <v>0</v>
      </c>
      <c r="L350" s="88" t="b">
        <v>0</v>
      </c>
    </row>
    <row r="351" spans="1:12" ht="15">
      <c r="A351" s="89" t="s">
        <v>916</v>
      </c>
      <c r="B351" s="88" t="s">
        <v>917</v>
      </c>
      <c r="C351" s="88">
        <v>2</v>
      </c>
      <c r="D351" s="121">
        <v>0</v>
      </c>
      <c r="E351" s="121">
        <v>1.0413926851582251</v>
      </c>
      <c r="F351" s="88" t="s">
        <v>723</v>
      </c>
      <c r="G351" s="88" t="b">
        <v>0</v>
      </c>
      <c r="H351" s="88" t="b">
        <v>0</v>
      </c>
      <c r="I351" s="88" t="b">
        <v>0</v>
      </c>
      <c r="J351" s="88" t="b">
        <v>0</v>
      </c>
      <c r="K351" s="88" t="b">
        <v>0</v>
      </c>
      <c r="L351" s="88" t="b">
        <v>0</v>
      </c>
    </row>
    <row r="352" spans="1:12" ht="15">
      <c r="A352" s="89" t="s">
        <v>917</v>
      </c>
      <c r="B352" s="88" t="s">
        <v>918</v>
      </c>
      <c r="C352" s="88">
        <v>2</v>
      </c>
      <c r="D352" s="121">
        <v>0</v>
      </c>
      <c r="E352" s="121">
        <v>1.0413926851582251</v>
      </c>
      <c r="F352" s="88" t="s">
        <v>723</v>
      </c>
      <c r="G352" s="88" t="b">
        <v>0</v>
      </c>
      <c r="H352" s="88" t="b">
        <v>0</v>
      </c>
      <c r="I352" s="88" t="b">
        <v>0</v>
      </c>
      <c r="J352" s="88" t="b">
        <v>0</v>
      </c>
      <c r="K352" s="88" t="b">
        <v>0</v>
      </c>
      <c r="L352" s="88" t="b">
        <v>0</v>
      </c>
    </row>
    <row r="353" spans="1:12" ht="15">
      <c r="A353" s="89" t="s">
        <v>918</v>
      </c>
      <c r="B353" s="88" t="s">
        <v>919</v>
      </c>
      <c r="C353" s="88">
        <v>2</v>
      </c>
      <c r="D353" s="121">
        <v>0</v>
      </c>
      <c r="E353" s="121">
        <v>1.0413926851582251</v>
      </c>
      <c r="F353" s="88" t="s">
        <v>723</v>
      </c>
      <c r="G353" s="88" t="b">
        <v>0</v>
      </c>
      <c r="H353" s="88" t="b">
        <v>0</v>
      </c>
      <c r="I353" s="88" t="b">
        <v>0</v>
      </c>
      <c r="J353" s="88" t="b">
        <v>0</v>
      </c>
      <c r="K353" s="88" t="b">
        <v>0</v>
      </c>
      <c r="L353" s="88" t="b">
        <v>0</v>
      </c>
    </row>
    <row r="354" spans="1:12" ht="15">
      <c r="A354" s="89" t="s">
        <v>919</v>
      </c>
      <c r="B354" s="88" t="s">
        <v>272</v>
      </c>
      <c r="C354" s="88">
        <v>2</v>
      </c>
      <c r="D354" s="121">
        <v>0</v>
      </c>
      <c r="E354" s="121">
        <v>1.0413926851582251</v>
      </c>
      <c r="F354" s="88" t="s">
        <v>723</v>
      </c>
      <c r="G354" s="88" t="b">
        <v>0</v>
      </c>
      <c r="H354" s="88" t="b">
        <v>0</v>
      </c>
      <c r="I354" s="88" t="b">
        <v>0</v>
      </c>
      <c r="J354" s="88" t="b">
        <v>0</v>
      </c>
      <c r="K354" s="88" t="b">
        <v>0</v>
      </c>
      <c r="L354" s="88" t="b">
        <v>0</v>
      </c>
    </row>
    <row r="355" spans="1:12" ht="15">
      <c r="A355" s="89" t="s">
        <v>272</v>
      </c>
      <c r="B355" s="88" t="s">
        <v>920</v>
      </c>
      <c r="C355" s="88">
        <v>2</v>
      </c>
      <c r="D355" s="121">
        <v>0</v>
      </c>
      <c r="E355" s="121">
        <v>1.0413926851582251</v>
      </c>
      <c r="F355" s="88" t="s">
        <v>723</v>
      </c>
      <c r="G355" s="88" t="b">
        <v>0</v>
      </c>
      <c r="H355" s="88" t="b">
        <v>0</v>
      </c>
      <c r="I355" s="88" t="b">
        <v>0</v>
      </c>
      <c r="J355" s="88" t="b">
        <v>0</v>
      </c>
      <c r="K355" s="88" t="b">
        <v>0</v>
      </c>
      <c r="L355" s="88" t="b">
        <v>0</v>
      </c>
    </row>
    <row r="356" spans="1:12" ht="15">
      <c r="A356" s="89" t="s">
        <v>920</v>
      </c>
      <c r="B356" s="88" t="s">
        <v>871</v>
      </c>
      <c r="C356" s="88">
        <v>2</v>
      </c>
      <c r="D356" s="121">
        <v>0</v>
      </c>
      <c r="E356" s="121">
        <v>1.0413926851582251</v>
      </c>
      <c r="F356" s="88" t="s">
        <v>723</v>
      </c>
      <c r="G356" s="88" t="b">
        <v>0</v>
      </c>
      <c r="H356" s="88" t="b">
        <v>0</v>
      </c>
      <c r="I356" s="88" t="b">
        <v>0</v>
      </c>
      <c r="J356" s="88" t="b">
        <v>0</v>
      </c>
      <c r="K356" s="88" t="b">
        <v>0</v>
      </c>
      <c r="L356" s="88" t="b">
        <v>0</v>
      </c>
    </row>
    <row r="357" spans="1:12" ht="15">
      <c r="A357" s="89" t="s">
        <v>871</v>
      </c>
      <c r="B357" s="88" t="s">
        <v>1273</v>
      </c>
      <c r="C357" s="88">
        <v>2</v>
      </c>
      <c r="D357" s="121">
        <v>0</v>
      </c>
      <c r="E357" s="121">
        <v>1.0413926851582251</v>
      </c>
      <c r="F357" s="88" t="s">
        <v>723</v>
      </c>
      <c r="G357" s="88" t="b">
        <v>0</v>
      </c>
      <c r="H357" s="88" t="b">
        <v>0</v>
      </c>
      <c r="I357" s="88" t="b">
        <v>0</v>
      </c>
      <c r="J357" s="88" t="b">
        <v>0</v>
      </c>
      <c r="K357" s="88" t="b">
        <v>0</v>
      </c>
      <c r="L357" s="88" t="b">
        <v>0</v>
      </c>
    </row>
    <row r="358" spans="1:12" ht="15">
      <c r="A358" s="89" t="s">
        <v>1273</v>
      </c>
      <c r="B358" s="88" t="s">
        <v>1274</v>
      </c>
      <c r="C358" s="88">
        <v>2</v>
      </c>
      <c r="D358" s="121">
        <v>0</v>
      </c>
      <c r="E358" s="121">
        <v>1.0413926851582251</v>
      </c>
      <c r="F358" s="88" t="s">
        <v>723</v>
      </c>
      <c r="G358" s="88" t="b">
        <v>0</v>
      </c>
      <c r="H358" s="88" t="b">
        <v>0</v>
      </c>
      <c r="I358" s="88" t="b">
        <v>0</v>
      </c>
      <c r="J358" s="88" t="b">
        <v>0</v>
      </c>
      <c r="K358" s="88" t="b">
        <v>0</v>
      </c>
      <c r="L358" s="88" t="b">
        <v>0</v>
      </c>
    </row>
    <row r="359" spans="1:12" ht="15">
      <c r="A359" s="89" t="s">
        <v>922</v>
      </c>
      <c r="B359" s="88" t="s">
        <v>923</v>
      </c>
      <c r="C359" s="88">
        <v>3</v>
      </c>
      <c r="D359" s="121">
        <v>0</v>
      </c>
      <c r="E359" s="121">
        <v>1.0413926851582251</v>
      </c>
      <c r="F359" s="88" t="s">
        <v>724</v>
      </c>
      <c r="G359" s="88" t="b">
        <v>0</v>
      </c>
      <c r="H359" s="88" t="b">
        <v>0</v>
      </c>
      <c r="I359" s="88" t="b">
        <v>0</v>
      </c>
      <c r="J359" s="88" t="b">
        <v>0</v>
      </c>
      <c r="K359" s="88" t="b">
        <v>0</v>
      </c>
      <c r="L359" s="88" t="b">
        <v>0</v>
      </c>
    </row>
    <row r="360" spans="1:12" ht="15">
      <c r="A360" s="89" t="s">
        <v>923</v>
      </c>
      <c r="B360" s="88" t="s">
        <v>924</v>
      </c>
      <c r="C360" s="88">
        <v>3</v>
      </c>
      <c r="D360" s="121">
        <v>0</v>
      </c>
      <c r="E360" s="121">
        <v>1.0413926851582251</v>
      </c>
      <c r="F360" s="88" t="s">
        <v>724</v>
      </c>
      <c r="G360" s="88" t="b">
        <v>0</v>
      </c>
      <c r="H360" s="88" t="b">
        <v>0</v>
      </c>
      <c r="I360" s="88" t="b">
        <v>0</v>
      </c>
      <c r="J360" s="88" t="b">
        <v>1</v>
      </c>
      <c r="K360" s="88" t="b">
        <v>0</v>
      </c>
      <c r="L360" s="88" t="b">
        <v>0</v>
      </c>
    </row>
    <row r="361" spans="1:12" ht="15">
      <c r="A361" s="89" t="s">
        <v>924</v>
      </c>
      <c r="B361" s="88" t="s">
        <v>925</v>
      </c>
      <c r="C361" s="88">
        <v>3</v>
      </c>
      <c r="D361" s="121">
        <v>0</v>
      </c>
      <c r="E361" s="121">
        <v>1.0413926851582251</v>
      </c>
      <c r="F361" s="88" t="s">
        <v>724</v>
      </c>
      <c r="G361" s="88" t="b">
        <v>1</v>
      </c>
      <c r="H361" s="88" t="b">
        <v>0</v>
      </c>
      <c r="I361" s="88" t="b">
        <v>0</v>
      </c>
      <c r="J361" s="88" t="b">
        <v>0</v>
      </c>
      <c r="K361" s="88" t="b">
        <v>0</v>
      </c>
      <c r="L361" s="88" t="b">
        <v>0</v>
      </c>
    </row>
    <row r="362" spans="1:12" ht="15">
      <c r="A362" s="89" t="s">
        <v>925</v>
      </c>
      <c r="B362" s="88" t="s">
        <v>926</v>
      </c>
      <c r="C362" s="88">
        <v>3</v>
      </c>
      <c r="D362" s="121">
        <v>0</v>
      </c>
      <c r="E362" s="121">
        <v>1.0413926851582251</v>
      </c>
      <c r="F362" s="88" t="s">
        <v>724</v>
      </c>
      <c r="G362" s="88" t="b">
        <v>0</v>
      </c>
      <c r="H362" s="88" t="b">
        <v>0</v>
      </c>
      <c r="I362" s="88" t="b">
        <v>0</v>
      </c>
      <c r="J362" s="88" t="b">
        <v>0</v>
      </c>
      <c r="K362" s="88" t="b">
        <v>0</v>
      </c>
      <c r="L362" s="88" t="b">
        <v>0</v>
      </c>
    </row>
    <row r="363" spans="1:12" ht="15">
      <c r="A363" s="89" t="s">
        <v>926</v>
      </c>
      <c r="B363" s="88" t="s">
        <v>927</v>
      </c>
      <c r="C363" s="88">
        <v>3</v>
      </c>
      <c r="D363" s="121">
        <v>0</v>
      </c>
      <c r="E363" s="121">
        <v>1.0413926851582251</v>
      </c>
      <c r="F363" s="88" t="s">
        <v>724</v>
      </c>
      <c r="G363" s="88" t="b">
        <v>0</v>
      </c>
      <c r="H363" s="88" t="b">
        <v>0</v>
      </c>
      <c r="I363" s="88" t="b">
        <v>0</v>
      </c>
      <c r="J363" s="88" t="b">
        <v>0</v>
      </c>
      <c r="K363" s="88" t="b">
        <v>0</v>
      </c>
      <c r="L363" s="88" t="b">
        <v>0</v>
      </c>
    </row>
    <row r="364" spans="1:12" ht="15">
      <c r="A364" s="89" t="s">
        <v>927</v>
      </c>
      <c r="B364" s="88" t="s">
        <v>928</v>
      </c>
      <c r="C364" s="88">
        <v>3</v>
      </c>
      <c r="D364" s="121">
        <v>0</v>
      </c>
      <c r="E364" s="121">
        <v>1.0413926851582251</v>
      </c>
      <c r="F364" s="88" t="s">
        <v>724</v>
      </c>
      <c r="G364" s="88" t="b">
        <v>0</v>
      </c>
      <c r="H364" s="88" t="b">
        <v>0</v>
      </c>
      <c r="I364" s="88" t="b">
        <v>0</v>
      </c>
      <c r="J364" s="88" t="b">
        <v>0</v>
      </c>
      <c r="K364" s="88" t="b">
        <v>0</v>
      </c>
      <c r="L364" s="88" t="b">
        <v>0</v>
      </c>
    </row>
    <row r="365" spans="1:12" ht="15">
      <c r="A365" s="89" t="s">
        <v>928</v>
      </c>
      <c r="B365" s="88" t="s">
        <v>929</v>
      </c>
      <c r="C365" s="88">
        <v>3</v>
      </c>
      <c r="D365" s="121">
        <v>0</v>
      </c>
      <c r="E365" s="121">
        <v>1.0413926851582251</v>
      </c>
      <c r="F365" s="88" t="s">
        <v>724</v>
      </c>
      <c r="G365" s="88" t="b">
        <v>0</v>
      </c>
      <c r="H365" s="88" t="b">
        <v>0</v>
      </c>
      <c r="I365" s="88" t="b">
        <v>0</v>
      </c>
      <c r="J365" s="88" t="b">
        <v>0</v>
      </c>
      <c r="K365" s="88" t="b">
        <v>0</v>
      </c>
      <c r="L365" s="88" t="b">
        <v>0</v>
      </c>
    </row>
    <row r="366" spans="1:12" ht="15">
      <c r="A366" s="89" t="s">
        <v>929</v>
      </c>
      <c r="B366" s="88" t="s">
        <v>930</v>
      </c>
      <c r="C366" s="88">
        <v>3</v>
      </c>
      <c r="D366" s="121">
        <v>0</v>
      </c>
      <c r="E366" s="121">
        <v>1.0413926851582251</v>
      </c>
      <c r="F366" s="88" t="s">
        <v>724</v>
      </c>
      <c r="G366" s="88" t="b">
        <v>0</v>
      </c>
      <c r="H366" s="88" t="b">
        <v>0</v>
      </c>
      <c r="I366" s="88" t="b">
        <v>0</v>
      </c>
      <c r="J366" s="88" t="b">
        <v>0</v>
      </c>
      <c r="K366" s="88" t="b">
        <v>0</v>
      </c>
      <c r="L366" s="88" t="b">
        <v>0</v>
      </c>
    </row>
    <row r="367" spans="1:12" ht="15">
      <c r="A367" s="89" t="s">
        <v>930</v>
      </c>
      <c r="B367" s="88" t="s">
        <v>234</v>
      </c>
      <c r="C367" s="88">
        <v>3</v>
      </c>
      <c r="D367" s="121">
        <v>0</v>
      </c>
      <c r="E367" s="121">
        <v>1.0413926851582251</v>
      </c>
      <c r="F367" s="88" t="s">
        <v>724</v>
      </c>
      <c r="G367" s="88" t="b">
        <v>0</v>
      </c>
      <c r="H367" s="88" t="b">
        <v>0</v>
      </c>
      <c r="I367" s="88" t="b">
        <v>0</v>
      </c>
      <c r="J367" s="88" t="b">
        <v>0</v>
      </c>
      <c r="K367" s="88" t="b">
        <v>0</v>
      </c>
      <c r="L367" s="88" t="b">
        <v>0</v>
      </c>
    </row>
    <row r="368" spans="1:12" ht="15">
      <c r="A368" s="89" t="s">
        <v>234</v>
      </c>
      <c r="B368" s="88" t="s">
        <v>871</v>
      </c>
      <c r="C368" s="88">
        <v>3</v>
      </c>
      <c r="D368" s="121">
        <v>0</v>
      </c>
      <c r="E368" s="121">
        <v>1.0413926851582251</v>
      </c>
      <c r="F368" s="88" t="s">
        <v>724</v>
      </c>
      <c r="G368" s="88" t="b">
        <v>0</v>
      </c>
      <c r="H368" s="88" t="b">
        <v>0</v>
      </c>
      <c r="I368" s="88" t="b">
        <v>0</v>
      </c>
      <c r="J368" s="88" t="b">
        <v>0</v>
      </c>
      <c r="K368" s="88" t="b">
        <v>0</v>
      </c>
      <c r="L368" s="88" t="b">
        <v>0</v>
      </c>
    </row>
    <row r="369" spans="1:12" ht="15">
      <c r="A369" s="89" t="s">
        <v>871</v>
      </c>
      <c r="B369" s="88" t="s">
        <v>1169</v>
      </c>
      <c r="C369" s="88">
        <v>3</v>
      </c>
      <c r="D369" s="121">
        <v>0</v>
      </c>
      <c r="E369" s="121">
        <v>1.0413926851582251</v>
      </c>
      <c r="F369" s="88" t="s">
        <v>724</v>
      </c>
      <c r="G369" s="88" t="b">
        <v>0</v>
      </c>
      <c r="H369" s="88" t="b">
        <v>0</v>
      </c>
      <c r="I369" s="88" t="b">
        <v>0</v>
      </c>
      <c r="J369" s="88" t="b">
        <v>0</v>
      </c>
      <c r="K369" s="88" t="b">
        <v>0</v>
      </c>
      <c r="L369" s="88" t="b">
        <v>0</v>
      </c>
    </row>
    <row r="370" spans="1:12" ht="15">
      <c r="A370" s="89" t="s">
        <v>873</v>
      </c>
      <c r="B370" s="88" t="s">
        <v>850</v>
      </c>
      <c r="C370" s="88">
        <v>2</v>
      </c>
      <c r="D370" s="121">
        <v>0</v>
      </c>
      <c r="E370" s="121">
        <v>1.2671717284030137</v>
      </c>
      <c r="F370" s="88" t="s">
        <v>727</v>
      </c>
      <c r="G370" s="88" t="b">
        <v>0</v>
      </c>
      <c r="H370" s="88" t="b">
        <v>0</v>
      </c>
      <c r="I370" s="88" t="b">
        <v>0</v>
      </c>
      <c r="J370" s="88" t="b">
        <v>0</v>
      </c>
      <c r="K370" s="88" t="b">
        <v>0</v>
      </c>
      <c r="L370" s="88" t="b">
        <v>0</v>
      </c>
    </row>
    <row r="371" spans="1:12" ht="15">
      <c r="A371" s="89" t="s">
        <v>850</v>
      </c>
      <c r="B371" s="88" t="s">
        <v>935</v>
      </c>
      <c r="C371" s="88">
        <v>2</v>
      </c>
      <c r="D371" s="121">
        <v>0</v>
      </c>
      <c r="E371" s="121">
        <v>1.2671717284030137</v>
      </c>
      <c r="F371" s="88" t="s">
        <v>727</v>
      </c>
      <c r="G371" s="88" t="b">
        <v>0</v>
      </c>
      <c r="H371" s="88" t="b">
        <v>0</v>
      </c>
      <c r="I371" s="88" t="b">
        <v>0</v>
      </c>
      <c r="J371" s="88" t="b">
        <v>0</v>
      </c>
      <c r="K371" s="88" t="b">
        <v>0</v>
      </c>
      <c r="L371" s="88" t="b">
        <v>0</v>
      </c>
    </row>
    <row r="372" spans="1:12" ht="15">
      <c r="A372" s="89" t="s">
        <v>871</v>
      </c>
      <c r="B372" s="88" t="s">
        <v>936</v>
      </c>
      <c r="C372" s="88">
        <v>2</v>
      </c>
      <c r="D372" s="121">
        <v>0</v>
      </c>
      <c r="E372" s="121">
        <v>1.2671717284030137</v>
      </c>
      <c r="F372" s="88" t="s">
        <v>727</v>
      </c>
      <c r="G372" s="88" t="b">
        <v>0</v>
      </c>
      <c r="H372" s="88" t="b">
        <v>0</v>
      </c>
      <c r="I372" s="88" t="b">
        <v>0</v>
      </c>
      <c r="J372" s="88" t="b">
        <v>0</v>
      </c>
      <c r="K372" s="88" t="b">
        <v>0</v>
      </c>
      <c r="L372" s="88" t="b">
        <v>0</v>
      </c>
    </row>
    <row r="373" spans="1:12" ht="15">
      <c r="A373" s="89" t="s">
        <v>936</v>
      </c>
      <c r="B373" s="88" t="s">
        <v>937</v>
      </c>
      <c r="C373" s="88">
        <v>2</v>
      </c>
      <c r="D373" s="121">
        <v>0</v>
      </c>
      <c r="E373" s="121">
        <v>1.2671717284030137</v>
      </c>
      <c r="F373" s="88" t="s">
        <v>727</v>
      </c>
      <c r="G373" s="88" t="b">
        <v>0</v>
      </c>
      <c r="H373" s="88" t="b">
        <v>0</v>
      </c>
      <c r="I373" s="88" t="b">
        <v>0</v>
      </c>
      <c r="J373" s="88" t="b">
        <v>0</v>
      </c>
      <c r="K373" s="88" t="b">
        <v>0</v>
      </c>
      <c r="L373" s="88" t="b">
        <v>0</v>
      </c>
    </row>
    <row r="374" spans="1:12" ht="15">
      <c r="A374" s="89" t="s">
        <v>1252</v>
      </c>
      <c r="B374" s="88" t="s">
        <v>1253</v>
      </c>
      <c r="C374" s="88">
        <v>2</v>
      </c>
      <c r="D374" s="121">
        <v>0</v>
      </c>
      <c r="E374" s="121">
        <v>1.255272505103306</v>
      </c>
      <c r="F374" s="88" t="s">
        <v>728</v>
      </c>
      <c r="G374" s="88" t="b">
        <v>0</v>
      </c>
      <c r="H374" s="88" t="b">
        <v>0</v>
      </c>
      <c r="I374" s="88" t="b">
        <v>0</v>
      </c>
      <c r="J374" s="88" t="b">
        <v>0</v>
      </c>
      <c r="K374" s="88" t="b">
        <v>0</v>
      </c>
      <c r="L374" s="88" t="b">
        <v>0</v>
      </c>
    </row>
    <row r="375" spans="1:12" ht="15">
      <c r="A375" s="89" t="s">
        <v>1253</v>
      </c>
      <c r="B375" s="88" t="s">
        <v>1254</v>
      </c>
      <c r="C375" s="88">
        <v>2</v>
      </c>
      <c r="D375" s="121">
        <v>0</v>
      </c>
      <c r="E375" s="121">
        <v>1.255272505103306</v>
      </c>
      <c r="F375" s="88" t="s">
        <v>728</v>
      </c>
      <c r="G375" s="88" t="b">
        <v>0</v>
      </c>
      <c r="H375" s="88" t="b">
        <v>0</v>
      </c>
      <c r="I375" s="88" t="b">
        <v>0</v>
      </c>
      <c r="J375" s="88" t="b">
        <v>1</v>
      </c>
      <c r="K375" s="88" t="b">
        <v>0</v>
      </c>
      <c r="L375" s="88" t="b">
        <v>0</v>
      </c>
    </row>
    <row r="376" spans="1:12" ht="15">
      <c r="A376" s="89" t="s">
        <v>1254</v>
      </c>
      <c r="B376" s="88" t="s">
        <v>1255</v>
      </c>
      <c r="C376" s="88">
        <v>2</v>
      </c>
      <c r="D376" s="121">
        <v>0</v>
      </c>
      <c r="E376" s="121">
        <v>1.255272505103306</v>
      </c>
      <c r="F376" s="88" t="s">
        <v>728</v>
      </c>
      <c r="G376" s="88" t="b">
        <v>1</v>
      </c>
      <c r="H376" s="88" t="b">
        <v>0</v>
      </c>
      <c r="I376" s="88" t="b">
        <v>0</v>
      </c>
      <c r="J376" s="88" t="b">
        <v>0</v>
      </c>
      <c r="K376" s="88" t="b">
        <v>0</v>
      </c>
      <c r="L376" s="88" t="b">
        <v>0</v>
      </c>
    </row>
    <row r="377" spans="1:12" ht="15">
      <c r="A377" s="89" t="s">
        <v>1255</v>
      </c>
      <c r="B377" s="88" t="s">
        <v>1256</v>
      </c>
      <c r="C377" s="88">
        <v>2</v>
      </c>
      <c r="D377" s="121">
        <v>0</v>
      </c>
      <c r="E377" s="121">
        <v>1.255272505103306</v>
      </c>
      <c r="F377" s="88" t="s">
        <v>728</v>
      </c>
      <c r="G377" s="88" t="b">
        <v>0</v>
      </c>
      <c r="H377" s="88" t="b">
        <v>0</v>
      </c>
      <c r="I377" s="88" t="b">
        <v>0</v>
      </c>
      <c r="J377" s="88" t="b">
        <v>0</v>
      </c>
      <c r="K377" s="88" t="b">
        <v>0</v>
      </c>
      <c r="L377" s="88" t="b">
        <v>0</v>
      </c>
    </row>
    <row r="378" spans="1:12" ht="15">
      <c r="A378" s="89" t="s">
        <v>1256</v>
      </c>
      <c r="B378" s="88" t="s">
        <v>1257</v>
      </c>
      <c r="C378" s="88">
        <v>2</v>
      </c>
      <c r="D378" s="121">
        <v>0</v>
      </c>
      <c r="E378" s="121">
        <v>1.255272505103306</v>
      </c>
      <c r="F378" s="88" t="s">
        <v>728</v>
      </c>
      <c r="G378" s="88" t="b">
        <v>0</v>
      </c>
      <c r="H378" s="88" t="b">
        <v>0</v>
      </c>
      <c r="I378" s="88" t="b">
        <v>0</v>
      </c>
      <c r="J378" s="88" t="b">
        <v>0</v>
      </c>
      <c r="K378" s="88" t="b">
        <v>0</v>
      </c>
      <c r="L378" s="88" t="b">
        <v>0</v>
      </c>
    </row>
    <row r="379" spans="1:12" ht="15">
      <c r="A379" s="89" t="s">
        <v>1257</v>
      </c>
      <c r="B379" s="88" t="s">
        <v>1258</v>
      </c>
      <c r="C379" s="88">
        <v>2</v>
      </c>
      <c r="D379" s="121">
        <v>0</v>
      </c>
      <c r="E379" s="121">
        <v>1.255272505103306</v>
      </c>
      <c r="F379" s="88" t="s">
        <v>728</v>
      </c>
      <c r="G379" s="88" t="b">
        <v>0</v>
      </c>
      <c r="H379" s="88" t="b">
        <v>0</v>
      </c>
      <c r="I379" s="88" t="b">
        <v>0</v>
      </c>
      <c r="J379" s="88" t="b">
        <v>0</v>
      </c>
      <c r="K379" s="88" t="b">
        <v>0</v>
      </c>
      <c r="L379" s="88" t="b">
        <v>0</v>
      </c>
    </row>
    <row r="380" spans="1:12" ht="15">
      <c r="A380" s="89" t="s">
        <v>1258</v>
      </c>
      <c r="B380" s="88" t="s">
        <v>871</v>
      </c>
      <c r="C380" s="88">
        <v>2</v>
      </c>
      <c r="D380" s="121">
        <v>0</v>
      </c>
      <c r="E380" s="121">
        <v>1.255272505103306</v>
      </c>
      <c r="F380" s="88" t="s">
        <v>728</v>
      </c>
      <c r="G380" s="88" t="b">
        <v>0</v>
      </c>
      <c r="H380" s="88" t="b">
        <v>0</v>
      </c>
      <c r="I380" s="88" t="b">
        <v>0</v>
      </c>
      <c r="J380" s="88" t="b">
        <v>0</v>
      </c>
      <c r="K380" s="88" t="b">
        <v>0</v>
      </c>
      <c r="L380" s="88" t="b">
        <v>0</v>
      </c>
    </row>
    <row r="381" spans="1:12" ht="15">
      <c r="A381" s="89" t="s">
        <v>871</v>
      </c>
      <c r="B381" s="88" t="s">
        <v>1259</v>
      </c>
      <c r="C381" s="88">
        <v>2</v>
      </c>
      <c r="D381" s="121">
        <v>0</v>
      </c>
      <c r="E381" s="121">
        <v>1.255272505103306</v>
      </c>
      <c r="F381" s="88" t="s">
        <v>728</v>
      </c>
      <c r="G381" s="88" t="b">
        <v>0</v>
      </c>
      <c r="H381" s="88" t="b">
        <v>0</v>
      </c>
      <c r="I381" s="88" t="b">
        <v>0</v>
      </c>
      <c r="J381" s="88" t="b">
        <v>0</v>
      </c>
      <c r="K381" s="88" t="b">
        <v>0</v>
      </c>
      <c r="L381" s="88" t="b">
        <v>0</v>
      </c>
    </row>
    <row r="382" spans="1:12" ht="15">
      <c r="A382" s="89" t="s">
        <v>1259</v>
      </c>
      <c r="B382" s="88" t="s">
        <v>1260</v>
      </c>
      <c r="C382" s="88">
        <v>2</v>
      </c>
      <c r="D382" s="121">
        <v>0</v>
      </c>
      <c r="E382" s="121">
        <v>1.255272505103306</v>
      </c>
      <c r="F382" s="88" t="s">
        <v>728</v>
      </c>
      <c r="G382" s="88" t="b">
        <v>0</v>
      </c>
      <c r="H382" s="88" t="b">
        <v>0</v>
      </c>
      <c r="I382" s="88" t="b">
        <v>0</v>
      </c>
      <c r="J382" s="88" t="b">
        <v>0</v>
      </c>
      <c r="K382" s="88" t="b">
        <v>0</v>
      </c>
      <c r="L382" s="88" t="b">
        <v>0</v>
      </c>
    </row>
    <row r="383" spans="1:12" ht="15">
      <c r="A383" s="89" t="s">
        <v>1260</v>
      </c>
      <c r="B383" s="88" t="s">
        <v>1261</v>
      </c>
      <c r="C383" s="88">
        <v>2</v>
      </c>
      <c r="D383" s="121">
        <v>0</v>
      </c>
      <c r="E383" s="121">
        <v>1.255272505103306</v>
      </c>
      <c r="F383" s="88" t="s">
        <v>728</v>
      </c>
      <c r="G383" s="88" t="b">
        <v>0</v>
      </c>
      <c r="H383" s="88" t="b">
        <v>0</v>
      </c>
      <c r="I383" s="88" t="b">
        <v>0</v>
      </c>
      <c r="J383" s="88" t="b">
        <v>0</v>
      </c>
      <c r="K383" s="88" t="b">
        <v>0</v>
      </c>
      <c r="L383" s="88" t="b">
        <v>0</v>
      </c>
    </row>
    <row r="384" spans="1:12" ht="15">
      <c r="A384" s="89" t="s">
        <v>1261</v>
      </c>
      <c r="B384" s="88" t="s">
        <v>1262</v>
      </c>
      <c r="C384" s="88">
        <v>2</v>
      </c>
      <c r="D384" s="121">
        <v>0</v>
      </c>
      <c r="E384" s="121">
        <v>1.255272505103306</v>
      </c>
      <c r="F384" s="88" t="s">
        <v>728</v>
      </c>
      <c r="G384" s="88" t="b">
        <v>0</v>
      </c>
      <c r="H384" s="88" t="b">
        <v>0</v>
      </c>
      <c r="I384" s="88" t="b">
        <v>0</v>
      </c>
      <c r="J384" s="88" t="b">
        <v>0</v>
      </c>
      <c r="K384" s="88" t="b">
        <v>0</v>
      </c>
      <c r="L384" s="88" t="b">
        <v>0</v>
      </c>
    </row>
    <row r="385" spans="1:12" ht="15">
      <c r="A385" s="89" t="s">
        <v>1262</v>
      </c>
      <c r="B385" s="88" t="s">
        <v>1263</v>
      </c>
      <c r="C385" s="88">
        <v>2</v>
      </c>
      <c r="D385" s="121">
        <v>0</v>
      </c>
      <c r="E385" s="121">
        <v>1.255272505103306</v>
      </c>
      <c r="F385" s="88" t="s">
        <v>728</v>
      </c>
      <c r="G385" s="88" t="b">
        <v>0</v>
      </c>
      <c r="H385" s="88" t="b">
        <v>0</v>
      </c>
      <c r="I385" s="88" t="b">
        <v>0</v>
      </c>
      <c r="J385" s="88" t="b">
        <v>0</v>
      </c>
      <c r="K385" s="88" t="b">
        <v>0</v>
      </c>
      <c r="L385" s="88" t="b">
        <v>0</v>
      </c>
    </row>
    <row r="386" spans="1:12" ht="15">
      <c r="A386" s="89" t="s">
        <v>1263</v>
      </c>
      <c r="B386" s="88" t="s">
        <v>1264</v>
      </c>
      <c r="C386" s="88">
        <v>2</v>
      </c>
      <c r="D386" s="121">
        <v>0</v>
      </c>
      <c r="E386" s="121">
        <v>1.255272505103306</v>
      </c>
      <c r="F386" s="88" t="s">
        <v>728</v>
      </c>
      <c r="G386" s="88" t="b">
        <v>0</v>
      </c>
      <c r="H386" s="88" t="b">
        <v>0</v>
      </c>
      <c r="I386" s="88" t="b">
        <v>0</v>
      </c>
      <c r="J386" s="88" t="b">
        <v>0</v>
      </c>
      <c r="K386" s="88" t="b">
        <v>0</v>
      </c>
      <c r="L386" s="88" t="b">
        <v>0</v>
      </c>
    </row>
    <row r="387" spans="1:12" ht="15">
      <c r="A387" s="89" t="s">
        <v>1264</v>
      </c>
      <c r="B387" s="88" t="s">
        <v>1265</v>
      </c>
      <c r="C387" s="88">
        <v>2</v>
      </c>
      <c r="D387" s="121">
        <v>0</v>
      </c>
      <c r="E387" s="121">
        <v>1.255272505103306</v>
      </c>
      <c r="F387" s="88" t="s">
        <v>728</v>
      </c>
      <c r="G387" s="88" t="b">
        <v>0</v>
      </c>
      <c r="H387" s="88" t="b">
        <v>0</v>
      </c>
      <c r="I387" s="88" t="b">
        <v>0</v>
      </c>
      <c r="J387" s="88" t="b">
        <v>0</v>
      </c>
      <c r="K387" s="88" t="b">
        <v>0</v>
      </c>
      <c r="L387" s="88" t="b">
        <v>0</v>
      </c>
    </row>
    <row r="388" spans="1:12" ht="15">
      <c r="A388" s="89" t="s">
        <v>1265</v>
      </c>
      <c r="B388" s="88" t="s">
        <v>1266</v>
      </c>
      <c r="C388" s="88">
        <v>2</v>
      </c>
      <c r="D388" s="121">
        <v>0</v>
      </c>
      <c r="E388" s="121">
        <v>1.255272505103306</v>
      </c>
      <c r="F388" s="88" t="s">
        <v>728</v>
      </c>
      <c r="G388" s="88" t="b">
        <v>0</v>
      </c>
      <c r="H388" s="88" t="b">
        <v>0</v>
      </c>
      <c r="I388" s="88" t="b">
        <v>0</v>
      </c>
      <c r="J388" s="88" t="b">
        <v>1</v>
      </c>
      <c r="K388" s="88" t="b">
        <v>0</v>
      </c>
      <c r="L388" s="88" t="b">
        <v>0</v>
      </c>
    </row>
    <row r="389" spans="1:12" ht="15">
      <c r="A389" s="89" t="s">
        <v>1266</v>
      </c>
      <c r="B389" s="88" t="s">
        <v>1267</v>
      </c>
      <c r="C389" s="88">
        <v>2</v>
      </c>
      <c r="D389" s="121">
        <v>0</v>
      </c>
      <c r="E389" s="121">
        <v>1.255272505103306</v>
      </c>
      <c r="F389" s="88" t="s">
        <v>728</v>
      </c>
      <c r="G389" s="88" t="b">
        <v>1</v>
      </c>
      <c r="H389" s="88" t="b">
        <v>0</v>
      </c>
      <c r="I389" s="88" t="b">
        <v>0</v>
      </c>
      <c r="J389" s="88" t="b">
        <v>0</v>
      </c>
      <c r="K389" s="88" t="b">
        <v>0</v>
      </c>
      <c r="L389" s="88" t="b">
        <v>0</v>
      </c>
    </row>
    <row r="390" spans="1:12" ht="15">
      <c r="A390" s="89" t="s">
        <v>1267</v>
      </c>
      <c r="B390" s="88" t="s">
        <v>1268</v>
      </c>
      <c r="C390" s="88">
        <v>2</v>
      </c>
      <c r="D390" s="121">
        <v>0</v>
      </c>
      <c r="E390" s="121">
        <v>1.255272505103306</v>
      </c>
      <c r="F390" s="88" t="s">
        <v>728</v>
      </c>
      <c r="G390" s="88" t="b">
        <v>0</v>
      </c>
      <c r="H390" s="88" t="b">
        <v>0</v>
      </c>
      <c r="I390" s="88" t="b">
        <v>0</v>
      </c>
      <c r="J390" s="88" t="b">
        <v>0</v>
      </c>
      <c r="K390" s="88" t="b">
        <v>0</v>
      </c>
      <c r="L390" s="88" t="b">
        <v>0</v>
      </c>
    </row>
    <row r="391" spans="1:12" ht="15">
      <c r="A391" s="89" t="s">
        <v>1268</v>
      </c>
      <c r="B391" s="88" t="s">
        <v>843</v>
      </c>
      <c r="C391" s="88">
        <v>2</v>
      </c>
      <c r="D391" s="121">
        <v>0</v>
      </c>
      <c r="E391" s="121">
        <v>1.255272505103306</v>
      </c>
      <c r="F391" s="88" t="s">
        <v>728</v>
      </c>
      <c r="G391" s="88" t="b">
        <v>0</v>
      </c>
      <c r="H391" s="88" t="b">
        <v>0</v>
      </c>
      <c r="I391" s="88" t="b">
        <v>0</v>
      </c>
      <c r="J391" s="88" t="b">
        <v>0</v>
      </c>
      <c r="K391" s="88" t="b">
        <v>0</v>
      </c>
      <c r="L391" s="88" t="b">
        <v>0</v>
      </c>
    </row>
    <row r="392" spans="1:12" ht="15">
      <c r="A392" s="89" t="s">
        <v>1269</v>
      </c>
      <c r="B392" s="88" t="s">
        <v>877</v>
      </c>
      <c r="C392" s="88">
        <v>2</v>
      </c>
      <c r="D392" s="121">
        <v>0</v>
      </c>
      <c r="E392" s="121">
        <v>0.9542425094393249</v>
      </c>
      <c r="F392" s="88" t="s">
        <v>729</v>
      </c>
      <c r="G392" s="88" t="b">
        <v>0</v>
      </c>
      <c r="H392" s="88" t="b">
        <v>0</v>
      </c>
      <c r="I392" s="88" t="b">
        <v>0</v>
      </c>
      <c r="J392" s="88" t="b">
        <v>0</v>
      </c>
      <c r="K392" s="88" t="b">
        <v>0</v>
      </c>
      <c r="L392" s="88" t="b">
        <v>0</v>
      </c>
    </row>
    <row r="393" spans="1:12" ht="15">
      <c r="A393" s="89" t="s">
        <v>877</v>
      </c>
      <c r="B393" s="88" t="s">
        <v>1270</v>
      </c>
      <c r="C393" s="88">
        <v>2</v>
      </c>
      <c r="D393" s="121">
        <v>0</v>
      </c>
      <c r="E393" s="121">
        <v>0.9542425094393249</v>
      </c>
      <c r="F393" s="88" t="s">
        <v>729</v>
      </c>
      <c r="G393" s="88" t="b">
        <v>0</v>
      </c>
      <c r="H393" s="88" t="b">
        <v>0</v>
      </c>
      <c r="I393" s="88" t="b">
        <v>0</v>
      </c>
      <c r="J393" s="88" t="b">
        <v>0</v>
      </c>
      <c r="K393" s="88" t="b">
        <v>0</v>
      </c>
      <c r="L393" s="88" t="b">
        <v>0</v>
      </c>
    </row>
    <row r="394" spans="1:12" ht="15">
      <c r="A394" s="89" t="s">
        <v>1270</v>
      </c>
      <c r="B394" s="88" t="s">
        <v>1271</v>
      </c>
      <c r="C394" s="88">
        <v>2</v>
      </c>
      <c r="D394" s="121">
        <v>0</v>
      </c>
      <c r="E394" s="121">
        <v>0.9542425094393249</v>
      </c>
      <c r="F394" s="88" t="s">
        <v>729</v>
      </c>
      <c r="G394" s="88" t="b">
        <v>0</v>
      </c>
      <c r="H394" s="88" t="b">
        <v>0</v>
      </c>
      <c r="I394" s="88" t="b">
        <v>0</v>
      </c>
      <c r="J394" s="88" t="b">
        <v>0</v>
      </c>
      <c r="K394" s="88" t="b">
        <v>0</v>
      </c>
      <c r="L394" s="88" t="b">
        <v>0</v>
      </c>
    </row>
    <row r="395" spans="1:12" ht="15">
      <c r="A395" s="89" t="s">
        <v>1271</v>
      </c>
      <c r="B395" s="88" t="s">
        <v>873</v>
      </c>
      <c r="C395" s="88">
        <v>2</v>
      </c>
      <c r="D395" s="121">
        <v>0</v>
      </c>
      <c r="E395" s="121">
        <v>0.9542425094393249</v>
      </c>
      <c r="F395" s="88" t="s">
        <v>729</v>
      </c>
      <c r="G395" s="88" t="b">
        <v>0</v>
      </c>
      <c r="H395" s="88" t="b">
        <v>0</v>
      </c>
      <c r="I395" s="88" t="b">
        <v>0</v>
      </c>
      <c r="J395" s="88" t="b">
        <v>0</v>
      </c>
      <c r="K395" s="88" t="b">
        <v>0</v>
      </c>
      <c r="L395" s="88" t="b">
        <v>0</v>
      </c>
    </row>
    <row r="396" spans="1:12" ht="15">
      <c r="A396" s="89" t="s">
        <v>873</v>
      </c>
      <c r="B396" s="88" t="s">
        <v>850</v>
      </c>
      <c r="C396" s="88">
        <v>2</v>
      </c>
      <c r="D396" s="121">
        <v>0</v>
      </c>
      <c r="E396" s="121">
        <v>0.9542425094393249</v>
      </c>
      <c r="F396" s="88" t="s">
        <v>729</v>
      </c>
      <c r="G396" s="88" t="b">
        <v>0</v>
      </c>
      <c r="H396" s="88" t="b">
        <v>0</v>
      </c>
      <c r="I396" s="88" t="b">
        <v>0</v>
      </c>
      <c r="J396" s="88" t="b">
        <v>0</v>
      </c>
      <c r="K396" s="88" t="b">
        <v>0</v>
      </c>
      <c r="L396" s="88" t="b">
        <v>0</v>
      </c>
    </row>
    <row r="397" spans="1:12" ht="15">
      <c r="A397" s="89" t="s">
        <v>850</v>
      </c>
      <c r="B397" s="88" t="s">
        <v>1272</v>
      </c>
      <c r="C397" s="88">
        <v>2</v>
      </c>
      <c r="D397" s="121">
        <v>0</v>
      </c>
      <c r="E397" s="121">
        <v>0.9542425094393249</v>
      </c>
      <c r="F397" s="88" t="s">
        <v>729</v>
      </c>
      <c r="G397" s="88" t="b">
        <v>0</v>
      </c>
      <c r="H397" s="88" t="b">
        <v>0</v>
      </c>
      <c r="I397" s="88" t="b">
        <v>0</v>
      </c>
      <c r="J397" s="88" t="b">
        <v>0</v>
      </c>
      <c r="K397" s="88" t="b">
        <v>0</v>
      </c>
      <c r="L397" s="88" t="b">
        <v>0</v>
      </c>
    </row>
    <row r="398" spans="1:12" ht="15">
      <c r="A398" s="89" t="s">
        <v>1272</v>
      </c>
      <c r="B398" s="88" t="s">
        <v>871</v>
      </c>
      <c r="C398" s="88">
        <v>2</v>
      </c>
      <c r="D398" s="121">
        <v>0</v>
      </c>
      <c r="E398" s="121">
        <v>0.9542425094393249</v>
      </c>
      <c r="F398" s="88" t="s">
        <v>729</v>
      </c>
      <c r="G398" s="88" t="b">
        <v>0</v>
      </c>
      <c r="H398" s="88" t="b">
        <v>0</v>
      </c>
      <c r="I398" s="88" t="b">
        <v>0</v>
      </c>
      <c r="J398" s="88" t="b">
        <v>0</v>
      </c>
      <c r="K398" s="88" t="b">
        <v>0</v>
      </c>
      <c r="L398" s="88" t="b">
        <v>0</v>
      </c>
    </row>
    <row r="399" spans="1:12" ht="15">
      <c r="A399" s="89" t="s">
        <v>871</v>
      </c>
      <c r="B399" s="88" t="s">
        <v>1168</v>
      </c>
      <c r="C399" s="88">
        <v>2</v>
      </c>
      <c r="D399" s="121">
        <v>0</v>
      </c>
      <c r="E399" s="121">
        <v>0.9542425094393249</v>
      </c>
      <c r="F399" s="88" t="s">
        <v>729</v>
      </c>
      <c r="G399" s="88" t="b">
        <v>0</v>
      </c>
      <c r="H399" s="88" t="b">
        <v>0</v>
      </c>
      <c r="I399" s="88" t="b">
        <v>0</v>
      </c>
      <c r="J399" s="88" t="b">
        <v>0</v>
      </c>
      <c r="K399" s="88" t="b">
        <v>0</v>
      </c>
      <c r="L399" s="88" t="b">
        <v>0</v>
      </c>
    </row>
    <row r="400" spans="1:12" ht="15">
      <c r="A400" s="89" t="s">
        <v>1168</v>
      </c>
      <c r="B400" s="88" t="s">
        <v>1169</v>
      </c>
      <c r="C400" s="88">
        <v>2</v>
      </c>
      <c r="D400" s="121">
        <v>0</v>
      </c>
      <c r="E400" s="121">
        <v>0.9542425094393249</v>
      </c>
      <c r="F400" s="88" t="s">
        <v>729</v>
      </c>
      <c r="G400" s="88" t="b">
        <v>0</v>
      </c>
      <c r="H400" s="88" t="b">
        <v>0</v>
      </c>
      <c r="I400" s="88" t="b">
        <v>0</v>
      </c>
      <c r="J400" s="88" t="b">
        <v>0</v>
      </c>
      <c r="K400" s="88" t="b">
        <v>0</v>
      </c>
      <c r="L400" s="88"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39F59-0004-42A0-90AB-42E062ECBDBD}">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1304</v>
      </c>
      <c r="B2" s="124" t="s">
        <v>1305</v>
      </c>
      <c r="C2" s="68" t="s">
        <v>1306</v>
      </c>
    </row>
    <row r="3" spans="1:3" ht="15">
      <c r="A3" s="123" t="s">
        <v>718</v>
      </c>
      <c r="B3" s="123" t="s">
        <v>718</v>
      </c>
      <c r="C3" s="36">
        <v>20</v>
      </c>
    </row>
    <row r="4" spans="1:3" ht="15">
      <c r="A4" s="123" t="s">
        <v>718</v>
      </c>
      <c r="B4" s="123" t="s">
        <v>719</v>
      </c>
      <c r="C4" s="36">
        <v>2</v>
      </c>
    </row>
    <row r="5" spans="1:3" ht="15">
      <c r="A5" s="123" t="s">
        <v>719</v>
      </c>
      <c r="B5" s="123" t="s">
        <v>719</v>
      </c>
      <c r="C5" s="36">
        <v>13</v>
      </c>
    </row>
    <row r="6" spans="1:3" ht="15">
      <c r="A6" s="123" t="s">
        <v>720</v>
      </c>
      <c r="B6" s="123" t="s">
        <v>720</v>
      </c>
      <c r="C6" s="36">
        <v>7</v>
      </c>
    </row>
    <row r="7" spans="1:3" ht="15">
      <c r="A7" s="123" t="s">
        <v>721</v>
      </c>
      <c r="B7" s="123" t="s">
        <v>721</v>
      </c>
      <c r="C7" s="36">
        <v>5</v>
      </c>
    </row>
    <row r="8" spans="1:3" ht="15">
      <c r="A8" s="123" t="s">
        <v>722</v>
      </c>
      <c r="B8" s="123" t="s">
        <v>722</v>
      </c>
      <c r="C8" s="36">
        <v>4</v>
      </c>
    </row>
    <row r="9" spans="1:3" ht="15">
      <c r="A9" s="123" t="s">
        <v>723</v>
      </c>
      <c r="B9" s="123" t="s">
        <v>723</v>
      </c>
      <c r="C9" s="36">
        <v>3</v>
      </c>
    </row>
    <row r="10" spans="1:3" ht="15">
      <c r="A10" s="123" t="s">
        <v>724</v>
      </c>
      <c r="B10" s="123" t="s">
        <v>724</v>
      </c>
      <c r="C10" s="36">
        <v>3</v>
      </c>
    </row>
    <row r="11" spans="1:3" ht="15">
      <c r="A11" s="123" t="s">
        <v>725</v>
      </c>
      <c r="B11" s="123" t="s">
        <v>725</v>
      </c>
      <c r="C11" s="36">
        <v>1</v>
      </c>
    </row>
    <row r="12" spans="1:3" ht="15">
      <c r="A12" s="123" t="s">
        <v>726</v>
      </c>
      <c r="B12" s="123" t="s">
        <v>726</v>
      </c>
      <c r="C12" s="36">
        <v>1</v>
      </c>
    </row>
    <row r="13" spans="1:3" ht="15">
      <c r="A13" s="123" t="s">
        <v>727</v>
      </c>
      <c r="B13" s="123" t="s">
        <v>727</v>
      </c>
      <c r="C13" s="36">
        <v>2</v>
      </c>
    </row>
    <row r="14" spans="1:3" ht="15">
      <c r="A14" s="123" t="s">
        <v>728</v>
      </c>
      <c r="B14" s="123" t="s">
        <v>728</v>
      </c>
      <c r="C14" s="36">
        <v>2</v>
      </c>
    </row>
    <row r="15" spans="1:3" ht="15">
      <c r="A15" s="123" t="s">
        <v>729</v>
      </c>
      <c r="B15" s="123" t="s">
        <v>729</v>
      </c>
      <c r="C15"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26DCF-1869-4863-BA0A-473BC1DB8BB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1326</v>
      </c>
      <c r="B1" s="13" t="s">
        <v>17</v>
      </c>
    </row>
    <row r="2" spans="1:2" ht="15">
      <c r="A2" s="82" t="s">
        <v>1327</v>
      </c>
      <c r="B2" s="82" t="s">
        <v>1333</v>
      </c>
    </row>
    <row r="3" spans="1:2" ht="15">
      <c r="A3" s="83" t="s">
        <v>1328</v>
      </c>
      <c r="B3" s="82" t="s">
        <v>1334</v>
      </c>
    </row>
    <row r="4" spans="1:2" ht="15">
      <c r="A4" s="83" t="s">
        <v>1329</v>
      </c>
      <c r="B4" s="82" t="s">
        <v>1335</v>
      </c>
    </row>
    <row r="5" spans="1:2" ht="15">
      <c r="A5" s="83" t="s">
        <v>1330</v>
      </c>
      <c r="B5" s="82" t="s">
        <v>1336</v>
      </c>
    </row>
    <row r="6" spans="1:2" ht="15">
      <c r="A6" s="83" t="s">
        <v>1331</v>
      </c>
      <c r="B6" s="82" t="s">
        <v>1337</v>
      </c>
    </row>
    <row r="7" spans="1:2" ht="15">
      <c r="A7" s="83" t="s">
        <v>1332</v>
      </c>
      <c r="B7" s="82"/>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F2F68-EAF5-42CA-AFE7-6D4D11CA0AF7}">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717</v>
      </c>
      <c r="BD2" s="13" t="s">
        <v>743</v>
      </c>
      <c r="BE2" s="13" t="s">
        <v>744</v>
      </c>
      <c r="BF2" s="68" t="s">
        <v>1293</v>
      </c>
      <c r="BG2" s="68" t="s">
        <v>1294</v>
      </c>
      <c r="BH2" s="68" t="s">
        <v>1295</v>
      </c>
      <c r="BI2" s="68" t="s">
        <v>1296</v>
      </c>
      <c r="BJ2" s="68" t="s">
        <v>1297</v>
      </c>
      <c r="BK2" s="68" t="s">
        <v>1298</v>
      </c>
      <c r="BL2" s="68" t="s">
        <v>1299</v>
      </c>
      <c r="BM2" s="68" t="s">
        <v>1300</v>
      </c>
      <c r="BN2" s="68" t="s">
        <v>1301</v>
      </c>
    </row>
    <row r="3" spans="1:66" ht="15" customHeight="1">
      <c r="A3" s="81" t="s">
        <v>271</v>
      </c>
      <c r="B3" s="81" t="s">
        <v>234</v>
      </c>
      <c r="C3" s="53"/>
      <c r="D3" s="54"/>
      <c r="E3" s="66"/>
      <c r="F3" s="55"/>
      <c r="G3" s="53"/>
      <c r="H3" s="57"/>
      <c r="I3" s="56"/>
      <c r="J3" s="56"/>
      <c r="K3" s="36" t="s">
        <v>65</v>
      </c>
      <c r="L3" s="62">
        <v>3</v>
      </c>
      <c r="M3" s="62"/>
      <c r="N3" s="63"/>
      <c r="O3" s="82" t="s">
        <v>285</v>
      </c>
      <c r="P3" s="84">
        <v>44477.61486111111</v>
      </c>
      <c r="Q3" s="82" t="s">
        <v>315</v>
      </c>
      <c r="R3" s="86" t="str">
        <f>HYPERLINK("https://www.bizcommunity.com/Article/108/162/220909.html")</f>
        <v>https://www.bizcommunity.com/Article/108/162/220909.html</v>
      </c>
      <c r="S3" s="82" t="s">
        <v>317</v>
      </c>
      <c r="T3" s="88" t="s">
        <v>333</v>
      </c>
      <c r="U3" s="82"/>
      <c r="V3" s="86" t="str">
        <f>HYPERLINK("https://pbs.twimg.com/profile_images/923193049081098240/IV1WPiRR_normal.jpg")</f>
        <v>https://pbs.twimg.com/profile_images/923193049081098240/IV1WPiRR_normal.jpg</v>
      </c>
      <c r="W3" s="84">
        <v>44477.61486111111</v>
      </c>
      <c r="X3" s="90">
        <v>44477</v>
      </c>
      <c r="Y3" s="88" t="s">
        <v>359</v>
      </c>
      <c r="Z3" s="86" t="str">
        <f>HYPERLINK("https://twitter.com/bizcommunity/status/1446486891554091008")</f>
        <v>https://twitter.com/bizcommunity/status/1446486891554091008</v>
      </c>
      <c r="AA3" s="82"/>
      <c r="AB3" s="82"/>
      <c r="AC3" s="88" t="s">
        <v>445</v>
      </c>
      <c r="AD3" s="82"/>
      <c r="AE3" s="82" t="b">
        <v>0</v>
      </c>
      <c r="AF3" s="82">
        <v>0</v>
      </c>
      <c r="AG3" s="88" t="s">
        <v>448</v>
      </c>
      <c r="AH3" s="82" t="b">
        <v>0</v>
      </c>
      <c r="AI3" s="82" t="s">
        <v>452</v>
      </c>
      <c r="AJ3" s="82"/>
      <c r="AK3" s="88" t="s">
        <v>448</v>
      </c>
      <c r="AL3" s="82" t="b">
        <v>0</v>
      </c>
      <c r="AM3" s="82">
        <v>0</v>
      </c>
      <c r="AN3" s="88" t="s">
        <v>448</v>
      </c>
      <c r="AO3" s="88" t="s">
        <v>455</v>
      </c>
      <c r="AP3" s="82" t="b">
        <v>0</v>
      </c>
      <c r="AQ3" s="88" t="s">
        <v>445</v>
      </c>
      <c r="AR3" s="82" t="s">
        <v>196</v>
      </c>
      <c r="AS3" s="82">
        <v>0</v>
      </c>
      <c r="AT3" s="82">
        <v>0</v>
      </c>
      <c r="AU3" s="82"/>
      <c r="AV3" s="82"/>
      <c r="AW3" s="82"/>
      <c r="AX3" s="82"/>
      <c r="AY3" s="82"/>
      <c r="AZ3" s="82"/>
      <c r="BA3" s="82"/>
      <c r="BB3" s="82"/>
      <c r="BC3">
        <v>1</v>
      </c>
      <c r="BD3" s="82" t="str">
        <f>REPLACE(INDEX(GroupVertices[Group],MATCH(Edges25[[#This Row],[Vertex 1]],GroupVertices[Vertex],0)),1,1,"")</f>
        <v>7</v>
      </c>
      <c r="BE3" s="82" t="str">
        <f>REPLACE(INDEX(GroupVertices[Group],MATCH(Edges25[[#This Row],[Vertex 2]],GroupVertices[Vertex],0)),1,1,"")</f>
        <v>7</v>
      </c>
      <c r="BF3" s="51">
        <v>1</v>
      </c>
      <c r="BG3" s="52">
        <v>6.666666666666667</v>
      </c>
      <c r="BH3" s="51">
        <v>0</v>
      </c>
      <c r="BI3" s="52">
        <v>0</v>
      </c>
      <c r="BJ3" s="51">
        <v>0</v>
      </c>
      <c r="BK3" s="52">
        <v>0</v>
      </c>
      <c r="BL3" s="51">
        <v>14</v>
      </c>
      <c r="BM3" s="52">
        <v>93.33333333333333</v>
      </c>
      <c r="BN3" s="51">
        <v>15</v>
      </c>
    </row>
    <row r="4" spans="1:66" ht="15" customHeight="1">
      <c r="A4" s="81" t="s">
        <v>234</v>
      </c>
      <c r="B4" s="81" t="s">
        <v>234</v>
      </c>
      <c r="C4" s="53"/>
      <c r="D4" s="54"/>
      <c r="E4" s="53"/>
      <c r="F4" s="55"/>
      <c r="G4" s="53"/>
      <c r="H4" s="57"/>
      <c r="I4" s="56"/>
      <c r="J4" s="56"/>
      <c r="K4" s="36" t="s">
        <v>65</v>
      </c>
      <c r="L4" s="62">
        <v>4</v>
      </c>
      <c r="M4" s="62"/>
      <c r="N4" s="63"/>
      <c r="O4" s="83" t="s">
        <v>196</v>
      </c>
      <c r="P4" s="85">
        <v>44477.61486111111</v>
      </c>
      <c r="Q4" s="83" t="s">
        <v>288</v>
      </c>
      <c r="R4" s="87" t="str">
        <f>HYPERLINK("https://www.bizcommunity.com/Article/108/162/220909.html")</f>
        <v>https://www.bizcommunity.com/Article/108/162/220909.html</v>
      </c>
      <c r="S4" s="83" t="s">
        <v>317</v>
      </c>
      <c r="T4" s="89" t="s">
        <v>333</v>
      </c>
      <c r="U4" s="83"/>
      <c r="V4" s="87" t="str">
        <f>HYPERLINK("https://pbs.twimg.com/profile_images/1128574647975456768/YhbdgnVt_normal.png")</f>
        <v>https://pbs.twimg.com/profile_images/1128574647975456768/YhbdgnVt_normal.png</v>
      </c>
      <c r="W4" s="85">
        <v>44477.61486111111</v>
      </c>
      <c r="X4" s="91">
        <v>44477</v>
      </c>
      <c r="Y4" s="89" t="s">
        <v>359</v>
      </c>
      <c r="Z4" s="87" t="str">
        <f>HYPERLINK("https://twitter.com/biz_retail/status/1446486893982584836")</f>
        <v>https://twitter.com/biz_retail/status/1446486893982584836</v>
      </c>
      <c r="AA4" s="83"/>
      <c r="AB4" s="83"/>
      <c r="AC4" s="89" t="s">
        <v>402</v>
      </c>
      <c r="AD4" s="83"/>
      <c r="AE4" s="83" t="b">
        <v>0</v>
      </c>
      <c r="AF4" s="83">
        <v>0</v>
      </c>
      <c r="AG4" s="89" t="s">
        <v>448</v>
      </c>
      <c r="AH4" s="83" t="b">
        <v>0</v>
      </c>
      <c r="AI4" s="83" t="s">
        <v>452</v>
      </c>
      <c r="AJ4" s="83"/>
      <c r="AK4" s="89" t="s">
        <v>448</v>
      </c>
      <c r="AL4" s="83" t="b">
        <v>0</v>
      </c>
      <c r="AM4" s="83">
        <v>0</v>
      </c>
      <c r="AN4" s="89" t="s">
        <v>448</v>
      </c>
      <c r="AO4" s="89" t="s">
        <v>455</v>
      </c>
      <c r="AP4" s="83" t="b">
        <v>0</v>
      </c>
      <c r="AQ4" s="89" t="s">
        <v>402</v>
      </c>
      <c r="AR4" s="83" t="s">
        <v>196</v>
      </c>
      <c r="AS4" s="83">
        <v>0</v>
      </c>
      <c r="AT4" s="83">
        <v>0</v>
      </c>
      <c r="AU4" s="83"/>
      <c r="AV4" s="83"/>
      <c r="AW4" s="83"/>
      <c r="AX4" s="83"/>
      <c r="AY4" s="83"/>
      <c r="AZ4" s="83"/>
      <c r="BA4" s="83"/>
      <c r="BB4" s="83"/>
      <c r="BC4">
        <v>1</v>
      </c>
      <c r="BD4" s="82" t="str">
        <f>REPLACE(INDEX(GroupVertices[Group],MATCH(Edges25[[#This Row],[Vertex 1]],GroupVertices[Vertex],0)),1,1,"")</f>
        <v>7</v>
      </c>
      <c r="BE4" s="82" t="str">
        <f>REPLACE(INDEX(GroupVertices[Group],MATCH(Edges25[[#This Row],[Vertex 2]],GroupVertices[Vertex],0)),1,1,"")</f>
        <v>7</v>
      </c>
      <c r="BF4" s="51">
        <v>1</v>
      </c>
      <c r="BG4" s="52">
        <v>6.666666666666667</v>
      </c>
      <c r="BH4" s="51">
        <v>0</v>
      </c>
      <c r="BI4" s="52">
        <v>0</v>
      </c>
      <c r="BJ4" s="51">
        <v>0</v>
      </c>
      <c r="BK4" s="52">
        <v>0</v>
      </c>
      <c r="BL4" s="51">
        <v>14</v>
      </c>
      <c r="BM4" s="52">
        <v>93.33333333333333</v>
      </c>
      <c r="BN4" s="51">
        <v>15</v>
      </c>
    </row>
    <row r="5" spans="1:66" ht="15">
      <c r="A5" s="81" t="s">
        <v>235</v>
      </c>
      <c r="B5" s="81" t="s">
        <v>234</v>
      </c>
      <c r="C5" s="53"/>
      <c r="D5" s="54"/>
      <c r="E5" s="53"/>
      <c r="F5" s="55"/>
      <c r="G5" s="53"/>
      <c r="H5" s="57"/>
      <c r="I5" s="56"/>
      <c r="J5" s="56"/>
      <c r="K5" s="36" t="s">
        <v>65</v>
      </c>
      <c r="L5" s="62">
        <v>5</v>
      </c>
      <c r="M5" s="62"/>
      <c r="N5" s="63"/>
      <c r="O5" s="83" t="s">
        <v>285</v>
      </c>
      <c r="P5" s="85">
        <v>44477.61487268518</v>
      </c>
      <c r="Q5" s="83" t="s">
        <v>289</v>
      </c>
      <c r="R5" s="87" t="str">
        <f>HYPERLINK("https://www.bizcommunity.com/Article/108/162/220909.html")</f>
        <v>https://www.bizcommunity.com/Article/108/162/220909.html</v>
      </c>
      <c r="S5" s="83" t="s">
        <v>317</v>
      </c>
      <c r="T5" s="89" t="s">
        <v>333</v>
      </c>
      <c r="U5" s="83"/>
      <c r="V5" s="87" t="str">
        <f>HYPERLINK("https://pbs.twimg.com/profile_images/1130413499677630466/wH70GFMi_normal.png")</f>
        <v>https://pbs.twimg.com/profile_images/1130413499677630466/wH70GFMi_normal.png</v>
      </c>
      <c r="W5" s="85">
        <v>44477.61487268518</v>
      </c>
      <c r="X5" s="91">
        <v>44477</v>
      </c>
      <c r="Y5" s="89" t="s">
        <v>360</v>
      </c>
      <c r="Z5" s="87" t="str">
        <f>HYPERLINK("https://twitter.com/biz_agriculture/status/1446486896415236096")</f>
        <v>https://twitter.com/biz_agriculture/status/1446486896415236096</v>
      </c>
      <c r="AA5" s="83"/>
      <c r="AB5" s="83"/>
      <c r="AC5" s="89" t="s">
        <v>403</v>
      </c>
      <c r="AD5" s="83"/>
      <c r="AE5" s="83" t="b">
        <v>0</v>
      </c>
      <c r="AF5" s="83">
        <v>0</v>
      </c>
      <c r="AG5" s="89" t="s">
        <v>448</v>
      </c>
      <c r="AH5" s="83" t="b">
        <v>0</v>
      </c>
      <c r="AI5" s="83" t="s">
        <v>452</v>
      </c>
      <c r="AJ5" s="83"/>
      <c r="AK5" s="89" t="s">
        <v>448</v>
      </c>
      <c r="AL5" s="83" t="b">
        <v>0</v>
      </c>
      <c r="AM5" s="83">
        <v>0</v>
      </c>
      <c r="AN5" s="89" t="s">
        <v>448</v>
      </c>
      <c r="AO5" s="89" t="s">
        <v>455</v>
      </c>
      <c r="AP5" s="83" t="b">
        <v>0</v>
      </c>
      <c r="AQ5" s="89" t="s">
        <v>403</v>
      </c>
      <c r="AR5" s="83" t="s">
        <v>196</v>
      </c>
      <c r="AS5" s="83">
        <v>0</v>
      </c>
      <c r="AT5" s="83">
        <v>0</v>
      </c>
      <c r="AU5" s="83"/>
      <c r="AV5" s="83"/>
      <c r="AW5" s="83"/>
      <c r="AX5" s="83"/>
      <c r="AY5" s="83"/>
      <c r="AZ5" s="83"/>
      <c r="BA5" s="83"/>
      <c r="BB5" s="83"/>
      <c r="BC5">
        <v>1</v>
      </c>
      <c r="BD5" s="82" t="str">
        <f>REPLACE(INDEX(GroupVertices[Group],MATCH(Edges25[[#This Row],[Vertex 1]],GroupVertices[Vertex],0)),1,1,"")</f>
        <v>7</v>
      </c>
      <c r="BE5" s="82" t="str">
        <f>REPLACE(INDEX(GroupVertices[Group],MATCH(Edges25[[#This Row],[Vertex 2]],GroupVertices[Vertex],0)),1,1,"")</f>
        <v>7</v>
      </c>
      <c r="BF5" s="51">
        <v>1</v>
      </c>
      <c r="BG5" s="52">
        <v>6.666666666666667</v>
      </c>
      <c r="BH5" s="51">
        <v>0</v>
      </c>
      <c r="BI5" s="52">
        <v>0</v>
      </c>
      <c r="BJ5" s="51">
        <v>0</v>
      </c>
      <c r="BK5" s="52">
        <v>0</v>
      </c>
      <c r="BL5" s="51">
        <v>14</v>
      </c>
      <c r="BM5" s="52">
        <v>93.33333333333333</v>
      </c>
      <c r="BN5" s="51">
        <v>15</v>
      </c>
    </row>
    <row r="6" spans="1:66" ht="15">
      <c r="A6" s="81" t="s">
        <v>236</v>
      </c>
      <c r="B6" s="81" t="s">
        <v>272</v>
      </c>
      <c r="C6" s="53"/>
      <c r="D6" s="54"/>
      <c r="E6" s="53"/>
      <c r="F6" s="55"/>
      <c r="G6" s="53"/>
      <c r="H6" s="57"/>
      <c r="I6" s="56"/>
      <c r="J6" s="56"/>
      <c r="K6" s="36" t="s">
        <v>65</v>
      </c>
      <c r="L6" s="62">
        <v>6</v>
      </c>
      <c r="M6" s="62"/>
      <c r="N6" s="63"/>
      <c r="O6" s="83" t="s">
        <v>285</v>
      </c>
      <c r="P6" s="85">
        <v>44476.62293981481</v>
      </c>
      <c r="Q6" s="83" t="s">
        <v>290</v>
      </c>
      <c r="R6" s="87" t="str">
        <f>HYPERLINK("https://www.foodingredientsfirst.com/news/flexitarian-and-cell-cultured-movements-advance-plant-based-eating-says-innova-market-insights.html#.YV8KaEy-8mY.twitter")</f>
        <v>https://www.foodingredientsfirst.com/news/flexitarian-and-cell-cultured-movements-advance-plant-based-eating-says-innova-market-insights.html#.YV8KaEy-8mY.twitter</v>
      </c>
      <c r="S6" s="83" t="s">
        <v>318</v>
      </c>
      <c r="T6" s="89" t="s">
        <v>334</v>
      </c>
      <c r="U6" s="83"/>
      <c r="V6" s="87" t="str">
        <f>HYPERLINK("https://pbs.twimg.com/profile_images/710049013966487552/xyQ5j5sJ_normal.jpg")</f>
        <v>https://pbs.twimg.com/profile_images/710049013966487552/xyQ5j5sJ_normal.jpg</v>
      </c>
      <c r="W6" s="85">
        <v>44476.62293981481</v>
      </c>
      <c r="X6" s="91">
        <v>44476</v>
      </c>
      <c r="Y6" s="89" t="s">
        <v>361</v>
      </c>
      <c r="Z6" s="87" t="str">
        <f>HYPERLINK("https://twitter.com/fooding1st/status/1446127431669014528")</f>
        <v>https://twitter.com/fooding1st/status/1446127431669014528</v>
      </c>
      <c r="AA6" s="83"/>
      <c r="AB6" s="83"/>
      <c r="AC6" s="89" t="s">
        <v>404</v>
      </c>
      <c r="AD6" s="83"/>
      <c r="AE6" s="83" t="b">
        <v>0</v>
      </c>
      <c r="AF6" s="83">
        <v>1</v>
      </c>
      <c r="AG6" s="89" t="s">
        <v>448</v>
      </c>
      <c r="AH6" s="83" t="b">
        <v>0</v>
      </c>
      <c r="AI6" s="83" t="s">
        <v>452</v>
      </c>
      <c r="AJ6" s="83"/>
      <c r="AK6" s="89" t="s">
        <v>448</v>
      </c>
      <c r="AL6" s="83" t="b">
        <v>0</v>
      </c>
      <c r="AM6" s="83">
        <v>1</v>
      </c>
      <c r="AN6" s="89" t="s">
        <v>448</v>
      </c>
      <c r="AO6" s="89" t="s">
        <v>456</v>
      </c>
      <c r="AP6" s="83" t="b">
        <v>0</v>
      </c>
      <c r="AQ6" s="89" t="s">
        <v>404</v>
      </c>
      <c r="AR6" s="83" t="s">
        <v>287</v>
      </c>
      <c r="AS6" s="83">
        <v>0</v>
      </c>
      <c r="AT6" s="83">
        <v>0</v>
      </c>
      <c r="AU6" s="83"/>
      <c r="AV6" s="83"/>
      <c r="AW6" s="83"/>
      <c r="AX6" s="83"/>
      <c r="AY6" s="83"/>
      <c r="AZ6" s="83"/>
      <c r="BA6" s="83"/>
      <c r="BB6" s="83"/>
      <c r="BC6">
        <v>1</v>
      </c>
      <c r="BD6" s="82" t="str">
        <f>REPLACE(INDEX(GroupVertices[Group],MATCH(Edges25[[#This Row],[Vertex 1]],GroupVertices[Vertex],0)),1,1,"")</f>
        <v>6</v>
      </c>
      <c r="BE6" s="82" t="str">
        <f>REPLACE(INDEX(GroupVertices[Group],MATCH(Edges25[[#This Row],[Vertex 2]],GroupVertices[Vertex],0)),1,1,"")</f>
        <v>6</v>
      </c>
      <c r="BF6" s="51">
        <v>0</v>
      </c>
      <c r="BG6" s="52">
        <v>0</v>
      </c>
      <c r="BH6" s="51">
        <v>0</v>
      </c>
      <c r="BI6" s="52">
        <v>0</v>
      </c>
      <c r="BJ6" s="51">
        <v>0</v>
      </c>
      <c r="BK6" s="52">
        <v>0</v>
      </c>
      <c r="BL6" s="51">
        <v>14</v>
      </c>
      <c r="BM6" s="52">
        <v>100</v>
      </c>
      <c r="BN6" s="51">
        <v>14</v>
      </c>
    </row>
    <row r="7" spans="1:66" ht="15">
      <c r="A7" s="81" t="s">
        <v>237</v>
      </c>
      <c r="B7" s="81" t="s">
        <v>272</v>
      </c>
      <c r="C7" s="53"/>
      <c r="D7" s="54"/>
      <c r="E7" s="53"/>
      <c r="F7" s="55"/>
      <c r="G7" s="53"/>
      <c r="H7" s="57"/>
      <c r="I7" s="56"/>
      <c r="J7" s="56"/>
      <c r="K7" s="36" t="s">
        <v>65</v>
      </c>
      <c r="L7" s="62">
        <v>7</v>
      </c>
      <c r="M7" s="62"/>
      <c r="N7" s="63"/>
      <c r="O7" s="83" t="s">
        <v>286</v>
      </c>
      <c r="P7" s="85">
        <v>44477.695543981485</v>
      </c>
      <c r="Q7" s="83" t="s">
        <v>290</v>
      </c>
      <c r="R7" s="87" t="str">
        <f>HYPERLINK("https://www.foodingredientsfirst.com/news/flexitarian-and-cell-cultured-movements-advance-plant-based-eating-says-innova-market-insights.html#.YV8KaEy-8mY.twitter")</f>
        <v>https://www.foodingredientsfirst.com/news/flexitarian-and-cell-cultured-movements-advance-plant-based-eating-says-innova-market-insights.html#.YV8KaEy-8mY.twitter</v>
      </c>
      <c r="S7" s="83" t="s">
        <v>318</v>
      </c>
      <c r="T7" s="89" t="s">
        <v>335</v>
      </c>
      <c r="U7" s="83"/>
      <c r="V7" s="87" t="str">
        <f>HYPERLINK("https://pbs.twimg.com/profile_images/1163899346980691972/GooNvrUR_normal.png")</f>
        <v>https://pbs.twimg.com/profile_images/1163899346980691972/GooNvrUR_normal.png</v>
      </c>
      <c r="W7" s="85">
        <v>44477.695543981485</v>
      </c>
      <c r="X7" s="91">
        <v>44477</v>
      </c>
      <c r="Y7" s="89" t="s">
        <v>362</v>
      </c>
      <c r="Z7" s="87" t="str">
        <f>HYPERLINK("https://twitter.com/ingredientfacts/status/1446516131154604033")</f>
        <v>https://twitter.com/ingredientfacts/status/1446516131154604033</v>
      </c>
      <c r="AA7" s="83"/>
      <c r="AB7" s="83"/>
      <c r="AC7" s="89" t="s">
        <v>405</v>
      </c>
      <c r="AD7" s="83"/>
      <c r="AE7" s="83" t="b">
        <v>0</v>
      </c>
      <c r="AF7" s="83">
        <v>0</v>
      </c>
      <c r="AG7" s="89" t="s">
        <v>448</v>
      </c>
      <c r="AH7" s="83" t="b">
        <v>0</v>
      </c>
      <c r="AI7" s="83" t="s">
        <v>452</v>
      </c>
      <c r="AJ7" s="83"/>
      <c r="AK7" s="89" t="s">
        <v>448</v>
      </c>
      <c r="AL7" s="83" t="b">
        <v>0</v>
      </c>
      <c r="AM7" s="83">
        <v>1</v>
      </c>
      <c r="AN7" s="89" t="s">
        <v>404</v>
      </c>
      <c r="AO7" s="89" t="s">
        <v>456</v>
      </c>
      <c r="AP7" s="83" t="b">
        <v>0</v>
      </c>
      <c r="AQ7" s="89" t="s">
        <v>404</v>
      </c>
      <c r="AR7" s="83" t="s">
        <v>196</v>
      </c>
      <c r="AS7" s="83">
        <v>0</v>
      </c>
      <c r="AT7" s="83">
        <v>0</v>
      </c>
      <c r="AU7" s="83"/>
      <c r="AV7" s="83"/>
      <c r="AW7" s="83"/>
      <c r="AX7" s="83"/>
      <c r="AY7" s="83"/>
      <c r="AZ7" s="83"/>
      <c r="BA7" s="83"/>
      <c r="BB7" s="83"/>
      <c r="BC7">
        <v>1</v>
      </c>
      <c r="BD7" s="82" t="str">
        <f>REPLACE(INDEX(GroupVertices[Group],MATCH(Edges25[[#This Row],[Vertex 1]],GroupVertices[Vertex],0)),1,1,"")</f>
        <v>6</v>
      </c>
      <c r="BE7" s="82" t="str">
        <f>REPLACE(INDEX(GroupVertices[Group],MATCH(Edges25[[#This Row],[Vertex 2]],GroupVertices[Vertex],0)),1,1,"")</f>
        <v>6</v>
      </c>
      <c r="BF7" s="51"/>
      <c r="BG7" s="52"/>
      <c r="BH7" s="51"/>
      <c r="BI7" s="52"/>
      <c r="BJ7" s="51"/>
      <c r="BK7" s="52"/>
      <c r="BL7" s="51"/>
      <c r="BM7" s="52"/>
      <c r="BN7" s="51"/>
    </row>
    <row r="8" spans="1:66" ht="15">
      <c r="A8" s="81" t="s">
        <v>238</v>
      </c>
      <c r="B8" s="81" t="s">
        <v>238</v>
      </c>
      <c r="C8" s="53"/>
      <c r="D8" s="54"/>
      <c r="E8" s="53"/>
      <c r="F8" s="55"/>
      <c r="G8" s="53"/>
      <c r="H8" s="57"/>
      <c r="I8" s="56"/>
      <c r="J8" s="56"/>
      <c r="K8" s="36" t="s">
        <v>65</v>
      </c>
      <c r="L8" s="62">
        <v>9</v>
      </c>
      <c r="M8" s="62"/>
      <c r="N8" s="63"/>
      <c r="O8" s="83" t="s">
        <v>196</v>
      </c>
      <c r="P8" s="85">
        <v>43982.90190972222</v>
      </c>
      <c r="Q8" s="83" t="s">
        <v>291</v>
      </c>
      <c r="R8" s="83" t="s">
        <v>316</v>
      </c>
      <c r="S8" s="83" t="s">
        <v>319</v>
      </c>
      <c r="T8" s="89" t="s">
        <v>336</v>
      </c>
      <c r="U8" s="83"/>
      <c r="V8" s="87" t="str">
        <f>HYPERLINK("https://pbs.twimg.com/profile_images/1254972329534390272/W20sYFlO_normal.jpg")</f>
        <v>https://pbs.twimg.com/profile_images/1254972329534390272/W20sYFlO_normal.jpg</v>
      </c>
      <c r="W8" s="85">
        <v>43982.90190972222</v>
      </c>
      <c r="X8" s="91">
        <v>43982</v>
      </c>
      <c r="Y8" s="89" t="s">
        <v>363</v>
      </c>
      <c r="Z8" s="87" t="str">
        <f>HYPERLINK("https://twitter.com/lab_grownmeat/status/1267208920986238977")</f>
        <v>https://twitter.com/lab_grownmeat/status/1267208920986238977</v>
      </c>
      <c r="AA8" s="83"/>
      <c r="AB8" s="83"/>
      <c r="AC8" s="89" t="s">
        <v>406</v>
      </c>
      <c r="AD8" s="83"/>
      <c r="AE8" s="83" t="b">
        <v>0</v>
      </c>
      <c r="AF8" s="83">
        <v>3</v>
      </c>
      <c r="AG8" s="89" t="s">
        <v>448</v>
      </c>
      <c r="AH8" s="83" t="b">
        <v>0</v>
      </c>
      <c r="AI8" s="83" t="s">
        <v>452</v>
      </c>
      <c r="AJ8" s="83"/>
      <c r="AK8" s="89" t="s">
        <v>448</v>
      </c>
      <c r="AL8" s="83" t="b">
        <v>0</v>
      </c>
      <c r="AM8" s="83">
        <v>1</v>
      </c>
      <c r="AN8" s="89" t="s">
        <v>448</v>
      </c>
      <c r="AO8" s="89" t="s">
        <v>456</v>
      </c>
      <c r="AP8" s="83" t="b">
        <v>0</v>
      </c>
      <c r="AQ8" s="89" t="s">
        <v>406</v>
      </c>
      <c r="AR8" s="83" t="s">
        <v>287</v>
      </c>
      <c r="AS8" s="83">
        <v>0</v>
      </c>
      <c r="AT8" s="83">
        <v>0</v>
      </c>
      <c r="AU8" s="83"/>
      <c r="AV8" s="83"/>
      <c r="AW8" s="83"/>
      <c r="AX8" s="83"/>
      <c r="AY8" s="83"/>
      <c r="AZ8" s="83"/>
      <c r="BA8" s="83"/>
      <c r="BB8" s="83"/>
      <c r="BC8">
        <v>1</v>
      </c>
      <c r="BD8" s="82" t="str">
        <f>REPLACE(INDEX(GroupVertices[Group],MATCH(Edges25[[#This Row],[Vertex 1]],GroupVertices[Vertex],0)),1,1,"")</f>
        <v>12</v>
      </c>
      <c r="BE8" s="82" t="str">
        <f>REPLACE(INDEX(GroupVertices[Group],MATCH(Edges25[[#This Row],[Vertex 2]],GroupVertices[Vertex],0)),1,1,"")</f>
        <v>12</v>
      </c>
      <c r="BF8" s="51">
        <v>0</v>
      </c>
      <c r="BG8" s="52">
        <v>0</v>
      </c>
      <c r="BH8" s="51">
        <v>0</v>
      </c>
      <c r="BI8" s="52">
        <v>0</v>
      </c>
      <c r="BJ8" s="51">
        <v>0</v>
      </c>
      <c r="BK8" s="52">
        <v>0</v>
      </c>
      <c r="BL8" s="51">
        <v>12</v>
      </c>
      <c r="BM8" s="52">
        <v>100</v>
      </c>
      <c r="BN8" s="51">
        <v>12</v>
      </c>
    </row>
    <row r="9" spans="1:66" ht="15">
      <c r="A9" s="81" t="s">
        <v>239</v>
      </c>
      <c r="B9" s="81" t="s">
        <v>238</v>
      </c>
      <c r="C9" s="53"/>
      <c r="D9" s="54"/>
      <c r="E9" s="53"/>
      <c r="F9" s="55"/>
      <c r="G9" s="53"/>
      <c r="H9" s="57"/>
      <c r="I9" s="56"/>
      <c r="J9" s="56"/>
      <c r="K9" s="36" t="s">
        <v>65</v>
      </c>
      <c r="L9" s="62">
        <v>10</v>
      </c>
      <c r="M9" s="62"/>
      <c r="N9" s="63"/>
      <c r="O9" s="83" t="s">
        <v>287</v>
      </c>
      <c r="P9" s="85">
        <v>44478.63707175926</v>
      </c>
      <c r="Q9" s="83" t="s">
        <v>291</v>
      </c>
      <c r="R9" s="83" t="s">
        <v>316</v>
      </c>
      <c r="S9" s="83" t="s">
        <v>319</v>
      </c>
      <c r="T9" s="89" t="s">
        <v>337</v>
      </c>
      <c r="U9" s="83"/>
      <c r="V9" s="87" t="str">
        <f>HYPERLINK("https://pbs.twimg.com/profile_images/1448557727052075008/9znir_fd_normal.jpg")</f>
        <v>https://pbs.twimg.com/profile_images/1448557727052075008/9znir_fd_normal.jpg</v>
      </c>
      <c r="W9" s="85">
        <v>44478.63707175926</v>
      </c>
      <c r="X9" s="91">
        <v>44478</v>
      </c>
      <c r="Y9" s="89" t="s">
        <v>364</v>
      </c>
      <c r="Z9" s="87" t="str">
        <f>HYPERLINK("https://twitter.com/phill59316885/status/1446857332240048131")</f>
        <v>https://twitter.com/phill59316885/status/1446857332240048131</v>
      </c>
      <c r="AA9" s="83"/>
      <c r="AB9" s="83"/>
      <c r="AC9" s="89" t="s">
        <v>407</v>
      </c>
      <c r="AD9" s="83"/>
      <c r="AE9" s="83" t="b">
        <v>0</v>
      </c>
      <c r="AF9" s="83">
        <v>0</v>
      </c>
      <c r="AG9" s="89" t="s">
        <v>448</v>
      </c>
      <c r="AH9" s="83" t="b">
        <v>0</v>
      </c>
      <c r="AI9" s="83" t="s">
        <v>452</v>
      </c>
      <c r="AJ9" s="83"/>
      <c r="AK9" s="89" t="s">
        <v>448</v>
      </c>
      <c r="AL9" s="83" t="b">
        <v>0</v>
      </c>
      <c r="AM9" s="83">
        <v>1</v>
      </c>
      <c r="AN9" s="89" t="s">
        <v>406</v>
      </c>
      <c r="AO9" s="89" t="s">
        <v>457</v>
      </c>
      <c r="AP9" s="83" t="b">
        <v>0</v>
      </c>
      <c r="AQ9" s="89" t="s">
        <v>406</v>
      </c>
      <c r="AR9" s="83" t="s">
        <v>196</v>
      </c>
      <c r="AS9" s="83">
        <v>0</v>
      </c>
      <c r="AT9" s="83">
        <v>0</v>
      </c>
      <c r="AU9" s="83"/>
      <c r="AV9" s="83"/>
      <c r="AW9" s="83"/>
      <c r="AX9" s="83"/>
      <c r="AY9" s="83"/>
      <c r="AZ9" s="83"/>
      <c r="BA9" s="83"/>
      <c r="BB9" s="83"/>
      <c r="BC9">
        <v>1</v>
      </c>
      <c r="BD9" s="82" t="str">
        <f>REPLACE(INDEX(GroupVertices[Group],MATCH(Edges25[[#This Row],[Vertex 1]],GroupVertices[Vertex],0)),1,1,"")</f>
        <v>12</v>
      </c>
      <c r="BE9" s="82" t="str">
        <f>REPLACE(INDEX(GroupVertices[Group],MATCH(Edges25[[#This Row],[Vertex 2]],GroupVertices[Vertex],0)),1,1,"")</f>
        <v>12</v>
      </c>
      <c r="BF9" s="51">
        <v>0</v>
      </c>
      <c r="BG9" s="52">
        <v>0</v>
      </c>
      <c r="BH9" s="51">
        <v>0</v>
      </c>
      <c r="BI9" s="52">
        <v>0</v>
      </c>
      <c r="BJ9" s="51">
        <v>0</v>
      </c>
      <c r="BK9" s="52">
        <v>0</v>
      </c>
      <c r="BL9" s="51">
        <v>12</v>
      </c>
      <c r="BM9" s="52">
        <v>100</v>
      </c>
      <c r="BN9" s="51">
        <v>12</v>
      </c>
    </row>
    <row r="10" spans="1:66" ht="15">
      <c r="A10" s="81" t="s">
        <v>240</v>
      </c>
      <c r="B10" s="81" t="s">
        <v>240</v>
      </c>
      <c r="C10" s="53"/>
      <c r="D10" s="54"/>
      <c r="E10" s="53"/>
      <c r="F10" s="55"/>
      <c r="G10" s="53"/>
      <c r="H10" s="57"/>
      <c r="I10" s="56"/>
      <c r="J10" s="56"/>
      <c r="K10" s="36" t="s">
        <v>65</v>
      </c>
      <c r="L10" s="62">
        <v>11</v>
      </c>
      <c r="M10" s="62"/>
      <c r="N10" s="63"/>
      <c r="O10" s="83" t="s">
        <v>196</v>
      </c>
      <c r="P10" s="85">
        <v>44478.7503125</v>
      </c>
      <c r="Q10" s="83" t="s">
        <v>292</v>
      </c>
      <c r="R10" s="87" t="str">
        <f>HYPERLINK("https://proveg.com/blog/nfc-at-anuga-protein-of-the-future/?utm_source=Facebook&amp;utm_medium=Social&amp;utm_campaign=NFC_GeneralBlog")</f>
        <v>https://proveg.com/blog/nfc-at-anuga-protein-of-the-future/?utm_source=Facebook&amp;utm_medium=Social&amp;utm_campaign=NFC_GeneralBlog</v>
      </c>
      <c r="S10" s="83" t="s">
        <v>320</v>
      </c>
      <c r="T10" s="89" t="s">
        <v>338</v>
      </c>
      <c r="U10" s="83"/>
      <c r="V10" s="87" t="str">
        <f>HYPERLINK("https://pbs.twimg.com/profile_images/1410560834854588416/nHwDN9RG_normal.jpg")</f>
        <v>https://pbs.twimg.com/profile_images/1410560834854588416/nHwDN9RG_normal.jpg</v>
      </c>
      <c r="W10" s="85">
        <v>44478.7503125</v>
      </c>
      <c r="X10" s="91">
        <v>44478</v>
      </c>
      <c r="Y10" s="89" t="s">
        <v>365</v>
      </c>
      <c r="Z10" s="87" t="str">
        <f>HYPERLINK("https://twitter.com/proveg_int/status/1446898369243324423")</f>
        <v>https://twitter.com/proveg_int/status/1446898369243324423</v>
      </c>
      <c r="AA10" s="83"/>
      <c r="AB10" s="83"/>
      <c r="AC10" s="89" t="s">
        <v>408</v>
      </c>
      <c r="AD10" s="83"/>
      <c r="AE10" s="83" t="b">
        <v>0</v>
      </c>
      <c r="AF10" s="83">
        <v>5</v>
      </c>
      <c r="AG10" s="89" t="s">
        <v>448</v>
      </c>
      <c r="AH10" s="83" t="b">
        <v>0</v>
      </c>
      <c r="AI10" s="83" t="s">
        <v>452</v>
      </c>
      <c r="AJ10" s="83"/>
      <c r="AK10" s="89" t="s">
        <v>448</v>
      </c>
      <c r="AL10" s="83" t="b">
        <v>0</v>
      </c>
      <c r="AM10" s="83">
        <v>1</v>
      </c>
      <c r="AN10" s="89" t="s">
        <v>448</v>
      </c>
      <c r="AO10" s="89" t="s">
        <v>458</v>
      </c>
      <c r="AP10" s="83" t="b">
        <v>0</v>
      </c>
      <c r="AQ10" s="89" t="s">
        <v>408</v>
      </c>
      <c r="AR10" s="83" t="s">
        <v>196</v>
      </c>
      <c r="AS10" s="83">
        <v>0</v>
      </c>
      <c r="AT10" s="83">
        <v>0</v>
      </c>
      <c r="AU10" s="83"/>
      <c r="AV10" s="83"/>
      <c r="AW10" s="83"/>
      <c r="AX10" s="83"/>
      <c r="AY10" s="83"/>
      <c r="AZ10" s="83"/>
      <c r="BA10" s="83"/>
      <c r="BB10" s="83"/>
      <c r="BC10">
        <v>1</v>
      </c>
      <c r="BD10" s="82" t="str">
        <f>REPLACE(INDEX(GroupVertices[Group],MATCH(Edges25[[#This Row],[Vertex 1]],GroupVertices[Vertex],0)),1,1,"")</f>
        <v>11</v>
      </c>
      <c r="BE10" s="82" t="str">
        <f>REPLACE(INDEX(GroupVertices[Group],MATCH(Edges25[[#This Row],[Vertex 2]],GroupVertices[Vertex],0)),1,1,"")</f>
        <v>11</v>
      </c>
      <c r="BF10" s="51">
        <v>2</v>
      </c>
      <c r="BG10" s="52">
        <v>6.25</v>
      </c>
      <c r="BH10" s="51">
        <v>0</v>
      </c>
      <c r="BI10" s="52">
        <v>0</v>
      </c>
      <c r="BJ10" s="51">
        <v>0</v>
      </c>
      <c r="BK10" s="52">
        <v>0</v>
      </c>
      <c r="BL10" s="51">
        <v>30</v>
      </c>
      <c r="BM10" s="52">
        <v>93.75</v>
      </c>
      <c r="BN10" s="51">
        <v>32</v>
      </c>
    </row>
    <row r="11" spans="1:66" ht="15">
      <c r="A11" s="81" t="s">
        <v>241</v>
      </c>
      <c r="B11" s="81" t="s">
        <v>240</v>
      </c>
      <c r="C11" s="53"/>
      <c r="D11" s="54"/>
      <c r="E11" s="53"/>
      <c r="F11" s="55"/>
      <c r="G11" s="53"/>
      <c r="H11" s="57"/>
      <c r="I11" s="56"/>
      <c r="J11" s="56"/>
      <c r="K11" s="36" t="s">
        <v>65</v>
      </c>
      <c r="L11" s="62">
        <v>12</v>
      </c>
      <c r="M11" s="62"/>
      <c r="N11" s="63"/>
      <c r="O11" s="83" t="s">
        <v>287</v>
      </c>
      <c r="P11" s="85">
        <v>44478.765393518515</v>
      </c>
      <c r="Q11" s="83" t="s">
        <v>292</v>
      </c>
      <c r="R11" s="87" t="str">
        <f>HYPERLINK("https://proveg.com/blog/nfc-at-anuga-protein-of-the-future/?utm_source=Facebook&amp;utm_medium=Social&amp;utm_campaign=NFC_GeneralBlog")</f>
        <v>https://proveg.com/blog/nfc-at-anuga-protein-of-the-future/?utm_source=Facebook&amp;utm_medium=Social&amp;utm_campaign=NFC_GeneralBlog</v>
      </c>
      <c r="S11" s="83" t="s">
        <v>320</v>
      </c>
      <c r="T11" s="89" t="s">
        <v>338</v>
      </c>
      <c r="U11" s="83"/>
      <c r="V11" s="87" t="str">
        <f>HYPERLINK("https://pbs.twimg.com/profile_images/496894645431844866/_Mi52eqM_normal.jpeg")</f>
        <v>https://pbs.twimg.com/profile_images/496894645431844866/_Mi52eqM_normal.jpeg</v>
      </c>
      <c r="W11" s="85">
        <v>44478.765393518515</v>
      </c>
      <c r="X11" s="91">
        <v>44478</v>
      </c>
      <c r="Y11" s="89" t="s">
        <v>366</v>
      </c>
      <c r="Z11" s="87" t="str">
        <f>HYPERLINK("https://twitter.com/albionau/status/1446903830730485761")</f>
        <v>https://twitter.com/albionau/status/1446903830730485761</v>
      </c>
      <c r="AA11" s="83"/>
      <c r="AB11" s="83"/>
      <c r="AC11" s="89" t="s">
        <v>409</v>
      </c>
      <c r="AD11" s="83"/>
      <c r="AE11" s="83" t="b">
        <v>0</v>
      </c>
      <c r="AF11" s="83">
        <v>0</v>
      </c>
      <c r="AG11" s="89" t="s">
        <v>448</v>
      </c>
      <c r="AH11" s="83" t="b">
        <v>0</v>
      </c>
      <c r="AI11" s="83" t="s">
        <v>452</v>
      </c>
      <c r="AJ11" s="83"/>
      <c r="AK11" s="89" t="s">
        <v>448</v>
      </c>
      <c r="AL11" s="83" t="b">
        <v>0</v>
      </c>
      <c r="AM11" s="83">
        <v>1</v>
      </c>
      <c r="AN11" s="89" t="s">
        <v>408</v>
      </c>
      <c r="AO11" s="89" t="s">
        <v>456</v>
      </c>
      <c r="AP11" s="83" t="b">
        <v>0</v>
      </c>
      <c r="AQ11" s="89" t="s">
        <v>408</v>
      </c>
      <c r="AR11" s="83" t="s">
        <v>196</v>
      </c>
      <c r="AS11" s="83">
        <v>0</v>
      </c>
      <c r="AT11" s="83">
        <v>0</v>
      </c>
      <c r="AU11" s="83"/>
      <c r="AV11" s="83"/>
      <c r="AW11" s="83"/>
      <c r="AX11" s="83"/>
      <c r="AY11" s="83"/>
      <c r="AZ11" s="83"/>
      <c r="BA11" s="83"/>
      <c r="BB11" s="83"/>
      <c r="BC11">
        <v>1</v>
      </c>
      <c r="BD11" s="82" t="str">
        <f>REPLACE(INDEX(GroupVertices[Group],MATCH(Edges25[[#This Row],[Vertex 1]],GroupVertices[Vertex],0)),1,1,"")</f>
        <v>11</v>
      </c>
      <c r="BE11" s="82" t="str">
        <f>REPLACE(INDEX(GroupVertices[Group],MATCH(Edges25[[#This Row],[Vertex 2]],GroupVertices[Vertex],0)),1,1,"")</f>
        <v>11</v>
      </c>
      <c r="BF11" s="51">
        <v>2</v>
      </c>
      <c r="BG11" s="52">
        <v>6.25</v>
      </c>
      <c r="BH11" s="51">
        <v>0</v>
      </c>
      <c r="BI11" s="52">
        <v>0</v>
      </c>
      <c r="BJ11" s="51">
        <v>0</v>
      </c>
      <c r="BK11" s="52">
        <v>0</v>
      </c>
      <c r="BL11" s="51">
        <v>30</v>
      </c>
      <c r="BM11" s="52">
        <v>93.75</v>
      </c>
      <c r="BN11" s="51">
        <v>32</v>
      </c>
    </row>
    <row r="12" spans="1:66" ht="15">
      <c r="A12" s="81" t="s">
        <v>242</v>
      </c>
      <c r="B12" s="81" t="s">
        <v>253</v>
      </c>
      <c r="C12" s="53"/>
      <c r="D12" s="54"/>
      <c r="E12" s="53"/>
      <c r="F12" s="55"/>
      <c r="G12" s="53"/>
      <c r="H12" s="57"/>
      <c r="I12" s="56"/>
      <c r="J12" s="56"/>
      <c r="K12" s="36" t="s">
        <v>65</v>
      </c>
      <c r="L12" s="62">
        <v>13</v>
      </c>
      <c r="M12" s="62"/>
      <c r="N12" s="63"/>
      <c r="O12" s="83" t="s">
        <v>287</v>
      </c>
      <c r="P12" s="85">
        <v>44479.41244212963</v>
      </c>
      <c r="Q12" s="83" t="s">
        <v>293</v>
      </c>
      <c r="R12" s="87" t="str">
        <f>HYPERLINK("https://twitter.com/Calcalistech/status/1446115448035020808")</f>
        <v>https://twitter.com/Calcalistech/status/1446115448035020808</v>
      </c>
      <c r="S12" s="83" t="s">
        <v>321</v>
      </c>
      <c r="T12" s="89" t="s">
        <v>339</v>
      </c>
      <c r="U12" s="83"/>
      <c r="V12" s="87" t="str">
        <f>HYPERLINK("https://pbs.twimg.com/profile_images/1305056454949384193/37M-C89G_normal.jpg")</f>
        <v>https://pbs.twimg.com/profile_images/1305056454949384193/37M-C89G_normal.jpg</v>
      </c>
      <c r="W12" s="85">
        <v>44479.41244212963</v>
      </c>
      <c r="X12" s="91">
        <v>44479</v>
      </c>
      <c r="Y12" s="89" t="s">
        <v>367</v>
      </c>
      <c r="Z12" s="87" t="str">
        <f>HYPERLINK("https://twitter.com/ahasidim/status/1447138317095604225")</f>
        <v>https://twitter.com/ahasidim/status/1447138317095604225</v>
      </c>
      <c r="AA12" s="83"/>
      <c r="AB12" s="83"/>
      <c r="AC12" s="89" t="s">
        <v>410</v>
      </c>
      <c r="AD12" s="83"/>
      <c r="AE12" s="83" t="b">
        <v>0</v>
      </c>
      <c r="AF12" s="83">
        <v>0</v>
      </c>
      <c r="AG12" s="89" t="s">
        <v>448</v>
      </c>
      <c r="AH12" s="83" t="b">
        <v>1</v>
      </c>
      <c r="AI12" s="83" t="s">
        <v>452</v>
      </c>
      <c r="AJ12" s="83"/>
      <c r="AK12" s="89" t="s">
        <v>454</v>
      </c>
      <c r="AL12" s="83" t="b">
        <v>0</v>
      </c>
      <c r="AM12" s="83">
        <v>8</v>
      </c>
      <c r="AN12" s="89" t="s">
        <v>422</v>
      </c>
      <c r="AO12" s="89" t="s">
        <v>456</v>
      </c>
      <c r="AP12" s="83" t="b">
        <v>0</v>
      </c>
      <c r="AQ12" s="89" t="s">
        <v>422</v>
      </c>
      <c r="AR12" s="83" t="s">
        <v>196</v>
      </c>
      <c r="AS12" s="83">
        <v>0</v>
      </c>
      <c r="AT12" s="83">
        <v>0</v>
      </c>
      <c r="AU12" s="83"/>
      <c r="AV12" s="83"/>
      <c r="AW12" s="83"/>
      <c r="AX12" s="83"/>
      <c r="AY12" s="83"/>
      <c r="AZ12" s="83"/>
      <c r="BA12" s="83"/>
      <c r="BB12" s="83"/>
      <c r="BC12">
        <v>1</v>
      </c>
      <c r="BD12" s="82" t="str">
        <f>REPLACE(INDEX(GroupVertices[Group],MATCH(Edges25[[#This Row],[Vertex 1]],GroupVertices[Vertex],0)),1,1,"")</f>
        <v>2</v>
      </c>
      <c r="BE12" s="82" t="str">
        <f>REPLACE(INDEX(GroupVertices[Group],MATCH(Edges25[[#This Row],[Vertex 2]],GroupVertices[Vertex],0)),1,1,"")</f>
        <v>2</v>
      </c>
      <c r="BF12" s="51">
        <v>1</v>
      </c>
      <c r="BG12" s="52">
        <v>5</v>
      </c>
      <c r="BH12" s="51">
        <v>0</v>
      </c>
      <c r="BI12" s="52">
        <v>0</v>
      </c>
      <c r="BJ12" s="51">
        <v>0</v>
      </c>
      <c r="BK12" s="52">
        <v>0</v>
      </c>
      <c r="BL12" s="51">
        <v>19</v>
      </c>
      <c r="BM12" s="52">
        <v>95</v>
      </c>
      <c r="BN12" s="51">
        <v>20</v>
      </c>
    </row>
    <row r="13" spans="1:66" ht="15">
      <c r="A13" s="81" t="s">
        <v>243</v>
      </c>
      <c r="B13" s="81" t="s">
        <v>273</v>
      </c>
      <c r="C13" s="53"/>
      <c r="D13" s="54"/>
      <c r="E13" s="53"/>
      <c r="F13" s="55"/>
      <c r="G13" s="53"/>
      <c r="H13" s="57"/>
      <c r="I13" s="56"/>
      <c r="J13" s="56"/>
      <c r="K13" s="36" t="s">
        <v>65</v>
      </c>
      <c r="L13" s="62">
        <v>14</v>
      </c>
      <c r="M13" s="62"/>
      <c r="N13" s="63"/>
      <c r="O13" s="83" t="s">
        <v>285</v>
      </c>
      <c r="P13" s="85">
        <v>44479.58372685185</v>
      </c>
      <c r="Q13" s="83" t="s">
        <v>294</v>
      </c>
      <c r="R13" s="87" t="str">
        <f>HYPERLINK("https://thecounter.org/lab-grown-cultivated-meat-cost-at-scale/")</f>
        <v>https://thecounter.org/lab-grown-cultivated-meat-cost-at-scale/</v>
      </c>
      <c r="S13" s="83" t="s">
        <v>322</v>
      </c>
      <c r="T13" s="89" t="s">
        <v>340</v>
      </c>
      <c r="U13" s="83"/>
      <c r="V13" s="87" t="str">
        <f>HYPERLINK("https://pbs.twimg.com/profile_images/1149028472515379202/PmcjVju0_normal.png")</f>
        <v>https://pbs.twimg.com/profile_images/1149028472515379202/PmcjVju0_normal.png</v>
      </c>
      <c r="W13" s="85">
        <v>44479.58372685185</v>
      </c>
      <c r="X13" s="91">
        <v>44479</v>
      </c>
      <c r="Y13" s="89" t="s">
        <v>368</v>
      </c>
      <c r="Z13" s="87" t="str">
        <f>HYPERLINK("https://twitter.com/agreenerworld/status/1447200385731600390")</f>
        <v>https://twitter.com/agreenerworld/status/1447200385731600390</v>
      </c>
      <c r="AA13" s="83"/>
      <c r="AB13" s="83"/>
      <c r="AC13" s="89" t="s">
        <v>411</v>
      </c>
      <c r="AD13" s="83"/>
      <c r="AE13" s="83" t="b">
        <v>0</v>
      </c>
      <c r="AF13" s="83">
        <v>0</v>
      </c>
      <c r="AG13" s="89" t="s">
        <v>448</v>
      </c>
      <c r="AH13" s="83" t="b">
        <v>0</v>
      </c>
      <c r="AI13" s="83" t="s">
        <v>452</v>
      </c>
      <c r="AJ13" s="83"/>
      <c r="AK13" s="89" t="s">
        <v>448</v>
      </c>
      <c r="AL13" s="83" t="b">
        <v>0</v>
      </c>
      <c r="AM13" s="83">
        <v>0</v>
      </c>
      <c r="AN13" s="89" t="s">
        <v>448</v>
      </c>
      <c r="AO13" s="89" t="s">
        <v>458</v>
      </c>
      <c r="AP13" s="83" t="b">
        <v>0</v>
      </c>
      <c r="AQ13" s="89" t="s">
        <v>411</v>
      </c>
      <c r="AR13" s="83" t="s">
        <v>196</v>
      </c>
      <c r="AS13" s="83">
        <v>0</v>
      </c>
      <c r="AT13" s="83">
        <v>0</v>
      </c>
      <c r="AU13" s="83"/>
      <c r="AV13" s="83"/>
      <c r="AW13" s="83"/>
      <c r="AX13" s="83"/>
      <c r="AY13" s="83"/>
      <c r="AZ13" s="83"/>
      <c r="BA13" s="83"/>
      <c r="BB13" s="83"/>
      <c r="BC13">
        <v>1</v>
      </c>
      <c r="BD13" s="82" t="str">
        <f>REPLACE(INDEX(GroupVertices[Group],MATCH(Edges25[[#This Row],[Vertex 1]],GroupVertices[Vertex],0)),1,1,"")</f>
        <v>5</v>
      </c>
      <c r="BE13" s="82" t="str">
        <f>REPLACE(INDEX(GroupVertices[Group],MATCH(Edges25[[#This Row],[Vertex 2]],GroupVertices[Vertex],0)),1,1,"")</f>
        <v>5</v>
      </c>
      <c r="BF13" s="51"/>
      <c r="BG13" s="52"/>
      <c r="BH13" s="51"/>
      <c r="BI13" s="52"/>
      <c r="BJ13" s="51"/>
      <c r="BK13" s="52"/>
      <c r="BL13" s="51"/>
      <c r="BM13" s="52"/>
      <c r="BN13" s="51"/>
    </row>
    <row r="14" spans="1:66" ht="15">
      <c r="A14" s="81" t="s">
        <v>244</v>
      </c>
      <c r="B14" s="81" t="s">
        <v>262</v>
      </c>
      <c r="C14" s="53"/>
      <c r="D14" s="54"/>
      <c r="E14" s="53"/>
      <c r="F14" s="55"/>
      <c r="G14" s="53"/>
      <c r="H14" s="57"/>
      <c r="I14" s="56"/>
      <c r="J14" s="56"/>
      <c r="K14" s="36" t="s">
        <v>65</v>
      </c>
      <c r="L14" s="62">
        <v>16</v>
      </c>
      <c r="M14" s="62"/>
      <c r="N14" s="63"/>
      <c r="O14" s="83" t="s">
        <v>285</v>
      </c>
      <c r="P14" s="85">
        <v>44480.625914351855</v>
      </c>
      <c r="Q14" s="83" t="s">
        <v>295</v>
      </c>
      <c r="R14" s="87" t="str">
        <f>HYPERLINK("https://cms21.io")</f>
        <v>https://cms21.io</v>
      </c>
      <c r="S14" s="83" t="s">
        <v>323</v>
      </c>
      <c r="T14" s="89" t="s">
        <v>341</v>
      </c>
      <c r="U14" s="83"/>
      <c r="V14" s="87" t="str">
        <f>HYPERLINK("https://pbs.twimg.com/profile_images/986622370831060992/5ijM1bBg_normal.jpg")</f>
        <v>https://pbs.twimg.com/profile_images/986622370831060992/5ijM1bBg_normal.jpg</v>
      </c>
      <c r="W14" s="85">
        <v>44480.625914351855</v>
      </c>
      <c r="X14" s="91">
        <v>44480</v>
      </c>
      <c r="Y14" s="89" t="s">
        <v>369</v>
      </c>
      <c r="Z14" s="87" t="str">
        <f>HYPERLINK("https://twitter.com/eatableadv/status/1447578061436854274")</f>
        <v>https://twitter.com/eatableadv/status/1447578061436854274</v>
      </c>
      <c r="AA14" s="83"/>
      <c r="AB14" s="83"/>
      <c r="AC14" s="89" t="s">
        <v>412</v>
      </c>
      <c r="AD14" s="83"/>
      <c r="AE14" s="83" t="b">
        <v>0</v>
      </c>
      <c r="AF14" s="83">
        <v>2</v>
      </c>
      <c r="AG14" s="89" t="s">
        <v>448</v>
      </c>
      <c r="AH14" s="83" t="b">
        <v>0</v>
      </c>
      <c r="AI14" s="83" t="s">
        <v>452</v>
      </c>
      <c r="AJ14" s="83"/>
      <c r="AK14" s="89" t="s">
        <v>448</v>
      </c>
      <c r="AL14" s="83" t="b">
        <v>0</v>
      </c>
      <c r="AM14" s="83">
        <v>0</v>
      </c>
      <c r="AN14" s="89" t="s">
        <v>448</v>
      </c>
      <c r="AO14" s="89" t="s">
        <v>459</v>
      </c>
      <c r="AP14" s="83" t="b">
        <v>0</v>
      </c>
      <c r="AQ14" s="89" t="s">
        <v>412</v>
      </c>
      <c r="AR14" s="83" t="s">
        <v>196</v>
      </c>
      <c r="AS14" s="83">
        <v>0</v>
      </c>
      <c r="AT14" s="83">
        <v>0</v>
      </c>
      <c r="AU14" s="83"/>
      <c r="AV14" s="83"/>
      <c r="AW14" s="83"/>
      <c r="AX14" s="83"/>
      <c r="AY14" s="83"/>
      <c r="AZ14" s="83"/>
      <c r="BA14" s="83"/>
      <c r="BB14" s="83"/>
      <c r="BC14">
        <v>1</v>
      </c>
      <c r="BD14" s="82" t="str">
        <f>REPLACE(INDEX(GroupVertices[Group],MATCH(Edges25[[#This Row],[Vertex 1]],GroupVertices[Vertex],0)),1,1,"")</f>
        <v>10</v>
      </c>
      <c r="BE14" s="82" t="str">
        <f>REPLACE(INDEX(GroupVertices[Group],MATCH(Edges25[[#This Row],[Vertex 2]],GroupVertices[Vertex],0)),1,1,"")</f>
        <v>10</v>
      </c>
      <c r="BF14" s="51">
        <v>1</v>
      </c>
      <c r="BG14" s="52">
        <v>3.7037037037037037</v>
      </c>
      <c r="BH14" s="51">
        <v>1</v>
      </c>
      <c r="BI14" s="52">
        <v>3.7037037037037037</v>
      </c>
      <c r="BJ14" s="51">
        <v>0</v>
      </c>
      <c r="BK14" s="52">
        <v>0</v>
      </c>
      <c r="BL14" s="51">
        <v>25</v>
      </c>
      <c r="BM14" s="52">
        <v>92.5925925925926</v>
      </c>
      <c r="BN14" s="51">
        <v>27</v>
      </c>
    </row>
    <row r="15" spans="1:66" ht="15">
      <c r="A15" s="81" t="s">
        <v>245</v>
      </c>
      <c r="B15" s="81" t="s">
        <v>245</v>
      </c>
      <c r="C15" s="53"/>
      <c r="D15" s="54"/>
      <c r="E15" s="53"/>
      <c r="F15" s="55"/>
      <c r="G15" s="53"/>
      <c r="H15" s="57"/>
      <c r="I15" s="56"/>
      <c r="J15" s="56"/>
      <c r="K15" s="36" t="s">
        <v>65</v>
      </c>
      <c r="L15" s="62">
        <v>17</v>
      </c>
      <c r="M15" s="62"/>
      <c r="N15" s="63"/>
      <c r="O15" s="83" t="s">
        <v>196</v>
      </c>
      <c r="P15" s="85">
        <v>44480.91638888889</v>
      </c>
      <c r="Q15" s="83" t="s">
        <v>296</v>
      </c>
      <c r="R15" s="83"/>
      <c r="S15" s="83"/>
      <c r="T15" s="89" t="s">
        <v>342</v>
      </c>
      <c r="U15" s="83"/>
      <c r="V15" s="87" t="str">
        <f>HYPERLINK("https://pbs.twimg.com/profile_images/1417826487852433410/6ZmfU5Ge_normal.jpg")</f>
        <v>https://pbs.twimg.com/profile_images/1417826487852433410/6ZmfU5Ge_normal.jpg</v>
      </c>
      <c r="W15" s="85">
        <v>44480.91638888889</v>
      </c>
      <c r="X15" s="91">
        <v>44480</v>
      </c>
      <c r="Y15" s="89" t="s">
        <v>370</v>
      </c>
      <c r="Z15" s="87" t="str">
        <f>HYPERLINK("https://twitter.com/pstvclimate/status/1447683328040079363")</f>
        <v>https://twitter.com/pstvclimate/status/1447683328040079363</v>
      </c>
      <c r="AA15" s="83"/>
      <c r="AB15" s="83"/>
      <c r="AC15" s="89" t="s">
        <v>413</v>
      </c>
      <c r="AD15" s="89" t="s">
        <v>446</v>
      </c>
      <c r="AE15" s="83" t="b">
        <v>0</v>
      </c>
      <c r="AF15" s="83">
        <v>0</v>
      </c>
      <c r="AG15" s="89" t="s">
        <v>449</v>
      </c>
      <c r="AH15" s="83" t="b">
        <v>0</v>
      </c>
      <c r="AI15" s="83" t="s">
        <v>452</v>
      </c>
      <c r="AJ15" s="83"/>
      <c r="AK15" s="89" t="s">
        <v>448</v>
      </c>
      <c r="AL15" s="83" t="b">
        <v>0</v>
      </c>
      <c r="AM15" s="83">
        <v>0</v>
      </c>
      <c r="AN15" s="89" t="s">
        <v>448</v>
      </c>
      <c r="AO15" s="89" t="s">
        <v>456</v>
      </c>
      <c r="AP15" s="83" t="b">
        <v>0</v>
      </c>
      <c r="AQ15" s="89" t="s">
        <v>446</v>
      </c>
      <c r="AR15" s="83" t="s">
        <v>196</v>
      </c>
      <c r="AS15" s="83">
        <v>0</v>
      </c>
      <c r="AT15" s="83">
        <v>0</v>
      </c>
      <c r="AU15" s="83"/>
      <c r="AV15" s="83"/>
      <c r="AW15" s="83"/>
      <c r="AX15" s="83"/>
      <c r="AY15" s="83"/>
      <c r="AZ15" s="83"/>
      <c r="BA15" s="83"/>
      <c r="BB15" s="83"/>
      <c r="BC15">
        <v>1</v>
      </c>
      <c r="BD15" s="82" t="str">
        <f>REPLACE(INDEX(GroupVertices[Group],MATCH(Edges25[[#This Row],[Vertex 1]],GroupVertices[Vertex],0)),1,1,"")</f>
        <v>3</v>
      </c>
      <c r="BE15" s="82" t="str">
        <f>REPLACE(INDEX(GroupVertices[Group],MATCH(Edges25[[#This Row],[Vertex 2]],GroupVertices[Vertex],0)),1,1,"")</f>
        <v>3</v>
      </c>
      <c r="BF15" s="51">
        <v>2</v>
      </c>
      <c r="BG15" s="52">
        <v>6.451612903225806</v>
      </c>
      <c r="BH15" s="51">
        <v>0</v>
      </c>
      <c r="BI15" s="52">
        <v>0</v>
      </c>
      <c r="BJ15" s="51">
        <v>0</v>
      </c>
      <c r="BK15" s="52">
        <v>0</v>
      </c>
      <c r="BL15" s="51">
        <v>29</v>
      </c>
      <c r="BM15" s="52">
        <v>93.54838709677419</v>
      </c>
      <c r="BN15" s="51">
        <v>31</v>
      </c>
    </row>
    <row r="16" spans="1:66" ht="15">
      <c r="A16" s="81" t="s">
        <v>246</v>
      </c>
      <c r="B16" s="81" t="s">
        <v>246</v>
      </c>
      <c r="C16" s="53"/>
      <c r="D16" s="54"/>
      <c r="E16" s="53"/>
      <c r="F16" s="55"/>
      <c r="G16" s="53"/>
      <c r="H16" s="57"/>
      <c r="I16" s="56"/>
      <c r="J16" s="56"/>
      <c r="K16" s="36" t="s">
        <v>65</v>
      </c>
      <c r="L16" s="62">
        <v>18</v>
      </c>
      <c r="M16" s="62"/>
      <c r="N16" s="63"/>
      <c r="O16" s="83" t="s">
        <v>196</v>
      </c>
      <c r="P16" s="85">
        <v>44481.28665509259</v>
      </c>
      <c r="Q16" s="83" t="s">
        <v>297</v>
      </c>
      <c r="R16" s="87" t="str">
        <f>HYPERLINK("https://www.linkedin.com/slink?code=dNAPHtUG")</f>
        <v>https://www.linkedin.com/slink?code=dNAPHtUG</v>
      </c>
      <c r="S16" s="83" t="s">
        <v>324</v>
      </c>
      <c r="T16" s="89" t="s">
        <v>343</v>
      </c>
      <c r="U16" s="87" t="str">
        <f>HYPERLINK("https://pbs.twimg.com/media/FBetP_RXoAAitdr.jpg")</f>
        <v>https://pbs.twimg.com/media/FBetP_RXoAAitdr.jpg</v>
      </c>
      <c r="V16" s="87" t="str">
        <f>HYPERLINK("https://pbs.twimg.com/media/FBetP_RXoAAitdr.jpg")</f>
        <v>https://pbs.twimg.com/media/FBetP_RXoAAitdr.jpg</v>
      </c>
      <c r="W16" s="85">
        <v>44481.28665509259</v>
      </c>
      <c r="X16" s="91">
        <v>44481</v>
      </c>
      <c r="Y16" s="89" t="s">
        <v>371</v>
      </c>
      <c r="Z16" s="87" t="str">
        <f>HYPERLINK("https://twitter.com/anikabockisch/status/1447817506635362305")</f>
        <v>https://twitter.com/anikabockisch/status/1447817506635362305</v>
      </c>
      <c r="AA16" s="83"/>
      <c r="AB16" s="83"/>
      <c r="AC16" s="89" t="s">
        <v>414</v>
      </c>
      <c r="AD16" s="83"/>
      <c r="AE16" s="83" t="b">
        <v>0</v>
      </c>
      <c r="AF16" s="83">
        <v>0</v>
      </c>
      <c r="AG16" s="89" t="s">
        <v>448</v>
      </c>
      <c r="AH16" s="83" t="b">
        <v>0</v>
      </c>
      <c r="AI16" s="83" t="s">
        <v>452</v>
      </c>
      <c r="AJ16" s="83"/>
      <c r="AK16" s="89" t="s">
        <v>448</v>
      </c>
      <c r="AL16" s="83" t="b">
        <v>0</v>
      </c>
      <c r="AM16" s="83">
        <v>0</v>
      </c>
      <c r="AN16" s="89" t="s">
        <v>448</v>
      </c>
      <c r="AO16" s="89" t="s">
        <v>456</v>
      </c>
      <c r="AP16" s="83" t="b">
        <v>0</v>
      </c>
      <c r="AQ16" s="89" t="s">
        <v>414</v>
      </c>
      <c r="AR16" s="83" t="s">
        <v>196</v>
      </c>
      <c r="AS16" s="83">
        <v>0</v>
      </c>
      <c r="AT16" s="83">
        <v>0</v>
      </c>
      <c r="AU16" s="83"/>
      <c r="AV16" s="83"/>
      <c r="AW16" s="83"/>
      <c r="AX16" s="83"/>
      <c r="AY16" s="83"/>
      <c r="AZ16" s="83"/>
      <c r="BA16" s="83"/>
      <c r="BB16" s="83"/>
      <c r="BC16">
        <v>1</v>
      </c>
      <c r="BD16" s="82" t="str">
        <f>REPLACE(INDEX(GroupVertices[Group],MATCH(Edges25[[#This Row],[Vertex 1]],GroupVertices[Vertex],0)),1,1,"")</f>
        <v>3</v>
      </c>
      <c r="BE16" s="82" t="str">
        <f>REPLACE(INDEX(GroupVertices[Group],MATCH(Edges25[[#This Row],[Vertex 2]],GroupVertices[Vertex],0)),1,1,"")</f>
        <v>3</v>
      </c>
      <c r="BF16" s="51">
        <v>1</v>
      </c>
      <c r="BG16" s="52">
        <v>2.857142857142857</v>
      </c>
      <c r="BH16" s="51">
        <v>0</v>
      </c>
      <c r="BI16" s="52">
        <v>0</v>
      </c>
      <c r="BJ16" s="51">
        <v>0</v>
      </c>
      <c r="BK16" s="52">
        <v>0</v>
      </c>
      <c r="BL16" s="51">
        <v>34</v>
      </c>
      <c r="BM16" s="52">
        <v>97.14285714285714</v>
      </c>
      <c r="BN16" s="51">
        <v>35</v>
      </c>
    </row>
    <row r="17" spans="1:66" ht="15">
      <c r="A17" s="81" t="s">
        <v>247</v>
      </c>
      <c r="B17" s="81" t="s">
        <v>275</v>
      </c>
      <c r="C17" s="53"/>
      <c r="D17" s="54"/>
      <c r="E17" s="53"/>
      <c r="F17" s="55"/>
      <c r="G17" s="53"/>
      <c r="H17" s="57"/>
      <c r="I17" s="56"/>
      <c r="J17" s="56"/>
      <c r="K17" s="36" t="s">
        <v>65</v>
      </c>
      <c r="L17" s="62">
        <v>19</v>
      </c>
      <c r="M17" s="62"/>
      <c r="N17" s="63"/>
      <c r="O17" s="83" t="s">
        <v>285</v>
      </c>
      <c r="P17" s="85">
        <v>44480.541909722226</v>
      </c>
      <c r="Q17" s="83" t="s">
        <v>298</v>
      </c>
      <c r="R17" s="87" t="str">
        <f>HYPERLINK("https://geneticliteracyproject.org/2021/10/11/a-future-in-which-meat-no-longer-requires-animal-slaughter-there-are-some-barriers-to-that-goal/?utm_medium=Social&amp;utm_source=Twitter#Echobox=1633926304-1")</f>
        <v>https://geneticliteracyproject.org/2021/10/11/a-future-in-which-meat-no-longer-requires-animal-slaughter-there-are-some-barriers-to-that-goal/?utm_medium=Social&amp;utm_source=Twitter#Echobox=1633926304-1</v>
      </c>
      <c r="S17" s="83" t="s">
        <v>325</v>
      </c>
      <c r="T17" s="89" t="s">
        <v>344</v>
      </c>
      <c r="U17" s="83"/>
      <c r="V17" s="87" t="str">
        <f>HYPERLINK("https://pbs.twimg.com/profile_images/1193985020521791488/nRCt_CqI_normal.jpg")</f>
        <v>https://pbs.twimg.com/profile_images/1193985020521791488/nRCt_CqI_normal.jpg</v>
      </c>
      <c r="W17" s="85">
        <v>44480.541909722226</v>
      </c>
      <c r="X17" s="91">
        <v>44480</v>
      </c>
      <c r="Y17" s="89" t="s">
        <v>372</v>
      </c>
      <c r="Z17" s="87" t="str">
        <f>HYPERLINK("https://twitter.com/geneticliteracy/status/1447547618607964163")</f>
        <v>https://twitter.com/geneticliteracy/status/1447547618607964163</v>
      </c>
      <c r="AA17" s="83"/>
      <c r="AB17" s="83"/>
      <c r="AC17" s="89" t="s">
        <v>415</v>
      </c>
      <c r="AD17" s="83"/>
      <c r="AE17" s="83" t="b">
        <v>0</v>
      </c>
      <c r="AF17" s="83">
        <v>0</v>
      </c>
      <c r="AG17" s="89" t="s">
        <v>448</v>
      </c>
      <c r="AH17" s="83" t="b">
        <v>0</v>
      </c>
      <c r="AI17" s="83" t="s">
        <v>452</v>
      </c>
      <c r="AJ17" s="83"/>
      <c r="AK17" s="89" t="s">
        <v>448</v>
      </c>
      <c r="AL17" s="83" t="b">
        <v>0</v>
      </c>
      <c r="AM17" s="83">
        <v>0</v>
      </c>
      <c r="AN17" s="89" t="s">
        <v>448</v>
      </c>
      <c r="AO17" s="89" t="s">
        <v>460</v>
      </c>
      <c r="AP17" s="83" t="b">
        <v>0</v>
      </c>
      <c r="AQ17" s="89" t="s">
        <v>415</v>
      </c>
      <c r="AR17" s="83" t="s">
        <v>196</v>
      </c>
      <c r="AS17" s="83">
        <v>0</v>
      </c>
      <c r="AT17" s="83">
        <v>0</v>
      </c>
      <c r="AU17" s="83"/>
      <c r="AV17" s="83"/>
      <c r="AW17" s="83"/>
      <c r="AX17" s="83"/>
      <c r="AY17" s="83"/>
      <c r="AZ17" s="83"/>
      <c r="BA17" s="83"/>
      <c r="BB17" s="83"/>
      <c r="BC17">
        <v>2</v>
      </c>
      <c r="BD17" s="82" t="str">
        <f>REPLACE(INDEX(GroupVertices[Group],MATCH(Edges25[[#This Row],[Vertex 1]],GroupVertices[Vertex],0)),1,1,"")</f>
        <v>1</v>
      </c>
      <c r="BE17" s="82" t="str">
        <f>REPLACE(INDEX(GroupVertices[Group],MATCH(Edges25[[#This Row],[Vertex 2]],GroupVertices[Vertex],0)),1,1,"")</f>
        <v>1</v>
      </c>
      <c r="BF17" s="51">
        <v>0</v>
      </c>
      <c r="BG17" s="52">
        <v>0</v>
      </c>
      <c r="BH17" s="51">
        <v>0</v>
      </c>
      <c r="BI17" s="52">
        <v>0</v>
      </c>
      <c r="BJ17" s="51">
        <v>0</v>
      </c>
      <c r="BK17" s="52">
        <v>0</v>
      </c>
      <c r="BL17" s="51">
        <v>22</v>
      </c>
      <c r="BM17" s="52">
        <v>100</v>
      </c>
      <c r="BN17" s="51">
        <v>22</v>
      </c>
    </row>
    <row r="18" spans="1:66" ht="15">
      <c r="A18" s="81" t="s">
        <v>247</v>
      </c>
      <c r="B18" s="81" t="s">
        <v>275</v>
      </c>
      <c r="C18" s="53"/>
      <c r="D18" s="54"/>
      <c r="E18" s="53"/>
      <c r="F18" s="55"/>
      <c r="G18" s="53"/>
      <c r="H18" s="57"/>
      <c r="I18" s="56"/>
      <c r="J18" s="56"/>
      <c r="K18" s="36" t="s">
        <v>65</v>
      </c>
      <c r="L18" s="62">
        <v>20</v>
      </c>
      <c r="M18" s="62"/>
      <c r="N18" s="63"/>
      <c r="O18" s="83" t="s">
        <v>285</v>
      </c>
      <c r="P18" s="85">
        <v>44481.52006944444</v>
      </c>
      <c r="Q18" s="83" t="s">
        <v>299</v>
      </c>
      <c r="R18" s="87" t="str">
        <f>HYPERLINK("https://geneticliteracyproject.org/2021/10/11/a-future-in-which-meat-no-longer-requires-animal-slaughter-there-are-some-barriers-to-that-goal/?utm_medium=Social&amp;utm_source=Twitter#Echobox=1633926322")</f>
        <v>https://geneticliteracyproject.org/2021/10/11/a-future-in-which-meat-no-longer-requires-animal-slaughter-there-are-some-barriers-to-that-goal/?utm_medium=Social&amp;utm_source=Twitter#Echobox=1633926322</v>
      </c>
      <c r="S18" s="83" t="s">
        <v>325</v>
      </c>
      <c r="T18" s="89" t="s">
        <v>344</v>
      </c>
      <c r="U18" s="83"/>
      <c r="V18" s="87" t="str">
        <f>HYPERLINK("https://pbs.twimg.com/profile_images/1193985020521791488/nRCt_CqI_normal.jpg")</f>
        <v>https://pbs.twimg.com/profile_images/1193985020521791488/nRCt_CqI_normal.jpg</v>
      </c>
      <c r="W18" s="85">
        <v>44481.52006944444</v>
      </c>
      <c r="X18" s="91">
        <v>44481</v>
      </c>
      <c r="Y18" s="89" t="s">
        <v>373</v>
      </c>
      <c r="Z18" s="87" t="str">
        <f>HYPERLINK("https://twitter.com/geneticliteracy/status/1447902093948375044")</f>
        <v>https://twitter.com/geneticliteracy/status/1447902093948375044</v>
      </c>
      <c r="AA18" s="83"/>
      <c r="AB18" s="83"/>
      <c r="AC18" s="89" t="s">
        <v>416</v>
      </c>
      <c r="AD18" s="83"/>
      <c r="AE18" s="83" t="b">
        <v>0</v>
      </c>
      <c r="AF18" s="83">
        <v>1</v>
      </c>
      <c r="AG18" s="89" t="s">
        <v>448</v>
      </c>
      <c r="AH18" s="83" t="b">
        <v>0</v>
      </c>
      <c r="AI18" s="83" t="s">
        <v>452</v>
      </c>
      <c r="AJ18" s="83"/>
      <c r="AK18" s="89" t="s">
        <v>448</v>
      </c>
      <c r="AL18" s="83" t="b">
        <v>0</v>
      </c>
      <c r="AM18" s="83">
        <v>0</v>
      </c>
      <c r="AN18" s="89" t="s">
        <v>448</v>
      </c>
      <c r="AO18" s="89" t="s">
        <v>460</v>
      </c>
      <c r="AP18" s="83" t="b">
        <v>0</v>
      </c>
      <c r="AQ18" s="89" t="s">
        <v>416</v>
      </c>
      <c r="AR18" s="83" t="s">
        <v>196</v>
      </c>
      <c r="AS18" s="83">
        <v>0</v>
      </c>
      <c r="AT18" s="83">
        <v>0</v>
      </c>
      <c r="AU18" s="83"/>
      <c r="AV18" s="83"/>
      <c r="AW18" s="83"/>
      <c r="AX18" s="83"/>
      <c r="AY18" s="83"/>
      <c r="AZ18" s="83"/>
      <c r="BA18" s="83"/>
      <c r="BB18" s="83"/>
      <c r="BC18">
        <v>2</v>
      </c>
      <c r="BD18" s="82" t="str">
        <f>REPLACE(INDEX(GroupVertices[Group],MATCH(Edges25[[#This Row],[Vertex 1]],GroupVertices[Vertex],0)),1,1,"")</f>
        <v>1</v>
      </c>
      <c r="BE18" s="82" t="str">
        <f>REPLACE(INDEX(GroupVertices[Group],MATCH(Edges25[[#This Row],[Vertex 2]],GroupVertices[Vertex],0)),1,1,"")</f>
        <v>1</v>
      </c>
      <c r="BF18" s="51">
        <v>0</v>
      </c>
      <c r="BG18" s="52">
        <v>0</v>
      </c>
      <c r="BH18" s="51">
        <v>0</v>
      </c>
      <c r="BI18" s="52">
        <v>0</v>
      </c>
      <c r="BJ18" s="51">
        <v>0</v>
      </c>
      <c r="BK18" s="52">
        <v>0</v>
      </c>
      <c r="BL18" s="51">
        <v>14</v>
      </c>
      <c r="BM18" s="52">
        <v>100</v>
      </c>
      <c r="BN18" s="51">
        <v>14</v>
      </c>
    </row>
    <row r="19" spans="1:66" ht="15">
      <c r="A19" s="81" t="s">
        <v>248</v>
      </c>
      <c r="B19" s="81" t="s">
        <v>276</v>
      </c>
      <c r="C19" s="53"/>
      <c r="D19" s="54"/>
      <c r="E19" s="53"/>
      <c r="F19" s="55"/>
      <c r="G19" s="53"/>
      <c r="H19" s="57"/>
      <c r="I19" s="56"/>
      <c r="J19" s="56"/>
      <c r="K19" s="36" t="s">
        <v>65</v>
      </c>
      <c r="L19" s="62">
        <v>21</v>
      </c>
      <c r="M19" s="62"/>
      <c r="N19" s="63"/>
      <c r="O19" s="83" t="s">
        <v>285</v>
      </c>
      <c r="P19" s="85">
        <v>44482.37912037037</v>
      </c>
      <c r="Q19" s="83" t="s">
        <v>300</v>
      </c>
      <c r="R19" s="83"/>
      <c r="S19" s="83"/>
      <c r="T19" s="89" t="s">
        <v>345</v>
      </c>
      <c r="U19" s="87" t="str">
        <f>HYPERLINK("https://pbs.twimg.com/media/FBkWNsRX0AMZ-wX.jpg")</f>
        <v>https://pbs.twimg.com/media/FBkWNsRX0AMZ-wX.jpg</v>
      </c>
      <c r="V19" s="87" t="str">
        <f>HYPERLINK("https://pbs.twimg.com/media/FBkWNsRX0AMZ-wX.jpg")</f>
        <v>https://pbs.twimg.com/media/FBkWNsRX0AMZ-wX.jpg</v>
      </c>
      <c r="W19" s="85">
        <v>44482.37912037037</v>
      </c>
      <c r="X19" s="91">
        <v>44482</v>
      </c>
      <c r="Y19" s="89" t="s">
        <v>374</v>
      </c>
      <c r="Z19" s="87" t="str">
        <f>HYPERLINK("https://twitter.com/futuremeattech1/status/1448213401453350912")</f>
        <v>https://twitter.com/futuremeattech1/status/1448213401453350912</v>
      </c>
      <c r="AA19" s="83"/>
      <c r="AB19" s="83"/>
      <c r="AC19" s="89" t="s">
        <v>417</v>
      </c>
      <c r="AD19" s="83"/>
      <c r="AE19" s="83" t="b">
        <v>0</v>
      </c>
      <c r="AF19" s="83">
        <v>1</v>
      </c>
      <c r="AG19" s="89" t="s">
        <v>448</v>
      </c>
      <c r="AH19" s="83" t="b">
        <v>0</v>
      </c>
      <c r="AI19" s="83" t="s">
        <v>452</v>
      </c>
      <c r="AJ19" s="83"/>
      <c r="AK19" s="89" t="s">
        <v>448</v>
      </c>
      <c r="AL19" s="83" t="b">
        <v>0</v>
      </c>
      <c r="AM19" s="83">
        <v>0</v>
      </c>
      <c r="AN19" s="89" t="s">
        <v>448</v>
      </c>
      <c r="AO19" s="89" t="s">
        <v>456</v>
      </c>
      <c r="AP19" s="83" t="b">
        <v>0</v>
      </c>
      <c r="AQ19" s="89" t="s">
        <v>417</v>
      </c>
      <c r="AR19" s="83" t="s">
        <v>196</v>
      </c>
      <c r="AS19" s="83">
        <v>0</v>
      </c>
      <c r="AT19" s="83">
        <v>0</v>
      </c>
      <c r="AU19" s="83"/>
      <c r="AV19" s="83"/>
      <c r="AW19" s="83"/>
      <c r="AX19" s="83"/>
      <c r="AY19" s="83"/>
      <c r="AZ19" s="83"/>
      <c r="BA19" s="83"/>
      <c r="BB19" s="83"/>
      <c r="BC19">
        <v>1</v>
      </c>
      <c r="BD19" s="82" t="str">
        <f>REPLACE(INDEX(GroupVertices[Group],MATCH(Edges25[[#This Row],[Vertex 1]],GroupVertices[Vertex],0)),1,1,"")</f>
        <v>9</v>
      </c>
      <c r="BE19" s="82" t="str">
        <f>REPLACE(INDEX(GroupVertices[Group],MATCH(Edges25[[#This Row],[Vertex 2]],GroupVertices[Vertex],0)),1,1,"")</f>
        <v>9</v>
      </c>
      <c r="BF19" s="51">
        <v>1</v>
      </c>
      <c r="BG19" s="52">
        <v>2.380952380952381</v>
      </c>
      <c r="BH19" s="51">
        <v>0</v>
      </c>
      <c r="BI19" s="52">
        <v>0</v>
      </c>
      <c r="BJ19" s="51">
        <v>0</v>
      </c>
      <c r="BK19" s="52">
        <v>0</v>
      </c>
      <c r="BL19" s="51">
        <v>41</v>
      </c>
      <c r="BM19" s="52">
        <v>97.61904761904762</v>
      </c>
      <c r="BN19" s="51">
        <v>42</v>
      </c>
    </row>
    <row r="20" spans="1:66" ht="15">
      <c r="A20" s="81" t="s">
        <v>249</v>
      </c>
      <c r="B20" s="81" t="s">
        <v>253</v>
      </c>
      <c r="C20" s="53"/>
      <c r="D20" s="54"/>
      <c r="E20" s="53"/>
      <c r="F20" s="55"/>
      <c r="G20" s="53"/>
      <c r="H20" s="57"/>
      <c r="I20" s="56"/>
      <c r="J20" s="56"/>
      <c r="K20" s="36" t="s">
        <v>65</v>
      </c>
      <c r="L20" s="62">
        <v>22</v>
      </c>
      <c r="M20" s="62"/>
      <c r="N20" s="63"/>
      <c r="O20" s="83" t="s">
        <v>287</v>
      </c>
      <c r="P20" s="85">
        <v>44482.52141203704</v>
      </c>
      <c r="Q20" s="83" t="s">
        <v>301</v>
      </c>
      <c r="R20" s="83"/>
      <c r="S20" s="83"/>
      <c r="T20" s="89" t="s">
        <v>346</v>
      </c>
      <c r="U20" s="87" t="str">
        <f>HYPERLINK("https://pbs.twimg.com/media/FBlFJBgWEAAILms.jpg")</f>
        <v>https://pbs.twimg.com/media/FBlFJBgWEAAILms.jpg</v>
      </c>
      <c r="V20" s="87" t="str">
        <f>HYPERLINK("https://pbs.twimg.com/media/FBlFJBgWEAAILms.jpg")</f>
        <v>https://pbs.twimg.com/media/FBlFJBgWEAAILms.jpg</v>
      </c>
      <c r="W20" s="85">
        <v>44482.52141203704</v>
      </c>
      <c r="X20" s="91">
        <v>44482</v>
      </c>
      <c r="Y20" s="89" t="s">
        <v>375</v>
      </c>
      <c r="Z20" s="87" t="str">
        <f>HYPERLINK("https://twitter.com/ark_royal0909/status/1448264970014105601")</f>
        <v>https://twitter.com/ark_royal0909/status/1448264970014105601</v>
      </c>
      <c r="AA20" s="83"/>
      <c r="AB20" s="83"/>
      <c r="AC20" s="89" t="s">
        <v>418</v>
      </c>
      <c r="AD20" s="83"/>
      <c r="AE20" s="83" t="b">
        <v>0</v>
      </c>
      <c r="AF20" s="83">
        <v>0</v>
      </c>
      <c r="AG20" s="89" t="s">
        <v>448</v>
      </c>
      <c r="AH20" s="83" t="b">
        <v>0</v>
      </c>
      <c r="AI20" s="83" t="s">
        <v>452</v>
      </c>
      <c r="AJ20" s="83"/>
      <c r="AK20" s="89" t="s">
        <v>448</v>
      </c>
      <c r="AL20" s="83" t="b">
        <v>0</v>
      </c>
      <c r="AM20" s="83">
        <v>2</v>
      </c>
      <c r="AN20" s="89" t="s">
        <v>423</v>
      </c>
      <c r="AO20" s="89" t="s">
        <v>457</v>
      </c>
      <c r="AP20" s="83" t="b">
        <v>0</v>
      </c>
      <c r="AQ20" s="89" t="s">
        <v>423</v>
      </c>
      <c r="AR20" s="83" t="s">
        <v>196</v>
      </c>
      <c r="AS20" s="83">
        <v>0</v>
      </c>
      <c r="AT20" s="83">
        <v>0</v>
      </c>
      <c r="AU20" s="83"/>
      <c r="AV20" s="83"/>
      <c r="AW20" s="83"/>
      <c r="AX20" s="83"/>
      <c r="AY20" s="83"/>
      <c r="AZ20" s="83"/>
      <c r="BA20" s="83"/>
      <c r="BB20" s="83"/>
      <c r="BC20">
        <v>1</v>
      </c>
      <c r="BD20" s="82" t="str">
        <f>REPLACE(INDEX(GroupVertices[Group],MATCH(Edges25[[#This Row],[Vertex 1]],GroupVertices[Vertex],0)),1,1,"")</f>
        <v>2</v>
      </c>
      <c r="BE20" s="82" t="str">
        <f>REPLACE(INDEX(GroupVertices[Group],MATCH(Edges25[[#This Row],[Vertex 2]],GroupVertices[Vertex],0)),1,1,"")</f>
        <v>2</v>
      </c>
      <c r="BF20" s="51">
        <v>0</v>
      </c>
      <c r="BG20" s="52">
        <v>0</v>
      </c>
      <c r="BH20" s="51">
        <v>1</v>
      </c>
      <c r="BI20" s="52">
        <v>2.4390243902439024</v>
      </c>
      <c r="BJ20" s="51">
        <v>0</v>
      </c>
      <c r="BK20" s="52">
        <v>0</v>
      </c>
      <c r="BL20" s="51">
        <v>40</v>
      </c>
      <c r="BM20" s="52">
        <v>97.5609756097561</v>
      </c>
      <c r="BN20" s="51">
        <v>41</v>
      </c>
    </row>
    <row r="21" spans="1:66" ht="15">
      <c r="A21" s="81" t="s">
        <v>250</v>
      </c>
      <c r="B21" s="81" t="s">
        <v>277</v>
      </c>
      <c r="C21" s="53"/>
      <c r="D21" s="54"/>
      <c r="E21" s="53"/>
      <c r="F21" s="55"/>
      <c r="G21" s="53"/>
      <c r="H21" s="57"/>
      <c r="I21" s="56"/>
      <c r="J21" s="56"/>
      <c r="K21" s="36" t="s">
        <v>65</v>
      </c>
      <c r="L21" s="62">
        <v>23</v>
      </c>
      <c r="M21" s="62"/>
      <c r="N21" s="63"/>
      <c r="O21" s="83" t="s">
        <v>285</v>
      </c>
      <c r="P21" s="85">
        <v>44481.88099537037</v>
      </c>
      <c r="Q21" s="83" t="s">
        <v>302</v>
      </c>
      <c r="R21" s="87" t="str">
        <f>HYPERLINK("https://nodexlgraphgallery.org/Pages/Graph.aspx?graphID=264394")</f>
        <v>https://nodexlgraphgallery.org/Pages/Graph.aspx?graphID=264394</v>
      </c>
      <c r="S21" s="83" t="s">
        <v>326</v>
      </c>
      <c r="T21" s="89" t="s">
        <v>347</v>
      </c>
      <c r="U21" s="83"/>
      <c r="V21" s="87" t="str">
        <f>HYPERLINK("https://pbs.twimg.com/profile_images/993645134372798469/pAZy1Q6j_normal.jpg")</f>
        <v>https://pbs.twimg.com/profile_images/993645134372798469/pAZy1Q6j_normal.jpg</v>
      </c>
      <c r="W21" s="85">
        <v>44481.88099537037</v>
      </c>
      <c r="X21" s="91">
        <v>44481</v>
      </c>
      <c r="Y21" s="89" t="s">
        <v>376</v>
      </c>
      <c r="Z21" s="87" t="str">
        <f>HYPERLINK("https://twitter.com/docassar/status/1448032889485107204")</f>
        <v>https://twitter.com/docassar/status/1448032889485107204</v>
      </c>
      <c r="AA21" s="83"/>
      <c r="AB21" s="83"/>
      <c r="AC21" s="89" t="s">
        <v>419</v>
      </c>
      <c r="AD21" s="83"/>
      <c r="AE21" s="83" t="b">
        <v>0</v>
      </c>
      <c r="AF21" s="83">
        <v>6</v>
      </c>
      <c r="AG21" s="89" t="s">
        <v>448</v>
      </c>
      <c r="AH21" s="83" t="b">
        <v>0</v>
      </c>
      <c r="AI21" s="83" t="s">
        <v>452</v>
      </c>
      <c r="AJ21" s="83"/>
      <c r="AK21" s="89" t="s">
        <v>448</v>
      </c>
      <c r="AL21" s="83" t="b">
        <v>0</v>
      </c>
      <c r="AM21" s="83">
        <v>1</v>
      </c>
      <c r="AN21" s="89" t="s">
        <v>448</v>
      </c>
      <c r="AO21" s="89" t="s">
        <v>456</v>
      </c>
      <c r="AP21" s="83" t="b">
        <v>0</v>
      </c>
      <c r="AQ21" s="89" t="s">
        <v>419</v>
      </c>
      <c r="AR21" s="83" t="s">
        <v>196</v>
      </c>
      <c r="AS21" s="83">
        <v>0</v>
      </c>
      <c r="AT21" s="83">
        <v>0</v>
      </c>
      <c r="AU21" s="83"/>
      <c r="AV21" s="83"/>
      <c r="AW21" s="83"/>
      <c r="AX21" s="83"/>
      <c r="AY21" s="83"/>
      <c r="AZ21" s="83"/>
      <c r="BA21" s="83"/>
      <c r="BB21" s="83"/>
      <c r="BC21">
        <v>1</v>
      </c>
      <c r="BD21" s="82" t="str">
        <f>REPLACE(INDEX(GroupVertices[Group],MATCH(Edges25[[#This Row],[Vertex 1]],GroupVertices[Vertex],0)),1,1,"")</f>
        <v>1</v>
      </c>
      <c r="BE21" s="82" t="str">
        <f>REPLACE(INDEX(GroupVertices[Group],MATCH(Edges25[[#This Row],[Vertex 2]],GroupVertices[Vertex],0)),1,1,"")</f>
        <v>1</v>
      </c>
      <c r="BF21" s="51"/>
      <c r="BG21" s="52"/>
      <c r="BH21" s="51"/>
      <c r="BI21" s="52"/>
      <c r="BJ21" s="51"/>
      <c r="BK21" s="52"/>
      <c r="BL21" s="51"/>
      <c r="BM21" s="52"/>
      <c r="BN21" s="51"/>
    </row>
    <row r="22" spans="1:66" ht="15">
      <c r="A22" s="81" t="s">
        <v>251</v>
      </c>
      <c r="B22" s="81" t="s">
        <v>277</v>
      </c>
      <c r="C22" s="53"/>
      <c r="D22" s="54"/>
      <c r="E22" s="53"/>
      <c r="F22" s="55"/>
      <c r="G22" s="53"/>
      <c r="H22" s="57"/>
      <c r="I22" s="56"/>
      <c r="J22" s="56"/>
      <c r="K22" s="36" t="s">
        <v>65</v>
      </c>
      <c r="L22" s="62">
        <v>24</v>
      </c>
      <c r="M22" s="62"/>
      <c r="N22" s="63"/>
      <c r="O22" s="83" t="s">
        <v>286</v>
      </c>
      <c r="P22" s="85">
        <v>44482.836180555554</v>
      </c>
      <c r="Q22" s="83" t="s">
        <v>302</v>
      </c>
      <c r="R22" s="87" t="str">
        <f>HYPERLINK("https://nodexlgraphgallery.org/Pages/Graph.aspx?graphID=264394")</f>
        <v>https://nodexlgraphgallery.org/Pages/Graph.aspx?graphID=264394</v>
      </c>
      <c r="S22" s="83" t="s">
        <v>326</v>
      </c>
      <c r="T22" s="83"/>
      <c r="U22" s="83"/>
      <c r="V22" s="87" t="str">
        <f>HYPERLINK("https://pbs.twimg.com/profile_images/1365866667100827650/Sz4fHM1k_normal.jpg")</f>
        <v>https://pbs.twimg.com/profile_images/1365866667100827650/Sz4fHM1k_normal.jpg</v>
      </c>
      <c r="W22" s="85">
        <v>44482.836180555554</v>
      </c>
      <c r="X22" s="91">
        <v>44482</v>
      </c>
      <c r="Y22" s="89" t="s">
        <v>377</v>
      </c>
      <c r="Z22" s="87" t="str">
        <f>HYPERLINK("https://twitter.com/ra_mc/status/1448379038314246150")</f>
        <v>https://twitter.com/ra_mc/status/1448379038314246150</v>
      </c>
      <c r="AA22" s="83"/>
      <c r="AB22" s="83"/>
      <c r="AC22" s="89" t="s">
        <v>420</v>
      </c>
      <c r="AD22" s="83"/>
      <c r="AE22" s="83" t="b">
        <v>0</v>
      </c>
      <c r="AF22" s="83">
        <v>0</v>
      </c>
      <c r="AG22" s="89" t="s">
        <v>448</v>
      </c>
      <c r="AH22" s="83" t="b">
        <v>0</v>
      </c>
      <c r="AI22" s="83" t="s">
        <v>452</v>
      </c>
      <c r="AJ22" s="83"/>
      <c r="AK22" s="89" t="s">
        <v>448</v>
      </c>
      <c r="AL22" s="83" t="b">
        <v>0</v>
      </c>
      <c r="AM22" s="83">
        <v>1</v>
      </c>
      <c r="AN22" s="89" t="s">
        <v>419</v>
      </c>
      <c r="AO22" s="89" t="s">
        <v>461</v>
      </c>
      <c r="AP22" s="83" t="b">
        <v>0</v>
      </c>
      <c r="AQ22" s="89" t="s">
        <v>419</v>
      </c>
      <c r="AR22" s="83" t="s">
        <v>196</v>
      </c>
      <c r="AS22" s="83">
        <v>0</v>
      </c>
      <c r="AT22" s="83">
        <v>0</v>
      </c>
      <c r="AU22" s="83"/>
      <c r="AV22" s="83"/>
      <c r="AW22" s="83"/>
      <c r="AX22" s="83"/>
      <c r="AY22" s="83"/>
      <c r="AZ22" s="83"/>
      <c r="BA22" s="83"/>
      <c r="BB22" s="83"/>
      <c r="BC22">
        <v>1</v>
      </c>
      <c r="BD22" s="82" t="str">
        <f>REPLACE(INDEX(GroupVertices[Group],MATCH(Edges25[[#This Row],[Vertex 1]],GroupVertices[Vertex],0)),1,1,"")</f>
        <v>1</v>
      </c>
      <c r="BE22" s="82" t="str">
        <f>REPLACE(INDEX(GroupVertices[Group],MATCH(Edges25[[#This Row],[Vertex 2]],GroupVertices[Vertex],0)),1,1,"")</f>
        <v>1</v>
      </c>
      <c r="BF22" s="51"/>
      <c r="BG22" s="52"/>
      <c r="BH22" s="51"/>
      <c r="BI22" s="52"/>
      <c r="BJ22" s="51"/>
      <c r="BK22" s="52"/>
      <c r="BL22" s="51"/>
      <c r="BM22" s="52"/>
      <c r="BN22" s="51"/>
    </row>
    <row r="23" spans="1:66" ht="15">
      <c r="A23" s="81" t="s">
        <v>252</v>
      </c>
      <c r="B23" s="81" t="s">
        <v>253</v>
      </c>
      <c r="C23" s="53"/>
      <c r="D23" s="54"/>
      <c r="E23" s="53"/>
      <c r="F23" s="55"/>
      <c r="G23" s="53"/>
      <c r="H23" s="57"/>
      <c r="I23" s="56"/>
      <c r="J23" s="56"/>
      <c r="K23" s="36" t="s">
        <v>65</v>
      </c>
      <c r="L23" s="62">
        <v>43</v>
      </c>
      <c r="M23" s="62"/>
      <c r="N23" s="63"/>
      <c r="O23" s="83" t="s">
        <v>287</v>
      </c>
      <c r="P23" s="85">
        <v>44483.00938657407</v>
      </c>
      <c r="Q23" s="83" t="s">
        <v>303</v>
      </c>
      <c r="R23" s="87" t="str">
        <f>HYPERLINK("https://m-vest.com/events/global-agtech?utm_source=press_release&amp;utm_medium=pr&amp;utm_term=presenters")</f>
        <v>https://m-vest.com/events/global-agtech?utm_source=press_release&amp;utm_medium=pr&amp;utm_term=presenters</v>
      </c>
      <c r="S23" s="83" t="s">
        <v>327</v>
      </c>
      <c r="T23" s="89" t="s">
        <v>348</v>
      </c>
      <c r="U23" s="87" t="str">
        <f>HYPERLINK("https://pbs.twimg.com/media/FBluVp_XoAQGM6X.jpg")</f>
        <v>https://pbs.twimg.com/media/FBluVp_XoAQGM6X.jpg</v>
      </c>
      <c r="V23" s="87" t="str">
        <f>HYPERLINK("https://pbs.twimg.com/media/FBluVp_XoAQGM6X.jpg")</f>
        <v>https://pbs.twimg.com/media/FBluVp_XoAQGM6X.jpg</v>
      </c>
      <c r="W23" s="85">
        <v>44483.00938657407</v>
      </c>
      <c r="X23" s="91">
        <v>44483</v>
      </c>
      <c r="Y23" s="89" t="s">
        <v>378</v>
      </c>
      <c r="Z23" s="87" t="str">
        <f>HYPERLINK("https://twitter.com/luutremendous/status/1448441803535958021")</f>
        <v>https://twitter.com/luutremendous/status/1448441803535958021</v>
      </c>
      <c r="AA23" s="83"/>
      <c r="AB23" s="83"/>
      <c r="AC23" s="89" t="s">
        <v>421</v>
      </c>
      <c r="AD23" s="83"/>
      <c r="AE23" s="83" t="b">
        <v>0</v>
      </c>
      <c r="AF23" s="83">
        <v>0</v>
      </c>
      <c r="AG23" s="89" t="s">
        <v>448</v>
      </c>
      <c r="AH23" s="83" t="b">
        <v>0</v>
      </c>
      <c r="AI23" s="83" t="s">
        <v>452</v>
      </c>
      <c r="AJ23" s="83"/>
      <c r="AK23" s="89" t="s">
        <v>448</v>
      </c>
      <c r="AL23" s="83" t="b">
        <v>0</v>
      </c>
      <c r="AM23" s="83">
        <v>1</v>
      </c>
      <c r="AN23" s="89" t="s">
        <v>424</v>
      </c>
      <c r="AO23" s="89" t="s">
        <v>457</v>
      </c>
      <c r="AP23" s="83" t="b">
        <v>0</v>
      </c>
      <c r="AQ23" s="89" t="s">
        <v>424</v>
      </c>
      <c r="AR23" s="83" t="s">
        <v>196</v>
      </c>
      <c r="AS23" s="83">
        <v>0</v>
      </c>
      <c r="AT23" s="83">
        <v>0</v>
      </c>
      <c r="AU23" s="83"/>
      <c r="AV23" s="83"/>
      <c r="AW23" s="83"/>
      <c r="AX23" s="83"/>
      <c r="AY23" s="83"/>
      <c r="AZ23" s="83"/>
      <c r="BA23" s="83"/>
      <c r="BB23" s="83"/>
      <c r="BC23">
        <v>1</v>
      </c>
      <c r="BD23" s="82" t="str">
        <f>REPLACE(INDEX(GroupVertices[Group],MATCH(Edges25[[#This Row],[Vertex 1]],GroupVertices[Vertex],0)),1,1,"")</f>
        <v>2</v>
      </c>
      <c r="BE23" s="82" t="str">
        <f>REPLACE(INDEX(GroupVertices[Group],MATCH(Edges25[[#This Row],[Vertex 2]],GroupVertices[Vertex],0)),1,1,"")</f>
        <v>2</v>
      </c>
      <c r="BF23" s="51">
        <v>3</v>
      </c>
      <c r="BG23" s="52">
        <v>9.090909090909092</v>
      </c>
      <c r="BH23" s="51">
        <v>0</v>
      </c>
      <c r="BI23" s="52">
        <v>0</v>
      </c>
      <c r="BJ23" s="51">
        <v>0</v>
      </c>
      <c r="BK23" s="52">
        <v>0</v>
      </c>
      <c r="BL23" s="51">
        <v>30</v>
      </c>
      <c r="BM23" s="52">
        <v>90.9090909090909</v>
      </c>
      <c r="BN23" s="51">
        <v>33</v>
      </c>
    </row>
    <row r="24" spans="1:66" ht="15">
      <c r="A24" s="81" t="s">
        <v>253</v>
      </c>
      <c r="B24" s="81" t="s">
        <v>253</v>
      </c>
      <c r="C24" s="53"/>
      <c r="D24" s="54"/>
      <c r="E24" s="53"/>
      <c r="F24" s="55"/>
      <c r="G24" s="53"/>
      <c r="H24" s="57"/>
      <c r="I24" s="56"/>
      <c r="J24" s="56"/>
      <c r="K24" s="36" t="s">
        <v>65</v>
      </c>
      <c r="L24" s="62">
        <v>44</v>
      </c>
      <c r="M24" s="62"/>
      <c r="N24" s="63"/>
      <c r="O24" s="83" t="s">
        <v>196</v>
      </c>
      <c r="P24" s="85">
        <v>44476.60767361111</v>
      </c>
      <c r="Q24" s="83" t="s">
        <v>293</v>
      </c>
      <c r="R24" s="87" t="str">
        <f>HYPERLINK("https://twitter.com/Calcalistech/status/1446115448035020808")</f>
        <v>https://twitter.com/Calcalistech/status/1446115448035020808</v>
      </c>
      <c r="S24" s="83" t="s">
        <v>321</v>
      </c>
      <c r="T24" s="89" t="s">
        <v>339</v>
      </c>
      <c r="U24" s="83"/>
      <c r="V24" s="87" t="str">
        <f>HYPERLINK("https://pbs.twimg.com/profile_images/1371467367474200579/0gVpA3fB_normal.jpg")</f>
        <v>https://pbs.twimg.com/profile_images/1371467367474200579/0gVpA3fB_normal.jpg</v>
      </c>
      <c r="W24" s="85">
        <v>44476.60767361111</v>
      </c>
      <c r="X24" s="91">
        <v>44476</v>
      </c>
      <c r="Y24" s="89" t="s">
        <v>379</v>
      </c>
      <c r="Z24" s="87" t="str">
        <f>HYPERLINK("https://twitter.com/meatech3d/status/1446121902804664324")</f>
        <v>https://twitter.com/meatech3d/status/1446121902804664324</v>
      </c>
      <c r="AA24" s="83"/>
      <c r="AB24" s="83"/>
      <c r="AC24" s="89" t="s">
        <v>422</v>
      </c>
      <c r="AD24" s="83"/>
      <c r="AE24" s="83" t="b">
        <v>0</v>
      </c>
      <c r="AF24" s="83">
        <v>15</v>
      </c>
      <c r="AG24" s="89" t="s">
        <v>448</v>
      </c>
      <c r="AH24" s="83" t="b">
        <v>1</v>
      </c>
      <c r="AI24" s="83" t="s">
        <v>452</v>
      </c>
      <c r="AJ24" s="83"/>
      <c r="AK24" s="89" t="s">
        <v>454</v>
      </c>
      <c r="AL24" s="83" t="b">
        <v>0</v>
      </c>
      <c r="AM24" s="83">
        <v>8</v>
      </c>
      <c r="AN24" s="89" t="s">
        <v>448</v>
      </c>
      <c r="AO24" s="89" t="s">
        <v>456</v>
      </c>
      <c r="AP24" s="83" t="b">
        <v>0</v>
      </c>
      <c r="AQ24" s="89" t="s">
        <v>422</v>
      </c>
      <c r="AR24" s="83" t="s">
        <v>287</v>
      </c>
      <c r="AS24" s="83">
        <v>0</v>
      </c>
      <c r="AT24" s="83">
        <v>0</v>
      </c>
      <c r="AU24" s="83"/>
      <c r="AV24" s="83"/>
      <c r="AW24" s="83"/>
      <c r="AX24" s="83"/>
      <c r="AY24" s="83"/>
      <c r="AZ24" s="83"/>
      <c r="BA24" s="83"/>
      <c r="BB24" s="83"/>
      <c r="BC24">
        <v>3</v>
      </c>
      <c r="BD24" s="82" t="str">
        <f>REPLACE(INDEX(GroupVertices[Group],MATCH(Edges25[[#This Row],[Vertex 1]],GroupVertices[Vertex],0)),1,1,"")</f>
        <v>2</v>
      </c>
      <c r="BE24" s="82" t="str">
        <f>REPLACE(INDEX(GroupVertices[Group],MATCH(Edges25[[#This Row],[Vertex 2]],GroupVertices[Vertex],0)),1,1,"")</f>
        <v>2</v>
      </c>
      <c r="BF24" s="51">
        <v>1</v>
      </c>
      <c r="BG24" s="52">
        <v>5</v>
      </c>
      <c r="BH24" s="51">
        <v>0</v>
      </c>
      <c r="BI24" s="52">
        <v>0</v>
      </c>
      <c r="BJ24" s="51">
        <v>0</v>
      </c>
      <c r="BK24" s="52">
        <v>0</v>
      </c>
      <c r="BL24" s="51">
        <v>19</v>
      </c>
      <c r="BM24" s="52">
        <v>95</v>
      </c>
      <c r="BN24" s="51">
        <v>20</v>
      </c>
    </row>
    <row r="25" spans="1:66" ht="15">
      <c r="A25" s="81" t="s">
        <v>253</v>
      </c>
      <c r="B25" s="81" t="s">
        <v>253</v>
      </c>
      <c r="C25" s="53"/>
      <c r="D25" s="54"/>
      <c r="E25" s="53"/>
      <c r="F25" s="55"/>
      <c r="G25" s="53"/>
      <c r="H25" s="57"/>
      <c r="I25" s="56"/>
      <c r="J25" s="56"/>
      <c r="K25" s="36" t="s">
        <v>65</v>
      </c>
      <c r="L25" s="62">
        <v>45</v>
      </c>
      <c r="M25" s="62"/>
      <c r="N25" s="63"/>
      <c r="O25" s="83" t="s">
        <v>196</v>
      </c>
      <c r="P25" s="85">
        <v>44482.520891203705</v>
      </c>
      <c r="Q25" s="83" t="s">
        <v>301</v>
      </c>
      <c r="R25" s="83"/>
      <c r="S25" s="83"/>
      <c r="T25" s="89" t="s">
        <v>346</v>
      </c>
      <c r="U25" s="87" t="str">
        <f>HYPERLINK("https://pbs.twimg.com/media/FBlFJBgWEAAILms.jpg")</f>
        <v>https://pbs.twimg.com/media/FBlFJBgWEAAILms.jpg</v>
      </c>
      <c r="V25" s="87" t="str">
        <f>HYPERLINK("https://pbs.twimg.com/media/FBlFJBgWEAAILms.jpg")</f>
        <v>https://pbs.twimg.com/media/FBlFJBgWEAAILms.jpg</v>
      </c>
      <c r="W25" s="85">
        <v>44482.520891203705</v>
      </c>
      <c r="X25" s="91">
        <v>44482</v>
      </c>
      <c r="Y25" s="89" t="s">
        <v>380</v>
      </c>
      <c r="Z25" s="87" t="str">
        <f>HYPERLINK("https://twitter.com/meatech3d/status/1448264778066051073")</f>
        <v>https://twitter.com/meatech3d/status/1448264778066051073</v>
      </c>
      <c r="AA25" s="83"/>
      <c r="AB25" s="83"/>
      <c r="AC25" s="89" t="s">
        <v>423</v>
      </c>
      <c r="AD25" s="83"/>
      <c r="AE25" s="83" t="b">
        <v>0</v>
      </c>
      <c r="AF25" s="83">
        <v>18</v>
      </c>
      <c r="AG25" s="89" t="s">
        <v>448</v>
      </c>
      <c r="AH25" s="83" t="b">
        <v>0</v>
      </c>
      <c r="AI25" s="83" t="s">
        <v>452</v>
      </c>
      <c r="AJ25" s="83"/>
      <c r="AK25" s="89" t="s">
        <v>448</v>
      </c>
      <c r="AL25" s="83" t="b">
        <v>0</v>
      </c>
      <c r="AM25" s="83">
        <v>2</v>
      </c>
      <c r="AN25" s="89" t="s">
        <v>448</v>
      </c>
      <c r="AO25" s="89" t="s">
        <v>458</v>
      </c>
      <c r="AP25" s="83" t="b">
        <v>0</v>
      </c>
      <c r="AQ25" s="89" t="s">
        <v>423</v>
      </c>
      <c r="AR25" s="83" t="s">
        <v>196</v>
      </c>
      <c r="AS25" s="83">
        <v>0</v>
      </c>
      <c r="AT25" s="83">
        <v>0</v>
      </c>
      <c r="AU25" s="83"/>
      <c r="AV25" s="83"/>
      <c r="AW25" s="83"/>
      <c r="AX25" s="83"/>
      <c r="AY25" s="83"/>
      <c r="AZ25" s="83"/>
      <c r="BA25" s="83"/>
      <c r="BB25" s="83"/>
      <c r="BC25">
        <v>3</v>
      </c>
      <c r="BD25" s="82" t="str">
        <f>REPLACE(INDEX(GroupVertices[Group],MATCH(Edges25[[#This Row],[Vertex 1]],GroupVertices[Vertex],0)),1,1,"")</f>
        <v>2</v>
      </c>
      <c r="BE25" s="82" t="str">
        <f>REPLACE(INDEX(GroupVertices[Group],MATCH(Edges25[[#This Row],[Vertex 2]],GroupVertices[Vertex],0)),1,1,"")</f>
        <v>2</v>
      </c>
      <c r="BF25" s="51">
        <v>0</v>
      </c>
      <c r="BG25" s="52">
        <v>0</v>
      </c>
      <c r="BH25" s="51">
        <v>1</v>
      </c>
      <c r="BI25" s="52">
        <v>2.4390243902439024</v>
      </c>
      <c r="BJ25" s="51">
        <v>0</v>
      </c>
      <c r="BK25" s="52">
        <v>0</v>
      </c>
      <c r="BL25" s="51">
        <v>40</v>
      </c>
      <c r="BM25" s="52">
        <v>97.5609756097561</v>
      </c>
      <c r="BN25" s="51">
        <v>41</v>
      </c>
    </row>
    <row r="26" spans="1:66" ht="15">
      <c r="A26" s="81" t="s">
        <v>253</v>
      </c>
      <c r="B26" s="81" t="s">
        <v>253</v>
      </c>
      <c r="C26" s="53"/>
      <c r="D26" s="54"/>
      <c r="E26" s="53"/>
      <c r="F26" s="55"/>
      <c r="G26" s="53"/>
      <c r="H26" s="57"/>
      <c r="I26" s="56"/>
      <c r="J26" s="56"/>
      <c r="K26" s="36" t="s">
        <v>65</v>
      </c>
      <c r="L26" s="62">
        <v>46</v>
      </c>
      <c r="M26" s="62"/>
      <c r="N26" s="63"/>
      <c r="O26" s="83" t="s">
        <v>196</v>
      </c>
      <c r="P26" s="85">
        <v>44482.64587962963</v>
      </c>
      <c r="Q26" s="83" t="s">
        <v>303</v>
      </c>
      <c r="R26" s="87" t="str">
        <f>HYPERLINK("https://m-vest.com/events/global-agtech?utm_source=press_release&amp;utm_medium=pr&amp;utm_term=presenters")</f>
        <v>https://m-vest.com/events/global-agtech?utm_source=press_release&amp;utm_medium=pr&amp;utm_term=presenters</v>
      </c>
      <c r="S26" s="83" t="s">
        <v>327</v>
      </c>
      <c r="T26" s="89" t="s">
        <v>348</v>
      </c>
      <c r="U26" s="87" t="str">
        <f>HYPERLINK("https://pbs.twimg.com/media/FBluVp_XoAQGM6X.jpg")</f>
        <v>https://pbs.twimg.com/media/FBluVp_XoAQGM6X.jpg</v>
      </c>
      <c r="V26" s="87" t="str">
        <f>HYPERLINK("https://pbs.twimg.com/media/FBluVp_XoAQGM6X.jpg")</f>
        <v>https://pbs.twimg.com/media/FBluVp_XoAQGM6X.jpg</v>
      </c>
      <c r="W26" s="85">
        <v>44482.64587962963</v>
      </c>
      <c r="X26" s="91">
        <v>44482</v>
      </c>
      <c r="Y26" s="89" t="s">
        <v>381</v>
      </c>
      <c r="Z26" s="87" t="str">
        <f>HYPERLINK("https://twitter.com/meatech3d/status/1448310075425234948")</f>
        <v>https://twitter.com/meatech3d/status/1448310075425234948</v>
      </c>
      <c r="AA26" s="83"/>
      <c r="AB26" s="83"/>
      <c r="AC26" s="89" t="s">
        <v>424</v>
      </c>
      <c r="AD26" s="83"/>
      <c r="AE26" s="83" t="b">
        <v>0</v>
      </c>
      <c r="AF26" s="83">
        <v>13</v>
      </c>
      <c r="AG26" s="89" t="s">
        <v>448</v>
      </c>
      <c r="AH26" s="83" t="b">
        <v>0</v>
      </c>
      <c r="AI26" s="83" t="s">
        <v>452</v>
      </c>
      <c r="AJ26" s="83"/>
      <c r="AK26" s="89" t="s">
        <v>448</v>
      </c>
      <c r="AL26" s="83" t="b">
        <v>0</v>
      </c>
      <c r="AM26" s="83">
        <v>1</v>
      </c>
      <c r="AN26" s="89" t="s">
        <v>448</v>
      </c>
      <c r="AO26" s="89" t="s">
        <v>458</v>
      </c>
      <c r="AP26" s="83" t="b">
        <v>0</v>
      </c>
      <c r="AQ26" s="89" t="s">
        <v>424</v>
      </c>
      <c r="AR26" s="83" t="s">
        <v>196</v>
      </c>
      <c r="AS26" s="83">
        <v>0</v>
      </c>
      <c r="AT26" s="83">
        <v>0</v>
      </c>
      <c r="AU26" s="83"/>
      <c r="AV26" s="83"/>
      <c r="AW26" s="83"/>
      <c r="AX26" s="83"/>
      <c r="AY26" s="83"/>
      <c r="AZ26" s="83"/>
      <c r="BA26" s="83"/>
      <c r="BB26" s="83"/>
      <c r="BC26">
        <v>3</v>
      </c>
      <c r="BD26" s="82" t="str">
        <f>REPLACE(INDEX(GroupVertices[Group],MATCH(Edges25[[#This Row],[Vertex 1]],GroupVertices[Vertex],0)),1,1,"")</f>
        <v>2</v>
      </c>
      <c r="BE26" s="82" t="str">
        <f>REPLACE(INDEX(GroupVertices[Group],MATCH(Edges25[[#This Row],[Vertex 2]],GroupVertices[Vertex],0)),1,1,"")</f>
        <v>2</v>
      </c>
      <c r="BF26" s="51">
        <v>3</v>
      </c>
      <c r="BG26" s="52">
        <v>9.090909090909092</v>
      </c>
      <c r="BH26" s="51">
        <v>0</v>
      </c>
      <c r="BI26" s="52">
        <v>0</v>
      </c>
      <c r="BJ26" s="51">
        <v>0</v>
      </c>
      <c r="BK26" s="52">
        <v>0</v>
      </c>
      <c r="BL26" s="51">
        <v>30</v>
      </c>
      <c r="BM26" s="52">
        <v>90.9090909090909</v>
      </c>
      <c r="BN26" s="51">
        <v>33</v>
      </c>
    </row>
    <row r="27" spans="1:66" ht="15">
      <c r="A27" s="81" t="s">
        <v>254</v>
      </c>
      <c r="B27" s="81" t="s">
        <v>253</v>
      </c>
      <c r="C27" s="53"/>
      <c r="D27" s="54"/>
      <c r="E27" s="53"/>
      <c r="F27" s="55"/>
      <c r="G27" s="53"/>
      <c r="H27" s="57"/>
      <c r="I27" s="56"/>
      <c r="J27" s="56"/>
      <c r="K27" s="36" t="s">
        <v>65</v>
      </c>
      <c r="L27" s="62">
        <v>47</v>
      </c>
      <c r="M27" s="62"/>
      <c r="N27" s="63"/>
      <c r="O27" s="83" t="s">
        <v>287</v>
      </c>
      <c r="P27" s="85">
        <v>44482.555127314816</v>
      </c>
      <c r="Q27" s="83" t="s">
        <v>301</v>
      </c>
      <c r="R27" s="83"/>
      <c r="S27" s="83"/>
      <c r="T27" s="89" t="s">
        <v>346</v>
      </c>
      <c r="U27" s="87" t="str">
        <f>HYPERLINK("https://pbs.twimg.com/media/FBlFJBgWEAAILms.jpg")</f>
        <v>https://pbs.twimg.com/media/FBlFJBgWEAAILms.jpg</v>
      </c>
      <c r="V27" s="87" t="str">
        <f>HYPERLINK("https://pbs.twimg.com/media/FBlFJBgWEAAILms.jpg")</f>
        <v>https://pbs.twimg.com/media/FBlFJBgWEAAILms.jpg</v>
      </c>
      <c r="W27" s="85">
        <v>44482.555127314816</v>
      </c>
      <c r="X27" s="91">
        <v>44482</v>
      </c>
      <c r="Y27" s="89" t="s">
        <v>382</v>
      </c>
      <c r="Z27" s="87" t="str">
        <f>HYPERLINK("https://twitter.com/craftmeati/status/1448277186239152130")</f>
        <v>https://twitter.com/craftmeati/status/1448277186239152130</v>
      </c>
      <c r="AA27" s="83"/>
      <c r="AB27" s="83"/>
      <c r="AC27" s="89" t="s">
        <v>425</v>
      </c>
      <c r="AD27" s="83"/>
      <c r="AE27" s="83" t="b">
        <v>0</v>
      </c>
      <c r="AF27" s="83">
        <v>0</v>
      </c>
      <c r="AG27" s="89" t="s">
        <v>448</v>
      </c>
      <c r="AH27" s="83" t="b">
        <v>0</v>
      </c>
      <c r="AI27" s="83" t="s">
        <v>452</v>
      </c>
      <c r="AJ27" s="83"/>
      <c r="AK27" s="89" t="s">
        <v>448</v>
      </c>
      <c r="AL27" s="83" t="b">
        <v>0</v>
      </c>
      <c r="AM27" s="83">
        <v>2</v>
      </c>
      <c r="AN27" s="89" t="s">
        <v>423</v>
      </c>
      <c r="AO27" s="89" t="s">
        <v>457</v>
      </c>
      <c r="AP27" s="83" t="b">
        <v>0</v>
      </c>
      <c r="AQ27" s="89" t="s">
        <v>423</v>
      </c>
      <c r="AR27" s="83" t="s">
        <v>196</v>
      </c>
      <c r="AS27" s="83">
        <v>0</v>
      </c>
      <c r="AT27" s="83">
        <v>0</v>
      </c>
      <c r="AU27" s="83"/>
      <c r="AV27" s="83"/>
      <c r="AW27" s="83"/>
      <c r="AX27" s="83"/>
      <c r="AY27" s="83"/>
      <c r="AZ27" s="83"/>
      <c r="BA27" s="83"/>
      <c r="BB27" s="83"/>
      <c r="BC27">
        <v>1</v>
      </c>
      <c r="BD27" s="82" t="str">
        <f>REPLACE(INDEX(GroupVertices[Group],MATCH(Edges25[[#This Row],[Vertex 1]],GroupVertices[Vertex],0)),1,1,"")</f>
        <v>2</v>
      </c>
      <c r="BE27" s="82" t="str">
        <f>REPLACE(INDEX(GroupVertices[Group],MATCH(Edges25[[#This Row],[Vertex 2]],GroupVertices[Vertex],0)),1,1,"")</f>
        <v>2</v>
      </c>
      <c r="BF27" s="51">
        <v>0</v>
      </c>
      <c r="BG27" s="52">
        <v>0</v>
      </c>
      <c r="BH27" s="51">
        <v>1</v>
      </c>
      <c r="BI27" s="52">
        <v>2.4390243902439024</v>
      </c>
      <c r="BJ27" s="51">
        <v>0</v>
      </c>
      <c r="BK27" s="52">
        <v>0</v>
      </c>
      <c r="BL27" s="51">
        <v>40</v>
      </c>
      <c r="BM27" s="52">
        <v>97.5609756097561</v>
      </c>
      <c r="BN27" s="51">
        <v>41</v>
      </c>
    </row>
    <row r="28" spans="1:66" ht="15">
      <c r="A28" s="81" t="s">
        <v>254</v>
      </c>
      <c r="B28" s="81" t="s">
        <v>255</v>
      </c>
      <c r="C28" s="53"/>
      <c r="D28" s="54"/>
      <c r="E28" s="53"/>
      <c r="F28" s="55"/>
      <c r="G28" s="53"/>
      <c r="H28" s="57"/>
      <c r="I28" s="56"/>
      <c r="J28" s="56"/>
      <c r="K28" s="36" t="s">
        <v>65</v>
      </c>
      <c r="L28" s="62">
        <v>48</v>
      </c>
      <c r="M28" s="62"/>
      <c r="N28" s="63"/>
      <c r="O28" s="83" t="s">
        <v>287</v>
      </c>
      <c r="P28" s="85">
        <v>44483.55862268519</v>
      </c>
      <c r="Q28" s="83" t="s">
        <v>304</v>
      </c>
      <c r="R28" s="87" t="str">
        <f aca="true" t="shared" si="0" ref="R28:R33">HYPERLINK("https://www.linkedin.com/slink?code=eYxyEG3F")</f>
        <v>https://www.linkedin.com/slink?code=eYxyEG3F</v>
      </c>
      <c r="S28" s="83" t="s">
        <v>324</v>
      </c>
      <c r="T28" s="89" t="s">
        <v>349</v>
      </c>
      <c r="U28" s="83"/>
      <c r="V28" s="87" t="str">
        <f>HYPERLINK("https://pbs.twimg.com/profile_images/1207023594204741634/oNEPNuoG_normal.jpg")</f>
        <v>https://pbs.twimg.com/profile_images/1207023594204741634/oNEPNuoG_normal.jpg</v>
      </c>
      <c r="W28" s="85">
        <v>44483.55862268519</v>
      </c>
      <c r="X28" s="91">
        <v>44483</v>
      </c>
      <c r="Y28" s="89" t="s">
        <v>383</v>
      </c>
      <c r="Z28" s="87" t="str">
        <f>HYPERLINK("https://twitter.com/craftmeati/status/1448640840637812739")</f>
        <v>https://twitter.com/craftmeati/status/1448640840637812739</v>
      </c>
      <c r="AA28" s="83"/>
      <c r="AB28" s="83"/>
      <c r="AC28" s="89" t="s">
        <v>426</v>
      </c>
      <c r="AD28" s="83"/>
      <c r="AE28" s="83" t="b">
        <v>0</v>
      </c>
      <c r="AF28" s="83">
        <v>0</v>
      </c>
      <c r="AG28" s="89" t="s">
        <v>448</v>
      </c>
      <c r="AH28" s="83" t="b">
        <v>0</v>
      </c>
      <c r="AI28" s="83" t="s">
        <v>452</v>
      </c>
      <c r="AJ28" s="83"/>
      <c r="AK28" s="89" t="s">
        <v>448</v>
      </c>
      <c r="AL28" s="83" t="b">
        <v>0</v>
      </c>
      <c r="AM28" s="83">
        <v>3</v>
      </c>
      <c r="AN28" s="89" t="s">
        <v>428</v>
      </c>
      <c r="AO28" s="89" t="s">
        <v>457</v>
      </c>
      <c r="AP28" s="83" t="b">
        <v>0</v>
      </c>
      <c r="AQ28" s="89" t="s">
        <v>428</v>
      </c>
      <c r="AR28" s="83" t="s">
        <v>196</v>
      </c>
      <c r="AS28" s="83">
        <v>0</v>
      </c>
      <c r="AT28" s="83">
        <v>0</v>
      </c>
      <c r="AU28" s="83"/>
      <c r="AV28" s="83"/>
      <c r="AW28" s="83"/>
      <c r="AX28" s="83"/>
      <c r="AY28" s="83"/>
      <c r="AZ28" s="83"/>
      <c r="BA28" s="83"/>
      <c r="BB28" s="83"/>
      <c r="BC28">
        <v>1</v>
      </c>
      <c r="BD28" s="82" t="str">
        <f>REPLACE(INDEX(GroupVertices[Group],MATCH(Edges25[[#This Row],[Vertex 1]],GroupVertices[Vertex],0)),1,1,"")</f>
        <v>2</v>
      </c>
      <c r="BE28" s="82" t="str">
        <f>REPLACE(INDEX(GroupVertices[Group],MATCH(Edges25[[#This Row],[Vertex 2]],GroupVertices[Vertex],0)),1,1,"")</f>
        <v>2</v>
      </c>
      <c r="BF28" s="51">
        <v>4</v>
      </c>
      <c r="BG28" s="52">
        <v>11.11111111111111</v>
      </c>
      <c r="BH28" s="51">
        <v>0</v>
      </c>
      <c r="BI28" s="52">
        <v>0</v>
      </c>
      <c r="BJ28" s="51">
        <v>0</v>
      </c>
      <c r="BK28" s="52">
        <v>0</v>
      </c>
      <c r="BL28" s="51">
        <v>32</v>
      </c>
      <c r="BM28" s="52">
        <v>88.88888888888889</v>
      </c>
      <c r="BN28" s="51">
        <v>36</v>
      </c>
    </row>
    <row r="29" spans="1:66" ht="15">
      <c r="A29" s="81" t="s">
        <v>254</v>
      </c>
      <c r="B29" s="81" t="s">
        <v>257</v>
      </c>
      <c r="C29" s="53"/>
      <c r="D29" s="54"/>
      <c r="E29" s="53"/>
      <c r="F29" s="55"/>
      <c r="G29" s="53"/>
      <c r="H29" s="57"/>
      <c r="I29" s="56"/>
      <c r="J29" s="56"/>
      <c r="K29" s="36" t="s">
        <v>65</v>
      </c>
      <c r="L29" s="62">
        <v>49</v>
      </c>
      <c r="M29" s="62"/>
      <c r="N29" s="63"/>
      <c r="O29" s="83" t="s">
        <v>287</v>
      </c>
      <c r="P29" s="85">
        <v>44483.55880787037</v>
      </c>
      <c r="Q29" s="83" t="s">
        <v>305</v>
      </c>
      <c r="R29" s="87" t="str">
        <f t="shared" si="0"/>
        <v>https://www.linkedin.com/slink?code=eYxyEG3F</v>
      </c>
      <c r="S29" s="83" t="s">
        <v>324</v>
      </c>
      <c r="T29" s="89" t="s">
        <v>349</v>
      </c>
      <c r="U29" s="83"/>
      <c r="V29" s="87" t="str">
        <f>HYPERLINK("https://pbs.twimg.com/profile_images/1207023594204741634/oNEPNuoG_normal.jpg")</f>
        <v>https://pbs.twimg.com/profile_images/1207023594204741634/oNEPNuoG_normal.jpg</v>
      </c>
      <c r="W29" s="85">
        <v>44483.55880787037</v>
      </c>
      <c r="X29" s="91">
        <v>44483</v>
      </c>
      <c r="Y29" s="89" t="s">
        <v>384</v>
      </c>
      <c r="Z29" s="87" t="str">
        <f>HYPERLINK("https://twitter.com/craftmeati/status/1448640908015058944")</f>
        <v>https://twitter.com/craftmeati/status/1448640908015058944</v>
      </c>
      <c r="AA29" s="83"/>
      <c r="AB29" s="83"/>
      <c r="AC29" s="89" t="s">
        <v>427</v>
      </c>
      <c r="AD29" s="83"/>
      <c r="AE29" s="83" t="b">
        <v>0</v>
      </c>
      <c r="AF29" s="83">
        <v>0</v>
      </c>
      <c r="AG29" s="89" t="s">
        <v>448</v>
      </c>
      <c r="AH29" s="83" t="b">
        <v>0</v>
      </c>
      <c r="AI29" s="83" t="s">
        <v>452</v>
      </c>
      <c r="AJ29" s="83"/>
      <c r="AK29" s="89" t="s">
        <v>448</v>
      </c>
      <c r="AL29" s="83" t="b">
        <v>0</v>
      </c>
      <c r="AM29" s="83">
        <v>3</v>
      </c>
      <c r="AN29" s="89" t="s">
        <v>430</v>
      </c>
      <c r="AO29" s="89" t="s">
        <v>457</v>
      </c>
      <c r="AP29" s="83" t="b">
        <v>0</v>
      </c>
      <c r="AQ29" s="89" t="s">
        <v>430</v>
      </c>
      <c r="AR29" s="83" t="s">
        <v>196</v>
      </c>
      <c r="AS29" s="83">
        <v>0</v>
      </c>
      <c r="AT29" s="83">
        <v>0</v>
      </c>
      <c r="AU29" s="83"/>
      <c r="AV29" s="83"/>
      <c r="AW29" s="83"/>
      <c r="AX29" s="83"/>
      <c r="AY29" s="83"/>
      <c r="AZ29" s="83"/>
      <c r="BA29" s="83"/>
      <c r="BB29" s="83"/>
      <c r="BC29">
        <v>1</v>
      </c>
      <c r="BD29" s="82" t="str">
        <f>REPLACE(INDEX(GroupVertices[Group],MATCH(Edges25[[#This Row],[Vertex 1]],GroupVertices[Vertex],0)),1,1,"")</f>
        <v>2</v>
      </c>
      <c r="BE29" s="82" t="str">
        <f>REPLACE(INDEX(GroupVertices[Group],MATCH(Edges25[[#This Row],[Vertex 2]],GroupVertices[Vertex],0)),1,1,"")</f>
        <v>2</v>
      </c>
      <c r="BF29" s="51">
        <v>4</v>
      </c>
      <c r="BG29" s="52">
        <v>11.11111111111111</v>
      </c>
      <c r="BH29" s="51">
        <v>0</v>
      </c>
      <c r="BI29" s="52">
        <v>0</v>
      </c>
      <c r="BJ29" s="51">
        <v>0</v>
      </c>
      <c r="BK29" s="52">
        <v>0</v>
      </c>
      <c r="BL29" s="51">
        <v>32</v>
      </c>
      <c r="BM29" s="52">
        <v>88.88888888888889</v>
      </c>
      <c r="BN29" s="51">
        <v>36</v>
      </c>
    </row>
    <row r="30" spans="1:66" ht="15">
      <c r="A30" s="81" t="s">
        <v>255</v>
      </c>
      <c r="B30" s="81" t="s">
        <v>255</v>
      </c>
      <c r="C30" s="53"/>
      <c r="D30" s="54"/>
      <c r="E30" s="53"/>
      <c r="F30" s="55"/>
      <c r="G30" s="53"/>
      <c r="H30" s="57"/>
      <c r="I30" s="56"/>
      <c r="J30" s="56"/>
      <c r="K30" s="36" t="s">
        <v>65</v>
      </c>
      <c r="L30" s="62">
        <v>50</v>
      </c>
      <c r="M30" s="62"/>
      <c r="N30" s="63"/>
      <c r="O30" s="83" t="s">
        <v>196</v>
      </c>
      <c r="P30" s="85">
        <v>44483.505578703705</v>
      </c>
      <c r="Q30" s="83" t="s">
        <v>304</v>
      </c>
      <c r="R30" s="87" t="str">
        <f t="shared" si="0"/>
        <v>https://www.linkedin.com/slink?code=eYxyEG3F</v>
      </c>
      <c r="S30" s="83" t="s">
        <v>324</v>
      </c>
      <c r="T30" s="89" t="s">
        <v>349</v>
      </c>
      <c r="U30" s="83"/>
      <c r="V30" s="87" t="str">
        <f>HYPERLINK("https://pbs.twimg.com/profile_images/984100036576456704/VouyI-1m_normal.jpg")</f>
        <v>https://pbs.twimg.com/profile_images/984100036576456704/VouyI-1m_normal.jpg</v>
      </c>
      <c r="W30" s="85">
        <v>44483.505578703705</v>
      </c>
      <c r="X30" s="91">
        <v>44483</v>
      </c>
      <c r="Y30" s="89" t="s">
        <v>385</v>
      </c>
      <c r="Z30" s="87" t="str">
        <f>HYPERLINK("https://twitter.com/cellsrevolved/status/1448621617165316103")</f>
        <v>https://twitter.com/cellsrevolved/status/1448621617165316103</v>
      </c>
      <c r="AA30" s="83"/>
      <c r="AB30" s="83"/>
      <c r="AC30" s="89" t="s">
        <v>428</v>
      </c>
      <c r="AD30" s="83"/>
      <c r="AE30" s="83" t="b">
        <v>0</v>
      </c>
      <c r="AF30" s="83">
        <v>6</v>
      </c>
      <c r="AG30" s="89" t="s">
        <v>448</v>
      </c>
      <c r="AH30" s="83" t="b">
        <v>0</v>
      </c>
      <c r="AI30" s="83" t="s">
        <v>452</v>
      </c>
      <c r="AJ30" s="83"/>
      <c r="AK30" s="89" t="s">
        <v>448</v>
      </c>
      <c r="AL30" s="83" t="b">
        <v>0</v>
      </c>
      <c r="AM30" s="83">
        <v>3</v>
      </c>
      <c r="AN30" s="89" t="s">
        <v>448</v>
      </c>
      <c r="AO30" s="89" t="s">
        <v>456</v>
      </c>
      <c r="AP30" s="83" t="b">
        <v>0</v>
      </c>
      <c r="AQ30" s="89" t="s">
        <v>428</v>
      </c>
      <c r="AR30" s="83" t="s">
        <v>196</v>
      </c>
      <c r="AS30" s="83">
        <v>0</v>
      </c>
      <c r="AT30" s="83">
        <v>0</v>
      </c>
      <c r="AU30" s="83"/>
      <c r="AV30" s="83"/>
      <c r="AW30" s="83"/>
      <c r="AX30" s="83"/>
      <c r="AY30" s="83"/>
      <c r="AZ30" s="83"/>
      <c r="BA30" s="83"/>
      <c r="BB30" s="83"/>
      <c r="BC30">
        <v>1</v>
      </c>
      <c r="BD30" s="82" t="str">
        <f>REPLACE(INDEX(GroupVertices[Group],MATCH(Edges25[[#This Row],[Vertex 1]],GroupVertices[Vertex],0)),1,1,"")</f>
        <v>2</v>
      </c>
      <c r="BE30" s="82" t="str">
        <f>REPLACE(INDEX(GroupVertices[Group],MATCH(Edges25[[#This Row],[Vertex 2]],GroupVertices[Vertex],0)),1,1,"")</f>
        <v>2</v>
      </c>
      <c r="BF30" s="51">
        <v>4</v>
      </c>
      <c r="BG30" s="52">
        <v>11.11111111111111</v>
      </c>
      <c r="BH30" s="51">
        <v>0</v>
      </c>
      <c r="BI30" s="52">
        <v>0</v>
      </c>
      <c r="BJ30" s="51">
        <v>0</v>
      </c>
      <c r="BK30" s="52">
        <v>0</v>
      </c>
      <c r="BL30" s="51">
        <v>32</v>
      </c>
      <c r="BM30" s="52">
        <v>88.88888888888889</v>
      </c>
      <c r="BN30" s="51">
        <v>36</v>
      </c>
    </row>
    <row r="31" spans="1:66" ht="15">
      <c r="A31" s="81" t="s">
        <v>256</v>
      </c>
      <c r="B31" s="81" t="s">
        <v>255</v>
      </c>
      <c r="C31" s="53"/>
      <c r="D31" s="54"/>
      <c r="E31" s="53"/>
      <c r="F31" s="55"/>
      <c r="G31" s="53"/>
      <c r="H31" s="57"/>
      <c r="I31" s="56"/>
      <c r="J31" s="56"/>
      <c r="K31" s="36" t="s">
        <v>65</v>
      </c>
      <c r="L31" s="62">
        <v>51</v>
      </c>
      <c r="M31" s="62"/>
      <c r="N31" s="63"/>
      <c r="O31" s="83" t="s">
        <v>287</v>
      </c>
      <c r="P31" s="85">
        <v>44483.59025462963</v>
      </c>
      <c r="Q31" s="83" t="s">
        <v>304</v>
      </c>
      <c r="R31" s="87" t="str">
        <f t="shared" si="0"/>
        <v>https://www.linkedin.com/slink?code=eYxyEG3F</v>
      </c>
      <c r="S31" s="83" t="s">
        <v>324</v>
      </c>
      <c r="T31" s="89" t="s">
        <v>349</v>
      </c>
      <c r="U31" s="83"/>
      <c r="V31" s="87" t="str">
        <f>HYPERLINK("https://pbs.twimg.com/profile_images/1010691019237556224/VRMgJF2A_normal.jpg")</f>
        <v>https://pbs.twimg.com/profile_images/1010691019237556224/VRMgJF2A_normal.jpg</v>
      </c>
      <c r="W31" s="85">
        <v>44483.59025462963</v>
      </c>
      <c r="X31" s="91">
        <v>44483</v>
      </c>
      <c r="Y31" s="89" t="s">
        <v>386</v>
      </c>
      <c r="Z31" s="87" t="str">
        <f>HYPERLINK("https://twitter.com/martymi90/status/1448652302772965382")</f>
        <v>https://twitter.com/martymi90/status/1448652302772965382</v>
      </c>
      <c r="AA31" s="83"/>
      <c r="AB31" s="83"/>
      <c r="AC31" s="89" t="s">
        <v>429</v>
      </c>
      <c r="AD31" s="83"/>
      <c r="AE31" s="83" t="b">
        <v>0</v>
      </c>
      <c r="AF31" s="83">
        <v>0</v>
      </c>
      <c r="AG31" s="89" t="s">
        <v>448</v>
      </c>
      <c r="AH31" s="83" t="b">
        <v>0</v>
      </c>
      <c r="AI31" s="83" t="s">
        <v>452</v>
      </c>
      <c r="AJ31" s="83"/>
      <c r="AK31" s="89" t="s">
        <v>448</v>
      </c>
      <c r="AL31" s="83" t="b">
        <v>0</v>
      </c>
      <c r="AM31" s="83">
        <v>3</v>
      </c>
      <c r="AN31" s="89" t="s">
        <v>428</v>
      </c>
      <c r="AO31" s="89" t="s">
        <v>461</v>
      </c>
      <c r="AP31" s="83" t="b">
        <v>0</v>
      </c>
      <c r="AQ31" s="89" t="s">
        <v>428</v>
      </c>
      <c r="AR31" s="83" t="s">
        <v>196</v>
      </c>
      <c r="AS31" s="83">
        <v>0</v>
      </c>
      <c r="AT31" s="83">
        <v>0</v>
      </c>
      <c r="AU31" s="83"/>
      <c r="AV31" s="83"/>
      <c r="AW31" s="83"/>
      <c r="AX31" s="83"/>
      <c r="AY31" s="83"/>
      <c r="AZ31" s="83"/>
      <c r="BA31" s="83"/>
      <c r="BB31" s="83"/>
      <c r="BC31">
        <v>1</v>
      </c>
      <c r="BD31" s="82" t="str">
        <f>REPLACE(INDEX(GroupVertices[Group],MATCH(Edges25[[#This Row],[Vertex 1]],GroupVertices[Vertex],0)),1,1,"")</f>
        <v>2</v>
      </c>
      <c r="BE31" s="82" t="str">
        <f>REPLACE(INDEX(GroupVertices[Group],MATCH(Edges25[[#This Row],[Vertex 2]],GroupVertices[Vertex],0)),1,1,"")</f>
        <v>2</v>
      </c>
      <c r="BF31" s="51">
        <v>4</v>
      </c>
      <c r="BG31" s="52">
        <v>11.11111111111111</v>
      </c>
      <c r="BH31" s="51">
        <v>0</v>
      </c>
      <c r="BI31" s="52">
        <v>0</v>
      </c>
      <c r="BJ31" s="51">
        <v>0</v>
      </c>
      <c r="BK31" s="52">
        <v>0</v>
      </c>
      <c r="BL31" s="51">
        <v>32</v>
      </c>
      <c r="BM31" s="52">
        <v>88.88888888888889</v>
      </c>
      <c r="BN31" s="51">
        <v>36</v>
      </c>
    </row>
    <row r="32" spans="1:66" ht="15">
      <c r="A32" s="81" t="s">
        <v>257</v>
      </c>
      <c r="B32" s="81" t="s">
        <v>257</v>
      </c>
      <c r="C32" s="53"/>
      <c r="D32" s="54"/>
      <c r="E32" s="53"/>
      <c r="F32" s="55"/>
      <c r="G32" s="53"/>
      <c r="H32" s="57"/>
      <c r="I32" s="56"/>
      <c r="J32" s="56"/>
      <c r="K32" s="36" t="s">
        <v>65</v>
      </c>
      <c r="L32" s="62">
        <v>52</v>
      </c>
      <c r="M32" s="62"/>
      <c r="N32" s="63"/>
      <c r="O32" s="83" t="s">
        <v>196</v>
      </c>
      <c r="P32" s="85">
        <v>44483.50571759259</v>
      </c>
      <c r="Q32" s="83" t="s">
        <v>305</v>
      </c>
      <c r="R32" s="87" t="str">
        <f t="shared" si="0"/>
        <v>https://www.linkedin.com/slink?code=eYxyEG3F</v>
      </c>
      <c r="S32" s="83" t="s">
        <v>324</v>
      </c>
      <c r="T32" s="89" t="s">
        <v>349</v>
      </c>
      <c r="U32" s="83"/>
      <c r="V32" s="87" t="str">
        <f>HYPERLINK("https://pbs.twimg.com/profile_images/1167006882680246273/h90JwAOF_normal.jpg")</f>
        <v>https://pbs.twimg.com/profile_images/1167006882680246273/h90JwAOF_normal.jpg</v>
      </c>
      <c r="W32" s="85">
        <v>44483.50571759259</v>
      </c>
      <c r="X32" s="91">
        <v>44483</v>
      </c>
      <c r="Y32" s="89" t="s">
        <v>387</v>
      </c>
      <c r="Z32" s="87" t="str">
        <f>HYPERLINK("https://twitter.com/groenewegenleo/status/1448621669585670153")</f>
        <v>https://twitter.com/groenewegenleo/status/1448621669585670153</v>
      </c>
      <c r="AA32" s="83"/>
      <c r="AB32" s="83"/>
      <c r="AC32" s="89" t="s">
        <v>430</v>
      </c>
      <c r="AD32" s="83"/>
      <c r="AE32" s="83" t="b">
        <v>0</v>
      </c>
      <c r="AF32" s="83">
        <v>8</v>
      </c>
      <c r="AG32" s="89" t="s">
        <v>448</v>
      </c>
      <c r="AH32" s="83" t="b">
        <v>0</v>
      </c>
      <c r="AI32" s="83" t="s">
        <v>452</v>
      </c>
      <c r="AJ32" s="83"/>
      <c r="AK32" s="89" t="s">
        <v>448</v>
      </c>
      <c r="AL32" s="83" t="b">
        <v>0</v>
      </c>
      <c r="AM32" s="83">
        <v>3</v>
      </c>
      <c r="AN32" s="89" t="s">
        <v>448</v>
      </c>
      <c r="AO32" s="89" t="s">
        <v>456</v>
      </c>
      <c r="AP32" s="83" t="b">
        <v>0</v>
      </c>
      <c r="AQ32" s="89" t="s">
        <v>430</v>
      </c>
      <c r="AR32" s="83" t="s">
        <v>196</v>
      </c>
      <c r="AS32" s="83">
        <v>0</v>
      </c>
      <c r="AT32" s="83">
        <v>0</v>
      </c>
      <c r="AU32" s="83"/>
      <c r="AV32" s="83"/>
      <c r="AW32" s="83"/>
      <c r="AX32" s="83"/>
      <c r="AY32" s="83"/>
      <c r="AZ32" s="83"/>
      <c r="BA32" s="83"/>
      <c r="BB32" s="83"/>
      <c r="BC32">
        <v>1</v>
      </c>
      <c r="BD32" s="82" t="str">
        <f>REPLACE(INDEX(GroupVertices[Group],MATCH(Edges25[[#This Row],[Vertex 1]],GroupVertices[Vertex],0)),1,1,"")</f>
        <v>2</v>
      </c>
      <c r="BE32" s="82" t="str">
        <f>REPLACE(INDEX(GroupVertices[Group],MATCH(Edges25[[#This Row],[Vertex 2]],GroupVertices[Vertex],0)),1,1,"")</f>
        <v>2</v>
      </c>
      <c r="BF32" s="51">
        <v>4</v>
      </c>
      <c r="BG32" s="52">
        <v>11.11111111111111</v>
      </c>
      <c r="BH32" s="51">
        <v>0</v>
      </c>
      <c r="BI32" s="52">
        <v>0</v>
      </c>
      <c r="BJ32" s="51">
        <v>0</v>
      </c>
      <c r="BK32" s="52">
        <v>0</v>
      </c>
      <c r="BL32" s="51">
        <v>32</v>
      </c>
      <c r="BM32" s="52">
        <v>88.88888888888889</v>
      </c>
      <c r="BN32" s="51">
        <v>36</v>
      </c>
    </row>
    <row r="33" spans="1:66" ht="15">
      <c r="A33" s="81" t="s">
        <v>258</v>
      </c>
      <c r="B33" s="81" t="s">
        <v>257</v>
      </c>
      <c r="C33" s="53"/>
      <c r="D33" s="54"/>
      <c r="E33" s="53"/>
      <c r="F33" s="55"/>
      <c r="G33" s="53"/>
      <c r="H33" s="57"/>
      <c r="I33" s="56"/>
      <c r="J33" s="56"/>
      <c r="K33" s="36" t="s">
        <v>65</v>
      </c>
      <c r="L33" s="62">
        <v>53</v>
      </c>
      <c r="M33" s="62"/>
      <c r="N33" s="63"/>
      <c r="O33" s="83" t="s">
        <v>287</v>
      </c>
      <c r="P33" s="85">
        <v>44483.90114583333</v>
      </c>
      <c r="Q33" s="83" t="s">
        <v>305</v>
      </c>
      <c r="R33" s="87" t="str">
        <f t="shared" si="0"/>
        <v>https://www.linkedin.com/slink?code=eYxyEG3F</v>
      </c>
      <c r="S33" s="83" t="s">
        <v>324</v>
      </c>
      <c r="T33" s="89" t="s">
        <v>349</v>
      </c>
      <c r="U33" s="83"/>
      <c r="V33" s="87" t="str">
        <f>HYPERLINK("https://pbs.twimg.com/profile_images/1447256168385101832/YCiOEDOj_normal.jpg")</f>
        <v>https://pbs.twimg.com/profile_images/1447256168385101832/YCiOEDOj_normal.jpg</v>
      </c>
      <c r="W33" s="85">
        <v>44483.90114583333</v>
      </c>
      <c r="X33" s="91">
        <v>44483</v>
      </c>
      <c r="Y33" s="89" t="s">
        <v>388</v>
      </c>
      <c r="Z33" s="87" t="str">
        <f>HYPERLINK("https://twitter.com/damienclarkson/status/1448764966627168257")</f>
        <v>https://twitter.com/damienclarkson/status/1448764966627168257</v>
      </c>
      <c r="AA33" s="83"/>
      <c r="AB33" s="83"/>
      <c r="AC33" s="89" t="s">
        <v>431</v>
      </c>
      <c r="AD33" s="83"/>
      <c r="AE33" s="83" t="b">
        <v>0</v>
      </c>
      <c r="AF33" s="83">
        <v>0</v>
      </c>
      <c r="AG33" s="89" t="s">
        <v>448</v>
      </c>
      <c r="AH33" s="83" t="b">
        <v>0</v>
      </c>
      <c r="AI33" s="83" t="s">
        <v>452</v>
      </c>
      <c r="AJ33" s="83"/>
      <c r="AK33" s="89" t="s">
        <v>448</v>
      </c>
      <c r="AL33" s="83" t="b">
        <v>0</v>
      </c>
      <c r="AM33" s="83">
        <v>3</v>
      </c>
      <c r="AN33" s="89" t="s">
        <v>430</v>
      </c>
      <c r="AO33" s="89" t="s">
        <v>461</v>
      </c>
      <c r="AP33" s="83" t="b">
        <v>0</v>
      </c>
      <c r="AQ33" s="89" t="s">
        <v>430</v>
      </c>
      <c r="AR33" s="83" t="s">
        <v>196</v>
      </c>
      <c r="AS33" s="83">
        <v>0</v>
      </c>
      <c r="AT33" s="83">
        <v>0</v>
      </c>
      <c r="AU33" s="83"/>
      <c r="AV33" s="83"/>
      <c r="AW33" s="83"/>
      <c r="AX33" s="83"/>
      <c r="AY33" s="83"/>
      <c r="AZ33" s="83"/>
      <c r="BA33" s="83"/>
      <c r="BB33" s="83"/>
      <c r="BC33">
        <v>1</v>
      </c>
      <c r="BD33" s="82" t="str">
        <f>REPLACE(INDEX(GroupVertices[Group],MATCH(Edges25[[#This Row],[Vertex 1]],GroupVertices[Vertex],0)),1,1,"")</f>
        <v>2</v>
      </c>
      <c r="BE33" s="82" t="str">
        <f>REPLACE(INDEX(GroupVertices[Group],MATCH(Edges25[[#This Row],[Vertex 2]],GroupVertices[Vertex],0)),1,1,"")</f>
        <v>2</v>
      </c>
      <c r="BF33" s="51">
        <v>4</v>
      </c>
      <c r="BG33" s="52">
        <v>11.11111111111111</v>
      </c>
      <c r="BH33" s="51">
        <v>0</v>
      </c>
      <c r="BI33" s="52">
        <v>0</v>
      </c>
      <c r="BJ33" s="51">
        <v>0</v>
      </c>
      <c r="BK33" s="52">
        <v>0</v>
      </c>
      <c r="BL33" s="51">
        <v>32</v>
      </c>
      <c r="BM33" s="52">
        <v>88.88888888888889</v>
      </c>
      <c r="BN33" s="51">
        <v>36</v>
      </c>
    </row>
    <row r="34" spans="1:66" ht="15">
      <c r="A34" s="81" t="s">
        <v>259</v>
      </c>
      <c r="B34" s="81" t="s">
        <v>269</v>
      </c>
      <c r="C34" s="53"/>
      <c r="D34" s="54"/>
      <c r="E34" s="53"/>
      <c r="F34" s="55"/>
      <c r="G34" s="53"/>
      <c r="H34" s="57"/>
      <c r="I34" s="56"/>
      <c r="J34" s="56"/>
      <c r="K34" s="36" t="s">
        <v>65</v>
      </c>
      <c r="L34" s="62">
        <v>54</v>
      </c>
      <c r="M34" s="62"/>
      <c r="N34" s="63"/>
      <c r="O34" s="83" t="s">
        <v>287</v>
      </c>
      <c r="P34" s="85">
        <v>44484.206192129626</v>
      </c>
      <c r="Q34" s="83" t="s">
        <v>306</v>
      </c>
      <c r="R34" s="87" t="str">
        <f>HYPERLINK("https://www.who.int/news/item/11-10-2021-who-s-10-calls-for-climate-action-to-assure-sustained-recovery-from-covid-19")</f>
        <v>https://www.who.int/news/item/11-10-2021-who-s-10-calls-for-climate-action-to-assure-sustained-recovery-from-covid-19</v>
      </c>
      <c r="S34" s="83" t="s">
        <v>328</v>
      </c>
      <c r="T34" s="89" t="s">
        <v>350</v>
      </c>
      <c r="U34" s="83"/>
      <c r="V34" s="87" t="str">
        <f>HYPERLINK("https://pbs.twimg.com/profile_images/1343595653230776320/4v1C1DX7_normal.jpg")</f>
        <v>https://pbs.twimg.com/profile_images/1343595653230776320/4v1C1DX7_normal.jpg</v>
      </c>
      <c r="W34" s="85">
        <v>44484.206192129626</v>
      </c>
      <c r="X34" s="91">
        <v>44484</v>
      </c>
      <c r="Y34" s="89" t="s">
        <v>389</v>
      </c>
      <c r="Z34" s="87" t="str">
        <f>HYPERLINK("https://twitter.com/halimantik/status/1448875513196396544")</f>
        <v>https://twitter.com/halimantik/status/1448875513196396544</v>
      </c>
      <c r="AA34" s="83"/>
      <c r="AB34" s="83"/>
      <c r="AC34" s="89" t="s">
        <v>432</v>
      </c>
      <c r="AD34" s="83"/>
      <c r="AE34" s="83" t="b">
        <v>0</v>
      </c>
      <c r="AF34" s="83">
        <v>0</v>
      </c>
      <c r="AG34" s="89" t="s">
        <v>448</v>
      </c>
      <c r="AH34" s="83" t="b">
        <v>0</v>
      </c>
      <c r="AI34" s="83" t="s">
        <v>453</v>
      </c>
      <c r="AJ34" s="83"/>
      <c r="AK34" s="89" t="s">
        <v>448</v>
      </c>
      <c r="AL34" s="83" t="b">
        <v>0</v>
      </c>
      <c r="AM34" s="83">
        <v>4</v>
      </c>
      <c r="AN34" s="89" t="s">
        <v>443</v>
      </c>
      <c r="AO34" s="89" t="s">
        <v>461</v>
      </c>
      <c r="AP34" s="83" t="b">
        <v>0</v>
      </c>
      <c r="AQ34" s="89" t="s">
        <v>443</v>
      </c>
      <c r="AR34" s="83" t="s">
        <v>196</v>
      </c>
      <c r="AS34" s="83">
        <v>0</v>
      </c>
      <c r="AT34" s="83">
        <v>0</v>
      </c>
      <c r="AU34" s="83"/>
      <c r="AV34" s="83"/>
      <c r="AW34" s="83"/>
      <c r="AX34" s="83"/>
      <c r="AY34" s="83"/>
      <c r="AZ34" s="83"/>
      <c r="BA34" s="83"/>
      <c r="BB34" s="83"/>
      <c r="BC34">
        <v>1</v>
      </c>
      <c r="BD34" s="82" t="str">
        <f>REPLACE(INDEX(GroupVertices[Group],MATCH(Edges25[[#This Row],[Vertex 1]],GroupVertices[Vertex],0)),1,1,"")</f>
        <v>4</v>
      </c>
      <c r="BE34" s="82" t="str">
        <f>REPLACE(INDEX(GroupVertices[Group],MATCH(Edges25[[#This Row],[Vertex 2]],GroupVertices[Vertex],0)),1,1,"")</f>
        <v>4</v>
      </c>
      <c r="BF34" s="51">
        <v>0</v>
      </c>
      <c r="BG34" s="52">
        <v>0</v>
      </c>
      <c r="BH34" s="51">
        <v>0</v>
      </c>
      <c r="BI34" s="52">
        <v>0</v>
      </c>
      <c r="BJ34" s="51">
        <v>0</v>
      </c>
      <c r="BK34" s="52">
        <v>0</v>
      </c>
      <c r="BL34" s="51">
        <v>33</v>
      </c>
      <c r="BM34" s="52">
        <v>100</v>
      </c>
      <c r="BN34" s="51">
        <v>33</v>
      </c>
    </row>
    <row r="35" spans="1:66" ht="15">
      <c r="A35" s="81" t="s">
        <v>260</v>
      </c>
      <c r="B35" s="81" t="s">
        <v>260</v>
      </c>
      <c r="C35" s="53"/>
      <c r="D35" s="54"/>
      <c r="E35" s="53"/>
      <c r="F35" s="55"/>
      <c r="G35" s="53"/>
      <c r="H35" s="57"/>
      <c r="I35" s="56"/>
      <c r="J35" s="56"/>
      <c r="K35" s="36" t="s">
        <v>65</v>
      </c>
      <c r="L35" s="62">
        <v>55</v>
      </c>
      <c r="M35" s="62"/>
      <c r="N35" s="63"/>
      <c r="O35" s="83" t="s">
        <v>196</v>
      </c>
      <c r="P35" s="85">
        <v>44484.31857638889</v>
      </c>
      <c r="Q35" s="83" t="s">
        <v>307</v>
      </c>
      <c r="R35" s="87" t="str">
        <f>HYPERLINK("https://bygora.com/2021/10/cultured-meat/")</f>
        <v>https://bygora.com/2021/10/cultured-meat/</v>
      </c>
      <c r="S35" s="83" t="s">
        <v>329</v>
      </c>
      <c r="T35" s="89" t="s">
        <v>351</v>
      </c>
      <c r="U35" s="87" t="str">
        <f>HYPERLINK("https://pbs.twimg.com/media/FBuVopQX0DgTz-5.jpg")</f>
        <v>https://pbs.twimg.com/media/FBuVopQX0DgTz-5.jpg</v>
      </c>
      <c r="V35" s="87" t="str">
        <f>HYPERLINK("https://pbs.twimg.com/media/FBuVopQX0DgTz-5.jpg")</f>
        <v>https://pbs.twimg.com/media/FBuVopQX0DgTz-5.jpg</v>
      </c>
      <c r="W35" s="85">
        <v>44484.31857638889</v>
      </c>
      <c r="X35" s="91">
        <v>44484</v>
      </c>
      <c r="Y35" s="89" t="s">
        <v>390</v>
      </c>
      <c r="Z35" s="87" t="str">
        <f>HYPERLINK("https://twitter.com/bygora_official/status/1448916237820612647")</f>
        <v>https://twitter.com/bygora_official/status/1448916237820612647</v>
      </c>
      <c r="AA35" s="83"/>
      <c r="AB35" s="83"/>
      <c r="AC35" s="89" t="s">
        <v>433</v>
      </c>
      <c r="AD35" s="83"/>
      <c r="AE35" s="83" t="b">
        <v>0</v>
      </c>
      <c r="AF35" s="83">
        <v>0</v>
      </c>
      <c r="AG35" s="89" t="s">
        <v>448</v>
      </c>
      <c r="AH35" s="83" t="b">
        <v>0</v>
      </c>
      <c r="AI35" s="83" t="s">
        <v>452</v>
      </c>
      <c r="AJ35" s="83"/>
      <c r="AK35" s="89" t="s">
        <v>448</v>
      </c>
      <c r="AL35" s="83" t="b">
        <v>0</v>
      </c>
      <c r="AM35" s="83">
        <v>0</v>
      </c>
      <c r="AN35" s="89" t="s">
        <v>448</v>
      </c>
      <c r="AO35" s="89" t="s">
        <v>462</v>
      </c>
      <c r="AP35" s="83" t="b">
        <v>0</v>
      </c>
      <c r="AQ35" s="89" t="s">
        <v>433</v>
      </c>
      <c r="AR35" s="83" t="s">
        <v>196</v>
      </c>
      <c r="AS35" s="83">
        <v>0</v>
      </c>
      <c r="AT35" s="83">
        <v>0</v>
      </c>
      <c r="AU35" s="83"/>
      <c r="AV35" s="83"/>
      <c r="AW35" s="83"/>
      <c r="AX35" s="83"/>
      <c r="AY35" s="83"/>
      <c r="AZ35" s="83"/>
      <c r="BA35" s="83"/>
      <c r="BB35" s="83"/>
      <c r="BC35">
        <v>1</v>
      </c>
      <c r="BD35" s="82" t="str">
        <f>REPLACE(INDEX(GroupVertices[Group],MATCH(Edges25[[#This Row],[Vertex 1]],GroupVertices[Vertex],0)),1,1,"")</f>
        <v>3</v>
      </c>
      <c r="BE35" s="82" t="str">
        <f>REPLACE(INDEX(GroupVertices[Group],MATCH(Edges25[[#This Row],[Vertex 2]],GroupVertices[Vertex],0)),1,1,"")</f>
        <v>3</v>
      </c>
      <c r="BF35" s="51">
        <v>1</v>
      </c>
      <c r="BG35" s="52">
        <v>5.882352941176471</v>
      </c>
      <c r="BH35" s="51">
        <v>0</v>
      </c>
      <c r="BI35" s="52">
        <v>0</v>
      </c>
      <c r="BJ35" s="51">
        <v>0</v>
      </c>
      <c r="BK35" s="52">
        <v>0</v>
      </c>
      <c r="BL35" s="51">
        <v>16</v>
      </c>
      <c r="BM35" s="52">
        <v>94.11764705882354</v>
      </c>
      <c r="BN35" s="51">
        <v>17</v>
      </c>
    </row>
    <row r="36" spans="1:66" ht="15">
      <c r="A36" s="81" t="s">
        <v>261</v>
      </c>
      <c r="B36" s="81" t="s">
        <v>273</v>
      </c>
      <c r="C36" s="53"/>
      <c r="D36" s="54"/>
      <c r="E36" s="53"/>
      <c r="F36" s="55"/>
      <c r="G36" s="53"/>
      <c r="H36" s="57"/>
      <c r="I36" s="56"/>
      <c r="J36" s="56"/>
      <c r="K36" s="36" t="s">
        <v>65</v>
      </c>
      <c r="L36" s="62">
        <v>56</v>
      </c>
      <c r="M36" s="62"/>
      <c r="N36" s="63"/>
      <c r="O36" s="83" t="s">
        <v>285</v>
      </c>
      <c r="P36" s="85">
        <v>44484.51414351852</v>
      </c>
      <c r="Q36" s="83" t="s">
        <v>308</v>
      </c>
      <c r="R36" s="87" t="str">
        <f>HYPERLINK("https://thecounter.org/lab-grown-cultivated-meat-cost-at-scale/")</f>
        <v>https://thecounter.org/lab-grown-cultivated-meat-cost-at-scale/</v>
      </c>
      <c r="S36" s="83" t="s">
        <v>322</v>
      </c>
      <c r="T36" s="89" t="s">
        <v>352</v>
      </c>
      <c r="U36" s="83"/>
      <c r="V36" s="87" t="str">
        <f>HYPERLINK("https://pbs.twimg.com/profile_images/1133001947433250816/nFV7USqn_normal.jpg")</f>
        <v>https://pbs.twimg.com/profile_images/1133001947433250816/nFV7USqn_normal.jpg</v>
      </c>
      <c r="W36" s="85">
        <v>44484.51414351852</v>
      </c>
      <c r="X36" s="91">
        <v>44484</v>
      </c>
      <c r="Y36" s="89" t="s">
        <v>391</v>
      </c>
      <c r="Z36" s="87" t="str">
        <f>HYPERLINK("https://twitter.com/agreenerworlduk/status/1448987108559970307")</f>
        <v>https://twitter.com/agreenerworlduk/status/1448987108559970307</v>
      </c>
      <c r="AA36" s="83"/>
      <c r="AB36" s="83"/>
      <c r="AC36" s="89" t="s">
        <v>434</v>
      </c>
      <c r="AD36" s="83"/>
      <c r="AE36" s="83" t="b">
        <v>0</v>
      </c>
      <c r="AF36" s="83">
        <v>0</v>
      </c>
      <c r="AG36" s="89" t="s">
        <v>448</v>
      </c>
      <c r="AH36" s="83" t="b">
        <v>0</v>
      </c>
      <c r="AI36" s="83" t="s">
        <v>452</v>
      </c>
      <c r="AJ36" s="83"/>
      <c r="AK36" s="89" t="s">
        <v>448</v>
      </c>
      <c r="AL36" s="83" t="b">
        <v>0</v>
      </c>
      <c r="AM36" s="83">
        <v>0</v>
      </c>
      <c r="AN36" s="89" t="s">
        <v>448</v>
      </c>
      <c r="AO36" s="89" t="s">
        <v>456</v>
      </c>
      <c r="AP36" s="83" t="b">
        <v>0</v>
      </c>
      <c r="AQ36" s="89" t="s">
        <v>434</v>
      </c>
      <c r="AR36" s="83" t="s">
        <v>196</v>
      </c>
      <c r="AS36" s="83">
        <v>0</v>
      </c>
      <c r="AT36" s="83">
        <v>0</v>
      </c>
      <c r="AU36" s="83"/>
      <c r="AV36" s="83"/>
      <c r="AW36" s="83"/>
      <c r="AX36" s="83"/>
      <c r="AY36" s="83"/>
      <c r="AZ36" s="83"/>
      <c r="BA36" s="83"/>
      <c r="BB36" s="83"/>
      <c r="BC36">
        <v>1</v>
      </c>
      <c r="BD36" s="82" t="str">
        <f>REPLACE(INDEX(GroupVertices[Group],MATCH(Edges25[[#This Row],[Vertex 1]],GroupVertices[Vertex],0)),1,1,"")</f>
        <v>5</v>
      </c>
      <c r="BE36" s="82" t="str">
        <f>REPLACE(INDEX(GroupVertices[Group],MATCH(Edges25[[#This Row],[Vertex 2]],GroupVertices[Vertex],0)),1,1,"")</f>
        <v>5</v>
      </c>
      <c r="BF36" s="51"/>
      <c r="BG36" s="52"/>
      <c r="BH36" s="51"/>
      <c r="BI36" s="52"/>
      <c r="BJ36" s="51"/>
      <c r="BK36" s="52"/>
      <c r="BL36" s="51"/>
      <c r="BM36" s="52"/>
      <c r="BN36" s="51"/>
    </row>
    <row r="37" spans="1:66" ht="15">
      <c r="A37" s="81" t="s">
        <v>262</v>
      </c>
      <c r="B37" s="81" t="s">
        <v>262</v>
      </c>
      <c r="C37" s="53"/>
      <c r="D37" s="54"/>
      <c r="E37" s="53"/>
      <c r="F37" s="55"/>
      <c r="G37" s="53"/>
      <c r="H37" s="57"/>
      <c r="I37" s="56"/>
      <c r="J37" s="56"/>
      <c r="K37" s="36" t="s">
        <v>65</v>
      </c>
      <c r="L37" s="62">
        <v>58</v>
      </c>
      <c r="M37" s="62"/>
      <c r="N37" s="63"/>
      <c r="O37" s="83" t="s">
        <v>196</v>
      </c>
      <c r="P37" s="85">
        <v>44484.991585648146</v>
      </c>
      <c r="Q37" s="83" t="s">
        <v>309</v>
      </c>
      <c r="R37" s="87" t="str">
        <f>HYPERLINK("https://www.eventbrite.com/e/cultured-meat-symposium-2021-tickets-148260090923")</f>
        <v>https://www.eventbrite.com/e/cultured-meat-symposium-2021-tickets-148260090923</v>
      </c>
      <c r="S37" s="83" t="s">
        <v>330</v>
      </c>
      <c r="T37" s="89" t="s">
        <v>353</v>
      </c>
      <c r="U37" s="83"/>
      <c r="V37" s="87" t="str">
        <f>HYPERLINK("https://pbs.twimg.com/profile_images/1336711126692757504/b93FEEuL_normal.jpg")</f>
        <v>https://pbs.twimg.com/profile_images/1336711126692757504/b93FEEuL_normal.jpg</v>
      </c>
      <c r="W37" s="85">
        <v>44484.991585648146</v>
      </c>
      <c r="X37" s="91">
        <v>44484</v>
      </c>
      <c r="Y37" s="89" t="s">
        <v>392</v>
      </c>
      <c r="Z37" s="87" t="str">
        <f>HYPERLINK("https://twitter.com/cmsymp/status/1449160128414978051")</f>
        <v>https://twitter.com/cmsymp/status/1449160128414978051</v>
      </c>
      <c r="AA37" s="83"/>
      <c r="AB37" s="83"/>
      <c r="AC37" s="89" t="s">
        <v>435</v>
      </c>
      <c r="AD37" s="83"/>
      <c r="AE37" s="83" t="b">
        <v>0</v>
      </c>
      <c r="AF37" s="83">
        <v>1</v>
      </c>
      <c r="AG37" s="89" t="s">
        <v>448</v>
      </c>
      <c r="AH37" s="83" t="b">
        <v>0</v>
      </c>
      <c r="AI37" s="83" t="s">
        <v>452</v>
      </c>
      <c r="AJ37" s="83"/>
      <c r="AK37" s="89" t="s">
        <v>448</v>
      </c>
      <c r="AL37" s="83" t="b">
        <v>0</v>
      </c>
      <c r="AM37" s="83">
        <v>0</v>
      </c>
      <c r="AN37" s="89" t="s">
        <v>448</v>
      </c>
      <c r="AO37" s="89" t="s">
        <v>456</v>
      </c>
      <c r="AP37" s="83" t="b">
        <v>0</v>
      </c>
      <c r="AQ37" s="89" t="s">
        <v>435</v>
      </c>
      <c r="AR37" s="83" t="s">
        <v>196</v>
      </c>
      <c r="AS37" s="83">
        <v>0</v>
      </c>
      <c r="AT37" s="83">
        <v>0</v>
      </c>
      <c r="AU37" s="83"/>
      <c r="AV37" s="83"/>
      <c r="AW37" s="83"/>
      <c r="AX37" s="83"/>
      <c r="AY37" s="83"/>
      <c r="AZ37" s="83"/>
      <c r="BA37" s="83"/>
      <c r="BB37" s="83"/>
      <c r="BC37">
        <v>1</v>
      </c>
      <c r="BD37" s="82" t="str">
        <f>REPLACE(INDEX(GroupVertices[Group],MATCH(Edges25[[#This Row],[Vertex 1]],GroupVertices[Vertex],0)),1,1,"")</f>
        <v>10</v>
      </c>
      <c r="BE37" s="82" t="str">
        <f>REPLACE(INDEX(GroupVertices[Group],MATCH(Edges25[[#This Row],[Vertex 2]],GroupVertices[Vertex],0)),1,1,"")</f>
        <v>10</v>
      </c>
      <c r="BF37" s="51">
        <v>0</v>
      </c>
      <c r="BG37" s="52">
        <v>0</v>
      </c>
      <c r="BH37" s="51">
        <v>0</v>
      </c>
      <c r="BI37" s="52">
        <v>0</v>
      </c>
      <c r="BJ37" s="51">
        <v>0</v>
      </c>
      <c r="BK37" s="52">
        <v>0</v>
      </c>
      <c r="BL37" s="51">
        <v>28</v>
      </c>
      <c r="BM37" s="52">
        <v>100</v>
      </c>
      <c r="BN37" s="51">
        <v>28</v>
      </c>
    </row>
    <row r="38" spans="1:66" ht="15">
      <c r="A38" s="81" t="s">
        <v>263</v>
      </c>
      <c r="B38" s="81" t="s">
        <v>263</v>
      </c>
      <c r="C38" s="53"/>
      <c r="D38" s="54"/>
      <c r="E38" s="53"/>
      <c r="F38" s="55"/>
      <c r="G38" s="53"/>
      <c r="H38" s="57"/>
      <c r="I38" s="56"/>
      <c r="J38" s="56"/>
      <c r="K38" s="36" t="s">
        <v>65</v>
      </c>
      <c r="L38" s="62">
        <v>59</v>
      </c>
      <c r="M38" s="62"/>
      <c r="N38" s="63"/>
      <c r="O38" s="83" t="s">
        <v>196</v>
      </c>
      <c r="P38" s="85">
        <v>44485.27790509259</v>
      </c>
      <c r="Q38" s="83" t="s">
        <v>310</v>
      </c>
      <c r="R38" s="83"/>
      <c r="S38" s="83"/>
      <c r="T38" s="89" t="s">
        <v>354</v>
      </c>
      <c r="U38" s="83"/>
      <c r="V38" s="87" t="str">
        <f>HYPERLINK("https://pbs.twimg.com/profile_images/1314815941545402368/cJ-RV9rz_normal.jpg")</f>
        <v>https://pbs.twimg.com/profile_images/1314815941545402368/cJ-RV9rz_normal.jpg</v>
      </c>
      <c r="W38" s="85">
        <v>44485.27790509259</v>
      </c>
      <c r="X38" s="91">
        <v>44485</v>
      </c>
      <c r="Y38" s="89" t="s">
        <v>393</v>
      </c>
      <c r="Z38" s="87" t="str">
        <f>HYPERLINK("https://twitter.com/inspirasiv/status/1449263887413432322")</f>
        <v>https://twitter.com/inspirasiv/status/1449263887413432322</v>
      </c>
      <c r="AA38" s="83"/>
      <c r="AB38" s="83"/>
      <c r="AC38" s="89" t="s">
        <v>436</v>
      </c>
      <c r="AD38" s="89" t="s">
        <v>447</v>
      </c>
      <c r="AE38" s="83" t="b">
        <v>0</v>
      </c>
      <c r="AF38" s="83">
        <v>0</v>
      </c>
      <c r="AG38" s="89" t="s">
        <v>450</v>
      </c>
      <c r="AH38" s="83" t="b">
        <v>0</v>
      </c>
      <c r="AI38" s="83" t="s">
        <v>453</v>
      </c>
      <c r="AJ38" s="83"/>
      <c r="AK38" s="89" t="s">
        <v>448</v>
      </c>
      <c r="AL38" s="83" t="b">
        <v>0</v>
      </c>
      <c r="AM38" s="83">
        <v>0</v>
      </c>
      <c r="AN38" s="89" t="s">
        <v>448</v>
      </c>
      <c r="AO38" s="89" t="s">
        <v>461</v>
      </c>
      <c r="AP38" s="83" t="b">
        <v>0</v>
      </c>
      <c r="AQ38" s="89" t="s">
        <v>447</v>
      </c>
      <c r="AR38" s="83" t="s">
        <v>196</v>
      </c>
      <c r="AS38" s="83">
        <v>0</v>
      </c>
      <c r="AT38" s="83">
        <v>0</v>
      </c>
      <c r="AU38" s="83"/>
      <c r="AV38" s="83"/>
      <c r="AW38" s="83"/>
      <c r="AX38" s="83"/>
      <c r="AY38" s="83"/>
      <c r="AZ38" s="83"/>
      <c r="BA38" s="83"/>
      <c r="BB38" s="83"/>
      <c r="BC38">
        <v>1</v>
      </c>
      <c r="BD38" s="82" t="str">
        <f>REPLACE(INDEX(GroupVertices[Group],MATCH(Edges25[[#This Row],[Vertex 1]],GroupVertices[Vertex],0)),1,1,"")</f>
        <v>3</v>
      </c>
      <c r="BE38" s="82" t="str">
        <f>REPLACE(INDEX(GroupVertices[Group],MATCH(Edges25[[#This Row],[Vertex 2]],GroupVertices[Vertex],0)),1,1,"")</f>
        <v>3</v>
      </c>
      <c r="BF38" s="51">
        <v>0</v>
      </c>
      <c r="BG38" s="52">
        <v>0</v>
      </c>
      <c r="BH38" s="51">
        <v>0</v>
      </c>
      <c r="BI38" s="52">
        <v>0</v>
      </c>
      <c r="BJ38" s="51">
        <v>0</v>
      </c>
      <c r="BK38" s="52">
        <v>0</v>
      </c>
      <c r="BL38" s="51">
        <v>27</v>
      </c>
      <c r="BM38" s="52">
        <v>100</v>
      </c>
      <c r="BN38" s="51">
        <v>27</v>
      </c>
    </row>
    <row r="39" spans="1:66" ht="15">
      <c r="A39" s="81" t="s">
        <v>264</v>
      </c>
      <c r="B39" s="81" t="s">
        <v>264</v>
      </c>
      <c r="C39" s="53"/>
      <c r="D39" s="54"/>
      <c r="E39" s="53"/>
      <c r="F39" s="55"/>
      <c r="G39" s="53"/>
      <c r="H39" s="57"/>
      <c r="I39" s="56"/>
      <c r="J39" s="56"/>
      <c r="K39" s="36" t="s">
        <v>65</v>
      </c>
      <c r="L39" s="62">
        <v>60</v>
      </c>
      <c r="M39" s="62"/>
      <c r="N39" s="63"/>
      <c r="O39" s="83" t="s">
        <v>196</v>
      </c>
      <c r="P39" s="85">
        <v>44485.38690972222</v>
      </c>
      <c r="Q39" s="83" t="s">
        <v>311</v>
      </c>
      <c r="R39" s="87" t="str">
        <f>HYPERLINK("https://thecounter.org/lab-grown-cultivated-meat-cost-at-scale/")</f>
        <v>https://thecounter.org/lab-grown-cultivated-meat-cost-at-scale/</v>
      </c>
      <c r="S39" s="83" t="s">
        <v>322</v>
      </c>
      <c r="T39" s="89" t="s">
        <v>355</v>
      </c>
      <c r="U39" s="83"/>
      <c r="V39" s="87" t="str">
        <f>HYPERLINK("https://pbs.twimg.com/profile_images/1091135701922377728/OSj5L6bT_normal.jpg")</f>
        <v>https://pbs.twimg.com/profile_images/1091135701922377728/OSj5L6bT_normal.jpg</v>
      </c>
      <c r="W39" s="85">
        <v>44485.38690972222</v>
      </c>
      <c r="X39" s="91">
        <v>44485</v>
      </c>
      <c r="Y39" s="89" t="s">
        <v>394</v>
      </c>
      <c r="Z39" s="87" t="str">
        <f>HYPERLINK("https://twitter.com/shorewalker1/status/1449303390882656257")</f>
        <v>https://twitter.com/shorewalker1/status/1449303390882656257</v>
      </c>
      <c r="AA39" s="83"/>
      <c r="AB39" s="83"/>
      <c r="AC39" s="89" t="s">
        <v>437</v>
      </c>
      <c r="AD39" s="83"/>
      <c r="AE39" s="83" t="b">
        <v>0</v>
      </c>
      <c r="AF39" s="83">
        <v>0</v>
      </c>
      <c r="AG39" s="89" t="s">
        <v>448</v>
      </c>
      <c r="AH39" s="83" t="b">
        <v>0</v>
      </c>
      <c r="AI39" s="83" t="s">
        <v>452</v>
      </c>
      <c r="AJ39" s="83"/>
      <c r="AK39" s="89" t="s">
        <v>448</v>
      </c>
      <c r="AL39" s="83" t="b">
        <v>0</v>
      </c>
      <c r="AM39" s="83">
        <v>0</v>
      </c>
      <c r="AN39" s="89" t="s">
        <v>448</v>
      </c>
      <c r="AO39" s="89" t="s">
        <v>456</v>
      </c>
      <c r="AP39" s="83" t="b">
        <v>0</v>
      </c>
      <c r="AQ39" s="89" t="s">
        <v>437</v>
      </c>
      <c r="AR39" s="83" t="s">
        <v>196</v>
      </c>
      <c r="AS39" s="83">
        <v>0</v>
      </c>
      <c r="AT39" s="83">
        <v>0</v>
      </c>
      <c r="AU39" s="83"/>
      <c r="AV39" s="83"/>
      <c r="AW39" s="83"/>
      <c r="AX39" s="83"/>
      <c r="AY39" s="83"/>
      <c r="AZ39" s="83"/>
      <c r="BA39" s="83"/>
      <c r="BB39" s="83"/>
      <c r="BC39">
        <v>2</v>
      </c>
      <c r="BD39" s="82" t="str">
        <f>REPLACE(INDEX(GroupVertices[Group],MATCH(Edges25[[#This Row],[Vertex 1]],GroupVertices[Vertex],0)),1,1,"")</f>
        <v>3</v>
      </c>
      <c r="BE39" s="82" t="str">
        <f>REPLACE(INDEX(GroupVertices[Group],MATCH(Edges25[[#This Row],[Vertex 2]],GroupVertices[Vertex],0)),1,1,"")</f>
        <v>3</v>
      </c>
      <c r="BF39" s="51">
        <v>0</v>
      </c>
      <c r="BG39" s="52">
        <v>0</v>
      </c>
      <c r="BH39" s="51">
        <v>2</v>
      </c>
      <c r="BI39" s="52">
        <v>5.2631578947368425</v>
      </c>
      <c r="BJ39" s="51">
        <v>0</v>
      </c>
      <c r="BK39" s="52">
        <v>0</v>
      </c>
      <c r="BL39" s="51">
        <v>36</v>
      </c>
      <c r="BM39" s="52">
        <v>94.73684210526316</v>
      </c>
      <c r="BN39" s="51">
        <v>38</v>
      </c>
    </row>
    <row r="40" spans="1:66" ht="15">
      <c r="A40" s="81" t="s">
        <v>264</v>
      </c>
      <c r="B40" s="81" t="s">
        <v>264</v>
      </c>
      <c r="C40" s="53"/>
      <c r="D40" s="54"/>
      <c r="E40" s="53"/>
      <c r="F40" s="55"/>
      <c r="G40" s="53"/>
      <c r="H40" s="57"/>
      <c r="I40" s="56"/>
      <c r="J40" s="56"/>
      <c r="K40" s="36" t="s">
        <v>65</v>
      </c>
      <c r="L40" s="62">
        <v>61</v>
      </c>
      <c r="M40" s="62"/>
      <c r="N40" s="63"/>
      <c r="O40" s="83" t="s">
        <v>196</v>
      </c>
      <c r="P40" s="85">
        <v>44485.386921296296</v>
      </c>
      <c r="Q40" s="83" t="s">
        <v>312</v>
      </c>
      <c r="R40" s="87" t="str">
        <f>HYPERLINK("https://astralcodexten.substack.com/p/bay-area-plant-based-meat-reviews")</f>
        <v>https://astralcodexten.substack.com/p/bay-area-plant-based-meat-reviews</v>
      </c>
      <c r="S40" s="83" t="s">
        <v>331</v>
      </c>
      <c r="T40" s="89" t="s">
        <v>356</v>
      </c>
      <c r="U40" s="83"/>
      <c r="V40" s="87" t="str">
        <f>HYPERLINK("https://pbs.twimg.com/profile_images/1091135701922377728/OSj5L6bT_normal.jpg")</f>
        <v>https://pbs.twimg.com/profile_images/1091135701922377728/OSj5L6bT_normal.jpg</v>
      </c>
      <c r="W40" s="85">
        <v>44485.386921296296</v>
      </c>
      <c r="X40" s="91">
        <v>44485</v>
      </c>
      <c r="Y40" s="89" t="s">
        <v>395</v>
      </c>
      <c r="Z40" s="87" t="str">
        <f>HYPERLINK("https://twitter.com/shorewalker1/status/1449303393260900359")</f>
        <v>https://twitter.com/shorewalker1/status/1449303393260900359</v>
      </c>
      <c r="AA40" s="83"/>
      <c r="AB40" s="83"/>
      <c r="AC40" s="89" t="s">
        <v>438</v>
      </c>
      <c r="AD40" s="89" t="s">
        <v>437</v>
      </c>
      <c r="AE40" s="83" t="b">
        <v>0</v>
      </c>
      <c r="AF40" s="83">
        <v>0</v>
      </c>
      <c r="AG40" s="89" t="s">
        <v>451</v>
      </c>
      <c r="AH40" s="83" t="b">
        <v>0</v>
      </c>
      <c r="AI40" s="83" t="s">
        <v>452</v>
      </c>
      <c r="AJ40" s="83"/>
      <c r="AK40" s="89" t="s">
        <v>448</v>
      </c>
      <c r="AL40" s="83" t="b">
        <v>0</v>
      </c>
      <c r="AM40" s="83">
        <v>0</v>
      </c>
      <c r="AN40" s="89" t="s">
        <v>448</v>
      </c>
      <c r="AO40" s="89" t="s">
        <v>456</v>
      </c>
      <c r="AP40" s="83" t="b">
        <v>0</v>
      </c>
      <c r="AQ40" s="89" t="s">
        <v>437</v>
      </c>
      <c r="AR40" s="83" t="s">
        <v>196</v>
      </c>
      <c r="AS40" s="83">
        <v>0</v>
      </c>
      <c r="AT40" s="83">
        <v>0</v>
      </c>
      <c r="AU40" s="83"/>
      <c r="AV40" s="83"/>
      <c r="AW40" s="83"/>
      <c r="AX40" s="83"/>
      <c r="AY40" s="83"/>
      <c r="AZ40" s="83"/>
      <c r="BA40" s="83"/>
      <c r="BB40" s="83"/>
      <c r="BC40">
        <v>2</v>
      </c>
      <c r="BD40" s="82" t="str">
        <f>REPLACE(INDEX(GroupVertices[Group],MATCH(Edges25[[#This Row],[Vertex 1]],GroupVertices[Vertex],0)),1,1,"")</f>
        <v>3</v>
      </c>
      <c r="BE40" s="82" t="str">
        <f>REPLACE(INDEX(GroupVertices[Group],MATCH(Edges25[[#This Row],[Vertex 2]],GroupVertices[Vertex],0)),1,1,"")</f>
        <v>3</v>
      </c>
      <c r="BF40" s="51">
        <v>4</v>
      </c>
      <c r="BG40" s="52">
        <v>10.81081081081081</v>
      </c>
      <c r="BH40" s="51">
        <v>0</v>
      </c>
      <c r="BI40" s="52">
        <v>0</v>
      </c>
      <c r="BJ40" s="51">
        <v>0</v>
      </c>
      <c r="BK40" s="52">
        <v>0</v>
      </c>
      <c r="BL40" s="51">
        <v>33</v>
      </c>
      <c r="BM40" s="52">
        <v>89.1891891891892</v>
      </c>
      <c r="BN40" s="51">
        <v>37</v>
      </c>
    </row>
    <row r="41" spans="1:66" ht="15">
      <c r="A41" s="81" t="s">
        <v>265</v>
      </c>
      <c r="B41" s="81" t="s">
        <v>284</v>
      </c>
      <c r="C41" s="53"/>
      <c r="D41" s="54"/>
      <c r="E41" s="53"/>
      <c r="F41" s="55"/>
      <c r="G41" s="53"/>
      <c r="H41" s="57"/>
      <c r="I41" s="56"/>
      <c r="J41" s="56"/>
      <c r="K41" s="36" t="s">
        <v>65</v>
      </c>
      <c r="L41" s="62">
        <v>62</v>
      </c>
      <c r="M41" s="62"/>
      <c r="N41" s="63"/>
      <c r="O41" s="83" t="s">
        <v>285</v>
      </c>
      <c r="P41" s="85">
        <v>44485.574594907404</v>
      </c>
      <c r="Q41" s="83" t="s">
        <v>313</v>
      </c>
      <c r="R41" s="87" t="str">
        <f>HYPERLINK("https://www.surveycircle.com/en/surveys/?sr=r3#2b6d962de6ae")</f>
        <v>https://www.surveycircle.com/en/surveys/?sr=r3#2b6d962de6ae</v>
      </c>
      <c r="S41" s="83" t="s">
        <v>332</v>
      </c>
      <c r="T41" s="89" t="s">
        <v>357</v>
      </c>
      <c r="U41" s="87" t="str">
        <f>HYPERLINK("https://pbs.twimg.com/media/FB0znNpXEAM8EGy.jpg")</f>
        <v>https://pbs.twimg.com/media/FB0znNpXEAM8EGy.jpg</v>
      </c>
      <c r="V41" s="87" t="str">
        <f>HYPERLINK("https://pbs.twimg.com/media/FB0znNpXEAM8EGy.jpg")</f>
        <v>https://pbs.twimg.com/media/FB0znNpXEAM8EGy.jpg</v>
      </c>
      <c r="W41" s="85">
        <v>44485.574594907404</v>
      </c>
      <c r="X41" s="91">
        <v>44485</v>
      </c>
      <c r="Y41" s="89" t="s">
        <v>396</v>
      </c>
      <c r="Z41" s="87" t="str">
        <f>HYPERLINK("https://twitter.com/daily_research/status/1449371405691330561")</f>
        <v>https://twitter.com/daily_research/status/1449371405691330561</v>
      </c>
      <c r="AA41" s="83"/>
      <c r="AB41" s="83"/>
      <c r="AC41" s="89" t="s">
        <v>439</v>
      </c>
      <c r="AD41" s="83"/>
      <c r="AE41" s="83" t="b">
        <v>0</v>
      </c>
      <c r="AF41" s="83">
        <v>0</v>
      </c>
      <c r="AG41" s="89" t="s">
        <v>448</v>
      </c>
      <c r="AH41" s="83" t="b">
        <v>0</v>
      </c>
      <c r="AI41" s="83" t="s">
        <v>452</v>
      </c>
      <c r="AJ41" s="83"/>
      <c r="AK41" s="89" t="s">
        <v>448</v>
      </c>
      <c r="AL41" s="83" t="b">
        <v>0</v>
      </c>
      <c r="AM41" s="83">
        <v>0</v>
      </c>
      <c r="AN41" s="89" t="s">
        <v>448</v>
      </c>
      <c r="AO41" s="89" t="s">
        <v>463</v>
      </c>
      <c r="AP41" s="83" t="b">
        <v>0</v>
      </c>
      <c r="AQ41" s="89" t="s">
        <v>439</v>
      </c>
      <c r="AR41" s="83" t="s">
        <v>196</v>
      </c>
      <c r="AS41" s="83">
        <v>0</v>
      </c>
      <c r="AT41" s="83">
        <v>0</v>
      </c>
      <c r="AU41" s="83"/>
      <c r="AV41" s="83"/>
      <c r="AW41" s="83"/>
      <c r="AX41" s="83"/>
      <c r="AY41" s="83"/>
      <c r="AZ41" s="83"/>
      <c r="BA41" s="83"/>
      <c r="BB41" s="83"/>
      <c r="BC41">
        <v>1</v>
      </c>
      <c r="BD41" s="82" t="str">
        <f>REPLACE(INDEX(GroupVertices[Group],MATCH(Edges25[[#This Row],[Vertex 1]],GroupVertices[Vertex],0)),1,1,"")</f>
        <v>8</v>
      </c>
      <c r="BE41" s="82" t="str">
        <f>REPLACE(INDEX(GroupVertices[Group],MATCH(Edges25[[#This Row],[Vertex 2]],GroupVertices[Vertex],0)),1,1,"")</f>
        <v>8</v>
      </c>
      <c r="BF41" s="51">
        <v>0</v>
      </c>
      <c r="BG41" s="52">
        <v>0</v>
      </c>
      <c r="BH41" s="51">
        <v>0</v>
      </c>
      <c r="BI41" s="52">
        <v>0</v>
      </c>
      <c r="BJ41" s="51">
        <v>0</v>
      </c>
      <c r="BK41" s="52">
        <v>0</v>
      </c>
      <c r="BL41" s="51">
        <v>26</v>
      </c>
      <c r="BM41" s="52">
        <v>100</v>
      </c>
      <c r="BN41" s="51">
        <v>26</v>
      </c>
    </row>
    <row r="42" spans="1:66" ht="15">
      <c r="A42" s="81" t="s">
        <v>266</v>
      </c>
      <c r="B42" s="81" t="s">
        <v>266</v>
      </c>
      <c r="C42" s="53"/>
      <c r="D42" s="54"/>
      <c r="E42" s="53"/>
      <c r="F42" s="55"/>
      <c r="G42" s="53"/>
      <c r="H42" s="57"/>
      <c r="I42" s="56"/>
      <c r="J42" s="56"/>
      <c r="K42" s="36" t="s">
        <v>65</v>
      </c>
      <c r="L42" s="62">
        <v>63</v>
      </c>
      <c r="M42" s="62"/>
      <c r="N42" s="63"/>
      <c r="O42" s="83" t="s">
        <v>196</v>
      </c>
      <c r="P42" s="85">
        <v>44485.583032407405</v>
      </c>
      <c r="Q42" s="83" t="s">
        <v>314</v>
      </c>
      <c r="R42" s="83"/>
      <c r="S42" s="83"/>
      <c r="T42" s="89" t="s">
        <v>358</v>
      </c>
      <c r="U42" s="87" t="str">
        <f>HYPERLINK("https://pbs.twimg.com/media/FB01di5WUAUJMfY.jpg")</f>
        <v>https://pbs.twimg.com/media/FB01di5WUAUJMfY.jpg</v>
      </c>
      <c r="V42" s="87" t="str">
        <f>HYPERLINK("https://pbs.twimg.com/media/FB01di5WUAUJMfY.jpg")</f>
        <v>https://pbs.twimg.com/media/FB01di5WUAUJMfY.jpg</v>
      </c>
      <c r="W42" s="85">
        <v>44485.583032407405</v>
      </c>
      <c r="X42" s="91">
        <v>44485</v>
      </c>
      <c r="Y42" s="89" t="s">
        <v>397</v>
      </c>
      <c r="Z42" s="87" t="str">
        <f>HYPERLINK("https://twitter.com/the_teh_news/status/1449374461631807495")</f>
        <v>https://twitter.com/the_teh_news/status/1449374461631807495</v>
      </c>
      <c r="AA42" s="83"/>
      <c r="AB42" s="83"/>
      <c r="AC42" s="89" t="s">
        <v>440</v>
      </c>
      <c r="AD42" s="83"/>
      <c r="AE42" s="83" t="b">
        <v>0</v>
      </c>
      <c r="AF42" s="83">
        <v>0</v>
      </c>
      <c r="AG42" s="89" t="s">
        <v>448</v>
      </c>
      <c r="AH42" s="83" t="b">
        <v>0</v>
      </c>
      <c r="AI42" s="83" t="s">
        <v>452</v>
      </c>
      <c r="AJ42" s="83"/>
      <c r="AK42" s="89" t="s">
        <v>448</v>
      </c>
      <c r="AL42" s="83" t="b">
        <v>0</v>
      </c>
      <c r="AM42" s="83">
        <v>0</v>
      </c>
      <c r="AN42" s="89" t="s">
        <v>448</v>
      </c>
      <c r="AO42" s="89" t="s">
        <v>456</v>
      </c>
      <c r="AP42" s="83" t="b">
        <v>0</v>
      </c>
      <c r="AQ42" s="89" t="s">
        <v>440</v>
      </c>
      <c r="AR42" s="83" t="s">
        <v>196</v>
      </c>
      <c r="AS42" s="83">
        <v>0</v>
      </c>
      <c r="AT42" s="83">
        <v>0</v>
      </c>
      <c r="AU42" s="83"/>
      <c r="AV42" s="83"/>
      <c r="AW42" s="83"/>
      <c r="AX42" s="83"/>
      <c r="AY42" s="83"/>
      <c r="AZ42" s="83"/>
      <c r="BA42" s="83"/>
      <c r="BB42" s="83"/>
      <c r="BC42">
        <v>1</v>
      </c>
      <c r="BD42" s="82" t="str">
        <f>REPLACE(INDEX(GroupVertices[Group],MATCH(Edges25[[#This Row],[Vertex 1]],GroupVertices[Vertex],0)),1,1,"")</f>
        <v>3</v>
      </c>
      <c r="BE42" s="82" t="str">
        <f>REPLACE(INDEX(GroupVertices[Group],MATCH(Edges25[[#This Row],[Vertex 2]],GroupVertices[Vertex],0)),1,1,"")</f>
        <v>3</v>
      </c>
      <c r="BF42" s="51">
        <v>1</v>
      </c>
      <c r="BG42" s="52">
        <v>3.225806451612903</v>
      </c>
      <c r="BH42" s="51">
        <v>0</v>
      </c>
      <c r="BI42" s="52">
        <v>0</v>
      </c>
      <c r="BJ42" s="51">
        <v>0</v>
      </c>
      <c r="BK42" s="52">
        <v>0</v>
      </c>
      <c r="BL42" s="51">
        <v>30</v>
      </c>
      <c r="BM42" s="52">
        <v>96.7741935483871</v>
      </c>
      <c r="BN42" s="51">
        <v>31</v>
      </c>
    </row>
    <row r="43" spans="1:66" ht="15">
      <c r="A43" s="81" t="s">
        <v>267</v>
      </c>
      <c r="B43" s="81" t="s">
        <v>269</v>
      </c>
      <c r="C43" s="53"/>
      <c r="D43" s="54"/>
      <c r="E43" s="53"/>
      <c r="F43" s="55"/>
      <c r="G43" s="53"/>
      <c r="H43" s="57"/>
      <c r="I43" s="56"/>
      <c r="J43" s="56"/>
      <c r="K43" s="36" t="s">
        <v>65</v>
      </c>
      <c r="L43" s="62">
        <v>64</v>
      </c>
      <c r="M43" s="62"/>
      <c r="N43" s="63"/>
      <c r="O43" s="83" t="s">
        <v>287</v>
      </c>
      <c r="P43" s="85">
        <v>44485.69627314815</v>
      </c>
      <c r="Q43" s="83" t="s">
        <v>306</v>
      </c>
      <c r="R43" s="87" t="str">
        <f>HYPERLINK("https://www.who.int/news/item/11-10-2021-who-s-10-calls-for-climate-action-to-assure-sustained-recovery-from-covid-19")</f>
        <v>https://www.who.int/news/item/11-10-2021-who-s-10-calls-for-climate-action-to-assure-sustained-recovery-from-covid-19</v>
      </c>
      <c r="S43" s="83" t="s">
        <v>328</v>
      </c>
      <c r="T43" s="89" t="s">
        <v>350</v>
      </c>
      <c r="U43" s="83"/>
      <c r="V43" s="87" t="str">
        <f>HYPERLINK("https://pbs.twimg.com/profile_images/1148337726866874368/aIvdSvJg_normal.jpg")</f>
        <v>https://pbs.twimg.com/profile_images/1148337726866874368/aIvdSvJg_normal.jpg</v>
      </c>
      <c r="W43" s="85">
        <v>44485.69627314815</v>
      </c>
      <c r="X43" s="91">
        <v>44485</v>
      </c>
      <c r="Y43" s="89" t="s">
        <v>398</v>
      </c>
      <c r="Z43" s="87" t="str">
        <f>HYPERLINK("https://twitter.com/pengejarbayang/status/1449415497380810752")</f>
        <v>https://twitter.com/pengejarbayang/status/1449415497380810752</v>
      </c>
      <c r="AA43" s="83"/>
      <c r="AB43" s="83"/>
      <c r="AC43" s="89" t="s">
        <v>441</v>
      </c>
      <c r="AD43" s="83"/>
      <c r="AE43" s="83" t="b">
        <v>0</v>
      </c>
      <c r="AF43" s="83">
        <v>0</v>
      </c>
      <c r="AG43" s="89" t="s">
        <v>448</v>
      </c>
      <c r="AH43" s="83" t="b">
        <v>0</v>
      </c>
      <c r="AI43" s="83" t="s">
        <v>453</v>
      </c>
      <c r="AJ43" s="83"/>
      <c r="AK43" s="89" t="s">
        <v>448</v>
      </c>
      <c r="AL43" s="83" t="b">
        <v>0</v>
      </c>
      <c r="AM43" s="83">
        <v>4</v>
      </c>
      <c r="AN43" s="89" t="s">
        <v>443</v>
      </c>
      <c r="AO43" s="89" t="s">
        <v>457</v>
      </c>
      <c r="AP43" s="83" t="b">
        <v>0</v>
      </c>
      <c r="AQ43" s="89" t="s">
        <v>443</v>
      </c>
      <c r="AR43" s="83" t="s">
        <v>196</v>
      </c>
      <c r="AS43" s="83">
        <v>0</v>
      </c>
      <c r="AT43" s="83">
        <v>0</v>
      </c>
      <c r="AU43" s="83"/>
      <c r="AV43" s="83"/>
      <c r="AW43" s="83"/>
      <c r="AX43" s="83"/>
      <c r="AY43" s="83"/>
      <c r="AZ43" s="83"/>
      <c r="BA43" s="83"/>
      <c r="BB43" s="83"/>
      <c r="BC43">
        <v>1</v>
      </c>
      <c r="BD43" s="82" t="str">
        <f>REPLACE(INDEX(GroupVertices[Group],MATCH(Edges25[[#This Row],[Vertex 1]],GroupVertices[Vertex],0)),1,1,"")</f>
        <v>4</v>
      </c>
      <c r="BE43" s="82" t="str">
        <f>REPLACE(INDEX(GroupVertices[Group],MATCH(Edges25[[#This Row],[Vertex 2]],GroupVertices[Vertex],0)),1,1,"")</f>
        <v>4</v>
      </c>
      <c r="BF43" s="51">
        <v>0</v>
      </c>
      <c r="BG43" s="52">
        <v>0</v>
      </c>
      <c r="BH43" s="51">
        <v>0</v>
      </c>
      <c r="BI43" s="52">
        <v>0</v>
      </c>
      <c r="BJ43" s="51">
        <v>0</v>
      </c>
      <c r="BK43" s="52">
        <v>0</v>
      </c>
      <c r="BL43" s="51">
        <v>33</v>
      </c>
      <c r="BM43" s="52">
        <v>100</v>
      </c>
      <c r="BN43" s="51">
        <v>33</v>
      </c>
    </row>
    <row r="44" spans="1:66" ht="15">
      <c r="A44" s="81" t="s">
        <v>268</v>
      </c>
      <c r="B44" s="81" t="s">
        <v>269</v>
      </c>
      <c r="C44" s="53"/>
      <c r="D44" s="54"/>
      <c r="E44" s="53"/>
      <c r="F44" s="55"/>
      <c r="G44" s="53"/>
      <c r="H44" s="57"/>
      <c r="I44" s="56"/>
      <c r="J44" s="56"/>
      <c r="K44" s="36" t="s">
        <v>65</v>
      </c>
      <c r="L44" s="62">
        <v>65</v>
      </c>
      <c r="M44" s="62"/>
      <c r="N44" s="63"/>
      <c r="O44" s="83" t="s">
        <v>287</v>
      </c>
      <c r="P44" s="85">
        <v>44485.69798611111</v>
      </c>
      <c r="Q44" s="83" t="s">
        <v>306</v>
      </c>
      <c r="R44" s="87" t="str">
        <f>HYPERLINK("https://www.who.int/news/item/11-10-2021-who-s-10-calls-for-climate-action-to-assure-sustained-recovery-from-covid-19")</f>
        <v>https://www.who.int/news/item/11-10-2021-who-s-10-calls-for-climate-action-to-assure-sustained-recovery-from-covid-19</v>
      </c>
      <c r="S44" s="83" t="s">
        <v>328</v>
      </c>
      <c r="T44" s="89" t="s">
        <v>350</v>
      </c>
      <c r="U44" s="83"/>
      <c r="V44" s="87" t="str">
        <f>HYPERLINK("https://pbs.twimg.com/profile_images/1238295751098171398/QaPMEcwW_normal.jpg")</f>
        <v>https://pbs.twimg.com/profile_images/1238295751098171398/QaPMEcwW_normal.jpg</v>
      </c>
      <c r="W44" s="85">
        <v>44485.69798611111</v>
      </c>
      <c r="X44" s="91">
        <v>44485</v>
      </c>
      <c r="Y44" s="89" t="s">
        <v>399</v>
      </c>
      <c r="Z44" s="87" t="str">
        <f>HYPERLINK("https://twitter.com/alvinrio_1501/status/1449416121942114311")</f>
        <v>https://twitter.com/alvinrio_1501/status/1449416121942114311</v>
      </c>
      <c r="AA44" s="83"/>
      <c r="AB44" s="83"/>
      <c r="AC44" s="89" t="s">
        <v>442</v>
      </c>
      <c r="AD44" s="83"/>
      <c r="AE44" s="83" t="b">
        <v>0</v>
      </c>
      <c r="AF44" s="83">
        <v>0</v>
      </c>
      <c r="AG44" s="89" t="s">
        <v>448</v>
      </c>
      <c r="AH44" s="83" t="b">
        <v>0</v>
      </c>
      <c r="AI44" s="83" t="s">
        <v>453</v>
      </c>
      <c r="AJ44" s="83"/>
      <c r="AK44" s="89" t="s">
        <v>448</v>
      </c>
      <c r="AL44" s="83" t="b">
        <v>0</v>
      </c>
      <c r="AM44" s="83">
        <v>4</v>
      </c>
      <c r="AN44" s="89" t="s">
        <v>443</v>
      </c>
      <c r="AO44" s="89" t="s">
        <v>457</v>
      </c>
      <c r="AP44" s="83" t="b">
        <v>0</v>
      </c>
      <c r="AQ44" s="89" t="s">
        <v>443</v>
      </c>
      <c r="AR44" s="83" t="s">
        <v>196</v>
      </c>
      <c r="AS44" s="83">
        <v>0</v>
      </c>
      <c r="AT44" s="83">
        <v>0</v>
      </c>
      <c r="AU44" s="83"/>
      <c r="AV44" s="83"/>
      <c r="AW44" s="83"/>
      <c r="AX44" s="83"/>
      <c r="AY44" s="83"/>
      <c r="AZ44" s="83"/>
      <c r="BA44" s="83"/>
      <c r="BB44" s="83"/>
      <c r="BC44">
        <v>1</v>
      </c>
      <c r="BD44" s="82" t="str">
        <f>REPLACE(INDEX(GroupVertices[Group],MATCH(Edges25[[#This Row],[Vertex 1]],GroupVertices[Vertex],0)),1,1,"")</f>
        <v>4</v>
      </c>
      <c r="BE44" s="82" t="str">
        <f>REPLACE(INDEX(GroupVertices[Group],MATCH(Edges25[[#This Row],[Vertex 2]],GroupVertices[Vertex],0)),1,1,"")</f>
        <v>4</v>
      </c>
      <c r="BF44" s="51">
        <v>0</v>
      </c>
      <c r="BG44" s="52">
        <v>0</v>
      </c>
      <c r="BH44" s="51">
        <v>0</v>
      </c>
      <c r="BI44" s="52">
        <v>0</v>
      </c>
      <c r="BJ44" s="51">
        <v>0</v>
      </c>
      <c r="BK44" s="52">
        <v>0</v>
      </c>
      <c r="BL44" s="51">
        <v>33</v>
      </c>
      <c r="BM44" s="52">
        <v>100</v>
      </c>
      <c r="BN44" s="51">
        <v>33</v>
      </c>
    </row>
    <row r="45" spans="1:66" ht="15">
      <c r="A45" s="81" t="s">
        <v>269</v>
      </c>
      <c r="B45" s="81" t="s">
        <v>269</v>
      </c>
      <c r="C45" s="53"/>
      <c r="D45" s="54"/>
      <c r="E45" s="53"/>
      <c r="F45" s="55"/>
      <c r="G45" s="53"/>
      <c r="H45" s="57"/>
      <c r="I45" s="56"/>
      <c r="J45" s="56"/>
      <c r="K45" s="36" t="s">
        <v>65</v>
      </c>
      <c r="L45" s="62">
        <v>66</v>
      </c>
      <c r="M45" s="62"/>
      <c r="N45" s="63"/>
      <c r="O45" s="83" t="s">
        <v>196</v>
      </c>
      <c r="P45" s="85">
        <v>44484.19299768518</v>
      </c>
      <c r="Q45" s="83" t="s">
        <v>306</v>
      </c>
      <c r="R45" s="87" t="str">
        <f>HYPERLINK("https://www.who.int/news/item/11-10-2021-who-s-10-calls-for-climate-action-to-assure-sustained-recovery-from-covid-19")</f>
        <v>https://www.who.int/news/item/11-10-2021-who-s-10-calls-for-climate-action-to-assure-sustained-recovery-from-covid-19</v>
      </c>
      <c r="S45" s="83" t="s">
        <v>328</v>
      </c>
      <c r="T45" s="89" t="s">
        <v>350</v>
      </c>
      <c r="U45" s="83"/>
      <c r="V45" s="87" t="str">
        <f>HYPERLINK("https://pbs.twimg.com/profile_images/1427658396963000320/2JmbMKai_normal.jpg")</f>
        <v>https://pbs.twimg.com/profile_images/1427658396963000320/2JmbMKai_normal.jpg</v>
      </c>
      <c r="W45" s="85">
        <v>44484.19299768518</v>
      </c>
      <c r="X45" s="91">
        <v>44484</v>
      </c>
      <c r="Y45" s="89" t="s">
        <v>400</v>
      </c>
      <c r="Z45" s="87" t="str">
        <f>HYPERLINK("https://twitter.com/mysubuh/status/1448870729496236032")</f>
        <v>https://twitter.com/mysubuh/status/1448870729496236032</v>
      </c>
      <c r="AA45" s="83"/>
      <c r="AB45" s="83"/>
      <c r="AC45" s="89" t="s">
        <v>443</v>
      </c>
      <c r="AD45" s="83"/>
      <c r="AE45" s="83" t="b">
        <v>0</v>
      </c>
      <c r="AF45" s="83">
        <v>7</v>
      </c>
      <c r="AG45" s="89" t="s">
        <v>448</v>
      </c>
      <c r="AH45" s="83" t="b">
        <v>0</v>
      </c>
      <c r="AI45" s="83" t="s">
        <v>453</v>
      </c>
      <c r="AJ45" s="83"/>
      <c r="AK45" s="89" t="s">
        <v>448</v>
      </c>
      <c r="AL45" s="83" t="b">
        <v>0</v>
      </c>
      <c r="AM45" s="83">
        <v>4</v>
      </c>
      <c r="AN45" s="89" t="s">
        <v>448</v>
      </c>
      <c r="AO45" s="89" t="s">
        <v>456</v>
      </c>
      <c r="AP45" s="83" t="b">
        <v>0</v>
      </c>
      <c r="AQ45" s="89" t="s">
        <v>443</v>
      </c>
      <c r="AR45" s="83" t="s">
        <v>196</v>
      </c>
      <c r="AS45" s="83">
        <v>0</v>
      </c>
      <c r="AT45" s="83">
        <v>0</v>
      </c>
      <c r="AU45" s="83"/>
      <c r="AV45" s="83"/>
      <c r="AW45" s="83"/>
      <c r="AX45" s="83"/>
      <c r="AY45" s="83"/>
      <c r="AZ45" s="83"/>
      <c r="BA45" s="83"/>
      <c r="BB45" s="83"/>
      <c r="BC45">
        <v>1</v>
      </c>
      <c r="BD45" s="82" t="str">
        <f>REPLACE(INDEX(GroupVertices[Group],MATCH(Edges25[[#This Row],[Vertex 1]],GroupVertices[Vertex],0)),1,1,"")</f>
        <v>4</v>
      </c>
      <c r="BE45" s="82" t="str">
        <f>REPLACE(INDEX(GroupVertices[Group],MATCH(Edges25[[#This Row],[Vertex 2]],GroupVertices[Vertex],0)),1,1,"")</f>
        <v>4</v>
      </c>
      <c r="BF45" s="51">
        <v>0</v>
      </c>
      <c r="BG45" s="52">
        <v>0</v>
      </c>
      <c r="BH45" s="51">
        <v>0</v>
      </c>
      <c r="BI45" s="52">
        <v>0</v>
      </c>
      <c r="BJ45" s="51">
        <v>0</v>
      </c>
      <c r="BK45" s="52">
        <v>0</v>
      </c>
      <c r="BL45" s="51">
        <v>33</v>
      </c>
      <c r="BM45" s="52">
        <v>100</v>
      </c>
      <c r="BN45" s="51">
        <v>33</v>
      </c>
    </row>
    <row r="46" spans="1:66" ht="15">
      <c r="A46" s="81" t="s">
        <v>270</v>
      </c>
      <c r="B46" s="81" t="s">
        <v>269</v>
      </c>
      <c r="C46" s="53"/>
      <c r="D46" s="54"/>
      <c r="E46" s="53"/>
      <c r="F46" s="55"/>
      <c r="G46" s="53"/>
      <c r="H46" s="57"/>
      <c r="I46" s="56"/>
      <c r="J46" s="56"/>
      <c r="K46" s="36" t="s">
        <v>65</v>
      </c>
      <c r="L46" s="62">
        <v>67</v>
      </c>
      <c r="M46" s="62"/>
      <c r="N46" s="63"/>
      <c r="O46" s="83" t="s">
        <v>287</v>
      </c>
      <c r="P46" s="85">
        <v>44485.70033564815</v>
      </c>
      <c r="Q46" s="83" t="s">
        <v>306</v>
      </c>
      <c r="R46" s="87" t="str">
        <f>HYPERLINK("https://www.who.int/news/item/11-10-2021-who-s-10-calls-for-climate-action-to-assure-sustained-recovery-from-covid-19")</f>
        <v>https://www.who.int/news/item/11-10-2021-who-s-10-calls-for-climate-action-to-assure-sustained-recovery-from-covid-19</v>
      </c>
      <c r="S46" s="83" t="s">
        <v>328</v>
      </c>
      <c r="T46" s="89" t="s">
        <v>350</v>
      </c>
      <c r="U46" s="83"/>
      <c r="V46" s="87" t="str">
        <f>HYPERLINK("https://pbs.twimg.com/profile_images/1415713296242462722/5PeUNbEG_normal.jpg")</f>
        <v>https://pbs.twimg.com/profile_images/1415713296242462722/5PeUNbEG_normal.jpg</v>
      </c>
      <c r="W46" s="85">
        <v>44485.70033564815</v>
      </c>
      <c r="X46" s="91">
        <v>44485</v>
      </c>
      <c r="Y46" s="89" t="s">
        <v>401</v>
      </c>
      <c r="Z46" s="87" t="str">
        <f>HYPERLINK("https://twitter.com/darakasiwi/status/1449416971645177857")</f>
        <v>https://twitter.com/darakasiwi/status/1449416971645177857</v>
      </c>
      <c r="AA46" s="83"/>
      <c r="AB46" s="83"/>
      <c r="AC46" s="89" t="s">
        <v>444</v>
      </c>
      <c r="AD46" s="83"/>
      <c r="AE46" s="83" t="b">
        <v>0</v>
      </c>
      <c r="AF46" s="83">
        <v>0</v>
      </c>
      <c r="AG46" s="89" t="s">
        <v>448</v>
      </c>
      <c r="AH46" s="83" t="b">
        <v>0</v>
      </c>
      <c r="AI46" s="83" t="s">
        <v>453</v>
      </c>
      <c r="AJ46" s="83"/>
      <c r="AK46" s="89" t="s">
        <v>448</v>
      </c>
      <c r="AL46" s="83" t="b">
        <v>0</v>
      </c>
      <c r="AM46" s="83">
        <v>4</v>
      </c>
      <c r="AN46" s="89" t="s">
        <v>443</v>
      </c>
      <c r="AO46" s="89" t="s">
        <v>456</v>
      </c>
      <c r="AP46" s="83" t="b">
        <v>0</v>
      </c>
      <c r="AQ46" s="89" t="s">
        <v>443</v>
      </c>
      <c r="AR46" s="83" t="s">
        <v>196</v>
      </c>
      <c r="AS46" s="83">
        <v>0</v>
      </c>
      <c r="AT46" s="83">
        <v>0</v>
      </c>
      <c r="AU46" s="83"/>
      <c r="AV46" s="83"/>
      <c r="AW46" s="83"/>
      <c r="AX46" s="83"/>
      <c r="AY46" s="83"/>
      <c r="AZ46" s="83"/>
      <c r="BA46" s="83"/>
      <c r="BB46" s="83"/>
      <c r="BC46">
        <v>1</v>
      </c>
      <c r="BD46" s="82" t="str">
        <f>REPLACE(INDEX(GroupVertices[Group],MATCH(Edges25[[#This Row],[Vertex 1]],GroupVertices[Vertex],0)),1,1,"")</f>
        <v>4</v>
      </c>
      <c r="BE46" s="82" t="str">
        <f>REPLACE(INDEX(GroupVertices[Group],MATCH(Edges25[[#This Row],[Vertex 2]],GroupVertices[Vertex],0)),1,1,"")</f>
        <v>4</v>
      </c>
      <c r="BF46" s="51">
        <v>0</v>
      </c>
      <c r="BG46" s="52">
        <v>0</v>
      </c>
      <c r="BH46" s="51">
        <v>0</v>
      </c>
      <c r="BI46" s="52">
        <v>0</v>
      </c>
      <c r="BJ46" s="51">
        <v>0</v>
      </c>
      <c r="BK46" s="52">
        <v>0</v>
      </c>
      <c r="BL46" s="51">
        <v>33</v>
      </c>
      <c r="BM46" s="52">
        <v>100</v>
      </c>
      <c r="BN46" s="51">
        <v>33</v>
      </c>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79C0C-88B0-4E97-AB67-F157517B8AC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1338</v>
      </c>
      <c r="B1" s="13" t="s">
        <v>34</v>
      </c>
    </row>
    <row r="2" spans="1:2" ht="15">
      <c r="A2" s="115" t="s">
        <v>254</v>
      </c>
      <c r="B2" s="82">
        <v>216</v>
      </c>
    </row>
    <row r="3" spans="1:2" ht="15">
      <c r="A3" s="117" t="s">
        <v>251</v>
      </c>
      <c r="B3" s="82">
        <v>116</v>
      </c>
    </row>
    <row r="4" spans="1:2" ht="15">
      <c r="A4" s="117" t="s">
        <v>250</v>
      </c>
      <c r="B4" s="82">
        <v>116</v>
      </c>
    </row>
    <row r="5" spans="1:2" ht="15">
      <c r="A5" s="117" t="s">
        <v>253</v>
      </c>
      <c r="B5" s="82">
        <v>102</v>
      </c>
    </row>
    <row r="6" spans="1:2" ht="15">
      <c r="A6" s="117" t="s">
        <v>275</v>
      </c>
      <c r="B6" s="82">
        <v>36</v>
      </c>
    </row>
    <row r="7" spans="1:2" ht="15">
      <c r="A7" s="117" t="s">
        <v>255</v>
      </c>
      <c r="B7" s="82">
        <v>36</v>
      </c>
    </row>
    <row r="8" spans="1:2" ht="15">
      <c r="A8" s="117" t="s">
        <v>257</v>
      </c>
      <c r="B8" s="82">
        <v>36</v>
      </c>
    </row>
    <row r="9" spans="1:2" ht="15">
      <c r="A9" s="117" t="s">
        <v>269</v>
      </c>
      <c r="B9" s="82">
        <v>12</v>
      </c>
    </row>
    <row r="10" spans="1:2" ht="15">
      <c r="A10" s="117" t="s">
        <v>234</v>
      </c>
      <c r="B10" s="82">
        <v>2</v>
      </c>
    </row>
    <row r="11" spans="1:2" ht="15">
      <c r="A11" s="117" t="s">
        <v>243</v>
      </c>
      <c r="B11" s="82">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BAAA3-9B30-49B3-8B99-747850EEE86A}">
  <dimension ref="A25:B73"/>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26" t="s">
        <v>1340</v>
      </c>
      <c r="B25" t="s">
        <v>1339</v>
      </c>
    </row>
    <row r="26" spans="1:2" ht="15">
      <c r="A26" s="127" t="s">
        <v>1342</v>
      </c>
      <c r="B26" s="3">
        <v>1</v>
      </c>
    </row>
    <row r="27" spans="1:2" ht="15">
      <c r="A27" s="128" t="s">
        <v>1343</v>
      </c>
      <c r="B27" s="3">
        <v>1</v>
      </c>
    </row>
    <row r="28" spans="1:2" ht="15">
      <c r="A28" s="129" t="s">
        <v>1344</v>
      </c>
      <c r="B28" s="3">
        <v>1</v>
      </c>
    </row>
    <row r="29" spans="1:2" ht="15">
      <c r="A29" s="130" t="s">
        <v>1345</v>
      </c>
      <c r="B29" s="3">
        <v>1</v>
      </c>
    </row>
    <row r="30" spans="1:2" ht="15">
      <c r="A30" s="127" t="s">
        <v>1195</v>
      </c>
      <c r="B30" s="3">
        <v>43</v>
      </c>
    </row>
    <row r="31" spans="1:2" ht="15">
      <c r="A31" s="128" t="s">
        <v>1346</v>
      </c>
      <c r="B31" s="3">
        <v>43</v>
      </c>
    </row>
    <row r="32" spans="1:2" ht="15">
      <c r="A32" s="129" t="s">
        <v>1347</v>
      </c>
      <c r="B32" s="3">
        <v>2</v>
      </c>
    </row>
    <row r="33" spans="1:2" ht="15">
      <c r="A33" s="130" t="s">
        <v>1348</v>
      </c>
      <c r="B33" s="3">
        <v>2</v>
      </c>
    </row>
    <row r="34" spans="1:2" ht="15">
      <c r="A34" s="129" t="s">
        <v>1349</v>
      </c>
      <c r="B34" s="3">
        <v>4</v>
      </c>
    </row>
    <row r="35" spans="1:2" ht="15">
      <c r="A35" s="130" t="s">
        <v>1348</v>
      </c>
      <c r="B35" s="3">
        <v>3</v>
      </c>
    </row>
    <row r="36" spans="1:2" ht="15">
      <c r="A36" s="130" t="s">
        <v>1350</v>
      </c>
      <c r="B36" s="3">
        <v>1</v>
      </c>
    </row>
    <row r="37" spans="1:2" ht="15">
      <c r="A37" s="129" t="s">
        <v>1351</v>
      </c>
      <c r="B37" s="3">
        <v>3</v>
      </c>
    </row>
    <row r="38" spans="1:2" ht="15">
      <c r="A38" s="130" t="s">
        <v>1352</v>
      </c>
      <c r="B38" s="3">
        <v>1</v>
      </c>
    </row>
    <row r="39" spans="1:2" ht="15">
      <c r="A39" s="130" t="s">
        <v>1353</v>
      </c>
      <c r="B39" s="3">
        <v>2</v>
      </c>
    </row>
    <row r="40" spans="1:2" ht="15">
      <c r="A40" s="129" t="s">
        <v>1354</v>
      </c>
      <c r="B40" s="3">
        <v>2</v>
      </c>
    </row>
    <row r="41" spans="1:2" ht="15">
      <c r="A41" s="130" t="s">
        <v>1355</v>
      </c>
      <c r="B41" s="3">
        <v>1</v>
      </c>
    </row>
    <row r="42" spans="1:2" ht="15">
      <c r="A42" s="130" t="s">
        <v>1348</v>
      </c>
      <c r="B42" s="3">
        <v>1</v>
      </c>
    </row>
    <row r="43" spans="1:2" ht="15">
      <c r="A43" s="129" t="s">
        <v>1356</v>
      </c>
      <c r="B43" s="3">
        <v>3</v>
      </c>
    </row>
    <row r="44" spans="1:2" ht="15">
      <c r="A44" s="130" t="s">
        <v>1357</v>
      </c>
      <c r="B44" s="3">
        <v>1</v>
      </c>
    </row>
    <row r="45" spans="1:2" ht="15">
      <c r="A45" s="130" t="s">
        <v>1352</v>
      </c>
      <c r="B45" s="3">
        <v>1</v>
      </c>
    </row>
    <row r="46" spans="1:2" ht="15">
      <c r="A46" s="130" t="s">
        <v>1345</v>
      </c>
      <c r="B46" s="3">
        <v>1</v>
      </c>
    </row>
    <row r="47" spans="1:2" ht="15">
      <c r="A47" s="129" t="s">
        <v>1358</v>
      </c>
      <c r="B47" s="3">
        <v>3</v>
      </c>
    </row>
    <row r="48" spans="1:2" ht="15">
      <c r="A48" s="130" t="s">
        <v>1359</v>
      </c>
      <c r="B48" s="3">
        <v>1</v>
      </c>
    </row>
    <row r="49" spans="1:2" ht="15">
      <c r="A49" s="130" t="s">
        <v>1360</v>
      </c>
      <c r="B49" s="3">
        <v>1</v>
      </c>
    </row>
    <row r="50" spans="1:2" ht="15">
      <c r="A50" s="130" t="s">
        <v>1345</v>
      </c>
      <c r="B50" s="3">
        <v>1</v>
      </c>
    </row>
    <row r="51" spans="1:2" ht="15">
      <c r="A51" s="129" t="s">
        <v>1361</v>
      </c>
      <c r="B51" s="3">
        <v>6</v>
      </c>
    </row>
    <row r="52" spans="1:2" ht="15">
      <c r="A52" s="130" t="s">
        <v>1355</v>
      </c>
      <c r="B52" s="3">
        <v>1</v>
      </c>
    </row>
    <row r="53" spans="1:2" ht="15">
      <c r="A53" s="130" t="s">
        <v>1360</v>
      </c>
      <c r="B53" s="3">
        <v>2</v>
      </c>
    </row>
    <row r="54" spans="1:2" ht="15">
      <c r="A54" s="130" t="s">
        <v>1357</v>
      </c>
      <c r="B54" s="3">
        <v>1</v>
      </c>
    </row>
    <row r="55" spans="1:2" ht="15">
      <c r="A55" s="130" t="s">
        <v>1352</v>
      </c>
      <c r="B55" s="3">
        <v>1</v>
      </c>
    </row>
    <row r="56" spans="1:2" ht="15">
      <c r="A56" s="130" t="s">
        <v>1362</v>
      </c>
      <c r="B56" s="3">
        <v>1</v>
      </c>
    </row>
    <row r="57" spans="1:2" ht="15">
      <c r="A57" s="129" t="s">
        <v>1363</v>
      </c>
      <c r="B57" s="3">
        <v>7</v>
      </c>
    </row>
    <row r="58" spans="1:2" ht="15">
      <c r="A58" s="130" t="s">
        <v>1364</v>
      </c>
      <c r="B58" s="3">
        <v>1</v>
      </c>
    </row>
    <row r="59" spans="1:2" ht="15">
      <c r="A59" s="130" t="s">
        <v>1360</v>
      </c>
      <c r="B59" s="3">
        <v>2</v>
      </c>
    </row>
    <row r="60" spans="1:2" ht="15">
      <c r="A60" s="130" t="s">
        <v>1357</v>
      </c>
      <c r="B60" s="3">
        <v>2</v>
      </c>
    </row>
    <row r="61" spans="1:2" ht="15">
      <c r="A61" s="130" t="s">
        <v>1348</v>
      </c>
      <c r="B61" s="3">
        <v>1</v>
      </c>
    </row>
    <row r="62" spans="1:2" ht="15">
      <c r="A62" s="130" t="s">
        <v>1345</v>
      </c>
      <c r="B62" s="3">
        <v>1</v>
      </c>
    </row>
    <row r="63" spans="1:2" ht="15">
      <c r="A63" s="129" t="s">
        <v>1365</v>
      </c>
      <c r="B63" s="3">
        <v>5</v>
      </c>
    </row>
    <row r="64" spans="1:2" ht="15">
      <c r="A64" s="130" t="s">
        <v>1366</v>
      </c>
      <c r="B64" s="3">
        <v>2</v>
      </c>
    </row>
    <row r="65" spans="1:2" ht="15">
      <c r="A65" s="130" t="s">
        <v>1367</v>
      </c>
      <c r="B65" s="3">
        <v>1</v>
      </c>
    </row>
    <row r="66" spans="1:2" ht="15">
      <c r="A66" s="130" t="s">
        <v>1360</v>
      </c>
      <c r="B66" s="3">
        <v>1</v>
      </c>
    </row>
    <row r="67" spans="1:2" ht="15">
      <c r="A67" s="130" t="s">
        <v>1368</v>
      </c>
      <c r="B67" s="3">
        <v>1</v>
      </c>
    </row>
    <row r="68" spans="1:2" ht="15">
      <c r="A68" s="129" t="s">
        <v>1369</v>
      </c>
      <c r="B68" s="3">
        <v>8</v>
      </c>
    </row>
    <row r="69" spans="1:2" ht="15">
      <c r="A69" s="130" t="s">
        <v>1359</v>
      </c>
      <c r="B69" s="3">
        <v>1</v>
      </c>
    </row>
    <row r="70" spans="1:2" ht="15">
      <c r="A70" s="130" t="s">
        <v>1355</v>
      </c>
      <c r="B70" s="3">
        <v>2</v>
      </c>
    </row>
    <row r="71" spans="1:2" ht="15">
      <c r="A71" s="130" t="s">
        <v>1357</v>
      </c>
      <c r="B71" s="3">
        <v>2</v>
      </c>
    </row>
    <row r="72" spans="1:2" ht="15">
      <c r="A72" s="130" t="s">
        <v>1350</v>
      </c>
      <c r="B72" s="3">
        <v>3</v>
      </c>
    </row>
    <row r="73" spans="1:2" ht="15">
      <c r="A73" s="127" t="s">
        <v>1341</v>
      </c>
      <c r="B73"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53"/>
  <sheetViews>
    <sheetView tabSelected="1" workbookViewId="0" topLeftCell="A1">
      <pane xSplit="1" ySplit="2" topLeftCell="B3" activePane="bottomRight" state="frozen"/>
      <selection pane="topRight" activeCell="B1" sqref="B1"/>
      <selection pane="bottomLeft" activeCell="A3" sqref="A3"/>
      <selection pane="bottomRight" activeCell="X4" sqref="X4"/>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7.28125" style="0" customWidth="1"/>
    <col min="56" max="56" width="19.57421875" style="0" customWidth="1"/>
    <col min="57" max="57" width="17.421875" style="0" customWidth="1"/>
    <col min="58" max="58" width="19.57421875" style="0" customWidth="1"/>
    <col min="59" max="59" width="17.57421875" style="0" customWidth="1"/>
    <col min="60" max="60" width="19.57421875" style="0" customWidth="1"/>
    <col min="61" max="61" width="17.28125" style="0" customWidth="1"/>
    <col min="62" max="62" width="19.57421875" style="0" customWidth="1"/>
    <col min="63" max="63" width="19.28125" style="0" customWidth="1"/>
    <col min="64" max="64" width="19.57421875" style="0" customWidth="1"/>
    <col min="65" max="65" width="19.7109375" style="0" customWidth="1"/>
    <col min="66" max="66" width="24.28125" style="0" customWidth="1"/>
    <col min="67" max="67" width="19.7109375" style="0" customWidth="1"/>
    <col min="68" max="68" width="24.28125" style="0" customWidth="1"/>
    <col min="69" max="69" width="19.7109375" style="0" customWidth="1"/>
    <col min="70" max="70" width="24.28125" style="0" customWidth="1"/>
    <col min="71" max="71" width="18.57421875" style="0" customWidth="1"/>
    <col min="72" max="72" width="22.28125" style="0" customWidth="1"/>
    <col min="73" max="73" width="1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1385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464</v>
      </c>
      <c r="AF2" s="13" t="s">
        <v>465</v>
      </c>
      <c r="AG2" s="13" t="s">
        <v>466</v>
      </c>
      <c r="AH2" s="13" t="s">
        <v>467</v>
      </c>
      <c r="AI2" s="13" t="s">
        <v>468</v>
      </c>
      <c r="AJ2" s="13" t="s">
        <v>469</v>
      </c>
      <c r="AK2" s="13" t="s">
        <v>470</v>
      </c>
      <c r="AL2" s="13" t="s">
        <v>471</v>
      </c>
      <c r="AM2" s="13" t="s">
        <v>472</v>
      </c>
      <c r="AN2" s="13" t="s">
        <v>473</v>
      </c>
      <c r="AO2" s="13" t="s">
        <v>474</v>
      </c>
      <c r="AP2" s="13" t="s">
        <v>475</v>
      </c>
      <c r="AQ2" s="13" t="s">
        <v>476</v>
      </c>
      <c r="AR2" s="13" t="s">
        <v>477</v>
      </c>
      <c r="AS2" s="13" t="s">
        <v>478</v>
      </c>
      <c r="AT2" s="13" t="s">
        <v>479</v>
      </c>
      <c r="AU2" s="13" t="s">
        <v>214</v>
      </c>
      <c r="AV2" s="13" t="s">
        <v>480</v>
      </c>
      <c r="AW2" s="13" t="s">
        <v>481</v>
      </c>
      <c r="AX2" s="13" t="s">
        <v>482</v>
      </c>
      <c r="AY2" s="13" t="s">
        <v>483</v>
      </c>
      <c r="AZ2" s="13" t="s">
        <v>484</v>
      </c>
      <c r="BA2" s="13" t="s">
        <v>485</v>
      </c>
      <c r="BB2" s="13" t="s">
        <v>742</v>
      </c>
      <c r="BC2" s="118" t="s">
        <v>1086</v>
      </c>
      <c r="BD2" s="118" t="s">
        <v>1090</v>
      </c>
      <c r="BE2" s="118" t="s">
        <v>1091</v>
      </c>
      <c r="BF2" s="118" t="s">
        <v>1094</v>
      </c>
      <c r="BG2" s="118" t="s">
        <v>1095</v>
      </c>
      <c r="BH2" s="118" t="s">
        <v>1103</v>
      </c>
      <c r="BI2" s="118" t="s">
        <v>1107</v>
      </c>
      <c r="BJ2" s="118" t="s">
        <v>1130</v>
      </c>
      <c r="BK2" s="118" t="s">
        <v>1134</v>
      </c>
      <c r="BL2" s="118" t="s">
        <v>1154</v>
      </c>
      <c r="BM2" s="118" t="s">
        <v>1293</v>
      </c>
      <c r="BN2" s="118" t="s">
        <v>1294</v>
      </c>
      <c r="BO2" s="118" t="s">
        <v>1295</v>
      </c>
      <c r="BP2" s="118" t="s">
        <v>1296</v>
      </c>
      <c r="BQ2" s="118" t="s">
        <v>1297</v>
      </c>
      <c r="BR2" s="118" t="s">
        <v>1298</v>
      </c>
      <c r="BS2" s="118" t="s">
        <v>1299</v>
      </c>
      <c r="BT2" s="118" t="s">
        <v>1300</v>
      </c>
      <c r="BU2" s="118" t="s">
        <v>1302</v>
      </c>
      <c r="BV2" s="3"/>
      <c r="BW2" s="3"/>
    </row>
    <row r="3" spans="1:75" ht="41.45" customHeight="1">
      <c r="A3" s="50" t="s">
        <v>271</v>
      </c>
      <c r="C3" s="53"/>
      <c r="D3" s="53" t="s">
        <v>64</v>
      </c>
      <c r="E3" s="54">
        <v>375.13731547752184</v>
      </c>
      <c r="F3" s="55"/>
      <c r="G3" s="111" t="str">
        <f>HYPERLINK("https://pbs.twimg.com/profile_images/923193049081098240/IV1WPiRR_normal.jpg")</f>
        <v>https://pbs.twimg.com/profile_images/923193049081098240/IV1WPiRR_normal.jpg</v>
      </c>
      <c r="H3" s="53"/>
      <c r="I3" s="57" t="s">
        <v>271</v>
      </c>
      <c r="J3" s="56"/>
      <c r="K3" s="56"/>
      <c r="L3" s="113" t="s">
        <v>714</v>
      </c>
      <c r="M3" s="59">
        <v>15.038923252438414</v>
      </c>
      <c r="N3" s="60">
        <v>8686.0751953125</v>
      </c>
      <c r="O3" s="60">
        <v>7388.00439453125</v>
      </c>
      <c r="P3" s="58"/>
      <c r="Q3" s="61"/>
      <c r="R3" s="61"/>
      <c r="S3" s="51"/>
      <c r="T3" s="51">
        <v>0</v>
      </c>
      <c r="U3" s="51">
        <v>1</v>
      </c>
      <c r="V3" s="52">
        <v>0</v>
      </c>
      <c r="W3" s="52">
        <v>0.333333</v>
      </c>
      <c r="X3" s="52">
        <v>0</v>
      </c>
      <c r="Y3" s="52">
        <v>0.638292</v>
      </c>
      <c r="Z3" s="52">
        <v>0</v>
      </c>
      <c r="AA3" s="52">
        <v>0</v>
      </c>
      <c r="AB3" s="62">
        <v>3</v>
      </c>
      <c r="AC3" s="62"/>
      <c r="AD3" s="63"/>
      <c r="AE3" s="82" t="s">
        <v>455</v>
      </c>
      <c r="AF3" s="88" t="s">
        <v>580</v>
      </c>
      <c r="AG3" s="82">
        <v>5885</v>
      </c>
      <c r="AH3" s="82">
        <v>36392</v>
      </c>
      <c r="AI3" s="82">
        <v>47336</v>
      </c>
      <c r="AJ3" s="82">
        <v>11431</v>
      </c>
      <c r="AK3" s="82"/>
      <c r="AL3" s="82" t="s">
        <v>628</v>
      </c>
      <c r="AM3" s="82" t="s">
        <v>629</v>
      </c>
      <c r="AN3" s="86" t="str">
        <f>HYPERLINK("https://t.co/IyNhvSSnSZ")</f>
        <v>https://t.co/IyNhvSSnSZ</v>
      </c>
      <c r="AO3" s="82"/>
      <c r="AP3" s="84">
        <v>39499.57802083333</v>
      </c>
      <c r="AQ3" s="86" t="str">
        <f>HYPERLINK("https://pbs.twimg.com/profile_banners/13770242/1508941369")</f>
        <v>https://pbs.twimg.com/profile_banners/13770242/1508941369</v>
      </c>
      <c r="AR3" s="82" t="b">
        <v>0</v>
      </c>
      <c r="AS3" s="82" t="b">
        <v>0</v>
      </c>
      <c r="AT3" s="82" t="b">
        <v>1</v>
      </c>
      <c r="AU3" s="82"/>
      <c r="AV3" s="82">
        <v>543</v>
      </c>
      <c r="AW3" s="86" t="str">
        <f>HYPERLINK("https://abs.twimg.com/images/themes/theme1/bg.png")</f>
        <v>https://abs.twimg.com/images/themes/theme1/bg.png</v>
      </c>
      <c r="AX3" s="82" t="b">
        <v>0</v>
      </c>
      <c r="AY3" s="82" t="s">
        <v>663</v>
      </c>
      <c r="AZ3" s="86" t="str">
        <f>HYPERLINK("https://twitter.com/bizcommunity")</f>
        <v>https://twitter.com/bizcommunity</v>
      </c>
      <c r="BA3" s="82" t="s">
        <v>66</v>
      </c>
      <c r="BB3" s="82" t="str">
        <f>REPLACE(INDEX(GroupVertices[Group],MATCH(Vertices[[#This Row],[Vertex]],GroupVertices[Vertex],0)),1,1,"")</f>
        <v>7</v>
      </c>
      <c r="BC3" s="51" t="s">
        <v>750</v>
      </c>
      <c r="BD3" s="51" t="s">
        <v>750</v>
      </c>
      <c r="BE3" s="51" t="s">
        <v>317</v>
      </c>
      <c r="BF3" s="51" t="s">
        <v>317</v>
      </c>
      <c r="BG3" s="51" t="s">
        <v>333</v>
      </c>
      <c r="BH3" s="51" t="s">
        <v>333</v>
      </c>
      <c r="BI3" s="119" t="s">
        <v>1108</v>
      </c>
      <c r="BJ3" s="119" t="s">
        <v>1108</v>
      </c>
      <c r="BK3" s="119" t="s">
        <v>1135</v>
      </c>
      <c r="BL3" s="119" t="s">
        <v>1135</v>
      </c>
      <c r="BM3" s="119">
        <v>1</v>
      </c>
      <c r="BN3" s="122">
        <v>6.666666666666667</v>
      </c>
      <c r="BO3" s="119">
        <v>0</v>
      </c>
      <c r="BP3" s="122">
        <v>0</v>
      </c>
      <c r="BQ3" s="119">
        <v>0</v>
      </c>
      <c r="BR3" s="122">
        <v>0</v>
      </c>
      <c r="BS3" s="119">
        <v>14</v>
      </c>
      <c r="BT3" s="122">
        <v>93.33333333333333</v>
      </c>
      <c r="BU3" s="119">
        <v>15</v>
      </c>
      <c r="BV3" s="3"/>
      <c r="BW3" s="3"/>
    </row>
    <row r="4" spans="1:78" ht="41.45" customHeight="1">
      <c r="A4" s="14" t="s">
        <v>234</v>
      </c>
      <c r="C4" s="15"/>
      <c r="D4" s="15" t="s">
        <v>64</v>
      </c>
      <c r="E4" s="92">
        <v>178.55827834936255</v>
      </c>
      <c r="F4" s="79"/>
      <c r="G4" s="111" t="str">
        <f>HYPERLINK("https://pbs.twimg.com/profile_images/1128574647975456768/YhbdgnVt_normal.png")</f>
        <v>https://pbs.twimg.com/profile_images/1128574647975456768/YhbdgnVt_normal.png</v>
      </c>
      <c r="H4" s="15"/>
      <c r="I4" s="16" t="s">
        <v>234</v>
      </c>
      <c r="J4" s="67"/>
      <c r="K4" s="67"/>
      <c r="L4" s="113" t="s">
        <v>664</v>
      </c>
      <c r="M4" s="93">
        <v>2.0906602554245346</v>
      </c>
      <c r="N4" s="94">
        <v>9264.65234375</v>
      </c>
      <c r="O4" s="94">
        <v>8605.16015625</v>
      </c>
      <c r="P4" s="78"/>
      <c r="Q4" s="95"/>
      <c r="R4" s="95"/>
      <c r="S4" s="96"/>
      <c r="T4" s="51">
        <v>3</v>
      </c>
      <c r="U4" s="51">
        <v>1</v>
      </c>
      <c r="V4" s="52">
        <v>2</v>
      </c>
      <c r="W4" s="52">
        <v>0.5</v>
      </c>
      <c r="X4" s="52">
        <v>0</v>
      </c>
      <c r="Y4" s="52">
        <v>1.723387</v>
      </c>
      <c r="Z4" s="52">
        <v>0</v>
      </c>
      <c r="AA4" s="52">
        <v>0</v>
      </c>
      <c r="AB4" s="80">
        <v>4</v>
      </c>
      <c r="AC4" s="80"/>
      <c r="AD4" s="97"/>
      <c r="AE4" s="82" t="s">
        <v>486</v>
      </c>
      <c r="AF4" s="88" t="s">
        <v>533</v>
      </c>
      <c r="AG4" s="82">
        <v>1893</v>
      </c>
      <c r="AH4" s="82">
        <v>2830</v>
      </c>
      <c r="AI4" s="82">
        <v>19076</v>
      </c>
      <c r="AJ4" s="82">
        <v>3207</v>
      </c>
      <c r="AK4" s="82"/>
      <c r="AL4" s="82" t="s">
        <v>581</v>
      </c>
      <c r="AM4" s="82" t="s">
        <v>629</v>
      </c>
      <c r="AN4" s="86" t="str">
        <f>HYPERLINK("https://t.co/imezmCwmue")</f>
        <v>https://t.co/imezmCwmue</v>
      </c>
      <c r="AO4" s="82"/>
      <c r="AP4" s="84">
        <v>40372.53790509259</v>
      </c>
      <c r="AQ4" s="86" t="str">
        <f>HYPERLINK("https://pbs.twimg.com/profile_banners/166145031/1557909146")</f>
        <v>https://pbs.twimg.com/profile_banners/166145031/1557909146</v>
      </c>
      <c r="AR4" s="82" t="b">
        <v>0</v>
      </c>
      <c r="AS4" s="82" t="b">
        <v>0</v>
      </c>
      <c r="AT4" s="82" t="b">
        <v>1</v>
      </c>
      <c r="AU4" s="82"/>
      <c r="AV4" s="82">
        <v>68</v>
      </c>
      <c r="AW4" s="86" t="str">
        <f>HYPERLINK("https://abs.twimg.com/images/themes/theme1/bg.png")</f>
        <v>https://abs.twimg.com/images/themes/theme1/bg.png</v>
      </c>
      <c r="AX4" s="82" t="b">
        <v>0</v>
      </c>
      <c r="AY4" s="82" t="s">
        <v>663</v>
      </c>
      <c r="AZ4" s="86" t="str">
        <f>HYPERLINK("https://twitter.com/biz_retail")</f>
        <v>https://twitter.com/biz_retail</v>
      </c>
      <c r="BA4" s="82" t="s">
        <v>66</v>
      </c>
      <c r="BB4" s="82" t="str">
        <f>REPLACE(INDEX(GroupVertices[Group],MATCH(Vertices[[#This Row],[Vertex]],GroupVertices[Vertex],0)),1,1,"")</f>
        <v>7</v>
      </c>
      <c r="BC4" s="51" t="s">
        <v>750</v>
      </c>
      <c r="BD4" s="51" t="s">
        <v>750</v>
      </c>
      <c r="BE4" s="51" t="s">
        <v>317</v>
      </c>
      <c r="BF4" s="51" t="s">
        <v>317</v>
      </c>
      <c r="BG4" s="51" t="s">
        <v>333</v>
      </c>
      <c r="BH4" s="51" t="s">
        <v>333</v>
      </c>
      <c r="BI4" s="119" t="s">
        <v>1108</v>
      </c>
      <c r="BJ4" s="119" t="s">
        <v>1108</v>
      </c>
      <c r="BK4" s="119" t="s">
        <v>1135</v>
      </c>
      <c r="BL4" s="119" t="s">
        <v>1135</v>
      </c>
      <c r="BM4" s="119">
        <v>1</v>
      </c>
      <c r="BN4" s="122">
        <v>6.666666666666667</v>
      </c>
      <c r="BO4" s="119">
        <v>0</v>
      </c>
      <c r="BP4" s="122">
        <v>0</v>
      </c>
      <c r="BQ4" s="119">
        <v>0</v>
      </c>
      <c r="BR4" s="122">
        <v>0</v>
      </c>
      <c r="BS4" s="119">
        <v>14</v>
      </c>
      <c r="BT4" s="122">
        <v>93.33333333333333</v>
      </c>
      <c r="BU4" s="119">
        <v>15</v>
      </c>
      <c r="BV4" s="2"/>
      <c r="BW4" s="3"/>
      <c r="BX4" s="3"/>
      <c r="BY4" s="3"/>
      <c r="BZ4" s="3"/>
    </row>
    <row r="5" spans="1:78" ht="41.45" customHeight="1">
      <c r="A5" s="14" t="s">
        <v>235</v>
      </c>
      <c r="C5" s="15"/>
      <c r="D5" s="15" t="s">
        <v>64</v>
      </c>
      <c r="E5" s="92">
        <v>177.94327331693134</v>
      </c>
      <c r="F5" s="79"/>
      <c r="G5" s="111" t="str">
        <f>HYPERLINK("https://pbs.twimg.com/profile_images/1130413499677630466/wH70GFMi_normal.png")</f>
        <v>https://pbs.twimg.com/profile_images/1130413499677630466/wH70GFMi_normal.png</v>
      </c>
      <c r="H5" s="15"/>
      <c r="I5" s="16" t="s">
        <v>235</v>
      </c>
      <c r="J5" s="67"/>
      <c r="K5" s="67"/>
      <c r="L5" s="113" t="s">
        <v>665</v>
      </c>
      <c r="M5" s="93">
        <v>2.050151119655318</v>
      </c>
      <c r="N5" s="94">
        <v>8686.0751953125</v>
      </c>
      <c r="O5" s="94">
        <v>8605.16015625</v>
      </c>
      <c r="P5" s="78"/>
      <c r="Q5" s="95"/>
      <c r="R5" s="95"/>
      <c r="S5" s="96"/>
      <c r="T5" s="51">
        <v>0</v>
      </c>
      <c r="U5" s="51">
        <v>1</v>
      </c>
      <c r="V5" s="52">
        <v>0</v>
      </c>
      <c r="W5" s="52">
        <v>0.333333</v>
      </c>
      <c r="X5" s="52">
        <v>0</v>
      </c>
      <c r="Y5" s="52">
        <v>0.638292</v>
      </c>
      <c r="Z5" s="52">
        <v>0</v>
      </c>
      <c r="AA5" s="52">
        <v>0</v>
      </c>
      <c r="AB5" s="80">
        <v>5</v>
      </c>
      <c r="AC5" s="80"/>
      <c r="AD5" s="97"/>
      <c r="AE5" s="82" t="s">
        <v>487</v>
      </c>
      <c r="AF5" s="88" t="s">
        <v>534</v>
      </c>
      <c r="AG5" s="82">
        <v>796</v>
      </c>
      <c r="AH5" s="82">
        <v>2725</v>
      </c>
      <c r="AI5" s="82">
        <v>5847</v>
      </c>
      <c r="AJ5" s="82">
        <v>742</v>
      </c>
      <c r="AK5" s="82"/>
      <c r="AL5" s="82" t="s">
        <v>582</v>
      </c>
      <c r="AM5" s="82" t="s">
        <v>629</v>
      </c>
      <c r="AN5" s="86" t="str">
        <f>HYPERLINK("http://t.co/Sg5hZhmKLZ")</f>
        <v>http://t.co/Sg5hZhmKLZ</v>
      </c>
      <c r="AO5" s="82"/>
      <c r="AP5" s="84">
        <v>40434.67797453704</v>
      </c>
      <c r="AQ5" s="86" t="str">
        <f>HYPERLINK("https://pbs.twimg.com/profile_banners/190301236/1508995379")</f>
        <v>https://pbs.twimg.com/profile_banners/190301236/1508995379</v>
      </c>
      <c r="AR5" s="82" t="b">
        <v>0</v>
      </c>
      <c r="AS5" s="82" t="b">
        <v>0</v>
      </c>
      <c r="AT5" s="82" t="b">
        <v>0</v>
      </c>
      <c r="AU5" s="82"/>
      <c r="AV5" s="82">
        <v>80</v>
      </c>
      <c r="AW5" s="86" t="str">
        <f>HYPERLINK("https://abs.twimg.com/images/themes/theme1/bg.png")</f>
        <v>https://abs.twimg.com/images/themes/theme1/bg.png</v>
      </c>
      <c r="AX5" s="82" t="b">
        <v>0</v>
      </c>
      <c r="AY5" s="82" t="s">
        <v>663</v>
      </c>
      <c r="AZ5" s="86" t="str">
        <f>HYPERLINK("https://twitter.com/biz_agriculture")</f>
        <v>https://twitter.com/biz_agriculture</v>
      </c>
      <c r="BA5" s="82" t="s">
        <v>66</v>
      </c>
      <c r="BB5" s="82" t="str">
        <f>REPLACE(INDEX(GroupVertices[Group],MATCH(Vertices[[#This Row],[Vertex]],GroupVertices[Vertex],0)),1,1,"")</f>
        <v>7</v>
      </c>
      <c r="BC5" s="51" t="s">
        <v>750</v>
      </c>
      <c r="BD5" s="51" t="s">
        <v>750</v>
      </c>
      <c r="BE5" s="51" t="s">
        <v>317</v>
      </c>
      <c r="BF5" s="51" t="s">
        <v>317</v>
      </c>
      <c r="BG5" s="51" t="s">
        <v>333</v>
      </c>
      <c r="BH5" s="51" t="s">
        <v>333</v>
      </c>
      <c r="BI5" s="119" t="s">
        <v>1108</v>
      </c>
      <c r="BJ5" s="119" t="s">
        <v>1108</v>
      </c>
      <c r="BK5" s="119" t="s">
        <v>1135</v>
      </c>
      <c r="BL5" s="119" t="s">
        <v>1135</v>
      </c>
      <c r="BM5" s="119">
        <v>1</v>
      </c>
      <c r="BN5" s="122">
        <v>6.666666666666667</v>
      </c>
      <c r="BO5" s="119">
        <v>0</v>
      </c>
      <c r="BP5" s="122">
        <v>0</v>
      </c>
      <c r="BQ5" s="119">
        <v>0</v>
      </c>
      <c r="BR5" s="122">
        <v>0</v>
      </c>
      <c r="BS5" s="119">
        <v>14</v>
      </c>
      <c r="BT5" s="122">
        <v>93.33333333333333</v>
      </c>
      <c r="BU5" s="119">
        <v>15</v>
      </c>
      <c r="BV5" s="2"/>
      <c r="BW5" s="3"/>
      <c r="BX5" s="3"/>
      <c r="BY5" s="3"/>
      <c r="BZ5" s="3"/>
    </row>
    <row r="6" spans="1:78" ht="41.45" customHeight="1">
      <c r="A6" s="14" t="s">
        <v>236</v>
      </c>
      <c r="C6" s="15"/>
      <c r="D6" s="15" t="s">
        <v>64</v>
      </c>
      <c r="E6" s="92">
        <v>182.48845336613732</v>
      </c>
      <c r="F6" s="79"/>
      <c r="G6" s="111" t="str">
        <f>HYPERLINK("https://pbs.twimg.com/profile_images/710049013966487552/xyQ5j5sJ_normal.jpg")</f>
        <v>https://pbs.twimg.com/profile_images/710049013966487552/xyQ5j5sJ_normal.jpg</v>
      </c>
      <c r="H6" s="15"/>
      <c r="I6" s="16" t="s">
        <v>236</v>
      </c>
      <c r="J6" s="67"/>
      <c r="K6" s="67"/>
      <c r="L6" s="113" t="s">
        <v>666</v>
      </c>
      <c r="M6" s="93">
        <v>2.3495329230544826</v>
      </c>
      <c r="N6" s="94">
        <v>6750.06689453125</v>
      </c>
      <c r="O6" s="94">
        <v>4593.78125</v>
      </c>
      <c r="P6" s="78"/>
      <c r="Q6" s="95"/>
      <c r="R6" s="95"/>
      <c r="S6" s="96"/>
      <c r="T6" s="51">
        <v>1</v>
      </c>
      <c r="U6" s="51">
        <v>1</v>
      </c>
      <c r="V6" s="52">
        <v>0</v>
      </c>
      <c r="W6" s="52">
        <v>0.5</v>
      </c>
      <c r="X6" s="52">
        <v>0</v>
      </c>
      <c r="Y6" s="52">
        <v>0.99999</v>
      </c>
      <c r="Z6" s="52">
        <v>0.5</v>
      </c>
      <c r="AA6" s="52">
        <v>0</v>
      </c>
      <c r="AB6" s="80">
        <v>6</v>
      </c>
      <c r="AC6" s="80"/>
      <c r="AD6" s="97"/>
      <c r="AE6" s="82" t="s">
        <v>488</v>
      </c>
      <c r="AF6" s="88" t="s">
        <v>535</v>
      </c>
      <c r="AG6" s="82">
        <v>891</v>
      </c>
      <c r="AH6" s="82">
        <v>3501</v>
      </c>
      <c r="AI6" s="82">
        <v>10269</v>
      </c>
      <c r="AJ6" s="82">
        <v>270</v>
      </c>
      <c r="AK6" s="82"/>
      <c r="AL6" s="82" t="s">
        <v>583</v>
      </c>
      <c r="AM6" s="82" t="s">
        <v>630</v>
      </c>
      <c r="AN6" s="86" t="str">
        <f>HYPERLINK("https://t.co/2Ndy1lkIE7")</f>
        <v>https://t.co/2Ndy1lkIE7</v>
      </c>
      <c r="AO6" s="82"/>
      <c r="AP6" s="84">
        <v>42445.35119212963</v>
      </c>
      <c r="AQ6" s="86" t="str">
        <f>HYPERLINK("https://pbs.twimg.com/profile_banners/710019200719450112/1550151304")</f>
        <v>https://pbs.twimg.com/profile_banners/710019200719450112/1550151304</v>
      </c>
      <c r="AR6" s="82" t="b">
        <v>0</v>
      </c>
      <c r="AS6" s="82" t="b">
        <v>0</v>
      </c>
      <c r="AT6" s="82" t="b">
        <v>1</v>
      </c>
      <c r="AU6" s="82"/>
      <c r="AV6" s="82">
        <v>125</v>
      </c>
      <c r="AW6" s="86" t="str">
        <f>HYPERLINK("https://abs.twimg.com/images/themes/theme1/bg.png")</f>
        <v>https://abs.twimg.com/images/themes/theme1/bg.png</v>
      </c>
      <c r="AX6" s="82" t="b">
        <v>0</v>
      </c>
      <c r="AY6" s="82" t="s">
        <v>663</v>
      </c>
      <c r="AZ6" s="86" t="str">
        <f>HYPERLINK("https://twitter.com/fooding1st")</f>
        <v>https://twitter.com/fooding1st</v>
      </c>
      <c r="BA6" s="82" t="s">
        <v>66</v>
      </c>
      <c r="BB6" s="82" t="str">
        <f>REPLACE(INDEX(GroupVertices[Group],MATCH(Vertices[[#This Row],[Vertex]],GroupVertices[Vertex],0)),1,1,"")</f>
        <v>6</v>
      </c>
      <c r="BC6" s="51" t="s">
        <v>774</v>
      </c>
      <c r="BD6" s="51" t="s">
        <v>774</v>
      </c>
      <c r="BE6" s="51" t="s">
        <v>318</v>
      </c>
      <c r="BF6" s="51" t="s">
        <v>318</v>
      </c>
      <c r="BG6" s="51" t="s">
        <v>334</v>
      </c>
      <c r="BH6" s="51" t="s">
        <v>334</v>
      </c>
      <c r="BI6" s="119" t="s">
        <v>1109</v>
      </c>
      <c r="BJ6" s="119" t="s">
        <v>1109</v>
      </c>
      <c r="BK6" s="119" t="s">
        <v>1029</v>
      </c>
      <c r="BL6" s="119" t="s">
        <v>1029</v>
      </c>
      <c r="BM6" s="119">
        <v>0</v>
      </c>
      <c r="BN6" s="122">
        <v>0</v>
      </c>
      <c r="BO6" s="119">
        <v>0</v>
      </c>
      <c r="BP6" s="122">
        <v>0</v>
      </c>
      <c r="BQ6" s="119">
        <v>0</v>
      </c>
      <c r="BR6" s="122">
        <v>0</v>
      </c>
      <c r="BS6" s="119">
        <v>14</v>
      </c>
      <c r="BT6" s="122">
        <v>100</v>
      </c>
      <c r="BU6" s="119">
        <v>14</v>
      </c>
      <c r="BV6" s="2"/>
      <c r="BW6" s="3"/>
      <c r="BX6" s="3"/>
      <c r="BY6" s="3"/>
      <c r="BZ6" s="3"/>
    </row>
    <row r="7" spans="1:78" ht="41.45" customHeight="1">
      <c r="A7" s="14" t="s">
        <v>272</v>
      </c>
      <c r="C7" s="15"/>
      <c r="D7" s="15" t="s">
        <v>64</v>
      </c>
      <c r="E7" s="92">
        <v>226.80395884589578</v>
      </c>
      <c r="F7" s="79"/>
      <c r="G7" s="111" t="str">
        <f>HYPERLINK("https://pbs.twimg.com/profile_images/1382654218922815492/0LUSp_M5_normal.jpg")</f>
        <v>https://pbs.twimg.com/profile_images/1382654218922815492/0LUSp_M5_normal.jpg</v>
      </c>
      <c r="H7" s="15"/>
      <c r="I7" s="16" t="s">
        <v>272</v>
      </c>
      <c r="J7" s="67"/>
      <c r="K7" s="67"/>
      <c r="L7" s="113" t="s">
        <v>667</v>
      </c>
      <c r="M7" s="93">
        <v>5.26850550619634</v>
      </c>
      <c r="N7" s="94">
        <v>6750.06689453125</v>
      </c>
      <c r="O7" s="94">
        <v>3660.1923828125</v>
      </c>
      <c r="P7" s="78"/>
      <c r="Q7" s="95"/>
      <c r="R7" s="95"/>
      <c r="S7" s="96"/>
      <c r="T7" s="51">
        <v>2</v>
      </c>
      <c r="U7" s="51">
        <v>0</v>
      </c>
      <c r="V7" s="52">
        <v>0</v>
      </c>
      <c r="W7" s="52">
        <v>0.5</v>
      </c>
      <c r="X7" s="52">
        <v>0</v>
      </c>
      <c r="Y7" s="52">
        <v>0.99999</v>
      </c>
      <c r="Z7" s="52">
        <v>0.5</v>
      </c>
      <c r="AA7" s="52">
        <v>0</v>
      </c>
      <c r="AB7" s="80">
        <v>7</v>
      </c>
      <c r="AC7" s="80"/>
      <c r="AD7" s="97"/>
      <c r="AE7" s="82" t="s">
        <v>489</v>
      </c>
      <c r="AF7" s="88" t="s">
        <v>536</v>
      </c>
      <c r="AG7" s="82">
        <v>2843</v>
      </c>
      <c r="AH7" s="82">
        <v>11067</v>
      </c>
      <c r="AI7" s="82">
        <v>1251</v>
      </c>
      <c r="AJ7" s="82">
        <v>422</v>
      </c>
      <c r="AK7" s="82"/>
      <c r="AL7" s="82" t="s">
        <v>584</v>
      </c>
      <c r="AM7" s="82" t="s">
        <v>631</v>
      </c>
      <c r="AN7" s="86" t="str">
        <f>HYPERLINK("https://t.co/mHLCqk7u2C")</f>
        <v>https://t.co/mHLCqk7u2C</v>
      </c>
      <c r="AO7" s="82"/>
      <c r="AP7" s="84">
        <v>43439.45559027778</v>
      </c>
      <c r="AQ7" s="86" t="str">
        <f>HYPERLINK("https://pbs.twimg.com/profile_banners/1070270569659154432/1633504065")</f>
        <v>https://pbs.twimg.com/profile_banners/1070270569659154432/1633504065</v>
      </c>
      <c r="AR7" s="82" t="b">
        <v>1</v>
      </c>
      <c r="AS7" s="82" t="b">
        <v>0</v>
      </c>
      <c r="AT7" s="82" t="b">
        <v>0</v>
      </c>
      <c r="AU7" s="82"/>
      <c r="AV7" s="82">
        <v>14</v>
      </c>
      <c r="AW7" s="82"/>
      <c r="AX7" s="82" t="b">
        <v>0</v>
      </c>
      <c r="AY7" s="82" t="s">
        <v>663</v>
      </c>
      <c r="AZ7" s="86" t="str">
        <f>HYPERLINK("https://twitter.com/innovatrending")</f>
        <v>https://twitter.com/innovatrending</v>
      </c>
      <c r="BA7" s="82" t="s">
        <v>65</v>
      </c>
      <c r="BB7" s="82" t="str">
        <f>REPLACE(INDEX(GroupVertices[Group],MATCH(Vertices[[#This Row],[Vertex]],GroupVertices[Vertex],0)),1,1,"")</f>
        <v>6</v>
      </c>
      <c r="BC7" s="51"/>
      <c r="BD7" s="51"/>
      <c r="BE7" s="51"/>
      <c r="BF7" s="51"/>
      <c r="BG7" s="51"/>
      <c r="BH7" s="51"/>
      <c r="BI7" s="51"/>
      <c r="BJ7" s="51"/>
      <c r="BK7" s="51"/>
      <c r="BL7" s="51"/>
      <c r="BM7" s="51"/>
      <c r="BN7" s="52"/>
      <c r="BO7" s="51"/>
      <c r="BP7" s="52"/>
      <c r="BQ7" s="51"/>
      <c r="BR7" s="52"/>
      <c r="BS7" s="51"/>
      <c r="BT7" s="52"/>
      <c r="BU7" s="51"/>
      <c r="BV7" s="2"/>
      <c r="BW7" s="3"/>
      <c r="BX7" s="3"/>
      <c r="BY7" s="3"/>
      <c r="BZ7" s="3"/>
    </row>
    <row r="8" spans="1:78" ht="41.45" customHeight="1">
      <c r="A8" s="14" t="s">
        <v>237</v>
      </c>
      <c r="C8" s="15"/>
      <c r="D8" s="15" t="s">
        <v>64</v>
      </c>
      <c r="E8" s="92">
        <v>165.46159975397003</v>
      </c>
      <c r="F8" s="79"/>
      <c r="G8" s="111" t="str">
        <f>HYPERLINK("https://pbs.twimg.com/profile_images/1163899346980691972/GooNvrUR_normal.png")</f>
        <v>https://pbs.twimg.com/profile_images/1163899346980691972/GooNvrUR_normal.png</v>
      </c>
      <c r="H8" s="15"/>
      <c r="I8" s="16" t="s">
        <v>237</v>
      </c>
      <c r="J8" s="67"/>
      <c r="K8" s="67"/>
      <c r="L8" s="113" t="s">
        <v>668</v>
      </c>
      <c r="M8" s="93">
        <v>1.228008564186735</v>
      </c>
      <c r="N8" s="94">
        <v>6750.06689453125</v>
      </c>
      <c r="O8" s="94">
        <v>5527.37060546875</v>
      </c>
      <c r="P8" s="78"/>
      <c r="Q8" s="95"/>
      <c r="R8" s="95"/>
      <c r="S8" s="96"/>
      <c r="T8" s="51">
        <v>0</v>
      </c>
      <c r="U8" s="51">
        <v>2</v>
      </c>
      <c r="V8" s="52">
        <v>0</v>
      </c>
      <c r="W8" s="52">
        <v>0.5</v>
      </c>
      <c r="X8" s="52">
        <v>0</v>
      </c>
      <c r="Y8" s="52">
        <v>0.99999</v>
      </c>
      <c r="Z8" s="52">
        <v>0.5</v>
      </c>
      <c r="AA8" s="52">
        <v>0</v>
      </c>
      <c r="AB8" s="80">
        <v>8</v>
      </c>
      <c r="AC8" s="80"/>
      <c r="AD8" s="97"/>
      <c r="AE8" s="82" t="s">
        <v>490</v>
      </c>
      <c r="AF8" s="88" t="s">
        <v>537</v>
      </c>
      <c r="AG8" s="82">
        <v>257</v>
      </c>
      <c r="AH8" s="82">
        <v>594</v>
      </c>
      <c r="AI8" s="82">
        <v>1219</v>
      </c>
      <c r="AJ8" s="82">
        <v>513</v>
      </c>
      <c r="AK8" s="82"/>
      <c r="AL8" s="82" t="s">
        <v>585</v>
      </c>
      <c r="AM8" s="82" t="s">
        <v>632</v>
      </c>
      <c r="AN8" s="86" t="str">
        <f>HYPERLINK("https://t.co/mRul6GHVdK")</f>
        <v>https://t.co/mRul6GHVdK</v>
      </c>
      <c r="AO8" s="82"/>
      <c r="AP8" s="84">
        <v>42500.81134259259</v>
      </c>
      <c r="AQ8" s="86" t="str">
        <f>HYPERLINK("https://pbs.twimg.com/profile_banners/730117286904930304/1565901784")</f>
        <v>https://pbs.twimg.com/profile_banners/730117286904930304/1565901784</v>
      </c>
      <c r="AR8" s="82" t="b">
        <v>0</v>
      </c>
      <c r="AS8" s="82" t="b">
        <v>0</v>
      </c>
      <c r="AT8" s="82" t="b">
        <v>0</v>
      </c>
      <c r="AU8" s="82"/>
      <c r="AV8" s="82">
        <v>7</v>
      </c>
      <c r="AW8" s="86" t="str">
        <f>HYPERLINK("https://abs.twimg.com/images/themes/theme1/bg.png")</f>
        <v>https://abs.twimg.com/images/themes/theme1/bg.png</v>
      </c>
      <c r="AX8" s="82" t="b">
        <v>0</v>
      </c>
      <c r="AY8" s="82" t="s">
        <v>663</v>
      </c>
      <c r="AZ8" s="86" t="str">
        <f>HYPERLINK("https://twitter.com/ingredientfacts")</f>
        <v>https://twitter.com/ingredientfacts</v>
      </c>
      <c r="BA8" s="82" t="s">
        <v>66</v>
      </c>
      <c r="BB8" s="82" t="str">
        <f>REPLACE(INDEX(GroupVertices[Group],MATCH(Vertices[[#This Row],[Vertex]],GroupVertices[Vertex],0)),1,1,"")</f>
        <v>6</v>
      </c>
      <c r="BC8" s="51" t="s">
        <v>774</v>
      </c>
      <c r="BD8" s="51" t="s">
        <v>774</v>
      </c>
      <c r="BE8" s="51" t="s">
        <v>318</v>
      </c>
      <c r="BF8" s="51" t="s">
        <v>318</v>
      </c>
      <c r="BG8" s="51" t="s">
        <v>335</v>
      </c>
      <c r="BH8" s="51" t="s">
        <v>335</v>
      </c>
      <c r="BI8" s="119" t="s">
        <v>1109</v>
      </c>
      <c r="BJ8" s="119" t="s">
        <v>1109</v>
      </c>
      <c r="BK8" s="119" t="s">
        <v>1029</v>
      </c>
      <c r="BL8" s="119" t="s">
        <v>1029</v>
      </c>
      <c r="BM8" s="119">
        <v>0</v>
      </c>
      <c r="BN8" s="122">
        <v>0</v>
      </c>
      <c r="BO8" s="119">
        <v>0</v>
      </c>
      <c r="BP8" s="122">
        <v>0</v>
      </c>
      <c r="BQ8" s="119">
        <v>0</v>
      </c>
      <c r="BR8" s="122">
        <v>0</v>
      </c>
      <c r="BS8" s="119">
        <v>14</v>
      </c>
      <c r="BT8" s="122">
        <v>100</v>
      </c>
      <c r="BU8" s="119">
        <v>14</v>
      </c>
      <c r="BV8" s="2"/>
      <c r="BW8" s="3"/>
      <c r="BX8" s="3"/>
      <c r="BY8" s="3"/>
      <c r="BZ8" s="3"/>
    </row>
    <row r="9" spans="1:78" ht="41.45" customHeight="1">
      <c r="A9" s="14" t="s">
        <v>238</v>
      </c>
      <c r="C9" s="15"/>
      <c r="D9" s="15" t="s">
        <v>64</v>
      </c>
      <c r="E9" s="92">
        <v>162.3865745918139</v>
      </c>
      <c r="F9" s="79"/>
      <c r="G9" s="111" t="str">
        <f>HYPERLINK("https://pbs.twimg.com/profile_images/1254972329534390272/W20sYFlO_normal.jpg")</f>
        <v>https://pbs.twimg.com/profile_images/1254972329534390272/W20sYFlO_normal.jpg</v>
      </c>
      <c r="H9" s="15"/>
      <c r="I9" s="16" t="s">
        <v>238</v>
      </c>
      <c r="J9" s="67"/>
      <c r="K9" s="67"/>
      <c r="L9" s="113" t="s">
        <v>669</v>
      </c>
      <c r="M9" s="93">
        <v>1.0254628853406507</v>
      </c>
      <c r="N9" s="94">
        <v>8048.15673828125</v>
      </c>
      <c r="O9" s="94">
        <v>5437.93798828125</v>
      </c>
      <c r="P9" s="78"/>
      <c r="Q9" s="95"/>
      <c r="R9" s="95"/>
      <c r="S9" s="96"/>
      <c r="T9" s="51">
        <v>2</v>
      </c>
      <c r="U9" s="51">
        <v>1</v>
      </c>
      <c r="V9" s="52">
        <v>0</v>
      </c>
      <c r="W9" s="52">
        <v>1</v>
      </c>
      <c r="X9" s="52">
        <v>0</v>
      </c>
      <c r="Y9" s="52">
        <v>1.298233</v>
      </c>
      <c r="Z9" s="52">
        <v>0</v>
      </c>
      <c r="AA9" s="52">
        <v>0</v>
      </c>
      <c r="AB9" s="80">
        <v>9</v>
      </c>
      <c r="AC9" s="80"/>
      <c r="AD9" s="97"/>
      <c r="AE9" s="82" t="s">
        <v>491</v>
      </c>
      <c r="AF9" s="88" t="s">
        <v>538</v>
      </c>
      <c r="AG9" s="82">
        <v>0</v>
      </c>
      <c r="AH9" s="82">
        <v>69</v>
      </c>
      <c r="AI9" s="82">
        <v>11</v>
      </c>
      <c r="AJ9" s="82">
        <v>0</v>
      </c>
      <c r="AK9" s="82"/>
      <c r="AL9" s="82" t="s">
        <v>586</v>
      </c>
      <c r="AM9" s="82"/>
      <c r="AN9" s="86" t="str">
        <f>HYPERLINK("https://t.co/b6pcXyPzKT")</f>
        <v>https://t.co/b6pcXyPzKT</v>
      </c>
      <c r="AO9" s="82"/>
      <c r="AP9" s="84">
        <v>43834.79943287037</v>
      </c>
      <c r="AQ9" s="82"/>
      <c r="AR9" s="82" t="b">
        <v>1</v>
      </c>
      <c r="AS9" s="82" t="b">
        <v>0</v>
      </c>
      <c r="AT9" s="82" t="b">
        <v>0</v>
      </c>
      <c r="AU9" s="82"/>
      <c r="AV9" s="82">
        <v>0</v>
      </c>
      <c r="AW9" s="82"/>
      <c r="AX9" s="82" t="b">
        <v>0</v>
      </c>
      <c r="AY9" s="82" t="s">
        <v>663</v>
      </c>
      <c r="AZ9" s="86" t="str">
        <f>HYPERLINK("https://twitter.com/lab_grownmeat")</f>
        <v>https://twitter.com/lab_grownmeat</v>
      </c>
      <c r="BA9" s="82" t="s">
        <v>66</v>
      </c>
      <c r="BB9" s="82" t="str">
        <f>REPLACE(INDEX(GroupVertices[Group],MATCH(Vertices[[#This Row],[Vertex]],GroupVertices[Vertex],0)),1,1,"")</f>
        <v>12</v>
      </c>
      <c r="BC9" s="51" t="s">
        <v>316</v>
      </c>
      <c r="BD9" s="51" t="s">
        <v>316</v>
      </c>
      <c r="BE9" s="51" t="s">
        <v>793</v>
      </c>
      <c r="BF9" s="51" t="s">
        <v>793</v>
      </c>
      <c r="BG9" s="51" t="s">
        <v>336</v>
      </c>
      <c r="BH9" s="51" t="s">
        <v>336</v>
      </c>
      <c r="BI9" s="119" t="s">
        <v>1110</v>
      </c>
      <c r="BJ9" s="119" t="s">
        <v>1110</v>
      </c>
      <c r="BK9" s="119" t="s">
        <v>1033</v>
      </c>
      <c r="BL9" s="119" t="s">
        <v>1033</v>
      </c>
      <c r="BM9" s="119">
        <v>0</v>
      </c>
      <c r="BN9" s="122">
        <v>0</v>
      </c>
      <c r="BO9" s="119">
        <v>0</v>
      </c>
      <c r="BP9" s="122">
        <v>0</v>
      </c>
      <c r="BQ9" s="119">
        <v>0</v>
      </c>
      <c r="BR9" s="122">
        <v>0</v>
      </c>
      <c r="BS9" s="119">
        <v>12</v>
      </c>
      <c r="BT9" s="122">
        <v>100</v>
      </c>
      <c r="BU9" s="119">
        <v>12</v>
      </c>
      <c r="BV9" s="2"/>
      <c r="BW9" s="3"/>
      <c r="BX9" s="3"/>
      <c r="BY9" s="3"/>
      <c r="BZ9" s="3"/>
    </row>
    <row r="10" spans="1:78" ht="41.45" customHeight="1">
      <c r="A10" s="14" t="s">
        <v>239</v>
      </c>
      <c r="C10" s="15"/>
      <c r="D10" s="15" t="s">
        <v>64</v>
      </c>
      <c r="E10" s="92">
        <v>167.22461418027288</v>
      </c>
      <c r="F10" s="79"/>
      <c r="G10" s="111" t="str">
        <f>HYPERLINK("https://pbs.twimg.com/profile_images/1448557727052075008/9znir_fd_normal.jpg")</f>
        <v>https://pbs.twimg.com/profile_images/1448557727052075008/9znir_fd_normal.jpg</v>
      </c>
      <c r="H10" s="15"/>
      <c r="I10" s="16" t="s">
        <v>239</v>
      </c>
      <c r="J10" s="67"/>
      <c r="K10" s="67"/>
      <c r="L10" s="113" t="s">
        <v>670</v>
      </c>
      <c r="M10" s="93">
        <v>1.3441347533918235</v>
      </c>
      <c r="N10" s="94">
        <v>8048.15673828125</v>
      </c>
      <c r="O10" s="94">
        <v>4325.4833984375</v>
      </c>
      <c r="P10" s="78"/>
      <c r="Q10" s="95"/>
      <c r="R10" s="95"/>
      <c r="S10" s="96"/>
      <c r="T10" s="51">
        <v>0</v>
      </c>
      <c r="U10" s="51">
        <v>1</v>
      </c>
      <c r="V10" s="52">
        <v>0</v>
      </c>
      <c r="W10" s="52">
        <v>1</v>
      </c>
      <c r="X10" s="52">
        <v>0</v>
      </c>
      <c r="Y10" s="52">
        <v>0.701748</v>
      </c>
      <c r="Z10" s="52">
        <v>0</v>
      </c>
      <c r="AA10" s="52">
        <v>0</v>
      </c>
      <c r="AB10" s="80">
        <v>10</v>
      </c>
      <c r="AC10" s="80"/>
      <c r="AD10" s="97"/>
      <c r="AE10" s="82" t="s">
        <v>492</v>
      </c>
      <c r="AF10" s="88" t="s">
        <v>539</v>
      </c>
      <c r="AG10" s="82">
        <v>872</v>
      </c>
      <c r="AH10" s="82">
        <v>895</v>
      </c>
      <c r="AI10" s="82">
        <v>50351</v>
      </c>
      <c r="AJ10" s="82">
        <v>26109</v>
      </c>
      <c r="AK10" s="82"/>
      <c r="AL10" s="82" t="s">
        <v>587</v>
      </c>
      <c r="AM10" s="82"/>
      <c r="AN10" s="82"/>
      <c r="AO10" s="82"/>
      <c r="AP10" s="84">
        <v>44148.26322916667</v>
      </c>
      <c r="AQ10" s="86" t="str">
        <f>HYPERLINK("https://pbs.twimg.com/profile_banners/1327133794244186115/1609096487")</f>
        <v>https://pbs.twimg.com/profile_banners/1327133794244186115/1609096487</v>
      </c>
      <c r="AR10" s="82" t="b">
        <v>1</v>
      </c>
      <c r="AS10" s="82" t="b">
        <v>0</v>
      </c>
      <c r="AT10" s="82" t="b">
        <v>0</v>
      </c>
      <c r="AU10" s="82"/>
      <c r="AV10" s="82">
        <v>5</v>
      </c>
      <c r="AW10" s="82"/>
      <c r="AX10" s="82" t="b">
        <v>0</v>
      </c>
      <c r="AY10" s="82" t="s">
        <v>663</v>
      </c>
      <c r="AZ10" s="86" t="str">
        <f>HYPERLINK("https://twitter.com/phill59316885")</f>
        <v>https://twitter.com/phill59316885</v>
      </c>
      <c r="BA10" s="82" t="s">
        <v>66</v>
      </c>
      <c r="BB10" s="82" t="str">
        <f>REPLACE(INDEX(GroupVertices[Group],MATCH(Vertices[[#This Row],[Vertex]],GroupVertices[Vertex],0)),1,1,"")</f>
        <v>12</v>
      </c>
      <c r="BC10" s="51" t="s">
        <v>316</v>
      </c>
      <c r="BD10" s="51" t="s">
        <v>316</v>
      </c>
      <c r="BE10" s="51" t="s">
        <v>793</v>
      </c>
      <c r="BF10" s="51" t="s">
        <v>793</v>
      </c>
      <c r="BG10" s="51" t="s">
        <v>337</v>
      </c>
      <c r="BH10" s="51" t="s">
        <v>337</v>
      </c>
      <c r="BI10" s="119" t="s">
        <v>1110</v>
      </c>
      <c r="BJ10" s="119" t="s">
        <v>1110</v>
      </c>
      <c r="BK10" s="119" t="s">
        <v>1033</v>
      </c>
      <c r="BL10" s="119" t="s">
        <v>1033</v>
      </c>
      <c r="BM10" s="119">
        <v>0</v>
      </c>
      <c r="BN10" s="122">
        <v>0</v>
      </c>
      <c r="BO10" s="119">
        <v>0</v>
      </c>
      <c r="BP10" s="122">
        <v>0</v>
      </c>
      <c r="BQ10" s="119">
        <v>0</v>
      </c>
      <c r="BR10" s="122">
        <v>0</v>
      </c>
      <c r="BS10" s="119">
        <v>12</v>
      </c>
      <c r="BT10" s="122">
        <v>100</v>
      </c>
      <c r="BU10" s="119">
        <v>12</v>
      </c>
      <c r="BV10" s="2"/>
      <c r="BW10" s="3"/>
      <c r="BX10" s="3"/>
      <c r="BY10" s="3"/>
      <c r="BZ10" s="3"/>
    </row>
    <row r="11" spans="1:78" ht="41.45" customHeight="1">
      <c r="A11" s="14" t="s">
        <v>240</v>
      </c>
      <c r="C11" s="15"/>
      <c r="D11" s="15" t="s">
        <v>64</v>
      </c>
      <c r="E11" s="92">
        <v>183.56031927980317</v>
      </c>
      <c r="F11" s="79"/>
      <c r="G11" s="111" t="str">
        <f>HYPERLINK("https://pbs.twimg.com/profile_images/1410560834854588416/nHwDN9RG_normal.jpg")</f>
        <v>https://pbs.twimg.com/profile_images/1410560834854588416/nHwDN9RG_normal.jpg</v>
      </c>
      <c r="H11" s="15"/>
      <c r="I11" s="16" t="s">
        <v>240</v>
      </c>
      <c r="J11" s="67"/>
      <c r="K11" s="67"/>
      <c r="L11" s="113" t="s">
        <v>671</v>
      </c>
      <c r="M11" s="93">
        <v>2.4201345596808324</v>
      </c>
      <c r="N11" s="94">
        <v>6750.06689453125</v>
      </c>
      <c r="O11" s="94">
        <v>1190.9803466796875</v>
      </c>
      <c r="P11" s="78"/>
      <c r="Q11" s="95"/>
      <c r="R11" s="95"/>
      <c r="S11" s="96"/>
      <c r="T11" s="51">
        <v>2</v>
      </c>
      <c r="U11" s="51">
        <v>1</v>
      </c>
      <c r="V11" s="52">
        <v>0</v>
      </c>
      <c r="W11" s="52">
        <v>1</v>
      </c>
      <c r="X11" s="52">
        <v>0</v>
      </c>
      <c r="Y11" s="52">
        <v>1.298233</v>
      </c>
      <c r="Z11" s="52">
        <v>0</v>
      </c>
      <c r="AA11" s="52">
        <v>0</v>
      </c>
      <c r="AB11" s="80">
        <v>11</v>
      </c>
      <c r="AC11" s="80"/>
      <c r="AD11" s="97"/>
      <c r="AE11" s="82" t="s">
        <v>493</v>
      </c>
      <c r="AF11" s="88" t="s">
        <v>540</v>
      </c>
      <c r="AG11" s="82">
        <v>611</v>
      </c>
      <c r="AH11" s="82">
        <v>3684</v>
      </c>
      <c r="AI11" s="82">
        <v>2220</v>
      </c>
      <c r="AJ11" s="82">
        <v>2669</v>
      </c>
      <c r="AK11" s="82"/>
      <c r="AL11" s="82" t="s">
        <v>588</v>
      </c>
      <c r="AM11" s="82" t="s">
        <v>633</v>
      </c>
      <c r="AN11" s="86" t="str">
        <f>HYPERLINK("https://t.co/binEcCjNIf")</f>
        <v>https://t.co/binEcCjNIf</v>
      </c>
      <c r="AO11" s="82"/>
      <c r="AP11" s="84">
        <v>42823.53685185185</v>
      </c>
      <c r="AQ11" s="86" t="str">
        <f>HYPERLINK("https://pbs.twimg.com/profile_banners/847069094264410112/1627311670")</f>
        <v>https://pbs.twimg.com/profile_banners/847069094264410112/1627311670</v>
      </c>
      <c r="AR11" s="82" t="b">
        <v>1</v>
      </c>
      <c r="AS11" s="82" t="b">
        <v>0</v>
      </c>
      <c r="AT11" s="82" t="b">
        <v>0</v>
      </c>
      <c r="AU11" s="82"/>
      <c r="AV11" s="82">
        <v>75</v>
      </c>
      <c r="AW11" s="82"/>
      <c r="AX11" s="82" t="b">
        <v>0</v>
      </c>
      <c r="AY11" s="82" t="s">
        <v>663</v>
      </c>
      <c r="AZ11" s="86" t="str">
        <f>HYPERLINK("https://twitter.com/proveg_int")</f>
        <v>https://twitter.com/proveg_int</v>
      </c>
      <c r="BA11" s="82" t="s">
        <v>66</v>
      </c>
      <c r="BB11" s="82" t="str">
        <f>REPLACE(INDEX(GroupVertices[Group],MATCH(Vertices[[#This Row],[Vertex]],GroupVertices[Vertex],0)),1,1,"")</f>
        <v>11</v>
      </c>
      <c r="BC11" s="51" t="s">
        <v>754</v>
      </c>
      <c r="BD11" s="51" t="s">
        <v>754</v>
      </c>
      <c r="BE11" s="51" t="s">
        <v>320</v>
      </c>
      <c r="BF11" s="51" t="s">
        <v>320</v>
      </c>
      <c r="BG11" s="51" t="s">
        <v>338</v>
      </c>
      <c r="BH11" s="51" t="s">
        <v>338</v>
      </c>
      <c r="BI11" s="119" t="s">
        <v>1111</v>
      </c>
      <c r="BJ11" s="119" t="s">
        <v>1111</v>
      </c>
      <c r="BK11" s="119" t="s">
        <v>1032</v>
      </c>
      <c r="BL11" s="119" t="s">
        <v>1032</v>
      </c>
      <c r="BM11" s="119">
        <v>2</v>
      </c>
      <c r="BN11" s="122">
        <v>6.25</v>
      </c>
      <c r="BO11" s="119">
        <v>0</v>
      </c>
      <c r="BP11" s="122">
        <v>0</v>
      </c>
      <c r="BQ11" s="119">
        <v>0</v>
      </c>
      <c r="BR11" s="122">
        <v>0</v>
      </c>
      <c r="BS11" s="119">
        <v>30</v>
      </c>
      <c r="BT11" s="122">
        <v>93.75</v>
      </c>
      <c r="BU11" s="119">
        <v>32</v>
      </c>
      <c r="BV11" s="2"/>
      <c r="BW11" s="3"/>
      <c r="BX11" s="3"/>
      <c r="BY11" s="3"/>
      <c r="BZ11" s="3"/>
    </row>
    <row r="12" spans="1:78" ht="41.45" customHeight="1">
      <c r="A12" s="14" t="s">
        <v>241</v>
      </c>
      <c r="C12" s="15"/>
      <c r="D12" s="15" t="s">
        <v>64</v>
      </c>
      <c r="E12" s="92">
        <v>163.43501174233953</v>
      </c>
      <c r="F12" s="79"/>
      <c r="G12" s="111" t="str">
        <f>HYPERLINK("https://pbs.twimg.com/profile_images/496894645431844866/_Mi52eqM_normal.jpeg")</f>
        <v>https://pbs.twimg.com/profile_images/496894645431844866/_Mi52eqM_normal.jpeg</v>
      </c>
      <c r="H12" s="15"/>
      <c r="I12" s="16" t="s">
        <v>241</v>
      </c>
      <c r="J12" s="67"/>
      <c r="K12" s="67"/>
      <c r="L12" s="113" t="s">
        <v>672</v>
      </c>
      <c r="M12" s="93">
        <v>1.0945213167948393</v>
      </c>
      <c r="N12" s="94">
        <v>6750.06689453125</v>
      </c>
      <c r="O12" s="94">
        <v>2002.41748046875</v>
      </c>
      <c r="P12" s="78"/>
      <c r="Q12" s="95"/>
      <c r="R12" s="95"/>
      <c r="S12" s="96"/>
      <c r="T12" s="51">
        <v>0</v>
      </c>
      <c r="U12" s="51">
        <v>1</v>
      </c>
      <c r="V12" s="52">
        <v>0</v>
      </c>
      <c r="W12" s="52">
        <v>1</v>
      </c>
      <c r="X12" s="52">
        <v>0</v>
      </c>
      <c r="Y12" s="52">
        <v>0.701748</v>
      </c>
      <c r="Z12" s="52">
        <v>0</v>
      </c>
      <c r="AA12" s="52">
        <v>0</v>
      </c>
      <c r="AB12" s="80">
        <v>12</v>
      </c>
      <c r="AC12" s="80"/>
      <c r="AD12" s="97"/>
      <c r="AE12" s="82" t="s">
        <v>494</v>
      </c>
      <c r="AF12" s="88" t="s">
        <v>541</v>
      </c>
      <c r="AG12" s="82">
        <v>435</v>
      </c>
      <c r="AH12" s="82">
        <v>248</v>
      </c>
      <c r="AI12" s="82">
        <v>26463</v>
      </c>
      <c r="AJ12" s="82">
        <v>9130</v>
      </c>
      <c r="AK12" s="82"/>
      <c r="AL12" s="82" t="s">
        <v>589</v>
      </c>
      <c r="AM12" s="82" t="s">
        <v>634</v>
      </c>
      <c r="AN12" s="86" t="str">
        <f>HYPERLINK("https://t.co/cvou2Czag9")</f>
        <v>https://t.co/cvou2Czag9</v>
      </c>
      <c r="AO12" s="82"/>
      <c r="AP12" s="84">
        <v>41840.320763888885</v>
      </c>
      <c r="AQ12" s="82"/>
      <c r="AR12" s="82" t="b">
        <v>1</v>
      </c>
      <c r="AS12" s="82" t="b">
        <v>0</v>
      </c>
      <c r="AT12" s="82" t="b">
        <v>1</v>
      </c>
      <c r="AU12" s="82"/>
      <c r="AV12" s="82">
        <v>16</v>
      </c>
      <c r="AW12" s="86" t="str">
        <f>HYPERLINK("https://abs.twimg.com/images/themes/theme1/bg.png")</f>
        <v>https://abs.twimg.com/images/themes/theme1/bg.png</v>
      </c>
      <c r="AX12" s="82" t="b">
        <v>0</v>
      </c>
      <c r="AY12" s="82" t="s">
        <v>663</v>
      </c>
      <c r="AZ12" s="86" t="str">
        <f>HYPERLINK("https://twitter.com/albionau")</f>
        <v>https://twitter.com/albionau</v>
      </c>
      <c r="BA12" s="82" t="s">
        <v>66</v>
      </c>
      <c r="BB12" s="82" t="str">
        <f>REPLACE(INDEX(GroupVertices[Group],MATCH(Vertices[[#This Row],[Vertex]],GroupVertices[Vertex],0)),1,1,"")</f>
        <v>11</v>
      </c>
      <c r="BC12" s="51" t="s">
        <v>754</v>
      </c>
      <c r="BD12" s="51" t="s">
        <v>754</v>
      </c>
      <c r="BE12" s="51" t="s">
        <v>320</v>
      </c>
      <c r="BF12" s="51" t="s">
        <v>320</v>
      </c>
      <c r="BG12" s="51" t="s">
        <v>338</v>
      </c>
      <c r="BH12" s="51" t="s">
        <v>338</v>
      </c>
      <c r="BI12" s="119" t="s">
        <v>1111</v>
      </c>
      <c r="BJ12" s="119" t="s">
        <v>1111</v>
      </c>
      <c r="BK12" s="119" t="s">
        <v>1032</v>
      </c>
      <c r="BL12" s="119" t="s">
        <v>1032</v>
      </c>
      <c r="BM12" s="119">
        <v>2</v>
      </c>
      <c r="BN12" s="122">
        <v>6.25</v>
      </c>
      <c r="BO12" s="119">
        <v>0</v>
      </c>
      <c r="BP12" s="122">
        <v>0</v>
      </c>
      <c r="BQ12" s="119">
        <v>0</v>
      </c>
      <c r="BR12" s="122">
        <v>0</v>
      </c>
      <c r="BS12" s="119">
        <v>30</v>
      </c>
      <c r="BT12" s="122">
        <v>93.75</v>
      </c>
      <c r="BU12" s="119">
        <v>32</v>
      </c>
      <c r="BV12" s="2"/>
      <c r="BW12" s="3"/>
      <c r="BX12" s="3"/>
      <c r="BY12" s="3"/>
      <c r="BZ12" s="3"/>
    </row>
    <row r="13" spans="1:78" ht="41.45" customHeight="1">
      <c r="A13" s="14" t="s">
        <v>242</v>
      </c>
      <c r="C13" s="15"/>
      <c r="D13" s="15" t="s">
        <v>64</v>
      </c>
      <c r="E13" s="92">
        <v>163.4408689331246</v>
      </c>
      <c r="F13" s="79"/>
      <c r="G13" s="111" t="str">
        <f>HYPERLINK("https://pbs.twimg.com/profile_images/1305056454949384193/37M-C89G_normal.jpg")</f>
        <v>https://pbs.twimg.com/profile_images/1305056454949384193/37M-C89G_normal.jpg</v>
      </c>
      <c r="H13" s="15"/>
      <c r="I13" s="16" t="s">
        <v>242</v>
      </c>
      <c r="J13" s="67"/>
      <c r="K13" s="67"/>
      <c r="L13" s="113" t="s">
        <v>673</v>
      </c>
      <c r="M13" s="93">
        <v>1.0949071180878795</v>
      </c>
      <c r="N13" s="94">
        <v>2515.030029296875</v>
      </c>
      <c r="O13" s="94">
        <v>829.6292724609375</v>
      </c>
      <c r="P13" s="78"/>
      <c r="Q13" s="95"/>
      <c r="R13" s="95"/>
      <c r="S13" s="96"/>
      <c r="T13" s="51">
        <v>0</v>
      </c>
      <c r="U13" s="51">
        <v>1</v>
      </c>
      <c r="V13" s="52">
        <v>0</v>
      </c>
      <c r="W13" s="52">
        <v>0.015625</v>
      </c>
      <c r="X13" s="52">
        <v>0.004983</v>
      </c>
      <c r="Y13" s="52">
        <v>0.498006</v>
      </c>
      <c r="Z13" s="52">
        <v>0</v>
      </c>
      <c r="AA13" s="52">
        <v>0</v>
      </c>
      <c r="AB13" s="80">
        <v>13</v>
      </c>
      <c r="AC13" s="80"/>
      <c r="AD13" s="97"/>
      <c r="AE13" s="82" t="s">
        <v>495</v>
      </c>
      <c r="AF13" s="88" t="s">
        <v>542</v>
      </c>
      <c r="AG13" s="82">
        <v>385</v>
      </c>
      <c r="AH13" s="82">
        <v>249</v>
      </c>
      <c r="AI13" s="82">
        <v>1174</v>
      </c>
      <c r="AJ13" s="82">
        <v>3935</v>
      </c>
      <c r="AK13" s="82"/>
      <c r="AL13" s="82" t="s">
        <v>590</v>
      </c>
      <c r="AM13" s="82" t="s">
        <v>635</v>
      </c>
      <c r="AN13" s="86" t="str">
        <f>HYPERLINK("https://t.co/SGX7KDJTq9")</f>
        <v>https://t.co/SGX7KDJTq9</v>
      </c>
      <c r="AO13" s="82"/>
      <c r="AP13" s="84">
        <v>39813.61509259259</v>
      </c>
      <c r="AQ13" s="86" t="str">
        <f>HYPERLINK("https://pbs.twimg.com/profile_banners/18507336/1421420449")</f>
        <v>https://pbs.twimg.com/profile_banners/18507336/1421420449</v>
      </c>
      <c r="AR13" s="82" t="b">
        <v>1</v>
      </c>
      <c r="AS13" s="82" t="b">
        <v>0</v>
      </c>
      <c r="AT13" s="82" t="b">
        <v>1</v>
      </c>
      <c r="AU13" s="82"/>
      <c r="AV13" s="82">
        <v>28</v>
      </c>
      <c r="AW13" s="86" t="str">
        <f>HYPERLINK("https://abs.twimg.com/images/themes/theme1/bg.png")</f>
        <v>https://abs.twimg.com/images/themes/theme1/bg.png</v>
      </c>
      <c r="AX13" s="82" t="b">
        <v>0</v>
      </c>
      <c r="AY13" s="82" t="s">
        <v>663</v>
      </c>
      <c r="AZ13" s="86" t="str">
        <f>HYPERLINK("https://twitter.com/ahasidim")</f>
        <v>https://twitter.com/ahasidim</v>
      </c>
      <c r="BA13" s="82" t="s">
        <v>66</v>
      </c>
      <c r="BB13" s="82" t="str">
        <f>REPLACE(INDEX(GroupVertices[Group],MATCH(Vertices[[#This Row],[Vertex]],GroupVertices[Vertex],0)),1,1,"")</f>
        <v>2</v>
      </c>
      <c r="BC13" s="51" t="s">
        <v>753</v>
      </c>
      <c r="BD13" s="51" t="s">
        <v>753</v>
      </c>
      <c r="BE13" s="51" t="s">
        <v>321</v>
      </c>
      <c r="BF13" s="51" t="s">
        <v>321</v>
      </c>
      <c r="BG13" s="51" t="s">
        <v>1096</v>
      </c>
      <c r="BH13" s="51" t="s">
        <v>1096</v>
      </c>
      <c r="BI13" s="119" t="s">
        <v>1112</v>
      </c>
      <c r="BJ13" s="119" t="s">
        <v>1112</v>
      </c>
      <c r="BK13" s="119" t="s">
        <v>1136</v>
      </c>
      <c r="BL13" s="119" t="s">
        <v>1136</v>
      </c>
      <c r="BM13" s="119">
        <v>1</v>
      </c>
      <c r="BN13" s="122">
        <v>5</v>
      </c>
      <c r="BO13" s="119">
        <v>0</v>
      </c>
      <c r="BP13" s="122">
        <v>0</v>
      </c>
      <c r="BQ13" s="119">
        <v>0</v>
      </c>
      <c r="BR13" s="122">
        <v>0</v>
      </c>
      <c r="BS13" s="119">
        <v>19</v>
      </c>
      <c r="BT13" s="122">
        <v>95</v>
      </c>
      <c r="BU13" s="119">
        <v>20</v>
      </c>
      <c r="BV13" s="2"/>
      <c r="BW13" s="3"/>
      <c r="BX13" s="3"/>
      <c r="BY13" s="3"/>
      <c r="BZ13" s="3"/>
    </row>
    <row r="14" spans="1:78" ht="41.45" customHeight="1">
      <c r="A14" s="14" t="s">
        <v>253</v>
      </c>
      <c r="C14" s="15"/>
      <c r="D14" s="15" t="s">
        <v>64</v>
      </c>
      <c r="E14" s="92">
        <v>170.63935640796242</v>
      </c>
      <c r="F14" s="79"/>
      <c r="G14" s="111" t="str">
        <f>HYPERLINK("https://pbs.twimg.com/profile_images/1371467367474200579/0gVpA3fB_normal.jpg")</f>
        <v>https://pbs.twimg.com/profile_images/1371467367474200579/0gVpA3fB_normal.jpg</v>
      </c>
      <c r="H14" s="15"/>
      <c r="I14" s="16" t="s">
        <v>253</v>
      </c>
      <c r="J14" s="67"/>
      <c r="K14" s="67"/>
      <c r="L14" s="113" t="s">
        <v>674</v>
      </c>
      <c r="M14" s="93">
        <v>1.5690569072342373</v>
      </c>
      <c r="N14" s="94">
        <v>2830.748046875</v>
      </c>
      <c r="O14" s="94">
        <v>1689.8729248046875</v>
      </c>
      <c r="P14" s="78"/>
      <c r="Q14" s="95"/>
      <c r="R14" s="95"/>
      <c r="S14" s="96"/>
      <c r="T14" s="51">
        <v>5</v>
      </c>
      <c r="U14" s="51">
        <v>1</v>
      </c>
      <c r="V14" s="52">
        <v>102</v>
      </c>
      <c r="W14" s="52">
        <v>0.021739</v>
      </c>
      <c r="X14" s="52">
        <v>0.024084</v>
      </c>
      <c r="Y14" s="52">
        <v>2.047099</v>
      </c>
      <c r="Z14" s="52">
        <v>0</v>
      </c>
      <c r="AA14" s="52">
        <v>0</v>
      </c>
      <c r="AB14" s="80">
        <v>14</v>
      </c>
      <c r="AC14" s="80"/>
      <c r="AD14" s="97"/>
      <c r="AE14" s="82" t="s">
        <v>496</v>
      </c>
      <c r="AF14" s="88" t="s">
        <v>543</v>
      </c>
      <c r="AG14" s="82">
        <v>359</v>
      </c>
      <c r="AH14" s="82">
        <v>1478</v>
      </c>
      <c r="AI14" s="82">
        <v>610</v>
      </c>
      <c r="AJ14" s="82">
        <v>432</v>
      </c>
      <c r="AK14" s="82"/>
      <c r="AL14" s="82" t="s">
        <v>591</v>
      </c>
      <c r="AM14" s="82" t="s">
        <v>635</v>
      </c>
      <c r="AN14" s="86" t="str">
        <f>HYPERLINK("https://t.co/CWRfuZgvqB")</f>
        <v>https://t.co/CWRfuZgvqB</v>
      </c>
      <c r="AO14" s="82"/>
      <c r="AP14" s="84">
        <v>43731.35627314815</v>
      </c>
      <c r="AQ14" s="86" t="str">
        <f>HYPERLINK("https://pbs.twimg.com/profile_banners/1176051784000913408/1615826380")</f>
        <v>https://pbs.twimg.com/profile_banners/1176051784000913408/1615826380</v>
      </c>
      <c r="AR14" s="82" t="b">
        <v>1</v>
      </c>
      <c r="AS14" s="82" t="b">
        <v>0</v>
      </c>
      <c r="AT14" s="82" t="b">
        <v>0</v>
      </c>
      <c r="AU14" s="82"/>
      <c r="AV14" s="82">
        <v>30</v>
      </c>
      <c r="AW14" s="82"/>
      <c r="AX14" s="82" t="b">
        <v>0</v>
      </c>
      <c r="AY14" s="82" t="s">
        <v>663</v>
      </c>
      <c r="AZ14" s="86" t="str">
        <f>HYPERLINK("https://twitter.com/meatech3d")</f>
        <v>https://twitter.com/meatech3d</v>
      </c>
      <c r="BA14" s="82" t="s">
        <v>66</v>
      </c>
      <c r="BB14" s="82" t="str">
        <f>REPLACE(INDEX(GroupVertices[Group],MATCH(Vertices[[#This Row],[Vertex]],GroupVertices[Vertex],0)),1,1,"")</f>
        <v>2</v>
      </c>
      <c r="BC14" s="51" t="s">
        <v>1087</v>
      </c>
      <c r="BD14" s="51" t="s">
        <v>1087</v>
      </c>
      <c r="BE14" s="51" t="s">
        <v>1092</v>
      </c>
      <c r="BF14" s="51" t="s">
        <v>1092</v>
      </c>
      <c r="BG14" s="51" t="s">
        <v>1097</v>
      </c>
      <c r="BH14" s="51" t="s">
        <v>1104</v>
      </c>
      <c r="BI14" s="119" t="s">
        <v>1113</v>
      </c>
      <c r="BJ14" s="119" t="s">
        <v>1131</v>
      </c>
      <c r="BK14" s="119" t="s">
        <v>1137</v>
      </c>
      <c r="BL14" s="119" t="s">
        <v>1147</v>
      </c>
      <c r="BM14" s="119">
        <v>4</v>
      </c>
      <c r="BN14" s="122">
        <v>4.25531914893617</v>
      </c>
      <c r="BO14" s="119">
        <v>1</v>
      </c>
      <c r="BP14" s="122">
        <v>1.0638297872340425</v>
      </c>
      <c r="BQ14" s="119">
        <v>0</v>
      </c>
      <c r="BR14" s="122">
        <v>0</v>
      </c>
      <c r="BS14" s="119">
        <v>89</v>
      </c>
      <c r="BT14" s="122">
        <v>94.68085106382979</v>
      </c>
      <c r="BU14" s="119">
        <v>94</v>
      </c>
      <c r="BV14" s="2"/>
      <c r="BW14" s="3"/>
      <c r="BX14" s="3"/>
      <c r="BY14" s="3"/>
      <c r="BZ14" s="3"/>
    </row>
    <row r="15" spans="1:78" ht="41.45" customHeight="1">
      <c r="A15" s="14" t="s">
        <v>243</v>
      </c>
      <c r="C15" s="15"/>
      <c r="D15" s="15" t="s">
        <v>64</v>
      </c>
      <c r="E15" s="92">
        <v>195.19855736971596</v>
      </c>
      <c r="F15" s="79"/>
      <c r="G15" s="111" t="str">
        <f>HYPERLINK("https://pbs.twimg.com/profile_images/1149028472515379202/PmcjVju0_normal.png")</f>
        <v>https://pbs.twimg.com/profile_images/1149028472515379202/PmcjVju0_normal.png</v>
      </c>
      <c r="H15" s="15"/>
      <c r="I15" s="16" t="s">
        <v>243</v>
      </c>
      <c r="J15" s="67"/>
      <c r="K15" s="67"/>
      <c r="L15" s="113" t="s">
        <v>675</v>
      </c>
      <c r="M15" s="93">
        <v>3.186721728951632</v>
      </c>
      <c r="N15" s="94">
        <v>7270.45751953125</v>
      </c>
      <c r="O15" s="94">
        <v>9127.751953125</v>
      </c>
      <c r="P15" s="78"/>
      <c r="Q15" s="95"/>
      <c r="R15" s="95"/>
      <c r="S15" s="96"/>
      <c r="T15" s="51">
        <v>0</v>
      </c>
      <c r="U15" s="51">
        <v>2</v>
      </c>
      <c r="V15" s="52">
        <v>1</v>
      </c>
      <c r="W15" s="52">
        <v>0.25</v>
      </c>
      <c r="X15" s="52">
        <v>0</v>
      </c>
      <c r="Y15" s="52">
        <v>0.99999</v>
      </c>
      <c r="Z15" s="52">
        <v>0</v>
      </c>
      <c r="AA15" s="52">
        <v>0</v>
      </c>
      <c r="AB15" s="80">
        <v>15</v>
      </c>
      <c r="AC15" s="80"/>
      <c r="AD15" s="97"/>
      <c r="AE15" s="82" t="s">
        <v>497</v>
      </c>
      <c r="AF15" s="88" t="s">
        <v>544</v>
      </c>
      <c r="AG15" s="82">
        <v>3112</v>
      </c>
      <c r="AH15" s="82">
        <v>5671</v>
      </c>
      <c r="AI15" s="82">
        <v>10531</v>
      </c>
      <c r="AJ15" s="82">
        <v>1198</v>
      </c>
      <c r="AK15" s="82"/>
      <c r="AL15" s="82" t="s">
        <v>592</v>
      </c>
      <c r="AM15" s="82" t="s">
        <v>636</v>
      </c>
      <c r="AN15" s="86" t="str">
        <f>HYPERLINK("https://t.co/LWslfRF6zM")</f>
        <v>https://t.co/LWslfRF6zM</v>
      </c>
      <c r="AO15" s="82"/>
      <c r="AP15" s="84">
        <v>39892.65599537037</v>
      </c>
      <c r="AQ15" s="86" t="str">
        <f>HYPERLINK("https://pbs.twimg.com/profile_banners/25523484/1606863983")</f>
        <v>https://pbs.twimg.com/profile_banners/25523484/1606863983</v>
      </c>
      <c r="AR15" s="82" t="b">
        <v>0</v>
      </c>
      <c r="AS15" s="82" t="b">
        <v>0</v>
      </c>
      <c r="AT15" s="82" t="b">
        <v>0</v>
      </c>
      <c r="AU15" s="82"/>
      <c r="AV15" s="82">
        <v>346</v>
      </c>
      <c r="AW15" s="86" t="str">
        <f>HYPERLINK("https://abs.twimg.com/images/themes/theme2/bg.gif")</f>
        <v>https://abs.twimg.com/images/themes/theme2/bg.gif</v>
      </c>
      <c r="AX15" s="82" t="b">
        <v>0</v>
      </c>
      <c r="AY15" s="82" t="s">
        <v>663</v>
      </c>
      <c r="AZ15" s="86" t="str">
        <f>HYPERLINK("https://twitter.com/agreenerworld")</f>
        <v>https://twitter.com/agreenerworld</v>
      </c>
      <c r="BA15" s="82" t="s">
        <v>66</v>
      </c>
      <c r="BB15" s="82" t="str">
        <f>REPLACE(INDEX(GroupVertices[Group],MATCH(Vertices[[#This Row],[Vertex]],GroupVertices[Vertex],0)),1,1,"")</f>
        <v>5</v>
      </c>
      <c r="BC15" s="51" t="s">
        <v>749</v>
      </c>
      <c r="BD15" s="51" t="s">
        <v>749</v>
      </c>
      <c r="BE15" s="51" t="s">
        <v>322</v>
      </c>
      <c r="BF15" s="51" t="s">
        <v>322</v>
      </c>
      <c r="BG15" s="51" t="s">
        <v>1098</v>
      </c>
      <c r="BH15" s="51" t="s">
        <v>1098</v>
      </c>
      <c r="BI15" s="119" t="s">
        <v>943</v>
      </c>
      <c r="BJ15" s="119" t="s">
        <v>943</v>
      </c>
      <c r="BK15" s="119" t="s">
        <v>1138</v>
      </c>
      <c r="BL15" s="119" t="s">
        <v>1138</v>
      </c>
      <c r="BM15" s="119">
        <v>2</v>
      </c>
      <c r="BN15" s="122">
        <v>5.714285714285714</v>
      </c>
      <c r="BO15" s="119">
        <v>2</v>
      </c>
      <c r="BP15" s="122">
        <v>5.714285714285714</v>
      </c>
      <c r="BQ15" s="119">
        <v>0</v>
      </c>
      <c r="BR15" s="122">
        <v>0</v>
      </c>
      <c r="BS15" s="119">
        <v>31</v>
      </c>
      <c r="BT15" s="122">
        <v>88.57142857142857</v>
      </c>
      <c r="BU15" s="119">
        <v>35</v>
      </c>
      <c r="BV15" s="2"/>
      <c r="BW15" s="3"/>
      <c r="BX15" s="3"/>
      <c r="BY15" s="3"/>
      <c r="BZ15" s="3"/>
    </row>
    <row r="16" spans="1:78" ht="41.45" customHeight="1">
      <c r="A16" s="14" t="s">
        <v>273</v>
      </c>
      <c r="C16" s="15"/>
      <c r="D16" s="15" t="s">
        <v>64</v>
      </c>
      <c r="E16" s="92">
        <v>310.6379305524491</v>
      </c>
      <c r="F16" s="79"/>
      <c r="G16" s="111" t="str">
        <f>HYPERLINK("https://pbs.twimg.com/profile_images/1332423813880029187/_TaZOiAW_normal.jpg")</f>
        <v>https://pbs.twimg.com/profile_images/1332423813880029187/_TaZOiAW_normal.jpg</v>
      </c>
      <c r="H16" s="15"/>
      <c r="I16" s="16" t="s">
        <v>273</v>
      </c>
      <c r="J16" s="67"/>
      <c r="K16" s="67"/>
      <c r="L16" s="113" t="s">
        <v>676</v>
      </c>
      <c r="M16" s="93">
        <v>10.790479413480163</v>
      </c>
      <c r="N16" s="94">
        <v>6245.666015625</v>
      </c>
      <c r="O16" s="94">
        <v>8720.208984375</v>
      </c>
      <c r="P16" s="78"/>
      <c r="Q16" s="95"/>
      <c r="R16" s="95"/>
      <c r="S16" s="96"/>
      <c r="T16" s="51">
        <v>2</v>
      </c>
      <c r="U16" s="51">
        <v>0</v>
      </c>
      <c r="V16" s="52">
        <v>1</v>
      </c>
      <c r="W16" s="52">
        <v>0.25</v>
      </c>
      <c r="X16" s="52">
        <v>0</v>
      </c>
      <c r="Y16" s="52">
        <v>0.99999</v>
      </c>
      <c r="Z16" s="52">
        <v>0</v>
      </c>
      <c r="AA16" s="52">
        <v>0</v>
      </c>
      <c r="AB16" s="80">
        <v>16</v>
      </c>
      <c r="AC16" s="80"/>
      <c r="AD16" s="97"/>
      <c r="AE16" s="82" t="s">
        <v>498</v>
      </c>
      <c r="AF16" s="88" t="s">
        <v>545</v>
      </c>
      <c r="AG16" s="82">
        <v>1339</v>
      </c>
      <c r="AH16" s="82">
        <v>25380</v>
      </c>
      <c r="AI16" s="82">
        <v>17685</v>
      </c>
      <c r="AJ16" s="82">
        <v>3669</v>
      </c>
      <c r="AK16" s="82"/>
      <c r="AL16" s="82" t="s">
        <v>593</v>
      </c>
      <c r="AM16" s="82" t="s">
        <v>637</v>
      </c>
      <c r="AN16" s="86" t="str">
        <f>HYPERLINK("https://t.co/tpBn0YlloE")</f>
        <v>https://t.co/tpBn0YlloE</v>
      </c>
      <c r="AO16" s="82"/>
      <c r="AP16" s="84">
        <v>41661.13967592592</v>
      </c>
      <c r="AQ16" s="86" t="str">
        <f>HYPERLINK("https://pbs.twimg.com/profile_banners/2304121598/1606509671")</f>
        <v>https://pbs.twimg.com/profile_banners/2304121598/1606509671</v>
      </c>
      <c r="AR16" s="82" t="b">
        <v>0</v>
      </c>
      <c r="AS16" s="82" t="b">
        <v>0</v>
      </c>
      <c r="AT16" s="82" t="b">
        <v>1</v>
      </c>
      <c r="AU16" s="82"/>
      <c r="AV16" s="82">
        <v>657</v>
      </c>
      <c r="AW16" s="86" t="str">
        <f>HYPERLINK("https://abs.twimg.com/images/themes/theme1/bg.png")</f>
        <v>https://abs.twimg.com/images/themes/theme1/bg.png</v>
      </c>
      <c r="AX16" s="82" t="b">
        <v>0</v>
      </c>
      <c r="AY16" s="82" t="s">
        <v>663</v>
      </c>
      <c r="AZ16" s="86" t="str">
        <f>HYPERLINK("https://twitter.com/thecounter")</f>
        <v>https://twitter.com/thecounter</v>
      </c>
      <c r="BA16" s="82" t="s">
        <v>65</v>
      </c>
      <c r="BB16" s="82" t="str">
        <f>REPLACE(INDEX(GroupVertices[Group],MATCH(Vertices[[#This Row],[Vertex]],GroupVertices[Vertex],0)),1,1,"")</f>
        <v>5</v>
      </c>
      <c r="BC16" s="51"/>
      <c r="BD16" s="51"/>
      <c r="BE16" s="51"/>
      <c r="BF16" s="51"/>
      <c r="BG16" s="51"/>
      <c r="BH16" s="51"/>
      <c r="BI16" s="51"/>
      <c r="BJ16" s="51"/>
      <c r="BK16" s="51"/>
      <c r="BL16" s="51"/>
      <c r="BM16" s="51"/>
      <c r="BN16" s="52"/>
      <c r="BO16" s="51"/>
      <c r="BP16" s="52"/>
      <c r="BQ16" s="51"/>
      <c r="BR16" s="52"/>
      <c r="BS16" s="51"/>
      <c r="BT16" s="52"/>
      <c r="BU16" s="51"/>
      <c r="BV16" s="2"/>
      <c r="BW16" s="3"/>
      <c r="BX16" s="3"/>
      <c r="BY16" s="3"/>
      <c r="BZ16" s="3"/>
    </row>
    <row r="17" spans="1:78" ht="41.45" customHeight="1">
      <c r="A17" s="14" t="s">
        <v>274</v>
      </c>
      <c r="C17" s="15"/>
      <c r="D17" s="15" t="s">
        <v>64</v>
      </c>
      <c r="E17" s="92">
        <v>183.0683152538582</v>
      </c>
      <c r="F17" s="79"/>
      <c r="G17" s="111" t="str">
        <f>HYPERLINK("https://pbs.twimg.com/profile_images/731218260063064064/lvYqv_Bn_normal.jpg")</f>
        <v>https://pbs.twimg.com/profile_images/731218260063064064/lvYqv_Bn_normal.jpg</v>
      </c>
      <c r="H17" s="15"/>
      <c r="I17" s="16" t="s">
        <v>274</v>
      </c>
      <c r="J17" s="67"/>
      <c r="K17" s="67"/>
      <c r="L17" s="113" t="s">
        <v>677</v>
      </c>
      <c r="M17" s="93">
        <v>2.3877272510654586</v>
      </c>
      <c r="N17" s="94">
        <v>6926.95263671875</v>
      </c>
      <c r="O17" s="94">
        <v>6779.4267578125</v>
      </c>
      <c r="P17" s="78"/>
      <c r="Q17" s="95"/>
      <c r="R17" s="95"/>
      <c r="S17" s="96"/>
      <c r="T17" s="51">
        <v>2</v>
      </c>
      <c r="U17" s="51">
        <v>0</v>
      </c>
      <c r="V17" s="52">
        <v>1</v>
      </c>
      <c r="W17" s="52">
        <v>0.25</v>
      </c>
      <c r="X17" s="52">
        <v>0</v>
      </c>
      <c r="Y17" s="52">
        <v>0.99999</v>
      </c>
      <c r="Z17" s="52">
        <v>0</v>
      </c>
      <c r="AA17" s="52">
        <v>0</v>
      </c>
      <c r="AB17" s="80">
        <v>17</v>
      </c>
      <c r="AC17" s="80"/>
      <c r="AD17" s="97"/>
      <c r="AE17" s="82" t="s">
        <v>499</v>
      </c>
      <c r="AF17" s="88" t="s">
        <v>546</v>
      </c>
      <c r="AG17" s="82">
        <v>1458</v>
      </c>
      <c r="AH17" s="82">
        <v>3600</v>
      </c>
      <c r="AI17" s="82">
        <v>1883</v>
      </c>
      <c r="AJ17" s="82">
        <v>5049</v>
      </c>
      <c r="AK17" s="82"/>
      <c r="AL17" s="82" t="s">
        <v>594</v>
      </c>
      <c r="AM17" s="82" t="s">
        <v>638</v>
      </c>
      <c r="AN17" s="86" t="str">
        <f>HYPERLINK("https://t.co/TTR3YgPhhz")</f>
        <v>https://t.co/TTR3YgPhhz</v>
      </c>
      <c r="AO17" s="82"/>
      <c r="AP17" s="84">
        <v>40478.61340277778</v>
      </c>
      <c r="AQ17" s="86" t="str">
        <f>HYPERLINK("https://pbs.twimg.com/profile_banners/208577687/1542644617")</f>
        <v>https://pbs.twimg.com/profile_banners/208577687/1542644617</v>
      </c>
      <c r="AR17" s="82" t="b">
        <v>0</v>
      </c>
      <c r="AS17" s="82" t="b">
        <v>0</v>
      </c>
      <c r="AT17" s="82" t="b">
        <v>0</v>
      </c>
      <c r="AU17" s="82"/>
      <c r="AV17" s="82">
        <v>109</v>
      </c>
      <c r="AW17" s="86" t="str">
        <f>HYPERLINK("https://abs.twimg.com/images/themes/theme1/bg.png")</f>
        <v>https://abs.twimg.com/images/themes/theme1/bg.png</v>
      </c>
      <c r="AX17" s="82" t="b">
        <v>1</v>
      </c>
      <c r="AY17" s="82" t="s">
        <v>663</v>
      </c>
      <c r="AZ17" s="86" t="str">
        <f>HYPERLINK("https://twitter.com/joefassler")</f>
        <v>https://twitter.com/joefassler</v>
      </c>
      <c r="BA17" s="82" t="s">
        <v>65</v>
      </c>
      <c r="BB17" s="82" t="str">
        <f>REPLACE(INDEX(GroupVertices[Group],MATCH(Vertices[[#This Row],[Vertex]],GroupVertices[Vertex],0)),1,1,"")</f>
        <v>5</v>
      </c>
      <c r="BC17" s="51"/>
      <c r="BD17" s="51"/>
      <c r="BE17" s="51"/>
      <c r="BF17" s="51"/>
      <c r="BG17" s="51"/>
      <c r="BH17" s="51"/>
      <c r="BI17" s="51"/>
      <c r="BJ17" s="51"/>
      <c r="BK17" s="51"/>
      <c r="BL17" s="51"/>
      <c r="BM17" s="51"/>
      <c r="BN17" s="52"/>
      <c r="BO17" s="51"/>
      <c r="BP17" s="52"/>
      <c r="BQ17" s="51"/>
      <c r="BR17" s="52"/>
      <c r="BS17" s="51"/>
      <c r="BT17" s="52"/>
      <c r="BU17" s="51"/>
      <c r="BV17" s="2"/>
      <c r="BW17" s="3"/>
      <c r="BX17" s="3"/>
      <c r="BY17" s="3"/>
      <c r="BZ17" s="3"/>
    </row>
    <row r="18" spans="1:78" ht="41.45" customHeight="1">
      <c r="A18" s="14" t="s">
        <v>244</v>
      </c>
      <c r="C18" s="15"/>
      <c r="D18" s="15" t="s">
        <v>64</v>
      </c>
      <c r="E18" s="92">
        <v>177.02369436367704</v>
      </c>
      <c r="F18" s="79"/>
      <c r="G18" s="111" t="str">
        <f>HYPERLINK("https://pbs.twimg.com/profile_images/986622370831060992/5ijM1bBg_normal.jpg")</f>
        <v>https://pbs.twimg.com/profile_images/986622370831060992/5ijM1bBg_normal.jpg</v>
      </c>
      <c r="H18" s="15"/>
      <c r="I18" s="16" t="s">
        <v>244</v>
      </c>
      <c r="J18" s="67"/>
      <c r="K18" s="67"/>
      <c r="L18" s="113" t="s">
        <v>678</v>
      </c>
      <c r="M18" s="93">
        <v>1.9895803166480126</v>
      </c>
      <c r="N18" s="94">
        <v>9197.8935546875</v>
      </c>
      <c r="O18" s="94">
        <v>5437.93798828125</v>
      </c>
      <c r="P18" s="78"/>
      <c r="Q18" s="95"/>
      <c r="R18" s="95"/>
      <c r="S18" s="96"/>
      <c r="T18" s="51">
        <v>0</v>
      </c>
      <c r="U18" s="51">
        <v>1</v>
      </c>
      <c r="V18" s="52">
        <v>0</v>
      </c>
      <c r="W18" s="52">
        <v>1</v>
      </c>
      <c r="X18" s="52">
        <v>0</v>
      </c>
      <c r="Y18" s="52">
        <v>0.701748</v>
      </c>
      <c r="Z18" s="52">
        <v>0</v>
      </c>
      <c r="AA18" s="52">
        <v>0</v>
      </c>
      <c r="AB18" s="80">
        <v>18</v>
      </c>
      <c r="AC18" s="80"/>
      <c r="AD18" s="97"/>
      <c r="AE18" s="82" t="s">
        <v>500</v>
      </c>
      <c r="AF18" s="88" t="s">
        <v>547</v>
      </c>
      <c r="AG18" s="82">
        <v>1829</v>
      </c>
      <c r="AH18" s="82">
        <v>2568</v>
      </c>
      <c r="AI18" s="82">
        <v>7941</v>
      </c>
      <c r="AJ18" s="82">
        <v>18090</v>
      </c>
      <c r="AK18" s="82"/>
      <c r="AL18" s="82" t="s">
        <v>595</v>
      </c>
      <c r="AM18" s="82" t="s">
        <v>639</v>
      </c>
      <c r="AN18" s="86" t="str">
        <f>HYPERLINK("https://t.co/XEbK0d5CT7")</f>
        <v>https://t.co/XEbK0d5CT7</v>
      </c>
      <c r="AO18" s="82"/>
      <c r="AP18" s="84">
        <v>42067.48721064815</v>
      </c>
      <c r="AQ18" s="86" t="str">
        <f>HYPERLINK("https://pbs.twimg.com/profile_banners/3069682431/1560846414")</f>
        <v>https://pbs.twimg.com/profile_banners/3069682431/1560846414</v>
      </c>
      <c r="AR18" s="82" t="b">
        <v>0</v>
      </c>
      <c r="AS18" s="82" t="b">
        <v>0</v>
      </c>
      <c r="AT18" s="82" t="b">
        <v>1</v>
      </c>
      <c r="AU18" s="82"/>
      <c r="AV18" s="82">
        <v>70</v>
      </c>
      <c r="AW18" s="86" t="str">
        <f>HYPERLINK("https://abs.twimg.com/images/themes/theme1/bg.png")</f>
        <v>https://abs.twimg.com/images/themes/theme1/bg.png</v>
      </c>
      <c r="AX18" s="82" t="b">
        <v>0</v>
      </c>
      <c r="AY18" s="82" t="s">
        <v>663</v>
      </c>
      <c r="AZ18" s="86" t="str">
        <f>HYPERLINK("https://twitter.com/eatableadv")</f>
        <v>https://twitter.com/eatableadv</v>
      </c>
      <c r="BA18" s="82" t="s">
        <v>66</v>
      </c>
      <c r="BB18" s="82" t="str">
        <f>REPLACE(INDEX(GroupVertices[Group],MATCH(Vertices[[#This Row],[Vertex]],GroupVertices[Vertex],0)),1,1,"")</f>
        <v>10</v>
      </c>
      <c r="BC18" s="51" t="s">
        <v>785</v>
      </c>
      <c r="BD18" s="51" t="s">
        <v>785</v>
      </c>
      <c r="BE18" s="51" t="s">
        <v>323</v>
      </c>
      <c r="BF18" s="51" t="s">
        <v>323</v>
      </c>
      <c r="BG18" s="51" t="s">
        <v>341</v>
      </c>
      <c r="BH18" s="51" t="s">
        <v>341</v>
      </c>
      <c r="BI18" s="119" t="s">
        <v>1114</v>
      </c>
      <c r="BJ18" s="119" t="s">
        <v>1114</v>
      </c>
      <c r="BK18" s="119" t="s">
        <v>1139</v>
      </c>
      <c r="BL18" s="119" t="s">
        <v>1139</v>
      </c>
      <c r="BM18" s="119">
        <v>1</v>
      </c>
      <c r="BN18" s="122">
        <v>3.7037037037037037</v>
      </c>
      <c r="BO18" s="119">
        <v>1</v>
      </c>
      <c r="BP18" s="122">
        <v>3.7037037037037037</v>
      </c>
      <c r="BQ18" s="119">
        <v>0</v>
      </c>
      <c r="BR18" s="122">
        <v>0</v>
      </c>
      <c r="BS18" s="119">
        <v>25</v>
      </c>
      <c r="BT18" s="122">
        <v>92.5925925925926</v>
      </c>
      <c r="BU18" s="119">
        <v>27</v>
      </c>
      <c r="BV18" s="2"/>
      <c r="BW18" s="3"/>
      <c r="BX18" s="3"/>
      <c r="BY18" s="3"/>
      <c r="BZ18" s="3"/>
    </row>
    <row r="19" spans="1:78" ht="41.45" customHeight="1">
      <c r="A19" s="14" t="s">
        <v>262</v>
      </c>
      <c r="C19" s="15"/>
      <c r="D19" s="15" t="s">
        <v>64</v>
      </c>
      <c r="E19" s="92">
        <v>177.45126929098635</v>
      </c>
      <c r="F19" s="79"/>
      <c r="G19" s="111" t="str">
        <f>HYPERLINK("https://pbs.twimg.com/profile_images/1336711126692757504/b93FEEuL_normal.jpg")</f>
        <v>https://pbs.twimg.com/profile_images/1336711126692757504/b93FEEuL_normal.jpg</v>
      </c>
      <c r="H19" s="15"/>
      <c r="I19" s="16" t="s">
        <v>262</v>
      </c>
      <c r="J19" s="67"/>
      <c r="K19" s="67"/>
      <c r="L19" s="113" t="s">
        <v>679</v>
      </c>
      <c r="M19" s="93">
        <v>2.0177438110399444</v>
      </c>
      <c r="N19" s="94">
        <v>9197.8935546875</v>
      </c>
      <c r="O19" s="94">
        <v>4325.4833984375</v>
      </c>
      <c r="P19" s="78"/>
      <c r="Q19" s="95"/>
      <c r="R19" s="95"/>
      <c r="S19" s="96"/>
      <c r="T19" s="51">
        <v>2</v>
      </c>
      <c r="U19" s="51">
        <v>1</v>
      </c>
      <c r="V19" s="52">
        <v>0</v>
      </c>
      <c r="W19" s="52">
        <v>1</v>
      </c>
      <c r="X19" s="52">
        <v>0</v>
      </c>
      <c r="Y19" s="52">
        <v>1.298233</v>
      </c>
      <c r="Z19" s="52">
        <v>0</v>
      </c>
      <c r="AA19" s="52">
        <v>0</v>
      </c>
      <c r="AB19" s="80">
        <v>19</v>
      </c>
      <c r="AC19" s="80"/>
      <c r="AD19" s="97"/>
      <c r="AE19" s="82" t="s">
        <v>501</v>
      </c>
      <c r="AF19" s="88" t="s">
        <v>548</v>
      </c>
      <c r="AG19" s="82">
        <v>1107</v>
      </c>
      <c r="AH19" s="82">
        <v>2641</v>
      </c>
      <c r="AI19" s="82">
        <v>1166</v>
      </c>
      <c r="AJ19" s="82">
        <v>3697</v>
      </c>
      <c r="AK19" s="82"/>
      <c r="AL19" s="82" t="s">
        <v>596</v>
      </c>
      <c r="AM19" s="82" t="s">
        <v>640</v>
      </c>
      <c r="AN19" s="86" t="str">
        <f>HYPERLINK("https://t.co/AxSvKZIRWO")</f>
        <v>https://t.co/AxSvKZIRWO</v>
      </c>
      <c r="AO19" s="82"/>
      <c r="AP19" s="84">
        <v>43180.65694444445</v>
      </c>
      <c r="AQ19" s="86" t="str">
        <f>HYPERLINK("https://pbs.twimg.com/profile_banners/976485082922934272/1625175828")</f>
        <v>https://pbs.twimg.com/profile_banners/976485082922934272/1625175828</v>
      </c>
      <c r="AR19" s="82" t="b">
        <v>1</v>
      </c>
      <c r="AS19" s="82" t="b">
        <v>0</v>
      </c>
      <c r="AT19" s="82" t="b">
        <v>0</v>
      </c>
      <c r="AU19" s="82"/>
      <c r="AV19" s="82">
        <v>60</v>
      </c>
      <c r="AW19" s="82"/>
      <c r="AX19" s="82" t="b">
        <v>0</v>
      </c>
      <c r="AY19" s="82" t="s">
        <v>663</v>
      </c>
      <c r="AZ19" s="86" t="str">
        <f>HYPERLINK("https://twitter.com/cmsymp")</f>
        <v>https://twitter.com/cmsymp</v>
      </c>
      <c r="BA19" s="82" t="s">
        <v>66</v>
      </c>
      <c r="BB19" s="82" t="str">
        <f>REPLACE(INDEX(GroupVertices[Group],MATCH(Vertices[[#This Row],[Vertex]],GroupVertices[Vertex],0)),1,1,"")</f>
        <v>10</v>
      </c>
      <c r="BC19" s="51" t="s">
        <v>784</v>
      </c>
      <c r="BD19" s="51" t="s">
        <v>784</v>
      </c>
      <c r="BE19" s="51" t="s">
        <v>330</v>
      </c>
      <c r="BF19" s="51" t="s">
        <v>330</v>
      </c>
      <c r="BG19" s="51" t="s">
        <v>353</v>
      </c>
      <c r="BH19" s="51" t="s">
        <v>353</v>
      </c>
      <c r="BI19" s="119" t="s">
        <v>1115</v>
      </c>
      <c r="BJ19" s="119" t="s">
        <v>1115</v>
      </c>
      <c r="BK19" s="119" t="s">
        <v>1140</v>
      </c>
      <c r="BL19" s="119" t="s">
        <v>1140</v>
      </c>
      <c r="BM19" s="119">
        <v>0</v>
      </c>
      <c r="BN19" s="122">
        <v>0</v>
      </c>
      <c r="BO19" s="119">
        <v>0</v>
      </c>
      <c r="BP19" s="122">
        <v>0</v>
      </c>
      <c r="BQ19" s="119">
        <v>0</v>
      </c>
      <c r="BR19" s="122">
        <v>0</v>
      </c>
      <c r="BS19" s="119">
        <v>28</v>
      </c>
      <c r="BT19" s="122">
        <v>100</v>
      </c>
      <c r="BU19" s="119">
        <v>28</v>
      </c>
      <c r="BV19" s="2"/>
      <c r="BW19" s="3"/>
      <c r="BX19" s="3"/>
      <c r="BY19" s="3"/>
      <c r="BZ19" s="3"/>
    </row>
    <row r="20" spans="1:78" ht="41.45" customHeight="1">
      <c r="A20" s="14" t="s">
        <v>245</v>
      </c>
      <c r="C20" s="15"/>
      <c r="D20" s="15" t="s">
        <v>64</v>
      </c>
      <c r="E20" s="92">
        <v>162.35728863788862</v>
      </c>
      <c r="F20" s="79"/>
      <c r="G20" s="111" t="str">
        <f>HYPERLINK("https://pbs.twimg.com/profile_images/1417826487852433410/6ZmfU5Ge_normal.jpg")</f>
        <v>https://pbs.twimg.com/profile_images/1417826487852433410/6ZmfU5Ge_normal.jpg</v>
      </c>
      <c r="H20" s="15"/>
      <c r="I20" s="16" t="s">
        <v>245</v>
      </c>
      <c r="J20" s="67"/>
      <c r="K20" s="67"/>
      <c r="L20" s="113" t="s">
        <v>680</v>
      </c>
      <c r="M20" s="93">
        <v>1.0235338788754498</v>
      </c>
      <c r="N20" s="94">
        <v>4598.94677734375</v>
      </c>
      <c r="O20" s="94">
        <v>7093.53125</v>
      </c>
      <c r="P20" s="78"/>
      <c r="Q20" s="95"/>
      <c r="R20" s="95"/>
      <c r="S20" s="96"/>
      <c r="T20" s="51">
        <v>1</v>
      </c>
      <c r="U20" s="51">
        <v>1</v>
      </c>
      <c r="V20" s="52">
        <v>0</v>
      </c>
      <c r="W20" s="52">
        <v>0</v>
      </c>
      <c r="X20" s="52">
        <v>0</v>
      </c>
      <c r="Y20" s="52">
        <v>0.99999</v>
      </c>
      <c r="Z20" s="52">
        <v>0</v>
      </c>
      <c r="AA20" s="52">
        <v>0</v>
      </c>
      <c r="AB20" s="80">
        <v>20</v>
      </c>
      <c r="AC20" s="80"/>
      <c r="AD20" s="97"/>
      <c r="AE20" s="82" t="s">
        <v>502</v>
      </c>
      <c r="AF20" s="88" t="s">
        <v>449</v>
      </c>
      <c r="AG20" s="82">
        <v>124</v>
      </c>
      <c r="AH20" s="82">
        <v>64</v>
      </c>
      <c r="AI20" s="82">
        <v>93</v>
      </c>
      <c r="AJ20" s="82">
        <v>96</v>
      </c>
      <c r="AK20" s="82"/>
      <c r="AL20" s="82" t="s">
        <v>597</v>
      </c>
      <c r="AM20" s="82" t="s">
        <v>641</v>
      </c>
      <c r="AN20" s="82"/>
      <c r="AO20" s="82"/>
      <c r="AP20" s="84">
        <v>44173.143217592595</v>
      </c>
      <c r="AQ20" s="86" t="str">
        <f>HYPERLINK("https://pbs.twimg.com/profile_banners/1336149980579471360/1612868210")</f>
        <v>https://pbs.twimg.com/profile_banners/1336149980579471360/1612868210</v>
      </c>
      <c r="AR20" s="82" t="b">
        <v>1</v>
      </c>
      <c r="AS20" s="82" t="b">
        <v>0</v>
      </c>
      <c r="AT20" s="82" t="b">
        <v>0</v>
      </c>
      <c r="AU20" s="82"/>
      <c r="AV20" s="82">
        <v>1</v>
      </c>
      <c r="AW20" s="82"/>
      <c r="AX20" s="82" t="b">
        <v>0</v>
      </c>
      <c r="AY20" s="82" t="s">
        <v>663</v>
      </c>
      <c r="AZ20" s="86" t="str">
        <f>HYPERLINK("https://twitter.com/pstvclimate")</f>
        <v>https://twitter.com/pstvclimate</v>
      </c>
      <c r="BA20" s="82" t="s">
        <v>66</v>
      </c>
      <c r="BB20" s="82" t="str">
        <f>REPLACE(INDEX(GroupVertices[Group],MATCH(Vertices[[#This Row],[Vertex]],GroupVertices[Vertex],0)),1,1,"")</f>
        <v>3</v>
      </c>
      <c r="BC20" s="51"/>
      <c r="BD20" s="51"/>
      <c r="BE20" s="51"/>
      <c r="BF20" s="51"/>
      <c r="BG20" s="51" t="s">
        <v>342</v>
      </c>
      <c r="BH20" s="51" t="s">
        <v>342</v>
      </c>
      <c r="BI20" s="119" t="s">
        <v>1116</v>
      </c>
      <c r="BJ20" s="119" t="s">
        <v>1116</v>
      </c>
      <c r="BK20" s="119" t="s">
        <v>1141</v>
      </c>
      <c r="BL20" s="119" t="s">
        <v>1141</v>
      </c>
      <c r="BM20" s="119">
        <v>2</v>
      </c>
      <c r="BN20" s="122">
        <v>6.451612903225806</v>
      </c>
      <c r="BO20" s="119">
        <v>0</v>
      </c>
      <c r="BP20" s="122">
        <v>0</v>
      </c>
      <c r="BQ20" s="119">
        <v>0</v>
      </c>
      <c r="BR20" s="122">
        <v>0</v>
      </c>
      <c r="BS20" s="119">
        <v>29</v>
      </c>
      <c r="BT20" s="122">
        <v>93.54838709677419</v>
      </c>
      <c r="BU20" s="119">
        <v>31</v>
      </c>
      <c r="BV20" s="2"/>
      <c r="BW20" s="3"/>
      <c r="BX20" s="3"/>
      <c r="BY20" s="3"/>
      <c r="BZ20" s="3"/>
    </row>
    <row r="21" spans="1:78" ht="41.45" customHeight="1">
      <c r="A21" s="14" t="s">
        <v>246</v>
      </c>
      <c r="C21" s="15"/>
      <c r="D21" s="15" t="s">
        <v>64</v>
      </c>
      <c r="E21" s="92">
        <v>162.0878578617759</v>
      </c>
      <c r="F21" s="79"/>
      <c r="G21" s="111" t="str">
        <f>HYPERLINK("https://pbs.twimg.com/profile_images/1265889018237108225/9fSO0Qxl_normal.jpg")</f>
        <v>https://pbs.twimg.com/profile_images/1265889018237108225/9fSO0Qxl_normal.jpg</v>
      </c>
      <c r="H21" s="15"/>
      <c r="I21" s="16" t="s">
        <v>246</v>
      </c>
      <c r="J21" s="67"/>
      <c r="K21" s="67"/>
      <c r="L21" s="113" t="s">
        <v>681</v>
      </c>
      <c r="M21" s="93">
        <v>1.0057870193956024</v>
      </c>
      <c r="N21" s="94">
        <v>5400.05322265625</v>
      </c>
      <c r="O21" s="94">
        <v>8507.0029296875</v>
      </c>
      <c r="P21" s="78"/>
      <c r="Q21" s="95"/>
      <c r="R21" s="95"/>
      <c r="S21" s="96"/>
      <c r="T21" s="51">
        <v>1</v>
      </c>
      <c r="U21" s="51">
        <v>1</v>
      </c>
      <c r="V21" s="52">
        <v>0</v>
      </c>
      <c r="W21" s="52">
        <v>0</v>
      </c>
      <c r="X21" s="52">
        <v>0</v>
      </c>
      <c r="Y21" s="52">
        <v>0.99999</v>
      </c>
      <c r="Z21" s="52">
        <v>0</v>
      </c>
      <c r="AA21" s="52">
        <v>0</v>
      </c>
      <c r="AB21" s="80">
        <v>21</v>
      </c>
      <c r="AC21" s="80"/>
      <c r="AD21" s="97"/>
      <c r="AE21" s="82" t="s">
        <v>503</v>
      </c>
      <c r="AF21" s="88" t="s">
        <v>549</v>
      </c>
      <c r="AG21" s="82">
        <v>11</v>
      </c>
      <c r="AH21" s="82">
        <v>18</v>
      </c>
      <c r="AI21" s="82">
        <v>391</v>
      </c>
      <c r="AJ21" s="82">
        <v>18</v>
      </c>
      <c r="AK21" s="82"/>
      <c r="AL21" s="82" t="s">
        <v>598</v>
      </c>
      <c r="AM21" s="82" t="s">
        <v>642</v>
      </c>
      <c r="AN21" s="86" t="str">
        <f>HYPERLINK("https://t.co/pi02EVIA0g")</f>
        <v>https://t.co/pi02EVIA0g</v>
      </c>
      <c r="AO21" s="82"/>
      <c r="AP21" s="84">
        <v>43979.258564814816</v>
      </c>
      <c r="AQ21" s="82"/>
      <c r="AR21" s="82" t="b">
        <v>1</v>
      </c>
      <c r="AS21" s="82" t="b">
        <v>0</v>
      </c>
      <c r="AT21" s="82" t="b">
        <v>0</v>
      </c>
      <c r="AU21" s="82"/>
      <c r="AV21" s="82">
        <v>0</v>
      </c>
      <c r="AW21" s="82"/>
      <c r="AX21" s="82" t="b">
        <v>0</v>
      </c>
      <c r="AY21" s="82" t="s">
        <v>663</v>
      </c>
      <c r="AZ21" s="86" t="str">
        <f>HYPERLINK("https://twitter.com/anikabockisch")</f>
        <v>https://twitter.com/anikabockisch</v>
      </c>
      <c r="BA21" s="82" t="s">
        <v>66</v>
      </c>
      <c r="BB21" s="82" t="str">
        <f>REPLACE(INDEX(GroupVertices[Group],MATCH(Vertices[[#This Row],[Vertex]],GroupVertices[Vertex],0)),1,1,"")</f>
        <v>3</v>
      </c>
      <c r="BC21" s="51" t="s">
        <v>765</v>
      </c>
      <c r="BD21" s="51" t="s">
        <v>765</v>
      </c>
      <c r="BE21" s="51" t="s">
        <v>324</v>
      </c>
      <c r="BF21" s="51" t="s">
        <v>324</v>
      </c>
      <c r="BG21" s="51" t="s">
        <v>343</v>
      </c>
      <c r="BH21" s="51" t="s">
        <v>343</v>
      </c>
      <c r="BI21" s="119" t="s">
        <v>1117</v>
      </c>
      <c r="BJ21" s="119" t="s">
        <v>1117</v>
      </c>
      <c r="BK21" s="119" t="s">
        <v>1142</v>
      </c>
      <c r="BL21" s="119" t="s">
        <v>1142</v>
      </c>
      <c r="BM21" s="119">
        <v>1</v>
      </c>
      <c r="BN21" s="122">
        <v>2.857142857142857</v>
      </c>
      <c r="BO21" s="119">
        <v>0</v>
      </c>
      <c r="BP21" s="122">
        <v>0</v>
      </c>
      <c r="BQ21" s="119">
        <v>0</v>
      </c>
      <c r="BR21" s="122">
        <v>0</v>
      </c>
      <c r="BS21" s="119">
        <v>34</v>
      </c>
      <c r="BT21" s="122">
        <v>97.14285714285714</v>
      </c>
      <c r="BU21" s="119">
        <v>35</v>
      </c>
      <c r="BV21" s="2"/>
      <c r="BW21" s="3"/>
      <c r="BX21" s="3"/>
      <c r="BY21" s="3"/>
      <c r="BZ21" s="3"/>
    </row>
    <row r="22" spans="1:78" ht="41.45" customHeight="1">
      <c r="A22" s="14" t="s">
        <v>247</v>
      </c>
      <c r="C22" s="15"/>
      <c r="D22" s="15" t="s">
        <v>64</v>
      </c>
      <c r="E22" s="92">
        <v>270.89689107582194</v>
      </c>
      <c r="F22" s="79"/>
      <c r="G22" s="111" t="str">
        <f>HYPERLINK("https://pbs.twimg.com/profile_images/1193985020521791488/nRCt_CqI_normal.jpg")</f>
        <v>https://pbs.twimg.com/profile_images/1193985020521791488/nRCt_CqI_normal.jpg</v>
      </c>
      <c r="H22" s="15"/>
      <c r="I22" s="16" t="s">
        <v>247</v>
      </c>
      <c r="J22" s="67"/>
      <c r="K22" s="67"/>
      <c r="L22" s="113" t="s">
        <v>682</v>
      </c>
      <c r="M22" s="93">
        <v>8.17281764020267</v>
      </c>
      <c r="N22" s="94">
        <v>544.9009399414062</v>
      </c>
      <c r="O22" s="94">
        <v>9037.5771484375</v>
      </c>
      <c r="P22" s="78"/>
      <c r="Q22" s="95"/>
      <c r="R22" s="95"/>
      <c r="S22" s="96"/>
      <c r="T22" s="51">
        <v>0</v>
      </c>
      <c r="U22" s="51">
        <v>1</v>
      </c>
      <c r="V22" s="52">
        <v>0</v>
      </c>
      <c r="W22" s="52">
        <v>0.015152</v>
      </c>
      <c r="X22" s="52">
        <v>0.013737</v>
      </c>
      <c r="Y22" s="52">
        <v>0.433187</v>
      </c>
      <c r="Z22" s="52">
        <v>0</v>
      </c>
      <c r="AA22" s="52">
        <v>0</v>
      </c>
      <c r="AB22" s="80">
        <v>22</v>
      </c>
      <c r="AC22" s="80"/>
      <c r="AD22" s="97"/>
      <c r="AE22" s="82" t="s">
        <v>504</v>
      </c>
      <c r="AF22" s="88" t="s">
        <v>550</v>
      </c>
      <c r="AG22" s="82">
        <v>7423</v>
      </c>
      <c r="AH22" s="82">
        <v>18595</v>
      </c>
      <c r="AI22" s="82">
        <v>34950</v>
      </c>
      <c r="AJ22" s="82">
        <v>5313</v>
      </c>
      <c r="AK22" s="82"/>
      <c r="AL22" s="82" t="s">
        <v>599</v>
      </c>
      <c r="AM22" s="82"/>
      <c r="AN22" s="86" t="str">
        <f>HYPERLINK("https://t.co/NJ4R2zutyc")</f>
        <v>https://t.co/NJ4R2zutyc</v>
      </c>
      <c r="AO22" s="82"/>
      <c r="AP22" s="84">
        <v>40928.732615740744</v>
      </c>
      <c r="AQ22" s="86" t="str">
        <f>HYPERLINK("https://pbs.twimg.com/profile_banners/469509187/1573505285")</f>
        <v>https://pbs.twimg.com/profile_banners/469509187/1573505285</v>
      </c>
      <c r="AR22" s="82" t="b">
        <v>0</v>
      </c>
      <c r="AS22" s="82" t="b">
        <v>0</v>
      </c>
      <c r="AT22" s="82" t="b">
        <v>0</v>
      </c>
      <c r="AU22" s="82"/>
      <c r="AV22" s="82">
        <v>481</v>
      </c>
      <c r="AW22" s="86" t="str">
        <f>HYPERLINK("https://abs.twimg.com/images/themes/theme14/bg.gif")</f>
        <v>https://abs.twimg.com/images/themes/theme14/bg.gif</v>
      </c>
      <c r="AX22" s="82" t="b">
        <v>0</v>
      </c>
      <c r="AY22" s="82" t="s">
        <v>663</v>
      </c>
      <c r="AZ22" s="86" t="str">
        <f>HYPERLINK("https://twitter.com/geneticliteracy")</f>
        <v>https://twitter.com/geneticliteracy</v>
      </c>
      <c r="BA22" s="82" t="s">
        <v>66</v>
      </c>
      <c r="BB22" s="82" t="str">
        <f>REPLACE(INDEX(GroupVertices[Group],MATCH(Vertices[[#This Row],[Vertex]],GroupVertices[Vertex],0)),1,1,"")</f>
        <v>1</v>
      </c>
      <c r="BC22" s="51" t="s">
        <v>1088</v>
      </c>
      <c r="BD22" s="51" t="s">
        <v>1088</v>
      </c>
      <c r="BE22" s="51" t="s">
        <v>325</v>
      </c>
      <c r="BF22" s="51" t="s">
        <v>325</v>
      </c>
      <c r="BG22" s="51" t="s">
        <v>344</v>
      </c>
      <c r="BH22" s="51" t="s">
        <v>344</v>
      </c>
      <c r="BI22" s="119" t="s">
        <v>1118</v>
      </c>
      <c r="BJ22" s="119" t="s">
        <v>1132</v>
      </c>
      <c r="BK22" s="119" t="s">
        <v>1143</v>
      </c>
      <c r="BL22" s="119" t="s">
        <v>1143</v>
      </c>
      <c r="BM22" s="119">
        <v>0</v>
      </c>
      <c r="BN22" s="122">
        <v>0</v>
      </c>
      <c r="BO22" s="119">
        <v>0</v>
      </c>
      <c r="BP22" s="122">
        <v>0</v>
      </c>
      <c r="BQ22" s="119">
        <v>0</v>
      </c>
      <c r="BR22" s="122">
        <v>0</v>
      </c>
      <c r="BS22" s="119">
        <v>36</v>
      </c>
      <c r="BT22" s="122">
        <v>100</v>
      </c>
      <c r="BU22" s="119">
        <v>36</v>
      </c>
      <c r="BV22" s="2"/>
      <c r="BW22" s="3"/>
      <c r="BX22" s="3"/>
      <c r="BY22" s="3"/>
      <c r="BZ22" s="3"/>
    </row>
    <row r="23" spans="1:78" ht="41.45" customHeight="1">
      <c r="A23" s="14" t="s">
        <v>275</v>
      </c>
      <c r="C23" s="15"/>
      <c r="D23" s="15" t="s">
        <v>64</v>
      </c>
      <c r="E23" s="92">
        <v>1000</v>
      </c>
      <c r="F23" s="79"/>
      <c r="G23" s="111" t="str">
        <f>HYPERLINK("https://pbs.twimg.com/profile_images/879361767914262528/HdRauDM-_normal.jpg")</f>
        <v>https://pbs.twimg.com/profile_images/879361767914262528/HdRauDM-_normal.jpg</v>
      </c>
      <c r="H23" s="15"/>
      <c r="I23" s="16" t="s">
        <v>275</v>
      </c>
      <c r="J23" s="67"/>
      <c r="K23" s="67"/>
      <c r="L23" s="113" t="s">
        <v>683</v>
      </c>
      <c r="M23" s="93">
        <v>9999</v>
      </c>
      <c r="N23" s="94">
        <v>1290.839599609375</v>
      </c>
      <c r="O23" s="94">
        <v>7909.662109375</v>
      </c>
      <c r="P23" s="78"/>
      <c r="Q23" s="95"/>
      <c r="R23" s="95"/>
      <c r="S23" s="96"/>
      <c r="T23" s="51">
        <v>3</v>
      </c>
      <c r="U23" s="51">
        <v>0</v>
      </c>
      <c r="V23" s="52">
        <v>36</v>
      </c>
      <c r="W23" s="52">
        <v>0.020833</v>
      </c>
      <c r="X23" s="52">
        <v>0.066392</v>
      </c>
      <c r="Y23" s="52">
        <v>0.999487</v>
      </c>
      <c r="Z23" s="52">
        <v>0.3333333333333333</v>
      </c>
      <c r="AA23" s="52">
        <v>0</v>
      </c>
      <c r="AB23" s="80">
        <v>23</v>
      </c>
      <c r="AC23" s="80"/>
      <c r="AD23" s="97"/>
      <c r="AE23" s="82" t="s">
        <v>505</v>
      </c>
      <c r="AF23" s="88" t="s">
        <v>551</v>
      </c>
      <c r="AG23" s="82">
        <v>136</v>
      </c>
      <c r="AH23" s="82">
        <v>25914898</v>
      </c>
      <c r="AI23" s="82">
        <v>278884</v>
      </c>
      <c r="AJ23" s="82">
        <v>156</v>
      </c>
      <c r="AK23" s="82"/>
      <c r="AL23" s="82" t="s">
        <v>600</v>
      </c>
      <c r="AM23" s="82" t="s">
        <v>643</v>
      </c>
      <c r="AN23" s="86" t="str">
        <f>HYPERLINK("https://t.co/8uFmIvXSDG")</f>
        <v>https://t.co/8uFmIvXSDG</v>
      </c>
      <c r="AO23" s="82"/>
      <c r="AP23" s="84">
        <v>39214.545023148145</v>
      </c>
      <c r="AQ23" s="86" t="str">
        <f>HYPERLINK("https://pbs.twimg.com/profile_banners/5988062/1634217389")</f>
        <v>https://pbs.twimg.com/profile_banners/5988062/1634217389</v>
      </c>
      <c r="AR23" s="82" t="b">
        <v>0</v>
      </c>
      <c r="AS23" s="82" t="b">
        <v>0</v>
      </c>
      <c r="AT23" s="82" t="b">
        <v>0</v>
      </c>
      <c r="AU23" s="82"/>
      <c r="AV23" s="82">
        <v>118432</v>
      </c>
      <c r="AW23" s="86" t="str">
        <f>HYPERLINK("https://abs.twimg.com/images/themes/theme1/bg.png")</f>
        <v>https://abs.twimg.com/images/themes/theme1/bg.png</v>
      </c>
      <c r="AX23" s="82" t="b">
        <v>1</v>
      </c>
      <c r="AY23" s="82" t="s">
        <v>663</v>
      </c>
      <c r="AZ23" s="86" t="str">
        <f>HYPERLINK("https://twitter.com/theeconomist")</f>
        <v>https://twitter.com/theeconomist</v>
      </c>
      <c r="BA23" s="82" t="s">
        <v>65</v>
      </c>
      <c r="BB23" s="82" t="str">
        <f>REPLACE(INDEX(GroupVertices[Group],MATCH(Vertices[[#This Row],[Vertex]],GroupVertices[Vertex],0)),1,1,"")</f>
        <v>1</v>
      </c>
      <c r="BC23" s="51"/>
      <c r="BD23" s="51"/>
      <c r="BE23" s="51"/>
      <c r="BF23" s="51"/>
      <c r="BG23" s="51"/>
      <c r="BH23" s="51"/>
      <c r="BI23" s="51"/>
      <c r="BJ23" s="51"/>
      <c r="BK23" s="51"/>
      <c r="BL23" s="51"/>
      <c r="BM23" s="51"/>
      <c r="BN23" s="52"/>
      <c r="BO23" s="51"/>
      <c r="BP23" s="52"/>
      <c r="BQ23" s="51"/>
      <c r="BR23" s="52"/>
      <c r="BS23" s="51"/>
      <c r="BT23" s="52"/>
      <c r="BU23" s="51"/>
      <c r="BV23" s="2"/>
      <c r="BW23" s="3"/>
      <c r="BX23" s="3"/>
      <c r="BY23" s="3"/>
      <c r="BZ23" s="3"/>
    </row>
    <row r="24" spans="1:78" ht="41.45" customHeight="1">
      <c r="A24" s="14" t="s">
        <v>248</v>
      </c>
      <c r="C24" s="15"/>
      <c r="D24" s="15" t="s">
        <v>64</v>
      </c>
      <c r="E24" s="92">
        <v>162.1288581972713</v>
      </c>
      <c r="F24" s="79"/>
      <c r="G24" s="111" t="str">
        <f>HYPERLINK("https://pbs.twimg.com/profile_images/1392857275791028226/kfUmfDy1_normal.jpg")</f>
        <v>https://pbs.twimg.com/profile_images/1392857275791028226/kfUmfDy1_normal.jpg</v>
      </c>
      <c r="H24" s="15"/>
      <c r="I24" s="16" t="s">
        <v>248</v>
      </c>
      <c r="J24" s="67"/>
      <c r="K24" s="67"/>
      <c r="L24" s="113" t="s">
        <v>684</v>
      </c>
      <c r="M24" s="93">
        <v>1.0084876284468836</v>
      </c>
      <c r="N24" s="94">
        <v>9197.8935546875</v>
      </c>
      <c r="O24" s="94">
        <v>2434.3115234375</v>
      </c>
      <c r="P24" s="78"/>
      <c r="Q24" s="95"/>
      <c r="R24" s="95"/>
      <c r="S24" s="96"/>
      <c r="T24" s="51">
        <v>0</v>
      </c>
      <c r="U24" s="51">
        <v>1</v>
      </c>
      <c r="V24" s="52">
        <v>0</v>
      </c>
      <c r="W24" s="52">
        <v>1</v>
      </c>
      <c r="X24" s="52">
        <v>0</v>
      </c>
      <c r="Y24" s="52">
        <v>0.99999</v>
      </c>
      <c r="Z24" s="52">
        <v>0</v>
      </c>
      <c r="AA24" s="52">
        <v>0</v>
      </c>
      <c r="AB24" s="80">
        <v>24</v>
      </c>
      <c r="AC24" s="80"/>
      <c r="AD24" s="97"/>
      <c r="AE24" s="82" t="s">
        <v>506</v>
      </c>
      <c r="AF24" s="88" t="s">
        <v>552</v>
      </c>
      <c r="AG24" s="82">
        <v>10</v>
      </c>
      <c r="AH24" s="82">
        <v>25</v>
      </c>
      <c r="AI24" s="82">
        <v>11</v>
      </c>
      <c r="AJ24" s="82">
        <v>0</v>
      </c>
      <c r="AK24" s="82"/>
      <c r="AL24" s="82" t="s">
        <v>601</v>
      </c>
      <c r="AM24" s="82" t="s">
        <v>644</v>
      </c>
      <c r="AN24" s="86" t="str">
        <f>HYPERLINK("https://t.co/RkjqNqpwYe")</f>
        <v>https://t.co/RkjqNqpwYe</v>
      </c>
      <c r="AO24" s="82"/>
      <c r="AP24" s="84">
        <v>44325.41612268519</v>
      </c>
      <c r="AQ24" s="86" t="str">
        <f>HYPERLINK("https://pbs.twimg.com/profile_banners/1391331531306766343/1620918113")</f>
        <v>https://pbs.twimg.com/profile_banners/1391331531306766343/1620918113</v>
      </c>
      <c r="AR24" s="82" t="b">
        <v>1</v>
      </c>
      <c r="AS24" s="82" t="b">
        <v>0</v>
      </c>
      <c r="AT24" s="82" t="b">
        <v>0</v>
      </c>
      <c r="AU24" s="82"/>
      <c r="AV24" s="82">
        <v>1</v>
      </c>
      <c r="AW24" s="82"/>
      <c r="AX24" s="82" t="b">
        <v>0</v>
      </c>
      <c r="AY24" s="82" t="s">
        <v>663</v>
      </c>
      <c r="AZ24" s="86" t="str">
        <f>HYPERLINK("https://twitter.com/futuremeattech1")</f>
        <v>https://twitter.com/futuremeattech1</v>
      </c>
      <c r="BA24" s="82" t="s">
        <v>66</v>
      </c>
      <c r="BB24" s="82" t="str">
        <f>REPLACE(INDEX(GroupVertices[Group],MATCH(Vertices[[#This Row],[Vertex]],GroupVertices[Vertex],0)),1,1,"")</f>
        <v>9</v>
      </c>
      <c r="BC24" s="51"/>
      <c r="BD24" s="51"/>
      <c r="BE24" s="51"/>
      <c r="BF24" s="51"/>
      <c r="BG24" s="51" t="s">
        <v>345</v>
      </c>
      <c r="BH24" s="51" t="s">
        <v>345</v>
      </c>
      <c r="BI24" s="119" t="s">
        <v>1119</v>
      </c>
      <c r="BJ24" s="119" t="s">
        <v>1119</v>
      </c>
      <c r="BK24" s="119" t="s">
        <v>1144</v>
      </c>
      <c r="BL24" s="119" t="s">
        <v>1144</v>
      </c>
      <c r="BM24" s="119">
        <v>1</v>
      </c>
      <c r="BN24" s="122">
        <v>2.380952380952381</v>
      </c>
      <c r="BO24" s="119">
        <v>0</v>
      </c>
      <c r="BP24" s="122">
        <v>0</v>
      </c>
      <c r="BQ24" s="119">
        <v>0</v>
      </c>
      <c r="BR24" s="122">
        <v>0</v>
      </c>
      <c r="BS24" s="119">
        <v>41</v>
      </c>
      <c r="BT24" s="122">
        <v>97.61904761904762</v>
      </c>
      <c r="BU24" s="119">
        <v>42</v>
      </c>
      <c r="BV24" s="2"/>
      <c r="BW24" s="3"/>
      <c r="BX24" s="3"/>
      <c r="BY24" s="3"/>
      <c r="BZ24" s="3"/>
    </row>
    <row r="25" spans="1:78" ht="41.45" customHeight="1">
      <c r="A25" s="14" t="s">
        <v>276</v>
      </c>
      <c r="C25" s="15"/>
      <c r="D25" s="15" t="s">
        <v>64</v>
      </c>
      <c r="E25" s="92">
        <v>182.1897366360993</v>
      </c>
      <c r="F25" s="79"/>
      <c r="G25" s="111" t="str">
        <f>HYPERLINK("https://pbs.twimg.com/profile_images/1367675477293293569/TaTSgekn_normal.jpg")</f>
        <v>https://pbs.twimg.com/profile_images/1367675477293293569/TaTSgekn_normal.jpg</v>
      </c>
      <c r="H25" s="15"/>
      <c r="I25" s="16" t="s">
        <v>276</v>
      </c>
      <c r="J25" s="67"/>
      <c r="K25" s="67"/>
      <c r="L25" s="113" t="s">
        <v>685</v>
      </c>
      <c r="M25" s="93">
        <v>2.3298570571094346</v>
      </c>
      <c r="N25" s="94">
        <v>9197.8935546875</v>
      </c>
      <c r="O25" s="94">
        <v>1334.945068359375</v>
      </c>
      <c r="P25" s="78"/>
      <c r="Q25" s="95"/>
      <c r="R25" s="95"/>
      <c r="S25" s="96"/>
      <c r="T25" s="51">
        <v>1</v>
      </c>
      <c r="U25" s="51">
        <v>0</v>
      </c>
      <c r="V25" s="52">
        <v>0</v>
      </c>
      <c r="W25" s="52">
        <v>1</v>
      </c>
      <c r="X25" s="52">
        <v>0</v>
      </c>
      <c r="Y25" s="52">
        <v>0.99999</v>
      </c>
      <c r="Z25" s="52">
        <v>0</v>
      </c>
      <c r="AA25" s="52">
        <v>0</v>
      </c>
      <c r="AB25" s="80">
        <v>25</v>
      </c>
      <c r="AC25" s="80"/>
      <c r="AD25" s="97"/>
      <c r="AE25" s="82" t="s">
        <v>507</v>
      </c>
      <c r="AF25" s="88" t="s">
        <v>553</v>
      </c>
      <c r="AG25" s="82">
        <v>992</v>
      </c>
      <c r="AH25" s="82">
        <v>3450</v>
      </c>
      <c r="AI25" s="82">
        <v>130851</v>
      </c>
      <c r="AJ25" s="82">
        <v>2887</v>
      </c>
      <c r="AK25" s="82"/>
      <c r="AL25" s="82" t="s">
        <v>602</v>
      </c>
      <c r="AM25" s="82" t="s">
        <v>645</v>
      </c>
      <c r="AN25" s="86" t="str">
        <f>HYPERLINK("https://t.co/nCZIlJWeac")</f>
        <v>https://t.co/nCZIlJWeac</v>
      </c>
      <c r="AO25" s="82"/>
      <c r="AP25" s="84">
        <v>39098.93069444445</v>
      </c>
      <c r="AQ25" s="86" t="str">
        <f>HYPERLINK("https://pbs.twimg.com/profile_banners/649713/1397287709")</f>
        <v>https://pbs.twimg.com/profile_banners/649713/1397287709</v>
      </c>
      <c r="AR25" s="82" t="b">
        <v>0</v>
      </c>
      <c r="AS25" s="82" t="b">
        <v>0</v>
      </c>
      <c r="AT25" s="82" t="b">
        <v>0</v>
      </c>
      <c r="AU25" s="82"/>
      <c r="AV25" s="82">
        <v>229</v>
      </c>
      <c r="AW25" s="86" t="str">
        <f>HYPERLINK("https://abs.twimg.com/images/themes/theme1/bg.png")</f>
        <v>https://abs.twimg.com/images/themes/theme1/bg.png</v>
      </c>
      <c r="AX25" s="82" t="b">
        <v>0</v>
      </c>
      <c r="AY25" s="82" t="s">
        <v>663</v>
      </c>
      <c r="AZ25" s="86" t="str">
        <f>HYPERLINK("https://twitter.com/rom")</f>
        <v>https://twitter.com/rom</v>
      </c>
      <c r="BA25" s="82" t="s">
        <v>65</v>
      </c>
      <c r="BB25" s="82" t="str">
        <f>REPLACE(INDEX(GroupVertices[Group],MATCH(Vertices[[#This Row],[Vertex]],GroupVertices[Vertex],0)),1,1,"")</f>
        <v>9</v>
      </c>
      <c r="BC25" s="51"/>
      <c r="BD25" s="51"/>
      <c r="BE25" s="51"/>
      <c r="BF25" s="51"/>
      <c r="BG25" s="51"/>
      <c r="BH25" s="51"/>
      <c r="BI25" s="51"/>
      <c r="BJ25" s="51"/>
      <c r="BK25" s="51"/>
      <c r="BL25" s="51"/>
      <c r="BM25" s="51"/>
      <c r="BN25" s="52"/>
      <c r="BO25" s="51"/>
      <c r="BP25" s="52"/>
      <c r="BQ25" s="51"/>
      <c r="BR25" s="52"/>
      <c r="BS25" s="51"/>
      <c r="BT25" s="52"/>
      <c r="BU25" s="51"/>
      <c r="BV25" s="2"/>
      <c r="BW25" s="3"/>
      <c r="BX25" s="3"/>
      <c r="BY25" s="3"/>
      <c r="BZ25" s="3"/>
    </row>
    <row r="26" spans="1:78" ht="41.45" customHeight="1">
      <c r="A26" s="14" t="s">
        <v>249</v>
      </c>
      <c r="C26" s="15"/>
      <c r="D26" s="15" t="s">
        <v>64</v>
      </c>
      <c r="E26" s="92">
        <v>162.04100033549543</v>
      </c>
      <c r="F26" s="79"/>
      <c r="G26" s="111" t="str">
        <f>HYPERLINK("https://pbs.twimg.com/profile_images/1441636241166856193/JObacLGV_normal.jpg")</f>
        <v>https://pbs.twimg.com/profile_images/1441636241166856193/JObacLGV_normal.jpg</v>
      </c>
      <c r="H26" s="15"/>
      <c r="I26" s="16" t="s">
        <v>249</v>
      </c>
      <c r="J26" s="67"/>
      <c r="K26" s="67"/>
      <c r="L26" s="113" t="s">
        <v>686</v>
      </c>
      <c r="M26" s="93">
        <v>1.002700609051281</v>
      </c>
      <c r="N26" s="94">
        <v>3753.333740234375</v>
      </c>
      <c r="O26" s="94">
        <v>1922.9671630859375</v>
      </c>
      <c r="P26" s="78"/>
      <c r="Q26" s="95"/>
      <c r="R26" s="95"/>
      <c r="S26" s="96"/>
      <c r="T26" s="51">
        <v>0</v>
      </c>
      <c r="U26" s="51">
        <v>1</v>
      </c>
      <c r="V26" s="52">
        <v>0</v>
      </c>
      <c r="W26" s="52">
        <v>0.015625</v>
      </c>
      <c r="X26" s="52">
        <v>0.004983</v>
      </c>
      <c r="Y26" s="52">
        <v>0.498006</v>
      </c>
      <c r="Z26" s="52">
        <v>0</v>
      </c>
      <c r="AA26" s="52">
        <v>0</v>
      </c>
      <c r="AB26" s="80">
        <v>26</v>
      </c>
      <c r="AC26" s="80"/>
      <c r="AD26" s="97"/>
      <c r="AE26" s="82" t="s">
        <v>508</v>
      </c>
      <c r="AF26" s="88" t="s">
        <v>554</v>
      </c>
      <c r="AG26" s="82">
        <v>245</v>
      </c>
      <c r="AH26" s="82">
        <v>10</v>
      </c>
      <c r="AI26" s="82">
        <v>181</v>
      </c>
      <c r="AJ26" s="82">
        <v>87</v>
      </c>
      <c r="AK26" s="82"/>
      <c r="AL26" s="82" t="s">
        <v>603</v>
      </c>
      <c r="AM26" s="82" t="s">
        <v>646</v>
      </c>
      <c r="AN26" s="82"/>
      <c r="AO26" s="82"/>
      <c r="AP26" s="84">
        <v>42742.07494212963</v>
      </c>
      <c r="AQ26" s="86" t="str">
        <f>HYPERLINK("https://pbs.twimg.com/profile_banners/817548286261235712/1634048793")</f>
        <v>https://pbs.twimg.com/profile_banners/817548286261235712/1634048793</v>
      </c>
      <c r="AR26" s="82" t="b">
        <v>1</v>
      </c>
      <c r="AS26" s="82" t="b">
        <v>0</v>
      </c>
      <c r="AT26" s="82" t="b">
        <v>0</v>
      </c>
      <c r="AU26" s="82"/>
      <c r="AV26" s="82">
        <v>0</v>
      </c>
      <c r="AW26" s="82"/>
      <c r="AX26" s="82" t="b">
        <v>0</v>
      </c>
      <c r="AY26" s="82" t="s">
        <v>663</v>
      </c>
      <c r="AZ26" s="86" t="str">
        <f>HYPERLINK("https://twitter.com/ark_royal0909")</f>
        <v>https://twitter.com/ark_royal0909</v>
      </c>
      <c r="BA26" s="82" t="s">
        <v>66</v>
      </c>
      <c r="BB26" s="82" t="str">
        <f>REPLACE(INDEX(GroupVertices[Group],MATCH(Vertices[[#This Row],[Vertex]],GroupVertices[Vertex],0)),1,1,"")</f>
        <v>2</v>
      </c>
      <c r="BC26" s="51"/>
      <c r="BD26" s="51"/>
      <c r="BE26" s="51"/>
      <c r="BF26" s="51"/>
      <c r="BG26" s="51" t="s">
        <v>346</v>
      </c>
      <c r="BH26" s="51" t="s">
        <v>346</v>
      </c>
      <c r="BI26" s="119" t="s">
        <v>1120</v>
      </c>
      <c r="BJ26" s="119" t="s">
        <v>1120</v>
      </c>
      <c r="BK26" s="119" t="s">
        <v>1145</v>
      </c>
      <c r="BL26" s="119" t="s">
        <v>1145</v>
      </c>
      <c r="BM26" s="119">
        <v>0</v>
      </c>
      <c r="BN26" s="122">
        <v>0</v>
      </c>
      <c r="BO26" s="119">
        <v>1</v>
      </c>
      <c r="BP26" s="122">
        <v>2.4390243902439024</v>
      </c>
      <c r="BQ26" s="119">
        <v>0</v>
      </c>
      <c r="BR26" s="122">
        <v>0</v>
      </c>
      <c r="BS26" s="119">
        <v>40</v>
      </c>
      <c r="BT26" s="122">
        <v>97.5609756097561</v>
      </c>
      <c r="BU26" s="119">
        <v>41</v>
      </c>
      <c r="BV26" s="2"/>
      <c r="BW26" s="3"/>
      <c r="BX26" s="3"/>
      <c r="BY26" s="3"/>
      <c r="BZ26" s="3"/>
    </row>
    <row r="27" spans="1:78" ht="41.45" customHeight="1">
      <c r="A27" s="14" t="s">
        <v>250</v>
      </c>
      <c r="C27" s="15"/>
      <c r="D27" s="15" t="s">
        <v>64</v>
      </c>
      <c r="E27" s="92">
        <v>168.88219917244464</v>
      </c>
      <c r="F27" s="79"/>
      <c r="G27" s="111" t="str">
        <f>HYPERLINK("https://pbs.twimg.com/profile_images/993645134372798469/pAZy1Q6j_normal.jpg")</f>
        <v>https://pbs.twimg.com/profile_images/993645134372798469/pAZy1Q6j_normal.jpg</v>
      </c>
      <c r="H27" s="15"/>
      <c r="I27" s="16" t="s">
        <v>250</v>
      </c>
      <c r="J27" s="67"/>
      <c r="K27" s="67"/>
      <c r="L27" s="113" t="s">
        <v>687</v>
      </c>
      <c r="M27" s="93">
        <v>1.453316519322189</v>
      </c>
      <c r="N27" s="94">
        <v>2241.9580078125</v>
      </c>
      <c r="O27" s="94">
        <v>6334.55224609375</v>
      </c>
      <c r="P27" s="78"/>
      <c r="Q27" s="95"/>
      <c r="R27" s="95"/>
      <c r="S27" s="96"/>
      <c r="T27" s="51">
        <v>1</v>
      </c>
      <c r="U27" s="51">
        <v>10</v>
      </c>
      <c r="V27" s="52">
        <v>116</v>
      </c>
      <c r="W27" s="52">
        <v>0.030303</v>
      </c>
      <c r="X27" s="52">
        <v>0.153565</v>
      </c>
      <c r="Y27" s="52">
        <v>2.831053</v>
      </c>
      <c r="Z27" s="52">
        <v>0.1</v>
      </c>
      <c r="AA27" s="52">
        <v>0.1</v>
      </c>
      <c r="AB27" s="80">
        <v>27</v>
      </c>
      <c r="AC27" s="80"/>
      <c r="AD27" s="97"/>
      <c r="AE27" s="82" t="s">
        <v>509</v>
      </c>
      <c r="AF27" s="88" t="s">
        <v>555</v>
      </c>
      <c r="AG27" s="82">
        <v>2915</v>
      </c>
      <c r="AH27" s="82">
        <v>1178</v>
      </c>
      <c r="AI27" s="82">
        <v>2958</v>
      </c>
      <c r="AJ27" s="82">
        <v>381</v>
      </c>
      <c r="AK27" s="82"/>
      <c r="AL27" s="82" t="s">
        <v>604</v>
      </c>
      <c r="AM27" s="82" t="s">
        <v>647</v>
      </c>
      <c r="AN27" s="86" t="str">
        <f>HYPERLINK("https://t.co/Guf3bpXFrd")</f>
        <v>https://t.co/Guf3bpXFrd</v>
      </c>
      <c r="AO27" s="82"/>
      <c r="AP27" s="84">
        <v>39981.329618055555</v>
      </c>
      <c r="AQ27" s="86" t="str">
        <f>HYPERLINK("https://pbs.twimg.com/profile_banners/47893228/1536497307")</f>
        <v>https://pbs.twimg.com/profile_banners/47893228/1536497307</v>
      </c>
      <c r="AR27" s="82" t="b">
        <v>0</v>
      </c>
      <c r="AS27" s="82" t="b">
        <v>0</v>
      </c>
      <c r="AT27" s="82" t="b">
        <v>0</v>
      </c>
      <c r="AU27" s="82"/>
      <c r="AV27" s="82">
        <v>19</v>
      </c>
      <c r="AW27" s="86" t="str">
        <f>HYPERLINK("https://abs.twimg.com/images/themes/theme4/bg.gif")</f>
        <v>https://abs.twimg.com/images/themes/theme4/bg.gif</v>
      </c>
      <c r="AX27" s="82" t="b">
        <v>0</v>
      </c>
      <c r="AY27" s="82" t="s">
        <v>663</v>
      </c>
      <c r="AZ27" s="86" t="str">
        <f>HYPERLINK("https://twitter.com/docassar")</f>
        <v>https://twitter.com/docassar</v>
      </c>
      <c r="BA27" s="82" t="s">
        <v>66</v>
      </c>
      <c r="BB27" s="82" t="str">
        <f>REPLACE(INDEX(GroupVertices[Group],MATCH(Vertices[[#This Row],[Vertex]],GroupVertices[Vertex],0)),1,1,"")</f>
        <v>1</v>
      </c>
      <c r="BC27" s="51" t="s">
        <v>752</v>
      </c>
      <c r="BD27" s="51" t="s">
        <v>752</v>
      </c>
      <c r="BE27" s="51" t="s">
        <v>326</v>
      </c>
      <c r="BF27" s="51" t="s">
        <v>326</v>
      </c>
      <c r="BG27" s="51" t="s">
        <v>347</v>
      </c>
      <c r="BH27" s="51" t="s">
        <v>347</v>
      </c>
      <c r="BI27" s="119" t="s">
        <v>1121</v>
      </c>
      <c r="BJ27" s="119" t="s">
        <v>1121</v>
      </c>
      <c r="BK27" s="119" t="s">
        <v>1146</v>
      </c>
      <c r="BL27" s="119" t="s">
        <v>1146</v>
      </c>
      <c r="BM27" s="119">
        <v>1</v>
      </c>
      <c r="BN27" s="122">
        <v>4.761904761904762</v>
      </c>
      <c r="BO27" s="119">
        <v>0</v>
      </c>
      <c r="BP27" s="122">
        <v>0</v>
      </c>
      <c r="BQ27" s="119">
        <v>0</v>
      </c>
      <c r="BR27" s="122">
        <v>0</v>
      </c>
      <c r="BS27" s="119">
        <v>20</v>
      </c>
      <c r="BT27" s="122">
        <v>95.23809523809524</v>
      </c>
      <c r="BU27" s="119">
        <v>21</v>
      </c>
      <c r="BV27" s="2"/>
      <c r="BW27" s="3"/>
      <c r="BX27" s="3"/>
      <c r="BY27" s="3"/>
      <c r="BZ27" s="3"/>
    </row>
    <row r="28" spans="1:78" ht="41.45" customHeight="1">
      <c r="A28" s="14" t="s">
        <v>277</v>
      </c>
      <c r="C28" s="15"/>
      <c r="D28" s="15" t="s">
        <v>64</v>
      </c>
      <c r="E28" s="92">
        <v>174.63396052337285</v>
      </c>
      <c r="F28" s="79"/>
      <c r="G28" s="111" t="str">
        <f>HYPERLINK("https://pbs.twimg.com/profile_images/1197225094000582657/OIolEPeF_normal.jpg")</f>
        <v>https://pbs.twimg.com/profile_images/1197225094000582657/OIolEPeF_normal.jpg</v>
      </c>
      <c r="H28" s="15"/>
      <c r="I28" s="16" t="s">
        <v>277</v>
      </c>
      <c r="J28" s="67"/>
      <c r="K28" s="67"/>
      <c r="L28" s="113" t="s">
        <v>688</v>
      </c>
      <c r="M28" s="93">
        <v>1.832173389087627</v>
      </c>
      <c r="N28" s="94">
        <v>918.6832275390625</v>
      </c>
      <c r="O28" s="94">
        <v>5477.41748046875</v>
      </c>
      <c r="P28" s="78"/>
      <c r="Q28" s="95"/>
      <c r="R28" s="95"/>
      <c r="S28" s="96"/>
      <c r="T28" s="51">
        <v>2</v>
      </c>
      <c r="U28" s="51">
        <v>0</v>
      </c>
      <c r="V28" s="52">
        <v>0</v>
      </c>
      <c r="W28" s="52">
        <v>0.02</v>
      </c>
      <c r="X28" s="52">
        <v>0.063549</v>
      </c>
      <c r="Y28" s="52">
        <v>0.631278</v>
      </c>
      <c r="Z28" s="52">
        <v>1</v>
      </c>
      <c r="AA28" s="52">
        <v>0</v>
      </c>
      <c r="AB28" s="80">
        <v>28</v>
      </c>
      <c r="AC28" s="80"/>
      <c r="AD28" s="97"/>
      <c r="AE28" s="82" t="s">
        <v>510</v>
      </c>
      <c r="AF28" s="88" t="s">
        <v>556</v>
      </c>
      <c r="AG28" s="82">
        <v>4765</v>
      </c>
      <c r="AH28" s="82">
        <v>2160</v>
      </c>
      <c r="AI28" s="82">
        <v>3996</v>
      </c>
      <c r="AJ28" s="82">
        <v>13376</v>
      </c>
      <c r="AK28" s="82"/>
      <c r="AL28" s="82" t="s">
        <v>605</v>
      </c>
      <c r="AM28" s="82"/>
      <c r="AN28" s="86" t="str">
        <f>HYPERLINK("https://t.co/uQvruaLYa0")</f>
        <v>https://t.co/uQvruaLYa0</v>
      </c>
      <c r="AO28" s="82"/>
      <c r="AP28" s="84">
        <v>40899.71795138889</v>
      </c>
      <c r="AQ28" s="86" t="str">
        <f>HYPERLINK("https://pbs.twimg.com/profile_banners/443891125/1574276071")</f>
        <v>https://pbs.twimg.com/profile_banners/443891125/1574276071</v>
      </c>
      <c r="AR28" s="82" t="b">
        <v>1</v>
      </c>
      <c r="AS28" s="82" t="b">
        <v>0</v>
      </c>
      <c r="AT28" s="82" t="b">
        <v>0</v>
      </c>
      <c r="AU28" s="82"/>
      <c r="AV28" s="82">
        <v>39</v>
      </c>
      <c r="AW28" s="86" t="str">
        <f>HYPERLINK("https://abs.twimg.com/images/themes/theme1/bg.png")</f>
        <v>https://abs.twimg.com/images/themes/theme1/bg.png</v>
      </c>
      <c r="AX28" s="82" t="b">
        <v>0</v>
      </c>
      <c r="AY28" s="82" t="s">
        <v>663</v>
      </c>
      <c r="AZ28" s="86" t="str">
        <f>HYPERLINK("https://twitter.com/protein_report")</f>
        <v>https://twitter.com/protein_report</v>
      </c>
      <c r="BA28" s="82" t="s">
        <v>65</v>
      </c>
      <c r="BB28" s="82" t="str">
        <f>REPLACE(INDEX(GroupVertices[Group],MATCH(Vertices[[#This Row],[Vertex]],GroupVertices[Vertex],0)),1,1,"")</f>
        <v>1</v>
      </c>
      <c r="BC28" s="51"/>
      <c r="BD28" s="51"/>
      <c r="BE28" s="51"/>
      <c r="BF28" s="51"/>
      <c r="BG28" s="51"/>
      <c r="BH28" s="51"/>
      <c r="BI28" s="51"/>
      <c r="BJ28" s="51"/>
      <c r="BK28" s="51"/>
      <c r="BL28" s="51"/>
      <c r="BM28" s="51"/>
      <c r="BN28" s="52"/>
      <c r="BO28" s="51"/>
      <c r="BP28" s="52"/>
      <c r="BQ28" s="51"/>
      <c r="BR28" s="52"/>
      <c r="BS28" s="51"/>
      <c r="BT28" s="52"/>
      <c r="BU28" s="51"/>
      <c r="BV28" s="2"/>
      <c r="BW28" s="3"/>
      <c r="BX28" s="3"/>
      <c r="BY28" s="3"/>
      <c r="BZ28" s="3"/>
    </row>
    <row r="29" spans="1:78" ht="41.45" customHeight="1">
      <c r="A29" s="14" t="s">
        <v>251</v>
      </c>
      <c r="C29" s="15"/>
      <c r="D29" s="15" t="s">
        <v>64</v>
      </c>
      <c r="E29" s="92">
        <v>163.96215891299485</v>
      </c>
      <c r="F29" s="79"/>
      <c r="G29" s="111" t="str">
        <f>HYPERLINK("https://pbs.twimg.com/profile_images/1365866667100827650/Sz4fHM1k_normal.jpg")</f>
        <v>https://pbs.twimg.com/profile_images/1365866667100827650/Sz4fHM1k_normal.jpg</v>
      </c>
      <c r="H29" s="15"/>
      <c r="I29" s="16" t="s">
        <v>251</v>
      </c>
      <c r="J29" s="67"/>
      <c r="K29" s="67"/>
      <c r="L29" s="113" t="s">
        <v>689</v>
      </c>
      <c r="M29" s="93">
        <v>1.129243433168454</v>
      </c>
      <c r="N29" s="94">
        <v>2127.53173828125</v>
      </c>
      <c r="O29" s="94">
        <v>6724.65234375</v>
      </c>
      <c r="P29" s="78"/>
      <c r="Q29" s="95"/>
      <c r="R29" s="95"/>
      <c r="S29" s="96"/>
      <c r="T29" s="51">
        <v>1</v>
      </c>
      <c r="U29" s="51">
        <v>10</v>
      </c>
      <c r="V29" s="52">
        <v>116</v>
      </c>
      <c r="W29" s="52">
        <v>0.030303</v>
      </c>
      <c r="X29" s="52">
        <v>0.153565</v>
      </c>
      <c r="Y29" s="52">
        <v>2.831053</v>
      </c>
      <c r="Z29" s="52">
        <v>0.1</v>
      </c>
      <c r="AA29" s="52">
        <v>0.1</v>
      </c>
      <c r="AB29" s="80">
        <v>29</v>
      </c>
      <c r="AC29" s="80"/>
      <c r="AD29" s="97"/>
      <c r="AE29" s="82" t="s">
        <v>511</v>
      </c>
      <c r="AF29" s="88" t="s">
        <v>557</v>
      </c>
      <c r="AG29" s="82">
        <v>50</v>
      </c>
      <c r="AH29" s="82">
        <v>338</v>
      </c>
      <c r="AI29" s="82">
        <v>68238</v>
      </c>
      <c r="AJ29" s="82">
        <v>109428</v>
      </c>
      <c r="AK29" s="82"/>
      <c r="AL29" s="82"/>
      <c r="AM29" s="82"/>
      <c r="AN29" s="82"/>
      <c r="AO29" s="82"/>
      <c r="AP29" s="84">
        <v>40280.8699537037</v>
      </c>
      <c r="AQ29" s="82"/>
      <c r="AR29" s="82" t="b">
        <v>1</v>
      </c>
      <c r="AS29" s="82" t="b">
        <v>0</v>
      </c>
      <c r="AT29" s="82" t="b">
        <v>0</v>
      </c>
      <c r="AU29" s="82"/>
      <c r="AV29" s="82">
        <v>3</v>
      </c>
      <c r="AW29" s="86" t="str">
        <f>HYPERLINK("https://abs.twimg.com/images/themes/theme1/bg.png")</f>
        <v>https://abs.twimg.com/images/themes/theme1/bg.png</v>
      </c>
      <c r="AX29" s="82" t="b">
        <v>0</v>
      </c>
      <c r="AY29" s="82" t="s">
        <v>663</v>
      </c>
      <c r="AZ29" s="86" t="str">
        <f>HYPERLINK("https://twitter.com/ra_mc")</f>
        <v>https://twitter.com/ra_mc</v>
      </c>
      <c r="BA29" s="82" t="s">
        <v>66</v>
      </c>
      <c r="BB29" s="82" t="str">
        <f>REPLACE(INDEX(GroupVertices[Group],MATCH(Vertices[[#This Row],[Vertex]],GroupVertices[Vertex],0)),1,1,"")</f>
        <v>1</v>
      </c>
      <c r="BC29" s="51" t="s">
        <v>752</v>
      </c>
      <c r="BD29" s="51" t="s">
        <v>752</v>
      </c>
      <c r="BE29" s="51" t="s">
        <v>326</v>
      </c>
      <c r="BF29" s="51" t="s">
        <v>326</v>
      </c>
      <c r="BG29" s="51"/>
      <c r="BH29" s="51"/>
      <c r="BI29" s="119" t="s">
        <v>1121</v>
      </c>
      <c r="BJ29" s="119" t="s">
        <v>1121</v>
      </c>
      <c r="BK29" s="119" t="s">
        <v>1146</v>
      </c>
      <c r="BL29" s="119" t="s">
        <v>1146</v>
      </c>
      <c r="BM29" s="119">
        <v>1</v>
      </c>
      <c r="BN29" s="122">
        <v>4.761904761904762</v>
      </c>
      <c r="BO29" s="119">
        <v>0</v>
      </c>
      <c r="BP29" s="122">
        <v>0</v>
      </c>
      <c r="BQ29" s="119">
        <v>0</v>
      </c>
      <c r="BR29" s="122">
        <v>0</v>
      </c>
      <c r="BS29" s="119">
        <v>20</v>
      </c>
      <c r="BT29" s="122">
        <v>95.23809523809524</v>
      </c>
      <c r="BU29" s="119">
        <v>21</v>
      </c>
      <c r="BV29" s="2"/>
      <c r="BW29" s="3"/>
      <c r="BX29" s="3"/>
      <c r="BY29" s="3"/>
      <c r="BZ29" s="3"/>
    </row>
    <row r="30" spans="1:78" ht="41.45" customHeight="1">
      <c r="A30" s="14" t="s">
        <v>278</v>
      </c>
      <c r="C30" s="15"/>
      <c r="D30" s="15" t="s">
        <v>64</v>
      </c>
      <c r="E30" s="92">
        <v>170.3406396779244</v>
      </c>
      <c r="F30" s="79"/>
      <c r="G30" s="111" t="str">
        <f>HYPERLINK("https://pbs.twimg.com/profile_images/1277078535421616128/rB7Y3ODp_normal.jpg")</f>
        <v>https://pbs.twimg.com/profile_images/1277078535421616128/rB7Y3ODp_normal.jpg</v>
      </c>
      <c r="H30" s="15"/>
      <c r="I30" s="16" t="s">
        <v>278</v>
      </c>
      <c r="J30" s="67"/>
      <c r="K30" s="67"/>
      <c r="L30" s="113" t="s">
        <v>690</v>
      </c>
      <c r="M30" s="93">
        <v>1.549381041289189</v>
      </c>
      <c r="N30" s="94">
        <v>1917.0400390625</v>
      </c>
      <c r="O30" s="94">
        <v>4920.9736328125</v>
      </c>
      <c r="P30" s="78"/>
      <c r="Q30" s="95"/>
      <c r="R30" s="95"/>
      <c r="S30" s="96"/>
      <c r="T30" s="51">
        <v>2</v>
      </c>
      <c r="U30" s="51">
        <v>0</v>
      </c>
      <c r="V30" s="52">
        <v>0</v>
      </c>
      <c r="W30" s="52">
        <v>0.02</v>
      </c>
      <c r="X30" s="52">
        <v>0.063549</v>
      </c>
      <c r="Y30" s="52">
        <v>0.631278</v>
      </c>
      <c r="Z30" s="52">
        <v>1</v>
      </c>
      <c r="AA30" s="52">
        <v>0</v>
      </c>
      <c r="AB30" s="80">
        <v>30</v>
      </c>
      <c r="AC30" s="80"/>
      <c r="AD30" s="97"/>
      <c r="AE30" s="82" t="s">
        <v>512</v>
      </c>
      <c r="AF30" s="88" t="s">
        <v>558</v>
      </c>
      <c r="AG30" s="82">
        <v>1897</v>
      </c>
      <c r="AH30" s="82">
        <v>1427</v>
      </c>
      <c r="AI30" s="82">
        <v>884</v>
      </c>
      <c r="AJ30" s="82">
        <v>1368</v>
      </c>
      <c r="AK30" s="82"/>
      <c r="AL30" s="82" t="s">
        <v>606</v>
      </c>
      <c r="AM30" s="82" t="s">
        <v>648</v>
      </c>
      <c r="AN30" s="86" t="str">
        <f>HYPERLINK("https://t.co/ItAImFGPhi")</f>
        <v>https://t.co/ItAImFGPhi</v>
      </c>
      <c r="AO30" s="82"/>
      <c r="AP30" s="84">
        <v>42651.85780092593</v>
      </c>
      <c r="AQ30" s="86" t="str">
        <f>HYPERLINK("https://pbs.twimg.com/profile_banners/784854687170256896/1632325251")</f>
        <v>https://pbs.twimg.com/profile_banners/784854687170256896/1632325251</v>
      </c>
      <c r="AR30" s="82" t="b">
        <v>1</v>
      </c>
      <c r="AS30" s="82" t="b">
        <v>0</v>
      </c>
      <c r="AT30" s="82" t="b">
        <v>1</v>
      </c>
      <c r="AU30" s="82"/>
      <c r="AV30" s="82">
        <v>39</v>
      </c>
      <c r="AW30" s="82"/>
      <c r="AX30" s="82" t="b">
        <v>0</v>
      </c>
      <c r="AY30" s="82" t="s">
        <v>663</v>
      </c>
      <c r="AZ30" s="86" t="str">
        <f>HYPERLINK("https://twitter.com/mtffilm")</f>
        <v>https://twitter.com/mtffilm</v>
      </c>
      <c r="BA30" s="82" t="s">
        <v>65</v>
      </c>
      <c r="BB30" s="82" t="str">
        <f>REPLACE(INDEX(GroupVertices[Group],MATCH(Vertices[[#This Row],[Vertex]],GroupVertices[Vertex],0)),1,1,"")</f>
        <v>1</v>
      </c>
      <c r="BC30" s="51"/>
      <c r="BD30" s="51"/>
      <c r="BE30" s="51"/>
      <c r="BF30" s="51"/>
      <c r="BG30" s="51"/>
      <c r="BH30" s="51"/>
      <c r="BI30" s="51"/>
      <c r="BJ30" s="51"/>
      <c r="BK30" s="51"/>
      <c r="BL30" s="51"/>
      <c r="BM30" s="51"/>
      <c r="BN30" s="52"/>
      <c r="BO30" s="51"/>
      <c r="BP30" s="52"/>
      <c r="BQ30" s="51"/>
      <c r="BR30" s="52"/>
      <c r="BS30" s="51"/>
      <c r="BT30" s="52"/>
      <c r="BU30" s="51"/>
      <c r="BV30" s="2"/>
      <c r="BW30" s="3"/>
      <c r="BX30" s="3"/>
      <c r="BY30" s="3"/>
      <c r="BZ30" s="3"/>
    </row>
    <row r="31" spans="1:78" ht="41.45" customHeight="1">
      <c r="A31" s="14" t="s">
        <v>279</v>
      </c>
      <c r="C31" s="15"/>
      <c r="D31" s="15" t="s">
        <v>64</v>
      </c>
      <c r="E31" s="92">
        <v>184.21046745694474</v>
      </c>
      <c r="F31" s="79"/>
      <c r="G31" s="111" t="str">
        <f>HYPERLINK("https://pbs.twimg.com/profile_images/1347485189216366593/E_rlOJGx_normal.jpg")</f>
        <v>https://pbs.twimg.com/profile_images/1347485189216366593/E_rlOJGx_normal.jpg</v>
      </c>
      <c r="H31" s="15"/>
      <c r="I31" s="16" t="s">
        <v>279</v>
      </c>
      <c r="J31" s="67"/>
      <c r="K31" s="67"/>
      <c r="L31" s="113" t="s">
        <v>691</v>
      </c>
      <c r="M31" s="93">
        <v>2.46295850320829</v>
      </c>
      <c r="N31" s="94">
        <v>628.0836791992188</v>
      </c>
      <c r="O31" s="94">
        <v>6529.01953125</v>
      </c>
      <c r="P31" s="78"/>
      <c r="Q31" s="95"/>
      <c r="R31" s="95"/>
      <c r="S31" s="96"/>
      <c r="T31" s="51">
        <v>2</v>
      </c>
      <c r="U31" s="51">
        <v>0</v>
      </c>
      <c r="V31" s="52">
        <v>0</v>
      </c>
      <c r="W31" s="52">
        <v>0.02</v>
      </c>
      <c r="X31" s="52">
        <v>0.063549</v>
      </c>
      <c r="Y31" s="52">
        <v>0.631278</v>
      </c>
      <c r="Z31" s="52">
        <v>1</v>
      </c>
      <c r="AA31" s="52">
        <v>0</v>
      </c>
      <c r="AB31" s="80">
        <v>31</v>
      </c>
      <c r="AC31" s="80"/>
      <c r="AD31" s="97"/>
      <c r="AE31" s="82" t="s">
        <v>513</v>
      </c>
      <c r="AF31" s="88" t="s">
        <v>559</v>
      </c>
      <c r="AG31" s="82">
        <v>257</v>
      </c>
      <c r="AH31" s="82">
        <v>3795</v>
      </c>
      <c r="AI31" s="82">
        <v>270</v>
      </c>
      <c r="AJ31" s="82">
        <v>433</v>
      </c>
      <c r="AK31" s="82"/>
      <c r="AL31" s="82" t="s">
        <v>607</v>
      </c>
      <c r="AM31" s="82" t="s">
        <v>649</v>
      </c>
      <c r="AN31" s="86" t="str">
        <f>HYPERLINK("https://t.co/ARZuzVFJri")</f>
        <v>https://t.co/ARZuzVFJri</v>
      </c>
      <c r="AO31" s="82"/>
      <c r="AP31" s="84">
        <v>42660.34165509259</v>
      </c>
      <c r="AQ31" s="86" t="str">
        <f>HYPERLINK("https://pbs.twimg.com/profile_banners/787929135423299584/1610100480")</f>
        <v>https://pbs.twimg.com/profile_banners/787929135423299584/1610100480</v>
      </c>
      <c r="AR31" s="82" t="b">
        <v>1</v>
      </c>
      <c r="AS31" s="82" t="b">
        <v>0</v>
      </c>
      <c r="AT31" s="82" t="b">
        <v>0</v>
      </c>
      <c r="AU31" s="82"/>
      <c r="AV31" s="82">
        <v>84</v>
      </c>
      <c r="AW31" s="82"/>
      <c r="AX31" s="82" t="b">
        <v>0</v>
      </c>
      <c r="AY31" s="82" t="s">
        <v>663</v>
      </c>
      <c r="AZ31" s="86" t="str">
        <f>HYPERLINK("https://twitter.com/mosa_meat")</f>
        <v>https://twitter.com/mosa_meat</v>
      </c>
      <c r="BA31" s="82" t="s">
        <v>65</v>
      </c>
      <c r="BB31" s="82" t="str">
        <f>REPLACE(INDEX(GroupVertices[Group],MATCH(Vertices[[#This Row],[Vertex]],GroupVertices[Vertex],0)),1,1,"")</f>
        <v>1</v>
      </c>
      <c r="BC31" s="51"/>
      <c r="BD31" s="51"/>
      <c r="BE31" s="51"/>
      <c r="BF31" s="51"/>
      <c r="BG31" s="51"/>
      <c r="BH31" s="51"/>
      <c r="BI31" s="51"/>
      <c r="BJ31" s="51"/>
      <c r="BK31" s="51"/>
      <c r="BL31" s="51"/>
      <c r="BM31" s="51"/>
      <c r="BN31" s="52"/>
      <c r="BO31" s="51"/>
      <c r="BP31" s="52"/>
      <c r="BQ31" s="51"/>
      <c r="BR31" s="52"/>
      <c r="BS31" s="51"/>
      <c r="BT31" s="52"/>
      <c r="BU31" s="51"/>
      <c r="BV31" s="2"/>
      <c r="BW31" s="3"/>
      <c r="BX31" s="3"/>
      <c r="BY31" s="3"/>
      <c r="BZ31" s="3"/>
    </row>
    <row r="32" spans="1:78" ht="41.45" customHeight="1">
      <c r="A32" s="14" t="s">
        <v>280</v>
      </c>
      <c r="C32" s="15"/>
      <c r="D32" s="15" t="s">
        <v>64</v>
      </c>
      <c r="E32" s="92">
        <v>162.790720755983</v>
      </c>
      <c r="F32" s="79"/>
      <c r="G32" s="111" t="str">
        <f>HYPERLINK("https://pbs.twimg.com/profile_images/1444843113990656002/hWT0KNYS_normal.jpg")</f>
        <v>https://pbs.twimg.com/profile_images/1444843113990656002/hWT0KNYS_normal.jpg</v>
      </c>
      <c r="H32" s="15"/>
      <c r="I32" s="16" t="s">
        <v>280</v>
      </c>
      <c r="J32" s="67"/>
      <c r="K32" s="67"/>
      <c r="L32" s="113" t="s">
        <v>692</v>
      </c>
      <c r="M32" s="93">
        <v>1.0520831745604218</v>
      </c>
      <c r="N32" s="94">
        <v>3670.956298828125</v>
      </c>
      <c r="O32" s="94">
        <v>7232.13623046875</v>
      </c>
      <c r="P32" s="78"/>
      <c r="Q32" s="95"/>
      <c r="R32" s="95"/>
      <c r="S32" s="96"/>
      <c r="T32" s="51">
        <v>2</v>
      </c>
      <c r="U32" s="51">
        <v>0</v>
      </c>
      <c r="V32" s="52">
        <v>0</v>
      </c>
      <c r="W32" s="52">
        <v>0.02</v>
      </c>
      <c r="X32" s="52">
        <v>0.063549</v>
      </c>
      <c r="Y32" s="52">
        <v>0.631278</v>
      </c>
      <c r="Z32" s="52">
        <v>1</v>
      </c>
      <c r="AA32" s="52">
        <v>0</v>
      </c>
      <c r="AB32" s="80">
        <v>32</v>
      </c>
      <c r="AC32" s="80"/>
      <c r="AD32" s="97"/>
      <c r="AE32" s="82" t="s">
        <v>514</v>
      </c>
      <c r="AF32" s="88" t="s">
        <v>560</v>
      </c>
      <c r="AG32" s="82">
        <v>780</v>
      </c>
      <c r="AH32" s="82">
        <v>138</v>
      </c>
      <c r="AI32" s="82">
        <v>11744</v>
      </c>
      <c r="AJ32" s="82">
        <v>4965</v>
      </c>
      <c r="AK32" s="82"/>
      <c r="AL32" s="82" t="s">
        <v>608</v>
      </c>
      <c r="AM32" s="82"/>
      <c r="AN32" s="82"/>
      <c r="AO32" s="82"/>
      <c r="AP32" s="84">
        <v>44363.38060185185</v>
      </c>
      <c r="AQ32" s="86" t="str">
        <f>HYPERLINK("https://pbs.twimg.com/profile_banners/1405089740550930434/1633312494")</f>
        <v>https://pbs.twimg.com/profile_banners/1405089740550930434/1633312494</v>
      </c>
      <c r="AR32" s="82" t="b">
        <v>1</v>
      </c>
      <c r="AS32" s="82" t="b">
        <v>0</v>
      </c>
      <c r="AT32" s="82" t="b">
        <v>0</v>
      </c>
      <c r="AU32" s="82"/>
      <c r="AV32" s="82">
        <v>3</v>
      </c>
      <c r="AW32" s="82"/>
      <c r="AX32" s="82" t="b">
        <v>0</v>
      </c>
      <c r="AY32" s="82" t="s">
        <v>663</v>
      </c>
      <c r="AZ32" s="86" t="str">
        <f>HYPERLINK("https://twitter.com/hana_soul_hack")</f>
        <v>https://twitter.com/hana_soul_hack</v>
      </c>
      <c r="BA32" s="82" t="s">
        <v>65</v>
      </c>
      <c r="BB32" s="82" t="str">
        <f>REPLACE(INDEX(GroupVertices[Group],MATCH(Vertices[[#This Row],[Vertex]],GroupVertices[Vertex],0)),1,1,"")</f>
        <v>1</v>
      </c>
      <c r="BC32" s="51"/>
      <c r="BD32" s="51"/>
      <c r="BE32" s="51"/>
      <c r="BF32" s="51"/>
      <c r="BG32" s="51"/>
      <c r="BH32" s="51"/>
      <c r="BI32" s="51"/>
      <c r="BJ32" s="51"/>
      <c r="BK32" s="51"/>
      <c r="BL32" s="51"/>
      <c r="BM32" s="51"/>
      <c r="BN32" s="52"/>
      <c r="BO32" s="51"/>
      <c r="BP32" s="52"/>
      <c r="BQ32" s="51"/>
      <c r="BR32" s="52"/>
      <c r="BS32" s="51"/>
      <c r="BT32" s="52"/>
      <c r="BU32" s="51"/>
      <c r="BV32" s="2"/>
      <c r="BW32" s="3"/>
      <c r="BX32" s="3"/>
      <c r="BY32" s="3"/>
      <c r="BZ32" s="3"/>
    </row>
    <row r="33" spans="1:78" ht="41.45" customHeight="1">
      <c r="A33" s="14" t="s">
        <v>281</v>
      </c>
      <c r="C33" s="15"/>
      <c r="D33" s="15" t="s">
        <v>64</v>
      </c>
      <c r="E33" s="92">
        <v>646.1553902929993</v>
      </c>
      <c r="F33" s="79"/>
      <c r="G33" s="111" t="str">
        <f>HYPERLINK("https://pbs.twimg.com/profile_images/1410618317685936137/kRldWpIg_normal.jpg")</f>
        <v>https://pbs.twimg.com/profile_images/1410618317685936137/kRldWpIg_normal.jpg</v>
      </c>
      <c r="H33" s="15"/>
      <c r="I33" s="16" t="s">
        <v>281</v>
      </c>
      <c r="J33" s="67"/>
      <c r="K33" s="67"/>
      <c r="L33" s="113" t="s">
        <v>693</v>
      </c>
      <c r="M33" s="93">
        <v>32.8903348826997</v>
      </c>
      <c r="N33" s="94">
        <v>2841.5029296875</v>
      </c>
      <c r="O33" s="94">
        <v>7950.6806640625</v>
      </c>
      <c r="P33" s="78"/>
      <c r="Q33" s="95"/>
      <c r="R33" s="95"/>
      <c r="S33" s="96"/>
      <c r="T33" s="51">
        <v>2</v>
      </c>
      <c r="U33" s="51">
        <v>0</v>
      </c>
      <c r="V33" s="52">
        <v>0</v>
      </c>
      <c r="W33" s="52">
        <v>0.02</v>
      </c>
      <c r="X33" s="52">
        <v>0.063549</v>
      </c>
      <c r="Y33" s="52">
        <v>0.631278</v>
      </c>
      <c r="Z33" s="52">
        <v>1</v>
      </c>
      <c r="AA33" s="52">
        <v>0</v>
      </c>
      <c r="AB33" s="80">
        <v>33</v>
      </c>
      <c r="AC33" s="80"/>
      <c r="AD33" s="97"/>
      <c r="AE33" s="82" t="s">
        <v>515</v>
      </c>
      <c r="AF33" s="88" t="s">
        <v>561</v>
      </c>
      <c r="AG33" s="82">
        <v>3914</v>
      </c>
      <c r="AH33" s="82">
        <v>82663</v>
      </c>
      <c r="AI33" s="82">
        <v>18742</v>
      </c>
      <c r="AJ33" s="82">
        <v>5904</v>
      </c>
      <c r="AK33" s="82"/>
      <c r="AL33" s="82" t="s">
        <v>609</v>
      </c>
      <c r="AM33" s="82" t="s">
        <v>650</v>
      </c>
      <c r="AN33" s="86" t="str">
        <f>HYPERLINK("https://t.co/kqBNl4Ze1E")</f>
        <v>https://t.co/kqBNl4Ze1E</v>
      </c>
      <c r="AO33" s="82"/>
      <c r="AP33" s="84">
        <v>42129.30003472222</v>
      </c>
      <c r="AQ33" s="86" t="str">
        <f>HYPERLINK("https://pbs.twimg.com/profile_banners/3235113399/1609436318")</f>
        <v>https://pbs.twimg.com/profile_banners/3235113399/1609436318</v>
      </c>
      <c r="AR33" s="82" t="b">
        <v>0</v>
      </c>
      <c r="AS33" s="82" t="b">
        <v>0</v>
      </c>
      <c r="AT33" s="82" t="b">
        <v>0</v>
      </c>
      <c r="AU33" s="82"/>
      <c r="AV33" s="82">
        <v>559</v>
      </c>
      <c r="AW33" s="86" t="str">
        <f>HYPERLINK("https://abs.twimg.com/images/themes/theme1/bg.png")</f>
        <v>https://abs.twimg.com/images/themes/theme1/bg.png</v>
      </c>
      <c r="AX33" s="82" t="b">
        <v>1</v>
      </c>
      <c r="AY33" s="82" t="s">
        <v>663</v>
      </c>
      <c r="AZ33" s="86" t="str">
        <f>HYPERLINK("https://twitter.com/plantbasednews")</f>
        <v>https://twitter.com/plantbasednews</v>
      </c>
      <c r="BA33" s="82" t="s">
        <v>65</v>
      </c>
      <c r="BB33" s="82" t="str">
        <f>REPLACE(INDEX(GroupVertices[Group],MATCH(Vertices[[#This Row],[Vertex]],GroupVertices[Vertex],0)),1,1,"")</f>
        <v>1</v>
      </c>
      <c r="BC33" s="51"/>
      <c r="BD33" s="51"/>
      <c r="BE33" s="51"/>
      <c r="BF33" s="51"/>
      <c r="BG33" s="51"/>
      <c r="BH33" s="51"/>
      <c r="BI33" s="51"/>
      <c r="BJ33" s="51"/>
      <c r="BK33" s="51"/>
      <c r="BL33" s="51"/>
      <c r="BM33" s="51"/>
      <c r="BN33" s="52"/>
      <c r="BO33" s="51"/>
      <c r="BP33" s="52"/>
      <c r="BQ33" s="51"/>
      <c r="BR33" s="52"/>
      <c r="BS33" s="51"/>
      <c r="BT33" s="52"/>
      <c r="BU33" s="51"/>
      <c r="BV33" s="2"/>
      <c r="BW33" s="3"/>
      <c r="BX33" s="3"/>
      <c r="BY33" s="3"/>
      <c r="BZ33" s="3"/>
    </row>
    <row r="34" spans="1:78" ht="41.45" customHeight="1">
      <c r="A34" s="14" t="s">
        <v>282</v>
      </c>
      <c r="C34" s="15"/>
      <c r="D34" s="15" t="s">
        <v>64</v>
      </c>
      <c r="E34" s="92">
        <v>1000</v>
      </c>
      <c r="F34" s="79"/>
      <c r="G34" s="111" t="str">
        <f>HYPERLINK("https://pbs.twimg.com/profile_images/542903207098212352/S02CeC4c_normal.png")</f>
        <v>https://pbs.twimg.com/profile_images/542903207098212352/S02CeC4c_normal.png</v>
      </c>
      <c r="H34" s="15"/>
      <c r="I34" s="16" t="s">
        <v>282</v>
      </c>
      <c r="J34" s="67"/>
      <c r="K34" s="67"/>
      <c r="L34" s="113" t="s">
        <v>694</v>
      </c>
      <c r="M34" s="93">
        <v>56.197362597841895</v>
      </c>
      <c r="N34" s="94">
        <v>3065.50146484375</v>
      </c>
      <c r="O34" s="94">
        <v>5168.33349609375</v>
      </c>
      <c r="P34" s="78"/>
      <c r="Q34" s="95"/>
      <c r="R34" s="95"/>
      <c r="S34" s="96"/>
      <c r="T34" s="51">
        <v>2</v>
      </c>
      <c r="U34" s="51">
        <v>0</v>
      </c>
      <c r="V34" s="52">
        <v>0</v>
      </c>
      <c r="W34" s="52">
        <v>0.02</v>
      </c>
      <c r="X34" s="52">
        <v>0.063549</v>
      </c>
      <c r="Y34" s="52">
        <v>0.631278</v>
      </c>
      <c r="Z34" s="52">
        <v>1</v>
      </c>
      <c r="AA34" s="52">
        <v>0</v>
      </c>
      <c r="AB34" s="80">
        <v>34</v>
      </c>
      <c r="AC34" s="80"/>
      <c r="AD34" s="97"/>
      <c r="AE34" s="82" t="s">
        <v>516</v>
      </c>
      <c r="AF34" s="88" t="s">
        <v>562</v>
      </c>
      <c r="AG34" s="82">
        <v>7</v>
      </c>
      <c r="AH34" s="82">
        <v>143075</v>
      </c>
      <c r="AI34" s="82">
        <v>131401</v>
      </c>
      <c r="AJ34" s="82">
        <v>3268</v>
      </c>
      <c r="AK34" s="82"/>
      <c r="AL34" s="82" t="s">
        <v>610</v>
      </c>
      <c r="AM34" s="82" t="s">
        <v>651</v>
      </c>
      <c r="AN34" s="86" t="str">
        <f>HYPERLINK("https://t.co/rL9ZiYWDY2")</f>
        <v>https://t.co/rL9ZiYWDY2</v>
      </c>
      <c r="AO34" s="82"/>
      <c r="AP34" s="84">
        <v>40655.44881944444</v>
      </c>
      <c r="AQ34" s="86" t="str">
        <f>HYPERLINK("https://pbs.twimg.com/profile_banners/286106104/1600526316")</f>
        <v>https://pbs.twimg.com/profile_banners/286106104/1600526316</v>
      </c>
      <c r="AR34" s="82" t="b">
        <v>0</v>
      </c>
      <c r="AS34" s="82" t="b">
        <v>0</v>
      </c>
      <c r="AT34" s="82" t="b">
        <v>1</v>
      </c>
      <c r="AU34" s="82"/>
      <c r="AV34" s="82">
        <v>5467</v>
      </c>
      <c r="AW34" s="86" t="str">
        <f>HYPERLINK("https://abs.twimg.com/images/themes/theme1/bg.png")</f>
        <v>https://abs.twimg.com/images/themes/theme1/bg.png</v>
      </c>
      <c r="AX34" s="82" t="b">
        <v>1</v>
      </c>
      <c r="AY34" s="82" t="s">
        <v>663</v>
      </c>
      <c r="AZ34" s="86" t="str">
        <f>HYPERLINK("https://twitter.com/jptechcrunch")</f>
        <v>https://twitter.com/jptechcrunch</v>
      </c>
      <c r="BA34" s="82" t="s">
        <v>65</v>
      </c>
      <c r="BB34" s="82" t="str">
        <f>REPLACE(INDEX(GroupVertices[Group],MATCH(Vertices[[#This Row],[Vertex]],GroupVertices[Vertex],0)),1,1,"")</f>
        <v>1</v>
      </c>
      <c r="BC34" s="51"/>
      <c r="BD34" s="51"/>
      <c r="BE34" s="51"/>
      <c r="BF34" s="51"/>
      <c r="BG34" s="51"/>
      <c r="BH34" s="51"/>
      <c r="BI34" s="51"/>
      <c r="BJ34" s="51"/>
      <c r="BK34" s="51"/>
      <c r="BL34" s="51"/>
      <c r="BM34" s="51"/>
      <c r="BN34" s="52"/>
      <c r="BO34" s="51"/>
      <c r="BP34" s="52"/>
      <c r="BQ34" s="51"/>
      <c r="BR34" s="52"/>
      <c r="BS34" s="51"/>
      <c r="BT34" s="52"/>
      <c r="BU34" s="51"/>
      <c r="BV34" s="2"/>
      <c r="BW34" s="3"/>
      <c r="BX34" s="3"/>
      <c r="BY34" s="3"/>
      <c r="BZ34" s="3"/>
    </row>
    <row r="35" spans="1:78" ht="41.45" customHeight="1">
      <c r="A35" s="14" t="s">
        <v>283</v>
      </c>
      <c r="C35" s="15"/>
      <c r="D35" s="15" t="s">
        <v>64</v>
      </c>
      <c r="E35" s="92">
        <v>182.12530753746364</v>
      </c>
      <c r="F35" s="79"/>
      <c r="G35" s="111" t="str">
        <f>HYPERLINK("https://pbs.twimg.com/profile_images/1229749189250371584/-5URCGtw_normal.jpg")</f>
        <v>https://pbs.twimg.com/profile_images/1229749189250371584/-5URCGtw_normal.jpg</v>
      </c>
      <c r="H35" s="15"/>
      <c r="I35" s="16" t="s">
        <v>283</v>
      </c>
      <c r="J35" s="67"/>
      <c r="K35" s="67"/>
      <c r="L35" s="113" t="s">
        <v>695</v>
      </c>
      <c r="M35" s="93">
        <v>2.325613242885993</v>
      </c>
      <c r="N35" s="94">
        <v>3753.333740234375</v>
      </c>
      <c r="O35" s="94">
        <v>6106.04638671875</v>
      </c>
      <c r="P35" s="78"/>
      <c r="Q35" s="95"/>
      <c r="R35" s="95"/>
      <c r="S35" s="96"/>
      <c r="T35" s="51">
        <v>2</v>
      </c>
      <c r="U35" s="51">
        <v>0</v>
      </c>
      <c r="V35" s="52">
        <v>0</v>
      </c>
      <c r="W35" s="52">
        <v>0.02</v>
      </c>
      <c r="X35" s="52">
        <v>0.063549</v>
      </c>
      <c r="Y35" s="52">
        <v>0.631278</v>
      </c>
      <c r="Z35" s="52">
        <v>1</v>
      </c>
      <c r="AA35" s="52">
        <v>0</v>
      </c>
      <c r="AB35" s="80">
        <v>35</v>
      </c>
      <c r="AC35" s="80"/>
      <c r="AD35" s="97"/>
      <c r="AE35" s="82" t="s">
        <v>517</v>
      </c>
      <c r="AF35" s="88" t="s">
        <v>563</v>
      </c>
      <c r="AG35" s="82">
        <v>602</v>
      </c>
      <c r="AH35" s="82">
        <v>3439</v>
      </c>
      <c r="AI35" s="82">
        <v>545</v>
      </c>
      <c r="AJ35" s="82">
        <v>1214</v>
      </c>
      <c r="AK35" s="82"/>
      <c r="AL35" s="82" t="s">
        <v>611</v>
      </c>
      <c r="AM35" s="82" t="s">
        <v>652</v>
      </c>
      <c r="AN35" s="86" t="str">
        <f>HYPERLINK("https://t.co/6rV30Rw9hl")</f>
        <v>https://t.co/6rV30Rw9hl</v>
      </c>
      <c r="AO35" s="82"/>
      <c r="AP35" s="84">
        <v>43257.67711805556</v>
      </c>
      <c r="AQ35" s="86" t="str">
        <f>HYPERLINK("https://pbs.twimg.com/profile_banners/1004396257551486977/1561998861")</f>
        <v>https://pbs.twimg.com/profile_banners/1004396257551486977/1561998861</v>
      </c>
      <c r="AR35" s="82" t="b">
        <v>1</v>
      </c>
      <c r="AS35" s="82" t="b">
        <v>0</v>
      </c>
      <c r="AT35" s="82" t="b">
        <v>1</v>
      </c>
      <c r="AU35" s="82"/>
      <c r="AV35" s="82">
        <v>79</v>
      </c>
      <c r="AW35" s="82"/>
      <c r="AX35" s="82" t="b">
        <v>0</v>
      </c>
      <c r="AY35" s="82" t="s">
        <v>663</v>
      </c>
      <c r="AZ35" s="86" t="str">
        <f>HYPERLINK("https://twitter.com/bluenaluinc")</f>
        <v>https://twitter.com/bluenaluinc</v>
      </c>
      <c r="BA35" s="82" t="s">
        <v>65</v>
      </c>
      <c r="BB35" s="82" t="str">
        <f>REPLACE(INDEX(GroupVertices[Group],MATCH(Vertices[[#This Row],[Vertex]],GroupVertices[Vertex],0)),1,1,"")</f>
        <v>1</v>
      </c>
      <c r="BC35" s="51"/>
      <c r="BD35" s="51"/>
      <c r="BE35" s="51"/>
      <c r="BF35" s="51"/>
      <c r="BG35" s="51"/>
      <c r="BH35" s="51"/>
      <c r="BI35" s="51"/>
      <c r="BJ35" s="51"/>
      <c r="BK35" s="51"/>
      <c r="BL35" s="51"/>
      <c r="BM35" s="51"/>
      <c r="BN35" s="52"/>
      <c r="BO35" s="51"/>
      <c r="BP35" s="52"/>
      <c r="BQ35" s="51"/>
      <c r="BR35" s="52"/>
      <c r="BS35" s="51"/>
      <c r="BT35" s="52"/>
      <c r="BU35" s="51"/>
      <c r="BV35" s="2"/>
      <c r="BW35" s="3"/>
      <c r="BX35" s="3"/>
      <c r="BY35" s="3"/>
      <c r="BZ35" s="3"/>
    </row>
    <row r="36" spans="1:78" ht="41.45" customHeight="1">
      <c r="A36" s="14" t="s">
        <v>254</v>
      </c>
      <c r="C36" s="15"/>
      <c r="D36" s="15" t="s">
        <v>64</v>
      </c>
      <c r="E36" s="92">
        <v>163.90358700514426</v>
      </c>
      <c r="F36" s="79"/>
      <c r="G36" s="111" t="str">
        <f>HYPERLINK("https://pbs.twimg.com/profile_images/1207023594204741634/oNEPNuoG_normal.jpg")</f>
        <v>https://pbs.twimg.com/profile_images/1207023594204741634/oNEPNuoG_normal.jpg</v>
      </c>
      <c r="H36" s="15"/>
      <c r="I36" s="16" t="s">
        <v>254</v>
      </c>
      <c r="J36" s="67"/>
      <c r="K36" s="67"/>
      <c r="L36" s="113" t="s">
        <v>696</v>
      </c>
      <c r="M36" s="93">
        <v>1.1253854202380522</v>
      </c>
      <c r="N36" s="94">
        <v>2209.396484375</v>
      </c>
      <c r="O36" s="94">
        <v>2377.416259765625</v>
      </c>
      <c r="P36" s="78"/>
      <c r="Q36" s="95"/>
      <c r="R36" s="95"/>
      <c r="S36" s="96"/>
      <c r="T36" s="51">
        <v>2</v>
      </c>
      <c r="U36" s="51">
        <v>3</v>
      </c>
      <c r="V36" s="52">
        <v>216</v>
      </c>
      <c r="W36" s="52">
        <v>0.029412</v>
      </c>
      <c r="X36" s="52">
        <v>0.077362</v>
      </c>
      <c r="Y36" s="52">
        <v>1.642226</v>
      </c>
      <c r="Z36" s="52">
        <v>0.1</v>
      </c>
      <c r="AA36" s="52">
        <v>0</v>
      </c>
      <c r="AB36" s="80">
        <v>36</v>
      </c>
      <c r="AC36" s="80"/>
      <c r="AD36" s="97"/>
      <c r="AE36" s="82" t="s">
        <v>518</v>
      </c>
      <c r="AF36" s="88" t="s">
        <v>564</v>
      </c>
      <c r="AG36" s="82">
        <v>333</v>
      </c>
      <c r="AH36" s="82">
        <v>328</v>
      </c>
      <c r="AI36" s="82">
        <v>26363</v>
      </c>
      <c r="AJ36" s="82">
        <v>41779</v>
      </c>
      <c r="AK36" s="82"/>
      <c r="AL36" s="82"/>
      <c r="AM36" s="82"/>
      <c r="AN36" s="82"/>
      <c r="AO36" s="82"/>
      <c r="AP36" s="84">
        <v>43347.818553240744</v>
      </c>
      <c r="AQ36" s="82"/>
      <c r="AR36" s="82" t="b">
        <v>1</v>
      </c>
      <c r="AS36" s="82" t="b">
        <v>0</v>
      </c>
      <c r="AT36" s="82" t="b">
        <v>0</v>
      </c>
      <c r="AU36" s="82"/>
      <c r="AV36" s="82">
        <v>2</v>
      </c>
      <c r="AW36" s="82"/>
      <c r="AX36" s="82" t="b">
        <v>0</v>
      </c>
      <c r="AY36" s="82" t="s">
        <v>663</v>
      </c>
      <c r="AZ36" s="86" t="str">
        <f>HYPERLINK("https://twitter.com/craftmeati")</f>
        <v>https://twitter.com/craftmeati</v>
      </c>
      <c r="BA36" s="82" t="s">
        <v>66</v>
      </c>
      <c r="BB36" s="82" t="str">
        <f>REPLACE(INDEX(GroupVertices[Group],MATCH(Vertices[[#This Row],[Vertex]],GroupVertices[Vertex],0)),1,1,"")</f>
        <v>2</v>
      </c>
      <c r="BC36" s="51" t="s">
        <v>747</v>
      </c>
      <c r="BD36" s="51" t="s">
        <v>747</v>
      </c>
      <c r="BE36" s="51" t="s">
        <v>324</v>
      </c>
      <c r="BF36" s="51" t="s">
        <v>324</v>
      </c>
      <c r="BG36" s="51" t="s">
        <v>1099</v>
      </c>
      <c r="BH36" s="51" t="s">
        <v>1105</v>
      </c>
      <c r="BI36" s="119" t="s">
        <v>1122</v>
      </c>
      <c r="BJ36" s="119" t="s">
        <v>1133</v>
      </c>
      <c r="BK36" s="119" t="s">
        <v>1025</v>
      </c>
      <c r="BL36" s="119" t="s">
        <v>1145</v>
      </c>
      <c r="BM36" s="119">
        <v>8</v>
      </c>
      <c r="BN36" s="122">
        <v>7.079646017699115</v>
      </c>
      <c r="BO36" s="119">
        <v>1</v>
      </c>
      <c r="BP36" s="122">
        <v>0.8849557522123894</v>
      </c>
      <c r="BQ36" s="119">
        <v>0</v>
      </c>
      <c r="BR36" s="122">
        <v>0</v>
      </c>
      <c r="BS36" s="119">
        <v>104</v>
      </c>
      <c r="BT36" s="122">
        <v>92.03539823008849</v>
      </c>
      <c r="BU36" s="119">
        <v>113</v>
      </c>
      <c r="BV36" s="2"/>
      <c r="BW36" s="3"/>
      <c r="BX36" s="3"/>
      <c r="BY36" s="3"/>
      <c r="BZ36" s="3"/>
    </row>
    <row r="37" spans="1:78" ht="41.45" customHeight="1">
      <c r="A37" s="14" t="s">
        <v>252</v>
      </c>
      <c r="C37" s="15"/>
      <c r="D37" s="15" t="s">
        <v>64</v>
      </c>
      <c r="E37" s="92">
        <v>162.14057257884141</v>
      </c>
      <c r="F37" s="79"/>
      <c r="G37" s="111" t="str">
        <f>HYPERLINK("https://pbs.twimg.com/profile_images/1357102414067871747/Bj7gROWn_normal.jpg")</f>
        <v>https://pbs.twimg.com/profile_images/1357102414067871747/Bj7gROWn_normal.jpg</v>
      </c>
      <c r="H37" s="15"/>
      <c r="I37" s="16" t="s">
        <v>252</v>
      </c>
      <c r="J37" s="67"/>
      <c r="K37" s="67"/>
      <c r="L37" s="113" t="s">
        <v>697</v>
      </c>
      <c r="M37" s="93">
        <v>1.0092592310329638</v>
      </c>
      <c r="N37" s="94">
        <v>3421.250732421875</v>
      </c>
      <c r="O37" s="94">
        <v>1036.462646484375</v>
      </c>
      <c r="P37" s="78"/>
      <c r="Q37" s="95"/>
      <c r="R37" s="95"/>
      <c r="S37" s="96"/>
      <c r="T37" s="51">
        <v>0</v>
      </c>
      <c r="U37" s="51">
        <v>1</v>
      </c>
      <c r="V37" s="52">
        <v>0</v>
      </c>
      <c r="W37" s="52">
        <v>0.015625</v>
      </c>
      <c r="X37" s="52">
        <v>0.004983</v>
      </c>
      <c r="Y37" s="52">
        <v>0.498006</v>
      </c>
      <c r="Z37" s="52">
        <v>0</v>
      </c>
      <c r="AA37" s="52">
        <v>0</v>
      </c>
      <c r="AB37" s="80">
        <v>37</v>
      </c>
      <c r="AC37" s="80"/>
      <c r="AD37" s="97"/>
      <c r="AE37" s="82" t="s">
        <v>519</v>
      </c>
      <c r="AF37" s="88" t="s">
        <v>565</v>
      </c>
      <c r="AG37" s="82">
        <v>205</v>
      </c>
      <c r="AH37" s="82">
        <v>27</v>
      </c>
      <c r="AI37" s="82">
        <v>1605</v>
      </c>
      <c r="AJ37" s="82">
        <v>3036</v>
      </c>
      <c r="AK37" s="82"/>
      <c r="AL37" s="82" t="s">
        <v>612</v>
      </c>
      <c r="AM37" s="82"/>
      <c r="AN37" s="82"/>
      <c r="AO37" s="82"/>
      <c r="AP37" s="84">
        <v>44174.97331018518</v>
      </c>
      <c r="AQ37" s="86" t="str">
        <f>HYPERLINK("https://pbs.twimg.com/profile_banners/1336813108938018816/1620383197")</f>
        <v>https://pbs.twimg.com/profile_banners/1336813108938018816/1620383197</v>
      </c>
      <c r="AR37" s="82" t="b">
        <v>1</v>
      </c>
      <c r="AS37" s="82" t="b">
        <v>0</v>
      </c>
      <c r="AT37" s="82" t="b">
        <v>0</v>
      </c>
      <c r="AU37" s="82"/>
      <c r="AV37" s="82">
        <v>0</v>
      </c>
      <c r="AW37" s="82"/>
      <c r="AX37" s="82" t="b">
        <v>0</v>
      </c>
      <c r="AY37" s="82" t="s">
        <v>663</v>
      </c>
      <c r="AZ37" s="86" t="str">
        <f>HYPERLINK("https://twitter.com/luutremendous")</f>
        <v>https://twitter.com/luutremendous</v>
      </c>
      <c r="BA37" s="82" t="s">
        <v>66</v>
      </c>
      <c r="BB37" s="82" t="str">
        <f>REPLACE(INDEX(GroupVertices[Group],MATCH(Vertices[[#This Row],[Vertex]],GroupVertices[Vertex],0)),1,1,"")</f>
        <v>2</v>
      </c>
      <c r="BC37" s="51" t="s">
        <v>751</v>
      </c>
      <c r="BD37" s="51" t="s">
        <v>751</v>
      </c>
      <c r="BE37" s="51" t="s">
        <v>327</v>
      </c>
      <c r="BF37" s="51" t="s">
        <v>327</v>
      </c>
      <c r="BG37" s="51" t="s">
        <v>348</v>
      </c>
      <c r="BH37" s="51" t="s">
        <v>348</v>
      </c>
      <c r="BI37" s="119" t="s">
        <v>1123</v>
      </c>
      <c r="BJ37" s="119" t="s">
        <v>1123</v>
      </c>
      <c r="BK37" s="119" t="s">
        <v>1147</v>
      </c>
      <c r="BL37" s="119" t="s">
        <v>1147</v>
      </c>
      <c r="BM37" s="119">
        <v>3</v>
      </c>
      <c r="BN37" s="122">
        <v>9.090909090909092</v>
      </c>
      <c r="BO37" s="119">
        <v>0</v>
      </c>
      <c r="BP37" s="122">
        <v>0</v>
      </c>
      <c r="BQ37" s="119">
        <v>0</v>
      </c>
      <c r="BR37" s="122">
        <v>0</v>
      </c>
      <c r="BS37" s="119">
        <v>30</v>
      </c>
      <c r="BT37" s="122">
        <v>90.9090909090909</v>
      </c>
      <c r="BU37" s="119">
        <v>33</v>
      </c>
      <c r="BV37" s="2"/>
      <c r="BW37" s="3"/>
      <c r="BX37" s="3"/>
      <c r="BY37" s="3"/>
      <c r="BZ37" s="3"/>
    </row>
    <row r="38" spans="1:78" ht="41.45" customHeight="1">
      <c r="A38" s="14" t="s">
        <v>255</v>
      </c>
      <c r="C38" s="15"/>
      <c r="D38" s="15" t="s">
        <v>64</v>
      </c>
      <c r="E38" s="92">
        <v>166.4748937597853</v>
      </c>
      <c r="F38" s="79"/>
      <c r="G38" s="111" t="str">
        <f>HYPERLINK("https://pbs.twimg.com/profile_images/984100036576456704/VouyI-1m_normal.jpg")</f>
        <v>https://pbs.twimg.com/profile_images/984100036576456704/VouyI-1m_normal.jpg</v>
      </c>
      <c r="H38" s="15"/>
      <c r="I38" s="16" t="s">
        <v>255</v>
      </c>
      <c r="J38" s="67"/>
      <c r="K38" s="67"/>
      <c r="L38" s="113" t="s">
        <v>698</v>
      </c>
      <c r="M38" s="93">
        <v>1.2947521878826829</v>
      </c>
      <c r="N38" s="94">
        <v>1296.570068359375</v>
      </c>
      <c r="O38" s="94">
        <v>2292.262451171875</v>
      </c>
      <c r="P38" s="78"/>
      <c r="Q38" s="95"/>
      <c r="R38" s="95"/>
      <c r="S38" s="96"/>
      <c r="T38" s="51">
        <v>3</v>
      </c>
      <c r="U38" s="51">
        <v>1</v>
      </c>
      <c r="V38" s="52">
        <v>36</v>
      </c>
      <c r="W38" s="52">
        <v>0.02</v>
      </c>
      <c r="X38" s="52">
        <v>0.021335</v>
      </c>
      <c r="Y38" s="52">
        <v>1.169898</v>
      </c>
      <c r="Z38" s="52">
        <v>0</v>
      </c>
      <c r="AA38" s="52">
        <v>0</v>
      </c>
      <c r="AB38" s="80">
        <v>38</v>
      </c>
      <c r="AC38" s="80"/>
      <c r="AD38" s="97"/>
      <c r="AE38" s="82" t="s">
        <v>520</v>
      </c>
      <c r="AF38" s="88" t="s">
        <v>566</v>
      </c>
      <c r="AG38" s="82">
        <v>651</v>
      </c>
      <c r="AH38" s="82">
        <v>767</v>
      </c>
      <c r="AI38" s="82">
        <v>134</v>
      </c>
      <c r="AJ38" s="82">
        <v>676</v>
      </c>
      <c r="AK38" s="82"/>
      <c r="AL38" s="82" t="s">
        <v>613</v>
      </c>
      <c r="AM38" s="82" t="s">
        <v>653</v>
      </c>
      <c r="AN38" s="86" t="str">
        <f>HYPERLINK("https://t.co/IKbRlR4Kjr")</f>
        <v>https://t.co/IKbRlR4Kjr</v>
      </c>
      <c r="AO38" s="82"/>
      <c r="AP38" s="84">
        <v>43200.46827546296</v>
      </c>
      <c r="AQ38" s="86" t="str">
        <f>HYPERLINK("https://pbs.twimg.com/profile_banners/983664467350376448/1523377723")</f>
        <v>https://pbs.twimg.com/profile_banners/983664467350376448/1523377723</v>
      </c>
      <c r="AR38" s="82" t="b">
        <v>1</v>
      </c>
      <c r="AS38" s="82" t="b">
        <v>0</v>
      </c>
      <c r="AT38" s="82" t="b">
        <v>0</v>
      </c>
      <c r="AU38" s="82"/>
      <c r="AV38" s="82">
        <v>30</v>
      </c>
      <c r="AW38" s="82"/>
      <c r="AX38" s="82" t="b">
        <v>0</v>
      </c>
      <c r="AY38" s="82" t="s">
        <v>663</v>
      </c>
      <c r="AZ38" s="86" t="str">
        <f>HYPERLINK("https://twitter.com/cellsrevolved")</f>
        <v>https://twitter.com/cellsrevolved</v>
      </c>
      <c r="BA38" s="82" t="s">
        <v>66</v>
      </c>
      <c r="BB38" s="82" t="str">
        <f>REPLACE(INDEX(GroupVertices[Group],MATCH(Vertices[[#This Row],[Vertex]],GroupVertices[Vertex],0)),1,1,"")</f>
        <v>2</v>
      </c>
      <c r="BC38" s="51" t="s">
        <v>747</v>
      </c>
      <c r="BD38" s="51" t="s">
        <v>747</v>
      </c>
      <c r="BE38" s="51" t="s">
        <v>324</v>
      </c>
      <c r="BF38" s="51" t="s">
        <v>324</v>
      </c>
      <c r="BG38" s="51" t="s">
        <v>349</v>
      </c>
      <c r="BH38" s="51" t="s">
        <v>349</v>
      </c>
      <c r="BI38" s="119" t="s">
        <v>1122</v>
      </c>
      <c r="BJ38" s="119" t="s">
        <v>1122</v>
      </c>
      <c r="BK38" s="119" t="s">
        <v>1025</v>
      </c>
      <c r="BL38" s="119" t="s">
        <v>1025</v>
      </c>
      <c r="BM38" s="119">
        <v>4</v>
      </c>
      <c r="BN38" s="122">
        <v>11.11111111111111</v>
      </c>
      <c r="BO38" s="119">
        <v>0</v>
      </c>
      <c r="BP38" s="122">
        <v>0</v>
      </c>
      <c r="BQ38" s="119">
        <v>0</v>
      </c>
      <c r="BR38" s="122">
        <v>0</v>
      </c>
      <c r="BS38" s="119">
        <v>32</v>
      </c>
      <c r="BT38" s="122">
        <v>88.88888888888889</v>
      </c>
      <c r="BU38" s="119">
        <v>36</v>
      </c>
      <c r="BV38" s="2"/>
      <c r="BW38" s="3"/>
      <c r="BX38" s="3"/>
      <c r="BY38" s="3"/>
      <c r="BZ38" s="3"/>
    </row>
    <row r="39" spans="1:78" ht="41.45" customHeight="1">
      <c r="A39" s="14" t="s">
        <v>257</v>
      </c>
      <c r="C39" s="15"/>
      <c r="D39" s="15" t="s">
        <v>64</v>
      </c>
      <c r="E39" s="92">
        <v>166.8614683515992</v>
      </c>
      <c r="F39" s="79"/>
      <c r="G39" s="111" t="str">
        <f>HYPERLINK("https://pbs.twimg.com/profile_images/1167006882680246273/h90JwAOF_normal.jpg")</f>
        <v>https://pbs.twimg.com/profile_images/1167006882680246273/h90JwAOF_normal.jpg</v>
      </c>
      <c r="H39" s="15"/>
      <c r="I39" s="16" t="s">
        <v>257</v>
      </c>
      <c r="J39" s="67"/>
      <c r="K39" s="67"/>
      <c r="L39" s="113" t="s">
        <v>699</v>
      </c>
      <c r="M39" s="93">
        <v>1.3202150732233335</v>
      </c>
      <c r="N39" s="94">
        <v>2378.1171875</v>
      </c>
      <c r="O39" s="94">
        <v>3285.947998046875</v>
      </c>
      <c r="P39" s="78"/>
      <c r="Q39" s="95"/>
      <c r="R39" s="95"/>
      <c r="S39" s="96"/>
      <c r="T39" s="51">
        <v>3</v>
      </c>
      <c r="U39" s="51">
        <v>1</v>
      </c>
      <c r="V39" s="52">
        <v>36</v>
      </c>
      <c r="W39" s="52">
        <v>0.02</v>
      </c>
      <c r="X39" s="52">
        <v>0.021335</v>
      </c>
      <c r="Y39" s="52">
        <v>1.169898</v>
      </c>
      <c r="Z39" s="52">
        <v>0</v>
      </c>
      <c r="AA39" s="52">
        <v>0</v>
      </c>
      <c r="AB39" s="80">
        <v>39</v>
      </c>
      <c r="AC39" s="80"/>
      <c r="AD39" s="97"/>
      <c r="AE39" s="82" t="s">
        <v>521</v>
      </c>
      <c r="AF39" s="88" t="s">
        <v>567</v>
      </c>
      <c r="AG39" s="82">
        <v>2362</v>
      </c>
      <c r="AH39" s="82">
        <v>833</v>
      </c>
      <c r="AI39" s="82">
        <v>378</v>
      </c>
      <c r="AJ39" s="82">
        <v>5883</v>
      </c>
      <c r="AK39" s="82"/>
      <c r="AL39" s="82" t="s">
        <v>614</v>
      </c>
      <c r="AM39" s="82"/>
      <c r="AN39" s="86" t="str">
        <f>HYPERLINK("https://t.co/Qsstjzn4c9")</f>
        <v>https://t.co/Qsstjzn4c9</v>
      </c>
      <c r="AO39" s="82"/>
      <c r="AP39" s="84">
        <v>43704.580034722225</v>
      </c>
      <c r="AQ39" s="82"/>
      <c r="AR39" s="82" t="b">
        <v>1</v>
      </c>
      <c r="AS39" s="82" t="b">
        <v>0</v>
      </c>
      <c r="AT39" s="82" t="b">
        <v>1</v>
      </c>
      <c r="AU39" s="82"/>
      <c r="AV39" s="82">
        <v>15</v>
      </c>
      <c r="AW39" s="82"/>
      <c r="AX39" s="82" t="b">
        <v>0</v>
      </c>
      <c r="AY39" s="82" t="s">
        <v>663</v>
      </c>
      <c r="AZ39" s="86" t="str">
        <f>HYPERLINK("https://twitter.com/groenewegenleo")</f>
        <v>https://twitter.com/groenewegenleo</v>
      </c>
      <c r="BA39" s="82" t="s">
        <v>66</v>
      </c>
      <c r="BB39" s="82" t="str">
        <f>REPLACE(INDEX(GroupVertices[Group],MATCH(Vertices[[#This Row],[Vertex]],GroupVertices[Vertex],0)),1,1,"")</f>
        <v>2</v>
      </c>
      <c r="BC39" s="51" t="s">
        <v>747</v>
      </c>
      <c r="BD39" s="51" t="s">
        <v>747</v>
      </c>
      <c r="BE39" s="51" t="s">
        <v>324</v>
      </c>
      <c r="BF39" s="51" t="s">
        <v>324</v>
      </c>
      <c r="BG39" s="51" t="s">
        <v>349</v>
      </c>
      <c r="BH39" s="51" t="s">
        <v>349</v>
      </c>
      <c r="BI39" s="119" t="s">
        <v>1122</v>
      </c>
      <c r="BJ39" s="119" t="s">
        <v>1122</v>
      </c>
      <c r="BK39" s="119" t="s">
        <v>1025</v>
      </c>
      <c r="BL39" s="119" t="s">
        <v>1025</v>
      </c>
      <c r="BM39" s="119">
        <v>4</v>
      </c>
      <c r="BN39" s="122">
        <v>11.11111111111111</v>
      </c>
      <c r="BO39" s="119">
        <v>0</v>
      </c>
      <c r="BP39" s="122">
        <v>0</v>
      </c>
      <c r="BQ39" s="119">
        <v>0</v>
      </c>
      <c r="BR39" s="122">
        <v>0</v>
      </c>
      <c r="BS39" s="119">
        <v>32</v>
      </c>
      <c r="BT39" s="122">
        <v>88.88888888888889</v>
      </c>
      <c r="BU39" s="119">
        <v>36</v>
      </c>
      <c r="BV39" s="2"/>
      <c r="BW39" s="3"/>
      <c r="BX39" s="3"/>
      <c r="BY39" s="3"/>
      <c r="BZ39" s="3"/>
    </row>
    <row r="40" spans="1:78" ht="41.45" customHeight="1">
      <c r="A40" s="14" t="s">
        <v>256</v>
      </c>
      <c r="C40" s="15"/>
      <c r="D40" s="15" t="s">
        <v>64</v>
      </c>
      <c r="E40" s="92">
        <v>162.55643312458062</v>
      </c>
      <c r="F40" s="79"/>
      <c r="G40" s="111" t="str">
        <f>HYPERLINK("https://pbs.twimg.com/profile_images/1010691019237556224/VRMgJF2A_normal.jpg")</f>
        <v>https://pbs.twimg.com/profile_images/1010691019237556224/VRMgJF2A_normal.jpg</v>
      </c>
      <c r="H40" s="15"/>
      <c r="I40" s="16" t="s">
        <v>256</v>
      </c>
      <c r="J40" s="67"/>
      <c r="K40" s="67"/>
      <c r="L40" s="113" t="s">
        <v>700</v>
      </c>
      <c r="M40" s="93">
        <v>1.0366511228388153</v>
      </c>
      <c r="N40" s="94">
        <v>470.2052001953125</v>
      </c>
      <c r="O40" s="94">
        <v>2237.221923828125</v>
      </c>
      <c r="P40" s="78"/>
      <c r="Q40" s="95"/>
      <c r="R40" s="95"/>
      <c r="S40" s="96"/>
      <c r="T40" s="51">
        <v>0</v>
      </c>
      <c r="U40" s="51">
        <v>1</v>
      </c>
      <c r="V40" s="52">
        <v>0</v>
      </c>
      <c r="W40" s="52">
        <v>0.014706</v>
      </c>
      <c r="X40" s="52">
        <v>0.004415</v>
      </c>
      <c r="Y40" s="52">
        <v>0.481471</v>
      </c>
      <c r="Z40" s="52">
        <v>0</v>
      </c>
      <c r="AA40" s="52">
        <v>0</v>
      </c>
      <c r="AB40" s="80">
        <v>40</v>
      </c>
      <c r="AC40" s="80"/>
      <c r="AD40" s="97"/>
      <c r="AE40" s="82" t="s">
        <v>522</v>
      </c>
      <c r="AF40" s="88" t="s">
        <v>568</v>
      </c>
      <c r="AG40" s="82">
        <v>79</v>
      </c>
      <c r="AH40" s="82">
        <v>98</v>
      </c>
      <c r="AI40" s="82">
        <v>83</v>
      </c>
      <c r="AJ40" s="82">
        <v>262</v>
      </c>
      <c r="AK40" s="82"/>
      <c r="AL40" s="82" t="s">
        <v>615</v>
      </c>
      <c r="AM40" s="82" t="s">
        <v>654</v>
      </c>
      <c r="AN40" s="82"/>
      <c r="AO40" s="82"/>
      <c r="AP40" s="84">
        <v>42019.51835648148</v>
      </c>
      <c r="AQ40" s="82"/>
      <c r="AR40" s="82" t="b">
        <v>1</v>
      </c>
      <c r="AS40" s="82" t="b">
        <v>0</v>
      </c>
      <c r="AT40" s="82" t="b">
        <v>0</v>
      </c>
      <c r="AU40" s="82"/>
      <c r="AV40" s="82">
        <v>2</v>
      </c>
      <c r="AW40" s="86" t="str">
        <f>HYPERLINK("https://abs.twimg.com/images/themes/theme1/bg.png")</f>
        <v>https://abs.twimg.com/images/themes/theme1/bg.png</v>
      </c>
      <c r="AX40" s="82" t="b">
        <v>0</v>
      </c>
      <c r="AY40" s="82" t="s">
        <v>663</v>
      </c>
      <c r="AZ40" s="86" t="str">
        <f>HYPERLINK("https://twitter.com/martymi90")</f>
        <v>https://twitter.com/martymi90</v>
      </c>
      <c r="BA40" s="82" t="s">
        <v>66</v>
      </c>
      <c r="BB40" s="82" t="str">
        <f>REPLACE(INDEX(GroupVertices[Group],MATCH(Vertices[[#This Row],[Vertex]],GroupVertices[Vertex],0)),1,1,"")</f>
        <v>2</v>
      </c>
      <c r="BC40" s="51" t="s">
        <v>747</v>
      </c>
      <c r="BD40" s="51" t="s">
        <v>747</v>
      </c>
      <c r="BE40" s="51" t="s">
        <v>324</v>
      </c>
      <c r="BF40" s="51" t="s">
        <v>324</v>
      </c>
      <c r="BG40" s="51" t="s">
        <v>349</v>
      </c>
      <c r="BH40" s="51" t="s">
        <v>349</v>
      </c>
      <c r="BI40" s="119" t="s">
        <v>1122</v>
      </c>
      <c r="BJ40" s="119" t="s">
        <v>1122</v>
      </c>
      <c r="BK40" s="119" t="s">
        <v>1025</v>
      </c>
      <c r="BL40" s="119" t="s">
        <v>1025</v>
      </c>
      <c r="BM40" s="119">
        <v>4</v>
      </c>
      <c r="BN40" s="122">
        <v>11.11111111111111</v>
      </c>
      <c r="BO40" s="119">
        <v>0</v>
      </c>
      <c r="BP40" s="122">
        <v>0</v>
      </c>
      <c r="BQ40" s="119">
        <v>0</v>
      </c>
      <c r="BR40" s="122">
        <v>0</v>
      </c>
      <c r="BS40" s="119">
        <v>32</v>
      </c>
      <c r="BT40" s="122">
        <v>88.88888888888889</v>
      </c>
      <c r="BU40" s="119">
        <v>36</v>
      </c>
      <c r="BV40" s="2"/>
      <c r="BW40" s="3"/>
      <c r="BX40" s="3"/>
      <c r="BY40" s="3"/>
      <c r="BZ40" s="3"/>
    </row>
    <row r="41" spans="1:78" ht="41.45" customHeight="1">
      <c r="A41" s="14" t="s">
        <v>258</v>
      </c>
      <c r="C41" s="15"/>
      <c r="D41" s="15" t="s">
        <v>64</v>
      </c>
      <c r="E41" s="92">
        <v>193.35939946320732</v>
      </c>
      <c r="F41" s="79"/>
      <c r="G41" s="111" t="str">
        <f>HYPERLINK("https://pbs.twimg.com/profile_images/1447256168385101832/YCiOEDOj_normal.jpg")</f>
        <v>https://pbs.twimg.com/profile_images/1447256168385101832/YCiOEDOj_normal.jpg</v>
      </c>
      <c r="H41" s="15"/>
      <c r="I41" s="16" t="s">
        <v>258</v>
      </c>
      <c r="J41" s="67"/>
      <c r="K41" s="67"/>
      <c r="L41" s="113" t="s">
        <v>701</v>
      </c>
      <c r="M41" s="93">
        <v>3.065580122937021</v>
      </c>
      <c r="N41" s="94">
        <v>2511.41943359375</v>
      </c>
      <c r="O41" s="94">
        <v>4135.7119140625</v>
      </c>
      <c r="P41" s="78"/>
      <c r="Q41" s="95"/>
      <c r="R41" s="95"/>
      <c r="S41" s="96"/>
      <c r="T41" s="51">
        <v>0</v>
      </c>
      <c r="U41" s="51">
        <v>1</v>
      </c>
      <c r="V41" s="52">
        <v>0</v>
      </c>
      <c r="W41" s="52">
        <v>0.014706</v>
      </c>
      <c r="X41" s="52">
        <v>0.004415</v>
      </c>
      <c r="Y41" s="52">
        <v>0.481471</v>
      </c>
      <c r="Z41" s="52">
        <v>0</v>
      </c>
      <c r="AA41" s="52">
        <v>0</v>
      </c>
      <c r="AB41" s="80">
        <v>41</v>
      </c>
      <c r="AC41" s="80"/>
      <c r="AD41" s="97"/>
      <c r="AE41" s="82" t="s">
        <v>523</v>
      </c>
      <c r="AF41" s="88" t="s">
        <v>569</v>
      </c>
      <c r="AG41" s="82">
        <v>2748</v>
      </c>
      <c r="AH41" s="82">
        <v>5357</v>
      </c>
      <c r="AI41" s="82">
        <v>28869</v>
      </c>
      <c r="AJ41" s="82">
        <v>10622</v>
      </c>
      <c r="AK41" s="82"/>
      <c r="AL41" s="82" t="s">
        <v>616</v>
      </c>
      <c r="AM41" s="82" t="s">
        <v>643</v>
      </c>
      <c r="AN41" s="86" t="str">
        <f>HYPERLINK("https://t.co/pUImA9RxXV")</f>
        <v>https://t.co/pUImA9RxXV</v>
      </c>
      <c r="AO41" s="82"/>
      <c r="AP41" s="84">
        <v>39849.85233796296</v>
      </c>
      <c r="AQ41" s="86" t="str">
        <f>HYPERLINK("https://pbs.twimg.com/profile_banners/20183832/1531671140")</f>
        <v>https://pbs.twimg.com/profile_banners/20183832/1531671140</v>
      </c>
      <c r="AR41" s="82" t="b">
        <v>0</v>
      </c>
      <c r="AS41" s="82" t="b">
        <v>0</v>
      </c>
      <c r="AT41" s="82" t="b">
        <v>1</v>
      </c>
      <c r="AU41" s="82"/>
      <c r="AV41" s="82">
        <v>241</v>
      </c>
      <c r="AW41" s="86" t="str">
        <f>HYPERLINK("https://abs.twimg.com/images/themes/theme19/bg.gif")</f>
        <v>https://abs.twimg.com/images/themes/theme19/bg.gif</v>
      </c>
      <c r="AX41" s="82" t="b">
        <v>0</v>
      </c>
      <c r="AY41" s="82" t="s">
        <v>663</v>
      </c>
      <c r="AZ41" s="86" t="str">
        <f>HYPERLINK("https://twitter.com/damienclarkson")</f>
        <v>https://twitter.com/damienclarkson</v>
      </c>
      <c r="BA41" s="82" t="s">
        <v>66</v>
      </c>
      <c r="BB41" s="82" t="str">
        <f>REPLACE(INDEX(GroupVertices[Group],MATCH(Vertices[[#This Row],[Vertex]],GroupVertices[Vertex],0)),1,1,"")</f>
        <v>2</v>
      </c>
      <c r="BC41" s="51" t="s">
        <v>747</v>
      </c>
      <c r="BD41" s="51" t="s">
        <v>747</v>
      </c>
      <c r="BE41" s="51" t="s">
        <v>324</v>
      </c>
      <c r="BF41" s="51" t="s">
        <v>324</v>
      </c>
      <c r="BG41" s="51" t="s">
        <v>349</v>
      </c>
      <c r="BH41" s="51" t="s">
        <v>349</v>
      </c>
      <c r="BI41" s="119" t="s">
        <v>1122</v>
      </c>
      <c r="BJ41" s="119" t="s">
        <v>1122</v>
      </c>
      <c r="BK41" s="119" t="s">
        <v>1025</v>
      </c>
      <c r="BL41" s="119" t="s">
        <v>1025</v>
      </c>
      <c r="BM41" s="119">
        <v>4</v>
      </c>
      <c r="BN41" s="122">
        <v>11.11111111111111</v>
      </c>
      <c r="BO41" s="119">
        <v>0</v>
      </c>
      <c r="BP41" s="122">
        <v>0</v>
      </c>
      <c r="BQ41" s="119">
        <v>0</v>
      </c>
      <c r="BR41" s="122">
        <v>0</v>
      </c>
      <c r="BS41" s="119">
        <v>32</v>
      </c>
      <c r="BT41" s="122">
        <v>88.88888888888889</v>
      </c>
      <c r="BU41" s="119">
        <v>36</v>
      </c>
      <c r="BV41" s="2"/>
      <c r="BW41" s="3"/>
      <c r="BX41" s="3"/>
      <c r="BY41" s="3"/>
      <c r="BZ41" s="3"/>
    </row>
    <row r="42" spans="1:78" ht="41.45" customHeight="1">
      <c r="A42" s="14" t="s">
        <v>259</v>
      </c>
      <c r="C42" s="15"/>
      <c r="D42" s="15" t="s">
        <v>64</v>
      </c>
      <c r="E42" s="92">
        <v>167.84547640348916</v>
      </c>
      <c r="F42" s="79"/>
      <c r="G42" s="111" t="str">
        <f>HYPERLINK("https://pbs.twimg.com/profile_images/1343595653230776320/4v1C1DX7_normal.jpg")</f>
        <v>https://pbs.twimg.com/profile_images/1343595653230776320/4v1C1DX7_normal.jpg</v>
      </c>
      <c r="H42" s="15"/>
      <c r="I42" s="16" t="s">
        <v>259</v>
      </c>
      <c r="J42" s="67"/>
      <c r="K42" s="67"/>
      <c r="L42" s="113" t="s">
        <v>702</v>
      </c>
      <c r="M42" s="93">
        <v>1.3850296904540804</v>
      </c>
      <c r="N42" s="94">
        <v>5536.955078125</v>
      </c>
      <c r="O42" s="94">
        <v>4188.06298828125</v>
      </c>
      <c r="P42" s="78"/>
      <c r="Q42" s="95"/>
      <c r="R42" s="95"/>
      <c r="S42" s="96"/>
      <c r="T42" s="51">
        <v>0</v>
      </c>
      <c r="U42" s="51">
        <v>1</v>
      </c>
      <c r="V42" s="52">
        <v>0</v>
      </c>
      <c r="W42" s="52">
        <v>0.142857</v>
      </c>
      <c r="X42" s="52">
        <v>0</v>
      </c>
      <c r="Y42" s="52">
        <v>0.595233</v>
      </c>
      <c r="Z42" s="52">
        <v>0</v>
      </c>
      <c r="AA42" s="52">
        <v>0</v>
      </c>
      <c r="AB42" s="80">
        <v>42</v>
      </c>
      <c r="AC42" s="80"/>
      <c r="AD42" s="97"/>
      <c r="AE42" s="82" t="s">
        <v>259</v>
      </c>
      <c r="AF42" s="88" t="s">
        <v>570</v>
      </c>
      <c r="AG42" s="82">
        <v>54</v>
      </c>
      <c r="AH42" s="82">
        <v>1001</v>
      </c>
      <c r="AI42" s="82">
        <v>1114</v>
      </c>
      <c r="AJ42" s="82">
        <v>328</v>
      </c>
      <c r="AK42" s="82"/>
      <c r="AL42" s="82" t="s">
        <v>617</v>
      </c>
      <c r="AM42" s="82" t="s">
        <v>655</v>
      </c>
      <c r="AN42" s="82"/>
      <c r="AO42" s="82"/>
      <c r="AP42" s="84">
        <v>41789.94898148148</v>
      </c>
      <c r="AQ42" s="86" t="str">
        <f>HYPERLINK("https://pbs.twimg.com/profile_banners/2535998491/1609173142")</f>
        <v>https://pbs.twimg.com/profile_banners/2535998491/1609173142</v>
      </c>
      <c r="AR42" s="82" t="b">
        <v>0</v>
      </c>
      <c r="AS42" s="82" t="b">
        <v>0</v>
      </c>
      <c r="AT42" s="82" t="b">
        <v>1</v>
      </c>
      <c r="AU42" s="82"/>
      <c r="AV42" s="82">
        <v>0</v>
      </c>
      <c r="AW42" s="86" t="str">
        <f>HYPERLINK("https://abs.twimg.com/images/themes/theme1/bg.png")</f>
        <v>https://abs.twimg.com/images/themes/theme1/bg.png</v>
      </c>
      <c r="AX42" s="82" t="b">
        <v>0</v>
      </c>
      <c r="AY42" s="82" t="s">
        <v>663</v>
      </c>
      <c r="AZ42" s="86" t="str">
        <f>HYPERLINK("https://twitter.com/halimantik")</f>
        <v>https://twitter.com/halimantik</v>
      </c>
      <c r="BA42" s="82" t="s">
        <v>66</v>
      </c>
      <c r="BB42" s="82" t="str">
        <f>REPLACE(INDEX(GroupVertices[Group],MATCH(Vertices[[#This Row],[Vertex]],GroupVertices[Vertex],0)),1,1,"")</f>
        <v>4</v>
      </c>
      <c r="BC42" s="51" t="s">
        <v>748</v>
      </c>
      <c r="BD42" s="51" t="s">
        <v>748</v>
      </c>
      <c r="BE42" s="51" t="s">
        <v>328</v>
      </c>
      <c r="BF42" s="51" t="s">
        <v>328</v>
      </c>
      <c r="BG42" s="51" t="s">
        <v>350</v>
      </c>
      <c r="BH42" s="51" t="s">
        <v>350</v>
      </c>
      <c r="BI42" s="119" t="s">
        <v>942</v>
      </c>
      <c r="BJ42" s="119" t="s">
        <v>942</v>
      </c>
      <c r="BK42" s="119" t="s">
        <v>1027</v>
      </c>
      <c r="BL42" s="119" t="s">
        <v>1027</v>
      </c>
      <c r="BM42" s="119">
        <v>0</v>
      </c>
      <c r="BN42" s="122">
        <v>0</v>
      </c>
      <c r="BO42" s="119">
        <v>0</v>
      </c>
      <c r="BP42" s="122">
        <v>0</v>
      </c>
      <c r="BQ42" s="119">
        <v>0</v>
      </c>
      <c r="BR42" s="122">
        <v>0</v>
      </c>
      <c r="BS42" s="119">
        <v>33</v>
      </c>
      <c r="BT42" s="122">
        <v>100</v>
      </c>
      <c r="BU42" s="119">
        <v>33</v>
      </c>
      <c r="BV42" s="2"/>
      <c r="BW42" s="3"/>
      <c r="BX42" s="3"/>
      <c r="BY42" s="3"/>
      <c r="BZ42" s="3"/>
    </row>
    <row r="43" spans="1:78" ht="41.45" customHeight="1">
      <c r="A43" s="14" t="s">
        <v>269</v>
      </c>
      <c r="C43" s="15"/>
      <c r="D43" s="15" t="s">
        <v>64</v>
      </c>
      <c r="E43" s="92">
        <v>177.7031284947439</v>
      </c>
      <c r="F43" s="79"/>
      <c r="G43" s="111" t="str">
        <f>HYPERLINK("https://pbs.twimg.com/profile_images/1427658396963000320/2JmbMKai_normal.jpg")</f>
        <v>https://pbs.twimg.com/profile_images/1427658396963000320/2JmbMKai_normal.jpg</v>
      </c>
      <c r="H43" s="15"/>
      <c r="I43" s="16" t="s">
        <v>269</v>
      </c>
      <c r="J43" s="67"/>
      <c r="K43" s="67"/>
      <c r="L43" s="113" t="s">
        <v>703</v>
      </c>
      <c r="M43" s="93">
        <v>2.0343332666406715</v>
      </c>
      <c r="N43" s="94">
        <v>4999.5</v>
      </c>
      <c r="O43" s="94">
        <v>2486.662353515625</v>
      </c>
      <c r="P43" s="78"/>
      <c r="Q43" s="95"/>
      <c r="R43" s="95"/>
      <c r="S43" s="96"/>
      <c r="T43" s="51">
        <v>5</v>
      </c>
      <c r="U43" s="51">
        <v>1</v>
      </c>
      <c r="V43" s="52">
        <v>12</v>
      </c>
      <c r="W43" s="52">
        <v>0.25</v>
      </c>
      <c r="X43" s="52">
        <v>0</v>
      </c>
      <c r="Y43" s="52">
        <v>2.619021</v>
      </c>
      <c r="Z43" s="52">
        <v>0</v>
      </c>
      <c r="AA43" s="52">
        <v>0</v>
      </c>
      <c r="AB43" s="80">
        <v>43</v>
      </c>
      <c r="AC43" s="80"/>
      <c r="AD43" s="97"/>
      <c r="AE43" s="82" t="s">
        <v>269</v>
      </c>
      <c r="AF43" s="88" t="s">
        <v>571</v>
      </c>
      <c r="AG43" s="82">
        <v>778</v>
      </c>
      <c r="AH43" s="82">
        <v>2684</v>
      </c>
      <c r="AI43" s="82">
        <v>1765</v>
      </c>
      <c r="AJ43" s="82">
        <v>4139</v>
      </c>
      <c r="AK43" s="82"/>
      <c r="AL43" s="82" t="s">
        <v>618</v>
      </c>
      <c r="AM43" s="82"/>
      <c r="AN43" s="82"/>
      <c r="AO43" s="82"/>
      <c r="AP43" s="84">
        <v>43241.056597222225</v>
      </c>
      <c r="AQ43" s="86" t="str">
        <f>HYPERLINK("https://pbs.twimg.com/profile_banners/998373180837265409/1629215317")</f>
        <v>https://pbs.twimg.com/profile_banners/998373180837265409/1629215317</v>
      </c>
      <c r="AR43" s="82" t="b">
        <v>1</v>
      </c>
      <c r="AS43" s="82" t="b">
        <v>0</v>
      </c>
      <c r="AT43" s="82" t="b">
        <v>0</v>
      </c>
      <c r="AU43" s="82"/>
      <c r="AV43" s="82">
        <v>0</v>
      </c>
      <c r="AW43" s="82"/>
      <c r="AX43" s="82" t="b">
        <v>0</v>
      </c>
      <c r="AY43" s="82" t="s">
        <v>663</v>
      </c>
      <c r="AZ43" s="86" t="str">
        <f>HYPERLINK("https://twitter.com/mysubuh")</f>
        <v>https://twitter.com/mysubuh</v>
      </c>
      <c r="BA43" s="82" t="s">
        <v>66</v>
      </c>
      <c r="BB43" s="82" t="str">
        <f>REPLACE(INDEX(GroupVertices[Group],MATCH(Vertices[[#This Row],[Vertex]],GroupVertices[Vertex],0)),1,1,"")</f>
        <v>4</v>
      </c>
      <c r="BC43" s="51" t="s">
        <v>748</v>
      </c>
      <c r="BD43" s="51" t="s">
        <v>748</v>
      </c>
      <c r="BE43" s="51" t="s">
        <v>328</v>
      </c>
      <c r="BF43" s="51" t="s">
        <v>328</v>
      </c>
      <c r="BG43" s="51" t="s">
        <v>350</v>
      </c>
      <c r="BH43" s="51" t="s">
        <v>350</v>
      </c>
      <c r="BI43" s="119" t="s">
        <v>942</v>
      </c>
      <c r="BJ43" s="119" t="s">
        <v>942</v>
      </c>
      <c r="BK43" s="119" t="s">
        <v>1027</v>
      </c>
      <c r="BL43" s="119" t="s">
        <v>1027</v>
      </c>
      <c r="BM43" s="119">
        <v>0</v>
      </c>
      <c r="BN43" s="122">
        <v>0</v>
      </c>
      <c r="BO43" s="119">
        <v>0</v>
      </c>
      <c r="BP43" s="122">
        <v>0</v>
      </c>
      <c r="BQ43" s="119">
        <v>0</v>
      </c>
      <c r="BR43" s="122">
        <v>0</v>
      </c>
      <c r="BS43" s="119">
        <v>33</v>
      </c>
      <c r="BT43" s="122">
        <v>100</v>
      </c>
      <c r="BU43" s="119">
        <v>33</v>
      </c>
      <c r="BV43" s="2"/>
      <c r="BW43" s="3"/>
      <c r="BX43" s="3"/>
      <c r="BY43" s="3"/>
      <c r="BZ43" s="3"/>
    </row>
    <row r="44" spans="1:78" ht="41.45" customHeight="1">
      <c r="A44" s="14" t="s">
        <v>260</v>
      </c>
      <c r="C44" s="15"/>
      <c r="D44" s="15" t="s">
        <v>64</v>
      </c>
      <c r="E44" s="92">
        <v>165.41474222768954</v>
      </c>
      <c r="F44" s="79"/>
      <c r="G44" s="111" t="str">
        <f>HYPERLINK("https://pbs.twimg.com/profile_images/1313755211563966466/xmzayzXy_normal.jpg")</f>
        <v>https://pbs.twimg.com/profile_images/1313755211563966466/xmzayzXy_normal.jpg</v>
      </c>
      <c r="H44" s="15"/>
      <c r="I44" s="16" t="s">
        <v>260</v>
      </c>
      <c r="J44" s="67"/>
      <c r="K44" s="67"/>
      <c r="L44" s="113" t="s">
        <v>704</v>
      </c>
      <c r="M44" s="93">
        <v>1.2249221538424138</v>
      </c>
      <c r="N44" s="94">
        <v>5400.05322265625</v>
      </c>
      <c r="O44" s="94">
        <v>5680.06005859375</v>
      </c>
      <c r="P44" s="78"/>
      <c r="Q44" s="95"/>
      <c r="R44" s="95"/>
      <c r="S44" s="96"/>
      <c r="T44" s="51">
        <v>1</v>
      </c>
      <c r="U44" s="51">
        <v>1</v>
      </c>
      <c r="V44" s="52">
        <v>0</v>
      </c>
      <c r="W44" s="52">
        <v>0</v>
      </c>
      <c r="X44" s="52">
        <v>0</v>
      </c>
      <c r="Y44" s="52">
        <v>0.99999</v>
      </c>
      <c r="Z44" s="52">
        <v>0</v>
      </c>
      <c r="AA44" s="52">
        <v>0</v>
      </c>
      <c r="AB44" s="80">
        <v>44</v>
      </c>
      <c r="AC44" s="80"/>
      <c r="AD44" s="97"/>
      <c r="AE44" s="82" t="s">
        <v>260</v>
      </c>
      <c r="AF44" s="88" t="s">
        <v>572</v>
      </c>
      <c r="AG44" s="82">
        <v>0</v>
      </c>
      <c r="AH44" s="82">
        <v>586</v>
      </c>
      <c r="AI44" s="82">
        <v>55</v>
      </c>
      <c r="AJ44" s="82">
        <v>2</v>
      </c>
      <c r="AK44" s="82"/>
      <c r="AL44" s="82" t="s">
        <v>619</v>
      </c>
      <c r="AM44" s="82" t="s">
        <v>656</v>
      </c>
      <c r="AN44" s="86" t="str">
        <f>HYPERLINK("https://t.co/xLbppPdoQv")</f>
        <v>https://t.co/xLbppPdoQv</v>
      </c>
      <c r="AO44" s="82"/>
      <c r="AP44" s="84">
        <v>44111.32430555556</v>
      </c>
      <c r="AQ44" s="82"/>
      <c r="AR44" s="82" t="b">
        <v>1</v>
      </c>
      <c r="AS44" s="82" t="b">
        <v>0</v>
      </c>
      <c r="AT44" s="82" t="b">
        <v>0</v>
      </c>
      <c r="AU44" s="82"/>
      <c r="AV44" s="82">
        <v>0</v>
      </c>
      <c r="AW44" s="82"/>
      <c r="AX44" s="82" t="b">
        <v>0</v>
      </c>
      <c r="AY44" s="82" t="s">
        <v>663</v>
      </c>
      <c r="AZ44" s="86" t="str">
        <f>HYPERLINK("https://twitter.com/bygora_official")</f>
        <v>https://twitter.com/bygora_official</v>
      </c>
      <c r="BA44" s="82" t="s">
        <v>66</v>
      </c>
      <c r="BB44" s="82" t="str">
        <f>REPLACE(INDEX(GroupVertices[Group],MATCH(Vertices[[#This Row],[Vertex]],GroupVertices[Vertex],0)),1,1,"")</f>
        <v>3</v>
      </c>
      <c r="BC44" s="51" t="s">
        <v>766</v>
      </c>
      <c r="BD44" s="51" t="s">
        <v>766</v>
      </c>
      <c r="BE44" s="51" t="s">
        <v>329</v>
      </c>
      <c r="BF44" s="51" t="s">
        <v>329</v>
      </c>
      <c r="BG44" s="51" t="s">
        <v>351</v>
      </c>
      <c r="BH44" s="51" t="s">
        <v>351</v>
      </c>
      <c r="BI44" s="119" t="s">
        <v>1124</v>
      </c>
      <c r="BJ44" s="119" t="s">
        <v>1124</v>
      </c>
      <c r="BK44" s="119" t="s">
        <v>1148</v>
      </c>
      <c r="BL44" s="119" t="s">
        <v>1148</v>
      </c>
      <c r="BM44" s="119">
        <v>1</v>
      </c>
      <c r="BN44" s="122">
        <v>5.882352941176471</v>
      </c>
      <c r="BO44" s="119">
        <v>0</v>
      </c>
      <c r="BP44" s="122">
        <v>0</v>
      </c>
      <c r="BQ44" s="119">
        <v>0</v>
      </c>
      <c r="BR44" s="122">
        <v>0</v>
      </c>
      <c r="BS44" s="119">
        <v>16</v>
      </c>
      <c r="BT44" s="122">
        <v>94.11764705882354</v>
      </c>
      <c r="BU44" s="119">
        <v>17</v>
      </c>
      <c r="BV44" s="2"/>
      <c r="BW44" s="3"/>
      <c r="BX44" s="3"/>
      <c r="BY44" s="3"/>
      <c r="BZ44" s="3"/>
    </row>
    <row r="45" spans="1:78" ht="41.45" customHeight="1">
      <c r="A45" s="14" t="s">
        <v>261</v>
      </c>
      <c r="C45" s="15"/>
      <c r="D45" s="15" t="s">
        <v>64</v>
      </c>
      <c r="E45" s="92">
        <v>163.72787128159248</v>
      </c>
      <c r="F45" s="79"/>
      <c r="G45" s="111" t="str">
        <f>HYPERLINK("https://pbs.twimg.com/profile_images/1133001947433250816/nFV7USqn_normal.jpg")</f>
        <v>https://pbs.twimg.com/profile_images/1133001947433250816/nFV7USqn_normal.jpg</v>
      </c>
      <c r="H45" s="15"/>
      <c r="I45" s="16" t="s">
        <v>261</v>
      </c>
      <c r="J45" s="67"/>
      <c r="K45" s="67"/>
      <c r="L45" s="113" t="s">
        <v>705</v>
      </c>
      <c r="M45" s="93">
        <v>1.1138113814468475</v>
      </c>
      <c r="N45" s="94">
        <v>7951.72705078125</v>
      </c>
      <c r="O45" s="94">
        <v>7273.015625</v>
      </c>
      <c r="P45" s="78"/>
      <c r="Q45" s="95"/>
      <c r="R45" s="95"/>
      <c r="S45" s="96"/>
      <c r="T45" s="51">
        <v>0</v>
      </c>
      <c r="U45" s="51">
        <v>2</v>
      </c>
      <c r="V45" s="52">
        <v>1</v>
      </c>
      <c r="W45" s="52">
        <v>0.25</v>
      </c>
      <c r="X45" s="52">
        <v>0</v>
      </c>
      <c r="Y45" s="52">
        <v>0.99999</v>
      </c>
      <c r="Z45" s="52">
        <v>0</v>
      </c>
      <c r="AA45" s="52">
        <v>0</v>
      </c>
      <c r="AB45" s="80">
        <v>45</v>
      </c>
      <c r="AC45" s="80"/>
      <c r="AD45" s="97"/>
      <c r="AE45" s="82" t="s">
        <v>524</v>
      </c>
      <c r="AF45" s="88" t="s">
        <v>573</v>
      </c>
      <c r="AG45" s="82">
        <v>402</v>
      </c>
      <c r="AH45" s="82">
        <v>298</v>
      </c>
      <c r="AI45" s="82">
        <v>921</v>
      </c>
      <c r="AJ45" s="82">
        <v>2170</v>
      </c>
      <c r="AK45" s="82"/>
      <c r="AL45" s="82" t="s">
        <v>620</v>
      </c>
      <c r="AM45" s="82" t="s">
        <v>657</v>
      </c>
      <c r="AN45" s="86" t="str">
        <f>HYPERLINK("https://t.co/QXWhzbwkJC")</f>
        <v>https://t.co/QXWhzbwkJC</v>
      </c>
      <c r="AO45" s="82"/>
      <c r="AP45" s="84">
        <v>43349.74285879629</v>
      </c>
      <c r="AQ45" s="86" t="str">
        <f>HYPERLINK("https://pbs.twimg.com/profile_banners/1037759763902353409/1606864916")</f>
        <v>https://pbs.twimg.com/profile_banners/1037759763902353409/1606864916</v>
      </c>
      <c r="AR45" s="82" t="b">
        <v>1</v>
      </c>
      <c r="AS45" s="82" t="b">
        <v>0</v>
      </c>
      <c r="AT45" s="82" t="b">
        <v>0</v>
      </c>
      <c r="AU45" s="82"/>
      <c r="AV45" s="82">
        <v>9</v>
      </c>
      <c r="AW45" s="82"/>
      <c r="AX45" s="82" t="b">
        <v>0</v>
      </c>
      <c r="AY45" s="82" t="s">
        <v>663</v>
      </c>
      <c r="AZ45" s="86" t="str">
        <f>HYPERLINK("https://twitter.com/agreenerworlduk")</f>
        <v>https://twitter.com/agreenerworlduk</v>
      </c>
      <c r="BA45" s="82" t="s">
        <v>66</v>
      </c>
      <c r="BB45" s="82" t="str">
        <f>REPLACE(INDEX(GroupVertices[Group],MATCH(Vertices[[#This Row],[Vertex]],GroupVertices[Vertex],0)),1,1,"")</f>
        <v>5</v>
      </c>
      <c r="BC45" s="51" t="s">
        <v>749</v>
      </c>
      <c r="BD45" s="51" t="s">
        <v>749</v>
      </c>
      <c r="BE45" s="51" t="s">
        <v>322</v>
      </c>
      <c r="BF45" s="51" t="s">
        <v>322</v>
      </c>
      <c r="BG45" s="51" t="s">
        <v>352</v>
      </c>
      <c r="BH45" s="51" t="s">
        <v>352</v>
      </c>
      <c r="BI45" s="119" t="s">
        <v>1125</v>
      </c>
      <c r="BJ45" s="119" t="s">
        <v>1125</v>
      </c>
      <c r="BK45" s="119" t="s">
        <v>1149</v>
      </c>
      <c r="BL45" s="119" t="s">
        <v>1149</v>
      </c>
      <c r="BM45" s="119">
        <v>2</v>
      </c>
      <c r="BN45" s="122">
        <v>6.451612903225806</v>
      </c>
      <c r="BO45" s="119">
        <v>2</v>
      </c>
      <c r="BP45" s="122">
        <v>6.451612903225806</v>
      </c>
      <c r="BQ45" s="119">
        <v>0</v>
      </c>
      <c r="BR45" s="122">
        <v>0</v>
      </c>
      <c r="BS45" s="119">
        <v>27</v>
      </c>
      <c r="BT45" s="122">
        <v>87.09677419354838</v>
      </c>
      <c r="BU45" s="119">
        <v>31</v>
      </c>
      <c r="BV45" s="2"/>
      <c r="BW45" s="3"/>
      <c r="BX45" s="3"/>
      <c r="BY45" s="3"/>
      <c r="BZ45" s="3"/>
    </row>
    <row r="46" spans="1:78" ht="41.45" customHeight="1">
      <c r="A46" s="14" t="s">
        <v>263</v>
      </c>
      <c r="C46" s="15"/>
      <c r="D46" s="15" t="s">
        <v>64</v>
      </c>
      <c r="E46" s="92">
        <v>164.8055943860434</v>
      </c>
      <c r="F46" s="79"/>
      <c r="G46" s="111" t="str">
        <f>HYPERLINK("https://pbs.twimg.com/profile_images/1314815941545402368/cJ-RV9rz_normal.jpg")</f>
        <v>https://pbs.twimg.com/profile_images/1314815941545402368/cJ-RV9rz_normal.jpg</v>
      </c>
      <c r="H46" s="15"/>
      <c r="I46" s="16" t="s">
        <v>263</v>
      </c>
      <c r="J46" s="67"/>
      <c r="K46" s="67"/>
      <c r="L46" s="113" t="s">
        <v>706</v>
      </c>
      <c r="M46" s="93">
        <v>1.184798819366237</v>
      </c>
      <c r="N46" s="94">
        <v>4598.94677734375</v>
      </c>
      <c r="O46" s="94">
        <v>5680.06005859375</v>
      </c>
      <c r="P46" s="78"/>
      <c r="Q46" s="95"/>
      <c r="R46" s="95"/>
      <c r="S46" s="96"/>
      <c r="T46" s="51">
        <v>1</v>
      </c>
      <c r="U46" s="51">
        <v>1</v>
      </c>
      <c r="V46" s="52">
        <v>0</v>
      </c>
      <c r="W46" s="52">
        <v>0</v>
      </c>
      <c r="X46" s="52">
        <v>0</v>
      </c>
      <c r="Y46" s="52">
        <v>0.99999</v>
      </c>
      <c r="Z46" s="52">
        <v>0</v>
      </c>
      <c r="AA46" s="52">
        <v>0</v>
      </c>
      <c r="AB46" s="80">
        <v>46</v>
      </c>
      <c r="AC46" s="80"/>
      <c r="AD46" s="97"/>
      <c r="AE46" s="82" t="s">
        <v>525</v>
      </c>
      <c r="AF46" s="88" t="s">
        <v>450</v>
      </c>
      <c r="AG46" s="82">
        <v>14</v>
      </c>
      <c r="AH46" s="82">
        <v>482</v>
      </c>
      <c r="AI46" s="82">
        <v>854</v>
      </c>
      <c r="AJ46" s="82">
        <v>106</v>
      </c>
      <c r="AK46" s="82"/>
      <c r="AL46" s="82"/>
      <c r="AM46" s="82"/>
      <c r="AN46" s="82"/>
      <c r="AO46" s="82"/>
      <c r="AP46" s="84">
        <v>43263.77578703704</v>
      </c>
      <c r="AQ46" s="86" t="str">
        <f>HYPERLINK("https://pbs.twimg.com/profile_banners/1006606339991146496/1633531999")</f>
        <v>https://pbs.twimg.com/profile_banners/1006606339991146496/1633531999</v>
      </c>
      <c r="AR46" s="82" t="b">
        <v>0</v>
      </c>
      <c r="AS46" s="82" t="b">
        <v>0</v>
      </c>
      <c r="AT46" s="82" t="b">
        <v>0</v>
      </c>
      <c r="AU46" s="82"/>
      <c r="AV46" s="82">
        <v>0</v>
      </c>
      <c r="AW46" s="86" t="str">
        <f>HYPERLINK("https://abs.twimg.com/images/themes/theme1/bg.png")</f>
        <v>https://abs.twimg.com/images/themes/theme1/bg.png</v>
      </c>
      <c r="AX46" s="82" t="b">
        <v>0</v>
      </c>
      <c r="AY46" s="82" t="s">
        <v>663</v>
      </c>
      <c r="AZ46" s="86" t="str">
        <f>HYPERLINK("https://twitter.com/inspirasiv")</f>
        <v>https://twitter.com/inspirasiv</v>
      </c>
      <c r="BA46" s="82" t="s">
        <v>66</v>
      </c>
      <c r="BB46" s="82" t="str">
        <f>REPLACE(INDEX(GroupVertices[Group],MATCH(Vertices[[#This Row],[Vertex]],GroupVertices[Vertex],0)),1,1,"")</f>
        <v>3</v>
      </c>
      <c r="BC46" s="51"/>
      <c r="BD46" s="51"/>
      <c r="BE46" s="51"/>
      <c r="BF46" s="51"/>
      <c r="BG46" s="51" t="s">
        <v>1100</v>
      </c>
      <c r="BH46" s="51" t="s">
        <v>1100</v>
      </c>
      <c r="BI46" s="119" t="s">
        <v>1126</v>
      </c>
      <c r="BJ46" s="119" t="s">
        <v>1126</v>
      </c>
      <c r="BK46" s="119" t="s">
        <v>1150</v>
      </c>
      <c r="BL46" s="119" t="s">
        <v>1150</v>
      </c>
      <c r="BM46" s="119">
        <v>0</v>
      </c>
      <c r="BN46" s="122">
        <v>0</v>
      </c>
      <c r="BO46" s="119">
        <v>0</v>
      </c>
      <c r="BP46" s="122">
        <v>0</v>
      </c>
      <c r="BQ46" s="119">
        <v>0</v>
      </c>
      <c r="BR46" s="122">
        <v>0</v>
      </c>
      <c r="BS46" s="119">
        <v>27</v>
      </c>
      <c r="BT46" s="122">
        <v>100</v>
      </c>
      <c r="BU46" s="119">
        <v>27</v>
      </c>
      <c r="BV46" s="2"/>
      <c r="BW46" s="3"/>
      <c r="BX46" s="3"/>
      <c r="BY46" s="3"/>
      <c r="BZ46" s="3"/>
    </row>
    <row r="47" spans="1:78" ht="41.45" customHeight="1">
      <c r="A47" s="14" t="s">
        <v>264</v>
      </c>
      <c r="C47" s="15"/>
      <c r="D47" s="15" t="s">
        <v>64</v>
      </c>
      <c r="E47" s="92">
        <v>164.09101711026616</v>
      </c>
      <c r="F47" s="79"/>
      <c r="G47" s="111" t="str">
        <f>HYPERLINK("https://pbs.twimg.com/profile_images/1091135701922377728/OSj5L6bT_normal.jpg")</f>
        <v>https://pbs.twimg.com/profile_images/1091135701922377728/OSj5L6bT_normal.jpg</v>
      </c>
      <c r="H47" s="15"/>
      <c r="I47" s="16" t="s">
        <v>264</v>
      </c>
      <c r="J47" s="67"/>
      <c r="K47" s="67"/>
      <c r="L47" s="113" t="s">
        <v>707</v>
      </c>
      <c r="M47" s="93">
        <v>1.1377310616153373</v>
      </c>
      <c r="N47" s="94">
        <v>5400.05322265625</v>
      </c>
      <c r="O47" s="94">
        <v>7093.53125</v>
      </c>
      <c r="P47" s="78"/>
      <c r="Q47" s="95"/>
      <c r="R47" s="95"/>
      <c r="S47" s="96"/>
      <c r="T47" s="51">
        <v>1</v>
      </c>
      <c r="U47" s="51">
        <v>1</v>
      </c>
      <c r="V47" s="52">
        <v>0</v>
      </c>
      <c r="W47" s="52">
        <v>0</v>
      </c>
      <c r="X47" s="52">
        <v>0</v>
      </c>
      <c r="Y47" s="52">
        <v>0.99999</v>
      </c>
      <c r="Z47" s="52">
        <v>0</v>
      </c>
      <c r="AA47" s="52">
        <v>0</v>
      </c>
      <c r="AB47" s="80">
        <v>47</v>
      </c>
      <c r="AC47" s="80"/>
      <c r="AD47" s="97"/>
      <c r="AE47" s="82" t="s">
        <v>526</v>
      </c>
      <c r="AF47" s="88" t="s">
        <v>451</v>
      </c>
      <c r="AG47" s="82">
        <v>199</v>
      </c>
      <c r="AH47" s="82">
        <v>360</v>
      </c>
      <c r="AI47" s="82">
        <v>8451</v>
      </c>
      <c r="AJ47" s="82">
        <v>4916</v>
      </c>
      <c r="AK47" s="82"/>
      <c r="AL47" s="82" t="s">
        <v>621</v>
      </c>
      <c r="AM47" s="82" t="s">
        <v>658</v>
      </c>
      <c r="AN47" s="86" t="str">
        <f>HYPERLINK("https://t.co/8BBFCYLxfp")</f>
        <v>https://t.co/8BBFCYLxfp</v>
      </c>
      <c r="AO47" s="82"/>
      <c r="AP47" s="84">
        <v>40144.26767361111</v>
      </c>
      <c r="AQ47" s="86" t="str">
        <f>HYPERLINK("https://pbs.twimg.com/profile_banners/92916193/1486446164")</f>
        <v>https://pbs.twimg.com/profile_banners/92916193/1486446164</v>
      </c>
      <c r="AR47" s="82" t="b">
        <v>0</v>
      </c>
      <c r="AS47" s="82" t="b">
        <v>0</v>
      </c>
      <c r="AT47" s="82" t="b">
        <v>0</v>
      </c>
      <c r="AU47" s="82"/>
      <c r="AV47" s="82">
        <v>3</v>
      </c>
      <c r="AW47" s="86" t="str">
        <f>HYPERLINK("https://abs.twimg.com/images/themes/theme9/bg.gif")</f>
        <v>https://abs.twimg.com/images/themes/theme9/bg.gif</v>
      </c>
      <c r="AX47" s="82" t="b">
        <v>0</v>
      </c>
      <c r="AY47" s="82" t="s">
        <v>663</v>
      </c>
      <c r="AZ47" s="86" t="str">
        <f>HYPERLINK("https://twitter.com/shorewalker1")</f>
        <v>https://twitter.com/shorewalker1</v>
      </c>
      <c r="BA47" s="82" t="s">
        <v>66</v>
      </c>
      <c r="BB47" s="82" t="str">
        <f>REPLACE(INDEX(GroupVertices[Group],MATCH(Vertices[[#This Row],[Vertex]],GroupVertices[Vertex],0)),1,1,"")</f>
        <v>3</v>
      </c>
      <c r="BC47" s="51" t="s">
        <v>1089</v>
      </c>
      <c r="BD47" s="51" t="s">
        <v>1089</v>
      </c>
      <c r="BE47" s="51" t="s">
        <v>1093</v>
      </c>
      <c r="BF47" s="51" t="s">
        <v>1093</v>
      </c>
      <c r="BG47" s="51" t="s">
        <v>1101</v>
      </c>
      <c r="BH47" s="51" t="s">
        <v>1106</v>
      </c>
      <c r="BI47" s="119" t="s">
        <v>1127</v>
      </c>
      <c r="BJ47" s="119" t="s">
        <v>1127</v>
      </c>
      <c r="BK47" s="119" t="s">
        <v>1151</v>
      </c>
      <c r="BL47" s="119" t="s">
        <v>1151</v>
      </c>
      <c r="BM47" s="119">
        <v>4</v>
      </c>
      <c r="BN47" s="122">
        <v>5.333333333333333</v>
      </c>
      <c r="BO47" s="119">
        <v>2</v>
      </c>
      <c r="BP47" s="122">
        <v>2.6666666666666665</v>
      </c>
      <c r="BQ47" s="119">
        <v>0</v>
      </c>
      <c r="BR47" s="122">
        <v>0</v>
      </c>
      <c r="BS47" s="119">
        <v>69</v>
      </c>
      <c r="BT47" s="122">
        <v>92</v>
      </c>
      <c r="BU47" s="119">
        <v>75</v>
      </c>
      <c r="BV47" s="2"/>
      <c r="BW47" s="3"/>
      <c r="BX47" s="3"/>
      <c r="BY47" s="3"/>
      <c r="BZ47" s="3"/>
    </row>
    <row r="48" spans="1:78" ht="41.45" customHeight="1">
      <c r="A48" s="14" t="s">
        <v>265</v>
      </c>
      <c r="C48" s="15"/>
      <c r="D48" s="15" t="s">
        <v>64</v>
      </c>
      <c r="E48" s="92">
        <v>167.76347573249834</v>
      </c>
      <c r="F48" s="79"/>
      <c r="G48" s="111" t="str">
        <f>HYPERLINK("https://pbs.twimg.com/profile_images/978250981854076928/--lCQGMP_normal.jpg")</f>
        <v>https://pbs.twimg.com/profile_images/978250981854076928/--lCQGMP_normal.jpg</v>
      </c>
      <c r="H48" s="15"/>
      <c r="I48" s="16" t="s">
        <v>265</v>
      </c>
      <c r="J48" s="67"/>
      <c r="K48" s="67"/>
      <c r="L48" s="113" t="s">
        <v>708</v>
      </c>
      <c r="M48" s="93">
        <v>1.3796284723515182</v>
      </c>
      <c r="N48" s="94">
        <v>8048.15673828125</v>
      </c>
      <c r="O48" s="94">
        <v>2434.3115234375</v>
      </c>
      <c r="P48" s="78"/>
      <c r="Q48" s="95"/>
      <c r="R48" s="95"/>
      <c r="S48" s="96"/>
      <c r="T48" s="51">
        <v>0</v>
      </c>
      <c r="U48" s="51">
        <v>1</v>
      </c>
      <c r="V48" s="52">
        <v>0</v>
      </c>
      <c r="W48" s="52">
        <v>1</v>
      </c>
      <c r="X48" s="52">
        <v>0</v>
      </c>
      <c r="Y48" s="52">
        <v>0.99999</v>
      </c>
      <c r="Z48" s="52">
        <v>0</v>
      </c>
      <c r="AA48" s="52">
        <v>0</v>
      </c>
      <c r="AB48" s="80">
        <v>48</v>
      </c>
      <c r="AC48" s="80"/>
      <c r="AD48" s="97"/>
      <c r="AE48" s="82" t="s">
        <v>527</v>
      </c>
      <c r="AF48" s="88" t="s">
        <v>574</v>
      </c>
      <c r="AG48" s="82">
        <v>2981</v>
      </c>
      <c r="AH48" s="82">
        <v>987</v>
      </c>
      <c r="AI48" s="82">
        <v>42205</v>
      </c>
      <c r="AJ48" s="82">
        <v>507</v>
      </c>
      <c r="AK48" s="82"/>
      <c r="AL48" s="82" t="s">
        <v>622</v>
      </c>
      <c r="AM48" s="82"/>
      <c r="AN48" s="86" t="str">
        <f>HYPERLINK("https://t.co/I60CCPNLKU")</f>
        <v>https://t.co/I60CCPNLKU</v>
      </c>
      <c r="AO48" s="82"/>
      <c r="AP48" s="84">
        <v>42971.323587962965</v>
      </c>
      <c r="AQ48" s="86" t="str">
        <f>HYPERLINK("https://pbs.twimg.com/profile_banners/900625214320644097/1589288389")</f>
        <v>https://pbs.twimg.com/profile_banners/900625214320644097/1589288389</v>
      </c>
      <c r="AR48" s="82" t="b">
        <v>0</v>
      </c>
      <c r="AS48" s="82" t="b">
        <v>0</v>
      </c>
      <c r="AT48" s="82" t="b">
        <v>0</v>
      </c>
      <c r="AU48" s="82"/>
      <c r="AV48" s="82">
        <v>16</v>
      </c>
      <c r="AW48" s="86" t="str">
        <f>HYPERLINK("https://abs.twimg.com/images/themes/theme1/bg.png")</f>
        <v>https://abs.twimg.com/images/themes/theme1/bg.png</v>
      </c>
      <c r="AX48" s="82" t="b">
        <v>0</v>
      </c>
      <c r="AY48" s="82" t="s">
        <v>663</v>
      </c>
      <c r="AZ48" s="86" t="str">
        <f>HYPERLINK("https://twitter.com/daily_research")</f>
        <v>https://twitter.com/daily_research</v>
      </c>
      <c r="BA48" s="82" t="s">
        <v>66</v>
      </c>
      <c r="BB48" s="82" t="str">
        <f>REPLACE(INDEX(GroupVertices[Group],MATCH(Vertices[[#This Row],[Vertex]],GroupVertices[Vertex],0)),1,1,"")</f>
        <v>8</v>
      </c>
      <c r="BC48" s="51" t="s">
        <v>779</v>
      </c>
      <c r="BD48" s="51" t="s">
        <v>779</v>
      </c>
      <c r="BE48" s="51" t="s">
        <v>332</v>
      </c>
      <c r="BF48" s="51" t="s">
        <v>332</v>
      </c>
      <c r="BG48" s="51" t="s">
        <v>357</v>
      </c>
      <c r="BH48" s="51" t="s">
        <v>357</v>
      </c>
      <c r="BI48" s="119" t="s">
        <v>1128</v>
      </c>
      <c r="BJ48" s="119" t="s">
        <v>1128</v>
      </c>
      <c r="BK48" s="119" t="s">
        <v>1152</v>
      </c>
      <c r="BL48" s="119" t="s">
        <v>1152</v>
      </c>
      <c r="BM48" s="119">
        <v>0</v>
      </c>
      <c r="BN48" s="122">
        <v>0</v>
      </c>
      <c r="BO48" s="119">
        <v>0</v>
      </c>
      <c r="BP48" s="122">
        <v>0</v>
      </c>
      <c r="BQ48" s="119">
        <v>0</v>
      </c>
      <c r="BR48" s="122">
        <v>0</v>
      </c>
      <c r="BS48" s="119">
        <v>26</v>
      </c>
      <c r="BT48" s="122">
        <v>100</v>
      </c>
      <c r="BU48" s="119">
        <v>26</v>
      </c>
      <c r="BV48" s="2"/>
      <c r="BW48" s="3"/>
      <c r="BX48" s="3"/>
      <c r="BY48" s="3"/>
      <c r="BZ48" s="3"/>
    </row>
    <row r="49" spans="1:78" ht="41.45" customHeight="1">
      <c r="A49" s="14" t="s">
        <v>284</v>
      </c>
      <c r="C49" s="15"/>
      <c r="D49" s="15" t="s">
        <v>64</v>
      </c>
      <c r="E49" s="92">
        <v>168.7006262581078</v>
      </c>
      <c r="F49" s="79"/>
      <c r="G49" s="111" t="str">
        <f>HYPERLINK("https://pbs.twimg.com/profile_images/1245356538455343116/VZb1XP5r_normal.jpg")</f>
        <v>https://pbs.twimg.com/profile_images/1245356538455343116/VZb1XP5r_normal.jpg</v>
      </c>
      <c r="H49" s="15"/>
      <c r="I49" s="16" t="s">
        <v>284</v>
      </c>
      <c r="J49" s="67"/>
      <c r="K49" s="67"/>
      <c r="L49" s="113" t="s">
        <v>709</v>
      </c>
      <c r="M49" s="93">
        <v>1.441356679237944</v>
      </c>
      <c r="N49" s="94">
        <v>8048.15673828125</v>
      </c>
      <c r="O49" s="94">
        <v>1334.945068359375</v>
      </c>
      <c r="P49" s="78"/>
      <c r="Q49" s="95"/>
      <c r="R49" s="95"/>
      <c r="S49" s="96"/>
      <c r="T49" s="51">
        <v>1</v>
      </c>
      <c r="U49" s="51">
        <v>0</v>
      </c>
      <c r="V49" s="52">
        <v>0</v>
      </c>
      <c r="W49" s="52">
        <v>1</v>
      </c>
      <c r="X49" s="52">
        <v>0</v>
      </c>
      <c r="Y49" s="52">
        <v>0.99999</v>
      </c>
      <c r="Z49" s="52">
        <v>0</v>
      </c>
      <c r="AA49" s="52">
        <v>0</v>
      </c>
      <c r="AB49" s="80">
        <v>49</v>
      </c>
      <c r="AC49" s="80"/>
      <c r="AD49" s="97"/>
      <c r="AE49" s="82" t="s">
        <v>528</v>
      </c>
      <c r="AF49" s="88" t="s">
        <v>575</v>
      </c>
      <c r="AG49" s="82">
        <v>4997</v>
      </c>
      <c r="AH49" s="82">
        <v>1147</v>
      </c>
      <c r="AI49" s="82">
        <v>12523</v>
      </c>
      <c r="AJ49" s="82">
        <v>12193</v>
      </c>
      <c r="AK49" s="82"/>
      <c r="AL49" s="82" t="s">
        <v>623</v>
      </c>
      <c r="AM49" s="82" t="s">
        <v>659</v>
      </c>
      <c r="AN49" s="86" t="str">
        <f>HYPERLINK("https://t.co/I60CCPNLKU")</f>
        <v>https://t.co/I60CCPNLKU</v>
      </c>
      <c r="AO49" s="82"/>
      <c r="AP49" s="84">
        <v>42489.6249537037</v>
      </c>
      <c r="AQ49" s="86" t="str">
        <f>HYPERLINK("https://pbs.twimg.com/profile_banners/726063474921582592/1516543744")</f>
        <v>https://pbs.twimg.com/profile_banners/726063474921582592/1516543744</v>
      </c>
      <c r="AR49" s="82" t="b">
        <v>0</v>
      </c>
      <c r="AS49" s="82" t="b">
        <v>0</v>
      </c>
      <c r="AT49" s="82" t="b">
        <v>0</v>
      </c>
      <c r="AU49" s="82"/>
      <c r="AV49" s="82">
        <v>15</v>
      </c>
      <c r="AW49" s="86" t="str">
        <f>HYPERLINK("https://abs.twimg.com/images/themes/theme1/bg.png")</f>
        <v>https://abs.twimg.com/images/themes/theme1/bg.png</v>
      </c>
      <c r="AX49" s="82" t="b">
        <v>0</v>
      </c>
      <c r="AY49" s="82" t="s">
        <v>663</v>
      </c>
      <c r="AZ49" s="86" t="str">
        <f>HYPERLINK("https://twitter.com/surveycircle")</f>
        <v>https://twitter.com/surveycircle</v>
      </c>
      <c r="BA49" s="82" t="s">
        <v>65</v>
      </c>
      <c r="BB49" s="82" t="str">
        <f>REPLACE(INDEX(GroupVertices[Group],MATCH(Vertices[[#This Row],[Vertex]],GroupVertices[Vertex],0)),1,1,"")</f>
        <v>8</v>
      </c>
      <c r="BC49" s="51"/>
      <c r="BD49" s="51"/>
      <c r="BE49" s="51"/>
      <c r="BF49" s="51"/>
      <c r="BG49" s="51"/>
      <c r="BH49" s="51"/>
      <c r="BI49" s="51"/>
      <c r="BJ49" s="51"/>
      <c r="BK49" s="51"/>
      <c r="BL49" s="51"/>
      <c r="BM49" s="51"/>
      <c r="BN49" s="52"/>
      <c r="BO49" s="51"/>
      <c r="BP49" s="52"/>
      <c r="BQ49" s="51"/>
      <c r="BR49" s="52"/>
      <c r="BS49" s="51"/>
      <c r="BT49" s="52"/>
      <c r="BU49" s="51"/>
      <c r="BV49" s="2"/>
      <c r="BW49" s="3"/>
      <c r="BX49" s="3"/>
      <c r="BY49" s="3"/>
      <c r="BZ49" s="3"/>
    </row>
    <row r="50" spans="1:78" ht="41.45" customHeight="1">
      <c r="A50" s="14" t="s">
        <v>266</v>
      </c>
      <c r="C50" s="15"/>
      <c r="D50" s="15" t="s">
        <v>64</v>
      </c>
      <c r="E50" s="92">
        <v>162</v>
      </c>
      <c r="F50" s="79"/>
      <c r="G50" s="111" t="str">
        <f>HYPERLINK("https://pbs.twimg.com/profile_images/1438447260254281731/IQbCp8Vb_normal.jpg")</f>
        <v>https://pbs.twimg.com/profile_images/1438447260254281731/IQbCp8Vb_normal.jpg</v>
      </c>
      <c r="H50" s="15"/>
      <c r="I50" s="16" t="s">
        <v>266</v>
      </c>
      <c r="J50" s="67"/>
      <c r="K50" s="67"/>
      <c r="L50" s="113" t="s">
        <v>710</v>
      </c>
      <c r="M50" s="93">
        <v>1</v>
      </c>
      <c r="N50" s="94">
        <v>4598.94677734375</v>
      </c>
      <c r="O50" s="94">
        <v>8507.0029296875</v>
      </c>
      <c r="P50" s="78"/>
      <c r="Q50" s="95"/>
      <c r="R50" s="95"/>
      <c r="S50" s="96"/>
      <c r="T50" s="51">
        <v>1</v>
      </c>
      <c r="U50" s="51">
        <v>1</v>
      </c>
      <c r="V50" s="52">
        <v>0</v>
      </c>
      <c r="W50" s="52">
        <v>0</v>
      </c>
      <c r="X50" s="52">
        <v>0</v>
      </c>
      <c r="Y50" s="52">
        <v>0.99999</v>
      </c>
      <c r="Z50" s="52">
        <v>0</v>
      </c>
      <c r="AA50" s="52">
        <v>0</v>
      </c>
      <c r="AB50" s="80">
        <v>50</v>
      </c>
      <c r="AC50" s="80"/>
      <c r="AD50" s="97"/>
      <c r="AE50" s="82" t="s">
        <v>529</v>
      </c>
      <c r="AF50" s="88" t="s">
        <v>576</v>
      </c>
      <c r="AG50" s="82">
        <v>24</v>
      </c>
      <c r="AH50" s="82">
        <v>3</v>
      </c>
      <c r="AI50" s="82">
        <v>37</v>
      </c>
      <c r="AJ50" s="82">
        <v>6</v>
      </c>
      <c r="AK50" s="82"/>
      <c r="AL50" s="82" t="s">
        <v>624</v>
      </c>
      <c r="AM50" s="82"/>
      <c r="AN50" s="86" t="str">
        <f>HYPERLINK("https://t.co/nMxuyD3KnO")</f>
        <v>https://t.co/nMxuyD3KnO</v>
      </c>
      <c r="AO50" s="82"/>
      <c r="AP50" s="84">
        <v>44451.185960648145</v>
      </c>
      <c r="AQ50" s="86" t="str">
        <f>HYPERLINK("https://pbs.twimg.com/profile_banners/1436909281283088387/1632329752")</f>
        <v>https://pbs.twimg.com/profile_banners/1436909281283088387/1632329752</v>
      </c>
      <c r="AR50" s="82" t="b">
        <v>1</v>
      </c>
      <c r="AS50" s="82" t="b">
        <v>0</v>
      </c>
      <c r="AT50" s="82" t="b">
        <v>0</v>
      </c>
      <c r="AU50" s="82"/>
      <c r="AV50" s="82">
        <v>0</v>
      </c>
      <c r="AW50" s="82"/>
      <c r="AX50" s="82" t="b">
        <v>0</v>
      </c>
      <c r="AY50" s="82" t="s">
        <v>663</v>
      </c>
      <c r="AZ50" s="86" t="str">
        <f>HYPERLINK("https://twitter.com/the_teh_news")</f>
        <v>https://twitter.com/the_teh_news</v>
      </c>
      <c r="BA50" s="82" t="s">
        <v>66</v>
      </c>
      <c r="BB50" s="82" t="str">
        <f>REPLACE(INDEX(GroupVertices[Group],MATCH(Vertices[[#This Row],[Vertex]],GroupVertices[Vertex],0)),1,1,"")</f>
        <v>3</v>
      </c>
      <c r="BC50" s="51"/>
      <c r="BD50" s="51"/>
      <c r="BE50" s="51"/>
      <c r="BF50" s="51"/>
      <c r="BG50" s="51" t="s">
        <v>1102</v>
      </c>
      <c r="BH50" s="51" t="s">
        <v>1102</v>
      </c>
      <c r="BI50" s="119" t="s">
        <v>1129</v>
      </c>
      <c r="BJ50" s="119" t="s">
        <v>1129</v>
      </c>
      <c r="BK50" s="119" t="s">
        <v>1153</v>
      </c>
      <c r="BL50" s="119" t="s">
        <v>1153</v>
      </c>
      <c r="BM50" s="119">
        <v>1</v>
      </c>
      <c r="BN50" s="122">
        <v>3.225806451612903</v>
      </c>
      <c r="BO50" s="119">
        <v>0</v>
      </c>
      <c r="BP50" s="122">
        <v>0</v>
      </c>
      <c r="BQ50" s="119">
        <v>0</v>
      </c>
      <c r="BR50" s="122">
        <v>0</v>
      </c>
      <c r="BS50" s="119">
        <v>30</v>
      </c>
      <c r="BT50" s="122">
        <v>96.7741935483871</v>
      </c>
      <c r="BU50" s="119">
        <v>31</v>
      </c>
      <c r="BV50" s="2"/>
      <c r="BW50" s="3"/>
      <c r="BX50" s="3"/>
      <c r="BY50" s="3"/>
      <c r="BZ50" s="3"/>
    </row>
    <row r="51" spans="1:78" ht="41.45" customHeight="1">
      <c r="A51" s="14" t="s">
        <v>267</v>
      </c>
      <c r="C51" s="15"/>
      <c r="D51" s="15" t="s">
        <v>64</v>
      </c>
      <c r="E51" s="92">
        <v>162.91372176246924</v>
      </c>
      <c r="F51" s="79"/>
      <c r="G51" s="111" t="str">
        <f>HYPERLINK("https://pbs.twimg.com/profile_images/1148337726866874368/aIvdSvJg_normal.jpg")</f>
        <v>https://pbs.twimg.com/profile_images/1148337726866874368/aIvdSvJg_normal.jpg</v>
      </c>
      <c r="H51" s="15"/>
      <c r="I51" s="16" t="s">
        <v>267</v>
      </c>
      <c r="J51" s="67"/>
      <c r="K51" s="67"/>
      <c r="L51" s="113" t="s">
        <v>711</v>
      </c>
      <c r="M51" s="93">
        <v>1.060185001714265</v>
      </c>
      <c r="N51" s="94">
        <v>4198.39306640625</v>
      </c>
      <c r="O51" s="94">
        <v>3628.1162109375</v>
      </c>
      <c r="P51" s="78"/>
      <c r="Q51" s="95"/>
      <c r="R51" s="95"/>
      <c r="S51" s="96"/>
      <c r="T51" s="51">
        <v>0</v>
      </c>
      <c r="U51" s="51">
        <v>1</v>
      </c>
      <c r="V51" s="52">
        <v>0</v>
      </c>
      <c r="W51" s="52">
        <v>0.142857</v>
      </c>
      <c r="X51" s="52">
        <v>0</v>
      </c>
      <c r="Y51" s="52">
        <v>0.595233</v>
      </c>
      <c r="Z51" s="52">
        <v>0</v>
      </c>
      <c r="AA51" s="52">
        <v>0</v>
      </c>
      <c r="AB51" s="80">
        <v>51</v>
      </c>
      <c r="AC51" s="80"/>
      <c r="AD51" s="97"/>
      <c r="AE51" s="82" t="s">
        <v>530</v>
      </c>
      <c r="AF51" s="88" t="s">
        <v>577</v>
      </c>
      <c r="AG51" s="82">
        <v>397</v>
      </c>
      <c r="AH51" s="82">
        <v>159</v>
      </c>
      <c r="AI51" s="82">
        <v>12233</v>
      </c>
      <c r="AJ51" s="82">
        <v>564</v>
      </c>
      <c r="AK51" s="82"/>
      <c r="AL51" s="82" t="s">
        <v>625</v>
      </c>
      <c r="AM51" s="82" t="s">
        <v>660</v>
      </c>
      <c r="AN51" s="82"/>
      <c r="AO51" s="82"/>
      <c r="AP51" s="84">
        <v>43575.46105324074</v>
      </c>
      <c r="AQ51" s="86" t="str">
        <f>HYPERLINK("https://pbs.twimg.com/profile_banners/1119557301021446144/1604526987")</f>
        <v>https://pbs.twimg.com/profile_banners/1119557301021446144/1604526987</v>
      </c>
      <c r="AR51" s="82" t="b">
        <v>1</v>
      </c>
      <c r="AS51" s="82" t="b">
        <v>0</v>
      </c>
      <c r="AT51" s="82" t="b">
        <v>0</v>
      </c>
      <c r="AU51" s="82"/>
      <c r="AV51" s="82">
        <v>1</v>
      </c>
      <c r="AW51" s="82"/>
      <c r="AX51" s="82" t="b">
        <v>0</v>
      </c>
      <c r="AY51" s="82" t="s">
        <v>663</v>
      </c>
      <c r="AZ51" s="86" t="str">
        <f>HYPERLINK("https://twitter.com/pengejarbayang")</f>
        <v>https://twitter.com/pengejarbayang</v>
      </c>
      <c r="BA51" s="82" t="s">
        <v>66</v>
      </c>
      <c r="BB51" s="82" t="str">
        <f>REPLACE(INDEX(GroupVertices[Group],MATCH(Vertices[[#This Row],[Vertex]],GroupVertices[Vertex],0)),1,1,"")</f>
        <v>4</v>
      </c>
      <c r="BC51" s="51" t="s">
        <v>748</v>
      </c>
      <c r="BD51" s="51" t="s">
        <v>748</v>
      </c>
      <c r="BE51" s="51" t="s">
        <v>328</v>
      </c>
      <c r="BF51" s="51" t="s">
        <v>328</v>
      </c>
      <c r="BG51" s="51" t="s">
        <v>350</v>
      </c>
      <c r="BH51" s="51" t="s">
        <v>350</v>
      </c>
      <c r="BI51" s="119" t="s">
        <v>942</v>
      </c>
      <c r="BJ51" s="119" t="s">
        <v>942</v>
      </c>
      <c r="BK51" s="119" t="s">
        <v>1027</v>
      </c>
      <c r="BL51" s="119" t="s">
        <v>1027</v>
      </c>
      <c r="BM51" s="119">
        <v>0</v>
      </c>
      <c r="BN51" s="122">
        <v>0</v>
      </c>
      <c r="BO51" s="119">
        <v>0</v>
      </c>
      <c r="BP51" s="122">
        <v>0</v>
      </c>
      <c r="BQ51" s="119">
        <v>0</v>
      </c>
      <c r="BR51" s="122">
        <v>0</v>
      </c>
      <c r="BS51" s="119">
        <v>33</v>
      </c>
      <c r="BT51" s="122">
        <v>100</v>
      </c>
      <c r="BU51" s="119">
        <v>33</v>
      </c>
      <c r="BV51" s="2"/>
      <c r="BW51" s="3"/>
      <c r="BX51" s="3"/>
      <c r="BY51" s="3"/>
      <c r="BZ51" s="3"/>
    </row>
    <row r="52" spans="1:78" ht="41.45" customHeight="1">
      <c r="A52" s="14" t="s">
        <v>268</v>
      </c>
      <c r="C52" s="15"/>
      <c r="D52" s="15" t="s">
        <v>64</v>
      </c>
      <c r="E52" s="92">
        <v>181.65087508387384</v>
      </c>
      <c r="F52" s="79"/>
      <c r="G52" s="111" t="str">
        <f>HYPERLINK("https://pbs.twimg.com/profile_images/1238295751098171398/QaPMEcwW_normal.jpg")</f>
        <v>https://pbs.twimg.com/profile_images/1238295751098171398/QaPMEcwW_normal.jpg</v>
      </c>
      <c r="H52" s="15"/>
      <c r="I52" s="16" t="s">
        <v>268</v>
      </c>
      <c r="J52" s="67"/>
      <c r="K52" s="67"/>
      <c r="L52" s="113" t="s">
        <v>712</v>
      </c>
      <c r="M52" s="93">
        <v>2.29436333814974</v>
      </c>
      <c r="N52" s="94">
        <v>5800.60693359375</v>
      </c>
      <c r="O52" s="94">
        <v>1345.2081298828125</v>
      </c>
      <c r="P52" s="78"/>
      <c r="Q52" s="95"/>
      <c r="R52" s="95"/>
      <c r="S52" s="96"/>
      <c r="T52" s="51">
        <v>0</v>
      </c>
      <c r="U52" s="51">
        <v>1</v>
      </c>
      <c r="V52" s="52">
        <v>0</v>
      </c>
      <c r="W52" s="52">
        <v>0.142857</v>
      </c>
      <c r="X52" s="52">
        <v>0</v>
      </c>
      <c r="Y52" s="52">
        <v>0.595233</v>
      </c>
      <c r="Z52" s="52">
        <v>0</v>
      </c>
      <c r="AA52" s="52">
        <v>0</v>
      </c>
      <c r="AB52" s="80">
        <v>52</v>
      </c>
      <c r="AC52" s="80"/>
      <c r="AD52" s="97"/>
      <c r="AE52" s="82" t="s">
        <v>531</v>
      </c>
      <c r="AF52" s="88" t="s">
        <v>578</v>
      </c>
      <c r="AG52" s="82">
        <v>5002</v>
      </c>
      <c r="AH52" s="82">
        <v>3358</v>
      </c>
      <c r="AI52" s="82">
        <v>71593</v>
      </c>
      <c r="AJ52" s="82">
        <v>132963</v>
      </c>
      <c r="AK52" s="82"/>
      <c r="AL52" s="82" t="s">
        <v>626</v>
      </c>
      <c r="AM52" s="82" t="s">
        <v>661</v>
      </c>
      <c r="AN52" s="82"/>
      <c r="AO52" s="82"/>
      <c r="AP52" s="84">
        <v>42174.35931712963</v>
      </c>
      <c r="AQ52" s="86" t="str">
        <f>HYPERLINK("https://pbs.twimg.com/profile_banners/3249664333/1576763794")</f>
        <v>https://pbs.twimg.com/profile_banners/3249664333/1576763794</v>
      </c>
      <c r="AR52" s="82" t="b">
        <v>1</v>
      </c>
      <c r="AS52" s="82" t="b">
        <v>0</v>
      </c>
      <c r="AT52" s="82" t="b">
        <v>1</v>
      </c>
      <c r="AU52" s="82"/>
      <c r="AV52" s="82">
        <v>2</v>
      </c>
      <c r="AW52" s="86" t="str">
        <f>HYPERLINK("https://abs.twimg.com/images/themes/theme1/bg.png")</f>
        <v>https://abs.twimg.com/images/themes/theme1/bg.png</v>
      </c>
      <c r="AX52" s="82" t="b">
        <v>0</v>
      </c>
      <c r="AY52" s="82" t="s">
        <v>663</v>
      </c>
      <c r="AZ52" s="86" t="str">
        <f>HYPERLINK("https://twitter.com/alvinrio_1501")</f>
        <v>https://twitter.com/alvinrio_1501</v>
      </c>
      <c r="BA52" s="82" t="s">
        <v>66</v>
      </c>
      <c r="BB52" s="82" t="str">
        <f>REPLACE(INDEX(GroupVertices[Group],MATCH(Vertices[[#This Row],[Vertex]],GroupVertices[Vertex],0)),1,1,"")</f>
        <v>4</v>
      </c>
      <c r="BC52" s="51" t="s">
        <v>748</v>
      </c>
      <c r="BD52" s="51" t="s">
        <v>748</v>
      </c>
      <c r="BE52" s="51" t="s">
        <v>328</v>
      </c>
      <c r="BF52" s="51" t="s">
        <v>328</v>
      </c>
      <c r="BG52" s="51" t="s">
        <v>350</v>
      </c>
      <c r="BH52" s="51" t="s">
        <v>350</v>
      </c>
      <c r="BI52" s="119" t="s">
        <v>942</v>
      </c>
      <c r="BJ52" s="119" t="s">
        <v>942</v>
      </c>
      <c r="BK52" s="119" t="s">
        <v>1027</v>
      </c>
      <c r="BL52" s="119" t="s">
        <v>1027</v>
      </c>
      <c r="BM52" s="119">
        <v>0</v>
      </c>
      <c r="BN52" s="122">
        <v>0</v>
      </c>
      <c r="BO52" s="119">
        <v>0</v>
      </c>
      <c r="BP52" s="122">
        <v>0</v>
      </c>
      <c r="BQ52" s="119">
        <v>0</v>
      </c>
      <c r="BR52" s="122">
        <v>0</v>
      </c>
      <c r="BS52" s="119">
        <v>33</v>
      </c>
      <c r="BT52" s="122">
        <v>100</v>
      </c>
      <c r="BU52" s="119">
        <v>33</v>
      </c>
      <c r="BV52" s="2"/>
      <c r="BW52" s="3"/>
      <c r="BX52" s="3"/>
      <c r="BY52" s="3"/>
      <c r="BZ52" s="3"/>
    </row>
    <row r="53" spans="1:78" ht="41.45" customHeight="1">
      <c r="A53" s="98" t="s">
        <v>270</v>
      </c>
      <c r="C53" s="99"/>
      <c r="D53" s="99" t="s">
        <v>64</v>
      </c>
      <c r="E53" s="100">
        <v>165.59045795124132</v>
      </c>
      <c r="F53" s="101"/>
      <c r="G53" s="112" t="str">
        <f>HYPERLINK("https://pbs.twimg.com/profile_images/1415713296242462722/5PeUNbEG_normal.jpg")</f>
        <v>https://pbs.twimg.com/profile_images/1415713296242462722/5PeUNbEG_normal.jpg</v>
      </c>
      <c r="H53" s="99"/>
      <c r="I53" s="102" t="s">
        <v>270</v>
      </c>
      <c r="J53" s="103"/>
      <c r="K53" s="103"/>
      <c r="L53" s="114" t="s">
        <v>713</v>
      </c>
      <c r="M53" s="104">
        <v>1.2364961926336187</v>
      </c>
      <c r="N53" s="105">
        <v>4462.044921875</v>
      </c>
      <c r="O53" s="105">
        <v>836.5653686523438</v>
      </c>
      <c r="P53" s="106"/>
      <c r="Q53" s="107"/>
      <c r="R53" s="107"/>
      <c r="S53" s="108"/>
      <c r="T53" s="51">
        <v>0</v>
      </c>
      <c r="U53" s="51">
        <v>1</v>
      </c>
      <c r="V53" s="52">
        <v>0</v>
      </c>
      <c r="W53" s="52">
        <v>0.142857</v>
      </c>
      <c r="X53" s="52">
        <v>0</v>
      </c>
      <c r="Y53" s="52">
        <v>0.595233</v>
      </c>
      <c r="Z53" s="52">
        <v>0</v>
      </c>
      <c r="AA53" s="52">
        <v>0</v>
      </c>
      <c r="AB53" s="109">
        <v>53</v>
      </c>
      <c r="AC53" s="109"/>
      <c r="AD53" s="110"/>
      <c r="AE53" s="82" t="s">
        <v>532</v>
      </c>
      <c r="AF53" s="88" t="s">
        <v>579</v>
      </c>
      <c r="AG53" s="82">
        <v>387</v>
      </c>
      <c r="AH53" s="82">
        <v>616</v>
      </c>
      <c r="AI53" s="82">
        <v>11539</v>
      </c>
      <c r="AJ53" s="82">
        <v>15955</v>
      </c>
      <c r="AK53" s="82"/>
      <c r="AL53" s="82" t="s">
        <v>627</v>
      </c>
      <c r="AM53" s="82" t="s">
        <v>662</v>
      </c>
      <c r="AN53" s="82"/>
      <c r="AO53" s="82"/>
      <c r="AP53" s="84">
        <v>41890.56490740741</v>
      </c>
      <c r="AQ53" s="86" t="str">
        <f>HYPERLINK("https://pbs.twimg.com/profile_banners/2797961335/1613285156")</f>
        <v>https://pbs.twimg.com/profile_banners/2797961335/1613285156</v>
      </c>
      <c r="AR53" s="82" t="b">
        <v>1</v>
      </c>
      <c r="AS53" s="82" t="b">
        <v>0</v>
      </c>
      <c r="AT53" s="82" t="b">
        <v>0</v>
      </c>
      <c r="AU53" s="82"/>
      <c r="AV53" s="82">
        <v>0</v>
      </c>
      <c r="AW53" s="86" t="str">
        <f>HYPERLINK("https://abs.twimg.com/images/themes/theme1/bg.png")</f>
        <v>https://abs.twimg.com/images/themes/theme1/bg.png</v>
      </c>
      <c r="AX53" s="82" t="b">
        <v>0</v>
      </c>
      <c r="AY53" s="82" t="s">
        <v>663</v>
      </c>
      <c r="AZ53" s="86" t="str">
        <f>HYPERLINK("https://twitter.com/darakasiwi")</f>
        <v>https://twitter.com/darakasiwi</v>
      </c>
      <c r="BA53" s="82" t="s">
        <v>66</v>
      </c>
      <c r="BB53" s="82" t="str">
        <f>REPLACE(INDEX(GroupVertices[Group],MATCH(Vertices[[#This Row],[Vertex]],GroupVertices[Vertex],0)),1,1,"")</f>
        <v>4</v>
      </c>
      <c r="BC53" s="51" t="s">
        <v>748</v>
      </c>
      <c r="BD53" s="51" t="s">
        <v>748</v>
      </c>
      <c r="BE53" s="51" t="s">
        <v>328</v>
      </c>
      <c r="BF53" s="51" t="s">
        <v>328</v>
      </c>
      <c r="BG53" s="51" t="s">
        <v>350</v>
      </c>
      <c r="BH53" s="51" t="s">
        <v>350</v>
      </c>
      <c r="BI53" s="119" t="s">
        <v>942</v>
      </c>
      <c r="BJ53" s="119" t="s">
        <v>942</v>
      </c>
      <c r="BK53" s="119" t="s">
        <v>1027</v>
      </c>
      <c r="BL53" s="119" t="s">
        <v>1027</v>
      </c>
      <c r="BM53" s="119">
        <v>0</v>
      </c>
      <c r="BN53" s="122">
        <v>0</v>
      </c>
      <c r="BO53" s="119">
        <v>0</v>
      </c>
      <c r="BP53" s="122">
        <v>0</v>
      </c>
      <c r="BQ53" s="119">
        <v>0</v>
      </c>
      <c r="BR53" s="122">
        <v>0</v>
      </c>
      <c r="BS53" s="119">
        <v>33</v>
      </c>
      <c r="BT53" s="122">
        <v>100</v>
      </c>
      <c r="BU53" s="119">
        <v>33</v>
      </c>
      <c r="BV53" s="2"/>
      <c r="BW53" s="3"/>
      <c r="BX53" s="3"/>
      <c r="BY53" s="3"/>
      <c r="BZ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3"/>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3"/>
    <dataValidation allowBlank="1" showInputMessage="1" promptTitle="Vertex Tooltip" prompt="Enter optional text that will pop up when the mouse is hovered over the vertex." errorTitle="Invalid Vertex Image Key" sqref="L3:L5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3"/>
    <dataValidation allowBlank="1" showInputMessage="1" promptTitle="Vertex Label Fill Color" prompt="To select an optional fill color for the Label shape, right-click and select Select Color on the right-click menu." sqref="J3:J53"/>
    <dataValidation allowBlank="1" showInputMessage="1" promptTitle="Vertex Image File" prompt="Enter the path to an image file.  Hover over the column header for examples." errorTitle="Invalid Vertex Image Key" sqref="G3:G53"/>
    <dataValidation allowBlank="1" showInputMessage="1" promptTitle="Vertex Color" prompt="To select an optional vertex color, right-click and select Select Color on the right-click menu." sqref="C3:C53"/>
    <dataValidation allowBlank="1" showInputMessage="1" promptTitle="Vertex Opacity" prompt="Enter an optional vertex opacity between 0 (transparent) and 100 (opaque)." errorTitle="Invalid Vertex Opacity" error="The optional vertex opacity must be a whole number between 0 and 10." sqref="F3:F53"/>
    <dataValidation type="list" allowBlank="1" showInputMessage="1" showErrorMessage="1" promptTitle="Vertex Shape" prompt="Select an optional vertex shape." errorTitle="Invalid Vertex Shape" error="You have entered an invalid vertex shape.  Try selecting from the drop-down list instead." sqref="D3:D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3">
      <formula1>ValidVertexLabelPositions</formula1>
    </dataValidation>
    <dataValidation allowBlank="1" showInputMessage="1" showErrorMessage="1" promptTitle="Vertex Name" prompt="Enter the name of the vertex." sqref="A3:A5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19.7109375" style="0" bestFit="1" customWidth="1"/>
    <col min="34" max="34" width="24.28125" style="0" bestFit="1" customWidth="1"/>
    <col min="35" max="35" width="19.7109375" style="0" bestFit="1" customWidth="1"/>
    <col min="36" max="36" width="24.28125" style="0" bestFit="1" customWidth="1"/>
    <col min="37" max="37" width="19.7109375" style="0" bestFit="1" customWidth="1"/>
    <col min="38" max="38" width="24.28125" style="0" bestFit="1" customWidth="1"/>
    <col min="39" max="39" width="18.57421875" style="0" bestFit="1" customWidth="1"/>
    <col min="40" max="40" width="22.28125" style="0" bestFit="1" customWidth="1"/>
    <col min="41" max="41" width="16.85156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787</v>
      </c>
      <c r="Z2" s="13" t="s">
        <v>804</v>
      </c>
      <c r="AA2" s="13" t="s">
        <v>864</v>
      </c>
      <c r="AB2" s="13" t="s">
        <v>938</v>
      </c>
      <c r="AC2" s="13" t="s">
        <v>1023</v>
      </c>
      <c r="AD2" s="13" t="s">
        <v>1057</v>
      </c>
      <c r="AE2" s="13" t="s">
        <v>1058</v>
      </c>
      <c r="AF2" s="13" t="s">
        <v>1073</v>
      </c>
      <c r="AG2" s="68" t="s">
        <v>1293</v>
      </c>
      <c r="AH2" s="68" t="s">
        <v>1294</v>
      </c>
      <c r="AI2" s="68" t="s">
        <v>1295</v>
      </c>
      <c r="AJ2" s="68" t="s">
        <v>1296</v>
      </c>
      <c r="AK2" s="68" t="s">
        <v>1297</v>
      </c>
      <c r="AL2" s="68" t="s">
        <v>1298</v>
      </c>
      <c r="AM2" s="68" t="s">
        <v>1299</v>
      </c>
      <c r="AN2" s="68" t="s">
        <v>1300</v>
      </c>
      <c r="AO2" s="68" t="s">
        <v>1303</v>
      </c>
    </row>
    <row r="3" spans="1:41" ht="15">
      <c r="A3" s="81" t="s">
        <v>718</v>
      </c>
      <c r="B3" s="116" t="s">
        <v>730</v>
      </c>
      <c r="C3" s="116" t="s">
        <v>56</v>
      </c>
      <c r="D3" s="15"/>
      <c r="E3" s="15"/>
      <c r="F3" s="16" t="s">
        <v>1373</v>
      </c>
      <c r="G3" s="78"/>
      <c r="H3" s="78"/>
      <c r="I3" s="80">
        <v>3</v>
      </c>
      <c r="J3" s="64"/>
      <c r="K3" s="51">
        <v>11</v>
      </c>
      <c r="L3" s="51">
        <v>18</v>
      </c>
      <c r="M3" s="51">
        <v>2</v>
      </c>
      <c r="N3" s="51">
        <v>20</v>
      </c>
      <c r="O3" s="51">
        <v>0</v>
      </c>
      <c r="P3" s="52">
        <v>0.05555555555555555</v>
      </c>
      <c r="Q3" s="52">
        <v>0.10526315789473684</v>
      </c>
      <c r="R3" s="51">
        <v>1</v>
      </c>
      <c r="S3" s="51">
        <v>0</v>
      </c>
      <c r="T3" s="51">
        <v>11</v>
      </c>
      <c r="U3" s="51">
        <v>20</v>
      </c>
      <c r="V3" s="51">
        <v>3</v>
      </c>
      <c r="W3" s="52">
        <v>1.636364</v>
      </c>
      <c r="X3" s="52">
        <v>0.17272727272727273</v>
      </c>
      <c r="Y3" s="82" t="s">
        <v>788</v>
      </c>
      <c r="Z3" s="82" t="s">
        <v>805</v>
      </c>
      <c r="AA3" s="82" t="s">
        <v>865</v>
      </c>
      <c r="AB3" s="88" t="s">
        <v>939</v>
      </c>
      <c r="AC3" s="88" t="s">
        <v>1024</v>
      </c>
      <c r="AD3" s="88"/>
      <c r="AE3" s="88" t="s">
        <v>1059</v>
      </c>
      <c r="AF3" s="88" t="s">
        <v>1074</v>
      </c>
      <c r="AG3" s="119">
        <v>2</v>
      </c>
      <c r="AH3" s="122">
        <v>2.5641025641025643</v>
      </c>
      <c r="AI3" s="119">
        <v>0</v>
      </c>
      <c r="AJ3" s="122">
        <v>0</v>
      </c>
      <c r="AK3" s="119">
        <v>0</v>
      </c>
      <c r="AL3" s="122">
        <v>0</v>
      </c>
      <c r="AM3" s="119">
        <v>76</v>
      </c>
      <c r="AN3" s="122">
        <v>97.43589743589743</v>
      </c>
      <c r="AO3" s="119">
        <v>78</v>
      </c>
    </row>
    <row r="4" spans="1:41" ht="15">
      <c r="A4" s="81" t="s">
        <v>719</v>
      </c>
      <c r="B4" s="116" t="s">
        <v>731</v>
      </c>
      <c r="C4" s="116" t="s">
        <v>56</v>
      </c>
      <c r="D4" s="15"/>
      <c r="E4" s="15"/>
      <c r="F4" s="16" t="s">
        <v>1374</v>
      </c>
      <c r="G4" s="78"/>
      <c r="H4" s="78"/>
      <c r="I4" s="80">
        <v>4</v>
      </c>
      <c r="J4" s="80"/>
      <c r="K4" s="51">
        <v>9</v>
      </c>
      <c r="L4" s="51">
        <v>10</v>
      </c>
      <c r="M4" s="51">
        <v>3</v>
      </c>
      <c r="N4" s="51">
        <v>13</v>
      </c>
      <c r="O4" s="51">
        <v>5</v>
      </c>
      <c r="P4" s="52">
        <v>0</v>
      </c>
      <c r="Q4" s="52">
        <v>0</v>
      </c>
      <c r="R4" s="51">
        <v>1</v>
      </c>
      <c r="S4" s="51">
        <v>0</v>
      </c>
      <c r="T4" s="51">
        <v>9</v>
      </c>
      <c r="U4" s="51">
        <v>13</v>
      </c>
      <c r="V4" s="51">
        <v>4</v>
      </c>
      <c r="W4" s="52">
        <v>2.17284</v>
      </c>
      <c r="X4" s="52">
        <v>0.1111111111111111</v>
      </c>
      <c r="Y4" s="82" t="s">
        <v>789</v>
      </c>
      <c r="Z4" s="82" t="s">
        <v>806</v>
      </c>
      <c r="AA4" s="82" t="s">
        <v>866</v>
      </c>
      <c r="AB4" s="88" t="s">
        <v>940</v>
      </c>
      <c r="AC4" s="88" t="s">
        <v>1025</v>
      </c>
      <c r="AD4" s="88"/>
      <c r="AE4" s="88" t="s">
        <v>1036</v>
      </c>
      <c r="AF4" s="88" t="s">
        <v>1075</v>
      </c>
      <c r="AG4" s="119">
        <v>32</v>
      </c>
      <c r="AH4" s="122">
        <v>7.191011235955056</v>
      </c>
      <c r="AI4" s="119">
        <v>3</v>
      </c>
      <c r="AJ4" s="122">
        <v>0.6741573033707865</v>
      </c>
      <c r="AK4" s="119">
        <v>0</v>
      </c>
      <c r="AL4" s="122">
        <v>0</v>
      </c>
      <c r="AM4" s="119">
        <v>410</v>
      </c>
      <c r="AN4" s="122">
        <v>92.13483146067416</v>
      </c>
      <c r="AO4" s="119">
        <v>445</v>
      </c>
    </row>
    <row r="5" spans="1:41" ht="15">
      <c r="A5" s="81" t="s">
        <v>720</v>
      </c>
      <c r="B5" s="116" t="s">
        <v>732</v>
      </c>
      <c r="C5" s="116" t="s">
        <v>56</v>
      </c>
      <c r="D5" s="15"/>
      <c r="E5" s="15"/>
      <c r="F5" s="16" t="s">
        <v>1375</v>
      </c>
      <c r="G5" s="78"/>
      <c r="H5" s="78"/>
      <c r="I5" s="80">
        <v>5</v>
      </c>
      <c r="J5" s="80"/>
      <c r="K5" s="51">
        <v>6</v>
      </c>
      <c r="L5" s="51">
        <v>5</v>
      </c>
      <c r="M5" s="51">
        <v>2</v>
      </c>
      <c r="N5" s="51">
        <v>7</v>
      </c>
      <c r="O5" s="51">
        <v>7</v>
      </c>
      <c r="P5" s="52" t="s">
        <v>745</v>
      </c>
      <c r="Q5" s="52" t="s">
        <v>745</v>
      </c>
      <c r="R5" s="51">
        <v>6</v>
      </c>
      <c r="S5" s="51">
        <v>6</v>
      </c>
      <c r="T5" s="51">
        <v>1</v>
      </c>
      <c r="U5" s="51">
        <v>2</v>
      </c>
      <c r="V5" s="51">
        <v>0</v>
      </c>
      <c r="W5" s="52">
        <v>0</v>
      </c>
      <c r="X5" s="52">
        <v>0</v>
      </c>
      <c r="Y5" s="82" t="s">
        <v>790</v>
      </c>
      <c r="Z5" s="82" t="s">
        <v>807</v>
      </c>
      <c r="AA5" s="82" t="s">
        <v>867</v>
      </c>
      <c r="AB5" s="88" t="s">
        <v>941</v>
      </c>
      <c r="AC5" s="88" t="s">
        <v>1026</v>
      </c>
      <c r="AD5" s="88"/>
      <c r="AE5" s="88"/>
      <c r="AF5" s="88" t="s">
        <v>1076</v>
      </c>
      <c r="AG5" s="119">
        <v>9</v>
      </c>
      <c r="AH5" s="122">
        <v>4.166666666666667</v>
      </c>
      <c r="AI5" s="119">
        <v>2</v>
      </c>
      <c r="AJ5" s="122">
        <v>0.9259259259259259</v>
      </c>
      <c r="AK5" s="119">
        <v>0</v>
      </c>
      <c r="AL5" s="122">
        <v>0</v>
      </c>
      <c r="AM5" s="119">
        <v>205</v>
      </c>
      <c r="AN5" s="122">
        <v>94.9074074074074</v>
      </c>
      <c r="AO5" s="119">
        <v>216</v>
      </c>
    </row>
    <row r="6" spans="1:41" ht="15">
      <c r="A6" s="81" t="s">
        <v>721</v>
      </c>
      <c r="B6" s="116" t="s">
        <v>733</v>
      </c>
      <c r="C6" s="116" t="s">
        <v>56</v>
      </c>
      <c r="D6" s="15"/>
      <c r="E6" s="15"/>
      <c r="F6" s="16" t="s">
        <v>1376</v>
      </c>
      <c r="G6" s="78"/>
      <c r="H6" s="78"/>
      <c r="I6" s="80">
        <v>6</v>
      </c>
      <c r="J6" s="80"/>
      <c r="K6" s="51">
        <v>5</v>
      </c>
      <c r="L6" s="51">
        <v>5</v>
      </c>
      <c r="M6" s="51">
        <v>0</v>
      </c>
      <c r="N6" s="51">
        <v>5</v>
      </c>
      <c r="O6" s="51">
        <v>1</v>
      </c>
      <c r="P6" s="52">
        <v>0</v>
      </c>
      <c r="Q6" s="52">
        <v>0</v>
      </c>
      <c r="R6" s="51">
        <v>1</v>
      </c>
      <c r="S6" s="51">
        <v>0</v>
      </c>
      <c r="T6" s="51">
        <v>5</v>
      </c>
      <c r="U6" s="51">
        <v>5</v>
      </c>
      <c r="V6" s="51">
        <v>2</v>
      </c>
      <c r="W6" s="52">
        <v>1.28</v>
      </c>
      <c r="X6" s="52">
        <v>0.2</v>
      </c>
      <c r="Y6" s="82" t="s">
        <v>748</v>
      </c>
      <c r="Z6" s="82" t="s">
        <v>328</v>
      </c>
      <c r="AA6" s="82" t="s">
        <v>350</v>
      </c>
      <c r="AB6" s="88" t="s">
        <v>942</v>
      </c>
      <c r="AC6" s="88" t="s">
        <v>1027</v>
      </c>
      <c r="AD6" s="88"/>
      <c r="AE6" s="88"/>
      <c r="AF6" s="88" t="s">
        <v>1077</v>
      </c>
      <c r="AG6" s="119">
        <v>0</v>
      </c>
      <c r="AH6" s="122">
        <v>0</v>
      </c>
      <c r="AI6" s="119">
        <v>0</v>
      </c>
      <c r="AJ6" s="122">
        <v>0</v>
      </c>
      <c r="AK6" s="119">
        <v>0</v>
      </c>
      <c r="AL6" s="122">
        <v>0</v>
      </c>
      <c r="AM6" s="119">
        <v>165</v>
      </c>
      <c r="AN6" s="122">
        <v>100</v>
      </c>
      <c r="AO6" s="119">
        <v>165</v>
      </c>
    </row>
    <row r="7" spans="1:41" ht="15">
      <c r="A7" s="81" t="s">
        <v>722</v>
      </c>
      <c r="B7" s="116" t="s">
        <v>734</v>
      </c>
      <c r="C7" s="116" t="s">
        <v>56</v>
      </c>
      <c r="D7" s="15"/>
      <c r="E7" s="15"/>
      <c r="F7" s="16" t="s">
        <v>1377</v>
      </c>
      <c r="G7" s="78"/>
      <c r="H7" s="78"/>
      <c r="I7" s="80">
        <v>7</v>
      </c>
      <c r="J7" s="80"/>
      <c r="K7" s="51">
        <v>4</v>
      </c>
      <c r="L7" s="51">
        <v>4</v>
      </c>
      <c r="M7" s="51">
        <v>0</v>
      </c>
      <c r="N7" s="51">
        <v>4</v>
      </c>
      <c r="O7" s="51">
        <v>0</v>
      </c>
      <c r="P7" s="52">
        <v>0</v>
      </c>
      <c r="Q7" s="52">
        <v>0</v>
      </c>
      <c r="R7" s="51">
        <v>1</v>
      </c>
      <c r="S7" s="51">
        <v>0</v>
      </c>
      <c r="T7" s="51">
        <v>4</v>
      </c>
      <c r="U7" s="51">
        <v>4</v>
      </c>
      <c r="V7" s="51">
        <v>2</v>
      </c>
      <c r="W7" s="52">
        <v>1</v>
      </c>
      <c r="X7" s="52">
        <v>0.3333333333333333</v>
      </c>
      <c r="Y7" s="82" t="s">
        <v>749</v>
      </c>
      <c r="Z7" s="82" t="s">
        <v>322</v>
      </c>
      <c r="AA7" s="82" t="s">
        <v>868</v>
      </c>
      <c r="AB7" s="88" t="s">
        <v>943</v>
      </c>
      <c r="AC7" s="88" t="s">
        <v>1028</v>
      </c>
      <c r="AD7" s="88"/>
      <c r="AE7" s="88" t="s">
        <v>1060</v>
      </c>
      <c r="AF7" s="88" t="s">
        <v>1078</v>
      </c>
      <c r="AG7" s="119">
        <v>4</v>
      </c>
      <c r="AH7" s="122">
        <v>6.0606060606060606</v>
      </c>
      <c r="AI7" s="119">
        <v>4</v>
      </c>
      <c r="AJ7" s="122">
        <v>6.0606060606060606</v>
      </c>
      <c r="AK7" s="119">
        <v>0</v>
      </c>
      <c r="AL7" s="122">
        <v>0</v>
      </c>
      <c r="AM7" s="119">
        <v>58</v>
      </c>
      <c r="AN7" s="122">
        <v>87.87878787878788</v>
      </c>
      <c r="AO7" s="119">
        <v>66</v>
      </c>
    </row>
    <row r="8" spans="1:41" ht="15">
      <c r="A8" s="81" t="s">
        <v>723</v>
      </c>
      <c r="B8" s="116" t="s">
        <v>735</v>
      </c>
      <c r="C8" s="116" t="s">
        <v>56</v>
      </c>
      <c r="D8" s="15"/>
      <c r="E8" s="15"/>
      <c r="F8" s="16" t="s">
        <v>1378</v>
      </c>
      <c r="G8" s="78"/>
      <c r="H8" s="78"/>
      <c r="I8" s="80">
        <v>8</v>
      </c>
      <c r="J8" s="80"/>
      <c r="K8" s="51">
        <v>3</v>
      </c>
      <c r="L8" s="51">
        <v>3</v>
      </c>
      <c r="M8" s="51">
        <v>0</v>
      </c>
      <c r="N8" s="51">
        <v>3</v>
      </c>
      <c r="O8" s="51">
        <v>0</v>
      </c>
      <c r="P8" s="52">
        <v>0</v>
      </c>
      <c r="Q8" s="52">
        <v>0</v>
      </c>
      <c r="R8" s="51">
        <v>1</v>
      </c>
      <c r="S8" s="51">
        <v>0</v>
      </c>
      <c r="T8" s="51">
        <v>3</v>
      </c>
      <c r="U8" s="51">
        <v>3</v>
      </c>
      <c r="V8" s="51">
        <v>1</v>
      </c>
      <c r="W8" s="52">
        <v>0.666667</v>
      </c>
      <c r="X8" s="52">
        <v>0.5</v>
      </c>
      <c r="Y8" s="82" t="s">
        <v>774</v>
      </c>
      <c r="Z8" s="82" t="s">
        <v>318</v>
      </c>
      <c r="AA8" s="82" t="s">
        <v>334</v>
      </c>
      <c r="AB8" s="88" t="s">
        <v>944</v>
      </c>
      <c r="AC8" s="88" t="s">
        <v>1029</v>
      </c>
      <c r="AD8" s="88"/>
      <c r="AE8" s="88" t="s">
        <v>272</v>
      </c>
      <c r="AF8" s="88" t="s">
        <v>1079</v>
      </c>
      <c r="AG8" s="119">
        <v>0</v>
      </c>
      <c r="AH8" s="122">
        <v>0</v>
      </c>
      <c r="AI8" s="119">
        <v>0</v>
      </c>
      <c r="AJ8" s="122">
        <v>0</v>
      </c>
      <c r="AK8" s="119">
        <v>0</v>
      </c>
      <c r="AL8" s="122">
        <v>0</v>
      </c>
      <c r="AM8" s="119">
        <v>28</v>
      </c>
      <c r="AN8" s="122">
        <v>100</v>
      </c>
      <c r="AO8" s="119">
        <v>28</v>
      </c>
    </row>
    <row r="9" spans="1:41" ht="15">
      <c r="A9" s="81" t="s">
        <v>724</v>
      </c>
      <c r="B9" s="116" t="s">
        <v>736</v>
      </c>
      <c r="C9" s="116" t="s">
        <v>56</v>
      </c>
      <c r="D9" s="15"/>
      <c r="E9" s="15"/>
      <c r="F9" s="16" t="s">
        <v>1379</v>
      </c>
      <c r="G9" s="78"/>
      <c r="H9" s="78"/>
      <c r="I9" s="80">
        <v>9</v>
      </c>
      <c r="J9" s="80"/>
      <c r="K9" s="51">
        <v>3</v>
      </c>
      <c r="L9" s="51">
        <v>3</v>
      </c>
      <c r="M9" s="51">
        <v>0</v>
      </c>
      <c r="N9" s="51">
        <v>3</v>
      </c>
      <c r="O9" s="51">
        <v>1</v>
      </c>
      <c r="P9" s="52">
        <v>0</v>
      </c>
      <c r="Q9" s="52">
        <v>0</v>
      </c>
      <c r="R9" s="51">
        <v>1</v>
      </c>
      <c r="S9" s="51">
        <v>0</v>
      </c>
      <c r="T9" s="51">
        <v>3</v>
      </c>
      <c r="U9" s="51">
        <v>3</v>
      </c>
      <c r="V9" s="51">
        <v>2</v>
      </c>
      <c r="W9" s="52">
        <v>0.888889</v>
      </c>
      <c r="X9" s="52">
        <v>0.3333333333333333</v>
      </c>
      <c r="Y9" s="82" t="s">
        <v>750</v>
      </c>
      <c r="Z9" s="82" t="s">
        <v>317</v>
      </c>
      <c r="AA9" s="82" t="s">
        <v>333</v>
      </c>
      <c r="AB9" s="88" t="s">
        <v>945</v>
      </c>
      <c r="AC9" s="88" t="s">
        <v>1030</v>
      </c>
      <c r="AD9" s="88"/>
      <c r="AE9" s="88" t="s">
        <v>234</v>
      </c>
      <c r="AF9" s="88" t="s">
        <v>1080</v>
      </c>
      <c r="AG9" s="119">
        <v>3</v>
      </c>
      <c r="AH9" s="122">
        <v>6.666666666666667</v>
      </c>
      <c r="AI9" s="119">
        <v>0</v>
      </c>
      <c r="AJ9" s="122">
        <v>0</v>
      </c>
      <c r="AK9" s="119">
        <v>0</v>
      </c>
      <c r="AL9" s="122">
        <v>0</v>
      </c>
      <c r="AM9" s="119">
        <v>42</v>
      </c>
      <c r="AN9" s="122">
        <v>93.33333333333333</v>
      </c>
      <c r="AO9" s="119">
        <v>45</v>
      </c>
    </row>
    <row r="10" spans="1:41" ht="14.25" customHeight="1">
      <c r="A10" s="81" t="s">
        <v>725</v>
      </c>
      <c r="B10" s="116" t="s">
        <v>737</v>
      </c>
      <c r="C10" s="116" t="s">
        <v>56</v>
      </c>
      <c r="D10" s="15"/>
      <c r="E10" s="15"/>
      <c r="F10" s="16" t="s">
        <v>1380</v>
      </c>
      <c r="G10" s="78"/>
      <c r="H10" s="78"/>
      <c r="I10" s="80">
        <v>10</v>
      </c>
      <c r="J10" s="80"/>
      <c r="K10" s="51">
        <v>2</v>
      </c>
      <c r="L10" s="51">
        <v>1</v>
      </c>
      <c r="M10" s="51">
        <v>0</v>
      </c>
      <c r="N10" s="51">
        <v>1</v>
      </c>
      <c r="O10" s="51">
        <v>0</v>
      </c>
      <c r="P10" s="52">
        <v>0</v>
      </c>
      <c r="Q10" s="52">
        <v>0</v>
      </c>
      <c r="R10" s="51">
        <v>1</v>
      </c>
      <c r="S10" s="51">
        <v>0</v>
      </c>
      <c r="T10" s="51">
        <v>2</v>
      </c>
      <c r="U10" s="51">
        <v>1</v>
      </c>
      <c r="V10" s="51">
        <v>1</v>
      </c>
      <c r="W10" s="52">
        <v>0.5</v>
      </c>
      <c r="X10" s="52">
        <v>0.5</v>
      </c>
      <c r="Y10" s="82" t="s">
        <v>779</v>
      </c>
      <c r="Z10" s="82" t="s">
        <v>332</v>
      </c>
      <c r="AA10" s="82" t="s">
        <v>357</v>
      </c>
      <c r="AB10" s="88" t="s">
        <v>932</v>
      </c>
      <c r="AC10" s="88" t="s">
        <v>448</v>
      </c>
      <c r="AD10" s="88"/>
      <c r="AE10" s="88" t="s">
        <v>284</v>
      </c>
      <c r="AF10" s="88" t="s">
        <v>1081</v>
      </c>
      <c r="AG10" s="119">
        <v>0</v>
      </c>
      <c r="AH10" s="122">
        <v>0</v>
      </c>
      <c r="AI10" s="119">
        <v>0</v>
      </c>
      <c r="AJ10" s="122">
        <v>0</v>
      </c>
      <c r="AK10" s="119">
        <v>0</v>
      </c>
      <c r="AL10" s="122">
        <v>0</v>
      </c>
      <c r="AM10" s="119">
        <v>26</v>
      </c>
      <c r="AN10" s="122">
        <v>100</v>
      </c>
      <c r="AO10" s="119">
        <v>26</v>
      </c>
    </row>
    <row r="11" spans="1:41" ht="15">
      <c r="A11" s="81" t="s">
        <v>726</v>
      </c>
      <c r="B11" s="116" t="s">
        <v>738</v>
      </c>
      <c r="C11" s="116" t="s">
        <v>56</v>
      </c>
      <c r="D11" s="15"/>
      <c r="E11" s="15"/>
      <c r="F11" s="16" t="s">
        <v>726</v>
      </c>
      <c r="G11" s="78"/>
      <c r="H11" s="78"/>
      <c r="I11" s="80">
        <v>11</v>
      </c>
      <c r="J11" s="80"/>
      <c r="K11" s="51">
        <v>2</v>
      </c>
      <c r="L11" s="51">
        <v>1</v>
      </c>
      <c r="M11" s="51">
        <v>0</v>
      </c>
      <c r="N11" s="51">
        <v>1</v>
      </c>
      <c r="O11" s="51">
        <v>0</v>
      </c>
      <c r="P11" s="52">
        <v>0</v>
      </c>
      <c r="Q11" s="52">
        <v>0</v>
      </c>
      <c r="R11" s="51">
        <v>1</v>
      </c>
      <c r="S11" s="51">
        <v>0</v>
      </c>
      <c r="T11" s="51">
        <v>2</v>
      </c>
      <c r="U11" s="51">
        <v>1</v>
      </c>
      <c r="V11" s="51">
        <v>1</v>
      </c>
      <c r="W11" s="52">
        <v>0.5</v>
      </c>
      <c r="X11" s="52">
        <v>0.5</v>
      </c>
      <c r="Y11" s="82"/>
      <c r="Z11" s="82"/>
      <c r="AA11" s="82" t="s">
        <v>345</v>
      </c>
      <c r="AB11" s="88" t="s">
        <v>448</v>
      </c>
      <c r="AC11" s="88" t="s">
        <v>448</v>
      </c>
      <c r="AD11" s="88"/>
      <c r="AE11" s="88" t="s">
        <v>1061</v>
      </c>
      <c r="AF11" s="88" t="s">
        <v>1082</v>
      </c>
      <c r="AG11" s="119">
        <v>1</v>
      </c>
      <c r="AH11" s="122">
        <v>2.380952380952381</v>
      </c>
      <c r="AI11" s="119">
        <v>0</v>
      </c>
      <c r="AJ11" s="122">
        <v>0</v>
      </c>
      <c r="AK11" s="119">
        <v>0</v>
      </c>
      <c r="AL11" s="122">
        <v>0</v>
      </c>
      <c r="AM11" s="119">
        <v>41</v>
      </c>
      <c r="AN11" s="122">
        <v>97.61904761904762</v>
      </c>
      <c r="AO11" s="119">
        <v>42</v>
      </c>
    </row>
    <row r="12" spans="1:41" ht="15">
      <c r="A12" s="81" t="s">
        <v>727</v>
      </c>
      <c r="B12" s="116" t="s">
        <v>739</v>
      </c>
      <c r="C12" s="116" t="s">
        <v>56</v>
      </c>
      <c r="D12" s="15"/>
      <c r="E12" s="15"/>
      <c r="F12" s="16" t="s">
        <v>1381</v>
      </c>
      <c r="G12" s="78"/>
      <c r="H12" s="78"/>
      <c r="I12" s="80">
        <v>12</v>
      </c>
      <c r="J12" s="80"/>
      <c r="K12" s="51">
        <v>2</v>
      </c>
      <c r="L12" s="51">
        <v>2</v>
      </c>
      <c r="M12" s="51">
        <v>0</v>
      </c>
      <c r="N12" s="51">
        <v>2</v>
      </c>
      <c r="O12" s="51">
        <v>1</v>
      </c>
      <c r="P12" s="52">
        <v>0</v>
      </c>
      <c r="Q12" s="52">
        <v>0</v>
      </c>
      <c r="R12" s="51">
        <v>1</v>
      </c>
      <c r="S12" s="51">
        <v>0</v>
      </c>
      <c r="T12" s="51">
        <v>2</v>
      </c>
      <c r="U12" s="51">
        <v>2</v>
      </c>
      <c r="V12" s="51">
        <v>1</v>
      </c>
      <c r="W12" s="52">
        <v>0.5</v>
      </c>
      <c r="X12" s="52">
        <v>0.5</v>
      </c>
      <c r="Y12" s="82" t="s">
        <v>791</v>
      </c>
      <c r="Z12" s="82" t="s">
        <v>808</v>
      </c>
      <c r="AA12" s="82" t="s">
        <v>869</v>
      </c>
      <c r="AB12" s="88" t="s">
        <v>946</v>
      </c>
      <c r="AC12" s="88" t="s">
        <v>1031</v>
      </c>
      <c r="AD12" s="88"/>
      <c r="AE12" s="88" t="s">
        <v>262</v>
      </c>
      <c r="AF12" s="88" t="s">
        <v>1083</v>
      </c>
      <c r="AG12" s="119">
        <v>1</v>
      </c>
      <c r="AH12" s="122">
        <v>1.8181818181818181</v>
      </c>
      <c r="AI12" s="119">
        <v>1</v>
      </c>
      <c r="AJ12" s="122">
        <v>1.8181818181818181</v>
      </c>
      <c r="AK12" s="119">
        <v>0</v>
      </c>
      <c r="AL12" s="122">
        <v>0</v>
      </c>
      <c r="AM12" s="119">
        <v>53</v>
      </c>
      <c r="AN12" s="122">
        <v>96.36363636363636</v>
      </c>
      <c r="AO12" s="119">
        <v>55</v>
      </c>
    </row>
    <row r="13" spans="1:41" ht="15">
      <c r="A13" s="81" t="s">
        <v>728</v>
      </c>
      <c r="B13" s="116" t="s">
        <v>740</v>
      </c>
      <c r="C13" s="116" t="s">
        <v>56</v>
      </c>
      <c r="D13" s="15"/>
      <c r="E13" s="15"/>
      <c r="F13" s="16" t="s">
        <v>1382</v>
      </c>
      <c r="G13" s="78"/>
      <c r="H13" s="78"/>
      <c r="I13" s="80">
        <v>13</v>
      </c>
      <c r="J13" s="80"/>
      <c r="K13" s="51">
        <v>2</v>
      </c>
      <c r="L13" s="51">
        <v>2</v>
      </c>
      <c r="M13" s="51">
        <v>0</v>
      </c>
      <c r="N13" s="51">
        <v>2</v>
      </c>
      <c r="O13" s="51">
        <v>1</v>
      </c>
      <c r="P13" s="52">
        <v>0</v>
      </c>
      <c r="Q13" s="52">
        <v>0</v>
      </c>
      <c r="R13" s="51">
        <v>1</v>
      </c>
      <c r="S13" s="51">
        <v>0</v>
      </c>
      <c r="T13" s="51">
        <v>2</v>
      </c>
      <c r="U13" s="51">
        <v>2</v>
      </c>
      <c r="V13" s="51">
        <v>1</v>
      </c>
      <c r="W13" s="52">
        <v>0.5</v>
      </c>
      <c r="X13" s="52">
        <v>0.5</v>
      </c>
      <c r="Y13" s="82" t="s">
        <v>754</v>
      </c>
      <c r="Z13" s="82" t="s">
        <v>320</v>
      </c>
      <c r="AA13" s="82" t="s">
        <v>338</v>
      </c>
      <c r="AB13" s="88" t="s">
        <v>947</v>
      </c>
      <c r="AC13" s="88" t="s">
        <v>1032</v>
      </c>
      <c r="AD13" s="88"/>
      <c r="AE13" s="88"/>
      <c r="AF13" s="88" t="s">
        <v>1084</v>
      </c>
      <c r="AG13" s="119">
        <v>4</v>
      </c>
      <c r="AH13" s="122">
        <v>6.25</v>
      </c>
      <c r="AI13" s="119">
        <v>0</v>
      </c>
      <c r="AJ13" s="122">
        <v>0</v>
      </c>
      <c r="AK13" s="119">
        <v>0</v>
      </c>
      <c r="AL13" s="122">
        <v>0</v>
      </c>
      <c r="AM13" s="119">
        <v>60</v>
      </c>
      <c r="AN13" s="122">
        <v>93.75</v>
      </c>
      <c r="AO13" s="119">
        <v>64</v>
      </c>
    </row>
    <row r="14" spans="1:41" ht="15">
      <c r="A14" s="81" t="s">
        <v>729</v>
      </c>
      <c r="B14" s="116" t="s">
        <v>741</v>
      </c>
      <c r="C14" s="116" t="s">
        <v>56</v>
      </c>
      <c r="D14" s="15"/>
      <c r="E14" s="15"/>
      <c r="F14" s="16" t="s">
        <v>1383</v>
      </c>
      <c r="G14" s="78"/>
      <c r="H14" s="78"/>
      <c r="I14" s="80">
        <v>14</v>
      </c>
      <c r="J14" s="80"/>
      <c r="K14" s="51">
        <v>2</v>
      </c>
      <c r="L14" s="51">
        <v>2</v>
      </c>
      <c r="M14" s="51">
        <v>0</v>
      </c>
      <c r="N14" s="51">
        <v>2</v>
      </c>
      <c r="O14" s="51">
        <v>1</v>
      </c>
      <c r="P14" s="52">
        <v>0</v>
      </c>
      <c r="Q14" s="52">
        <v>0</v>
      </c>
      <c r="R14" s="51">
        <v>1</v>
      </c>
      <c r="S14" s="51">
        <v>0</v>
      </c>
      <c r="T14" s="51">
        <v>2</v>
      </c>
      <c r="U14" s="51">
        <v>2</v>
      </c>
      <c r="V14" s="51">
        <v>1</v>
      </c>
      <c r="W14" s="52">
        <v>0.5</v>
      </c>
      <c r="X14" s="52">
        <v>0.5</v>
      </c>
      <c r="Y14" s="82" t="s">
        <v>316</v>
      </c>
      <c r="Z14" s="82" t="s">
        <v>793</v>
      </c>
      <c r="AA14" s="82" t="s">
        <v>336</v>
      </c>
      <c r="AB14" s="88" t="s">
        <v>948</v>
      </c>
      <c r="AC14" s="88" t="s">
        <v>1033</v>
      </c>
      <c r="AD14" s="88"/>
      <c r="AE14" s="88"/>
      <c r="AF14" s="88" t="s">
        <v>1085</v>
      </c>
      <c r="AG14" s="119">
        <v>0</v>
      </c>
      <c r="AH14" s="122">
        <v>0</v>
      </c>
      <c r="AI14" s="119">
        <v>0</v>
      </c>
      <c r="AJ14" s="122">
        <v>0</v>
      </c>
      <c r="AK14" s="119">
        <v>0</v>
      </c>
      <c r="AL14" s="122">
        <v>0</v>
      </c>
      <c r="AM14" s="119">
        <v>24</v>
      </c>
      <c r="AN14" s="122">
        <v>100</v>
      </c>
      <c r="AO14" s="119">
        <v>24</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718</v>
      </c>
      <c r="B2" s="88" t="s">
        <v>251</v>
      </c>
      <c r="C2" s="82">
        <f>VLOOKUP(GroupVertices[[#This Row],[Vertex]],Vertices[],MATCH("ID",Vertices[[#Headers],[Vertex]:[Vertex Content Word Count]],0),FALSE)</f>
        <v>29</v>
      </c>
    </row>
    <row r="3" spans="1:3" ht="15">
      <c r="A3" s="83" t="s">
        <v>718</v>
      </c>
      <c r="B3" s="88" t="s">
        <v>250</v>
      </c>
      <c r="C3" s="82">
        <f>VLOOKUP(GroupVertices[[#This Row],[Vertex]],Vertices[],MATCH("ID",Vertices[[#Headers],[Vertex]:[Vertex Content Word Count]],0),FALSE)</f>
        <v>27</v>
      </c>
    </row>
    <row r="4" spans="1:3" ht="15">
      <c r="A4" s="83" t="s">
        <v>718</v>
      </c>
      <c r="B4" s="88" t="s">
        <v>283</v>
      </c>
      <c r="C4" s="82">
        <f>VLOOKUP(GroupVertices[[#This Row],[Vertex]],Vertices[],MATCH("ID",Vertices[[#Headers],[Vertex]:[Vertex Content Word Count]],0),FALSE)</f>
        <v>35</v>
      </c>
    </row>
    <row r="5" spans="1:3" ht="15">
      <c r="A5" s="83" t="s">
        <v>718</v>
      </c>
      <c r="B5" s="88" t="s">
        <v>282</v>
      </c>
      <c r="C5" s="82">
        <f>VLOOKUP(GroupVertices[[#This Row],[Vertex]],Vertices[],MATCH("ID",Vertices[[#Headers],[Vertex]:[Vertex Content Word Count]],0),FALSE)</f>
        <v>34</v>
      </c>
    </row>
    <row r="6" spans="1:3" ht="15">
      <c r="A6" s="83" t="s">
        <v>718</v>
      </c>
      <c r="B6" s="88" t="s">
        <v>281</v>
      </c>
      <c r="C6" s="82">
        <f>VLOOKUP(GroupVertices[[#This Row],[Vertex]],Vertices[],MATCH("ID",Vertices[[#Headers],[Vertex]:[Vertex Content Word Count]],0),FALSE)</f>
        <v>33</v>
      </c>
    </row>
    <row r="7" spans="1:3" ht="15">
      <c r="A7" s="83" t="s">
        <v>718</v>
      </c>
      <c r="B7" s="88" t="s">
        <v>280</v>
      </c>
      <c r="C7" s="82">
        <f>VLOOKUP(GroupVertices[[#This Row],[Vertex]],Vertices[],MATCH("ID",Vertices[[#Headers],[Vertex]:[Vertex Content Word Count]],0),FALSE)</f>
        <v>32</v>
      </c>
    </row>
    <row r="8" spans="1:3" ht="15">
      <c r="A8" s="83" t="s">
        <v>718</v>
      </c>
      <c r="B8" s="88" t="s">
        <v>279</v>
      </c>
      <c r="C8" s="82">
        <f>VLOOKUP(GroupVertices[[#This Row],[Vertex]],Vertices[],MATCH("ID",Vertices[[#Headers],[Vertex]:[Vertex Content Word Count]],0),FALSE)</f>
        <v>31</v>
      </c>
    </row>
    <row r="9" spans="1:3" ht="15">
      <c r="A9" s="83" t="s">
        <v>718</v>
      </c>
      <c r="B9" s="88" t="s">
        <v>278</v>
      </c>
      <c r="C9" s="82">
        <f>VLOOKUP(GroupVertices[[#This Row],[Vertex]],Vertices[],MATCH("ID",Vertices[[#Headers],[Vertex]:[Vertex Content Word Count]],0),FALSE)</f>
        <v>30</v>
      </c>
    </row>
    <row r="10" spans="1:3" ht="15">
      <c r="A10" s="83" t="s">
        <v>718</v>
      </c>
      <c r="B10" s="88" t="s">
        <v>275</v>
      </c>
      <c r="C10" s="82">
        <f>VLOOKUP(GroupVertices[[#This Row],[Vertex]],Vertices[],MATCH("ID",Vertices[[#Headers],[Vertex]:[Vertex Content Word Count]],0),FALSE)</f>
        <v>23</v>
      </c>
    </row>
    <row r="11" spans="1:3" ht="15">
      <c r="A11" s="83" t="s">
        <v>718</v>
      </c>
      <c r="B11" s="88" t="s">
        <v>277</v>
      </c>
      <c r="C11" s="82">
        <f>VLOOKUP(GroupVertices[[#This Row],[Vertex]],Vertices[],MATCH("ID",Vertices[[#Headers],[Vertex]:[Vertex Content Word Count]],0),FALSE)</f>
        <v>28</v>
      </c>
    </row>
    <row r="12" spans="1:3" ht="15">
      <c r="A12" s="83" t="s">
        <v>718</v>
      </c>
      <c r="B12" s="88" t="s">
        <v>247</v>
      </c>
      <c r="C12" s="82">
        <f>VLOOKUP(GroupVertices[[#This Row],[Vertex]],Vertices[],MATCH("ID",Vertices[[#Headers],[Vertex]:[Vertex Content Word Count]],0),FALSE)</f>
        <v>22</v>
      </c>
    </row>
    <row r="13" spans="1:3" ht="15">
      <c r="A13" s="83" t="s">
        <v>719</v>
      </c>
      <c r="B13" s="88" t="s">
        <v>258</v>
      </c>
      <c r="C13" s="82">
        <f>VLOOKUP(GroupVertices[[#This Row],[Vertex]],Vertices[],MATCH("ID",Vertices[[#Headers],[Vertex]:[Vertex Content Word Count]],0),FALSE)</f>
        <v>41</v>
      </c>
    </row>
    <row r="14" spans="1:3" ht="15">
      <c r="A14" s="83" t="s">
        <v>719</v>
      </c>
      <c r="B14" s="88" t="s">
        <v>257</v>
      </c>
      <c r="C14" s="82">
        <f>VLOOKUP(GroupVertices[[#This Row],[Vertex]],Vertices[],MATCH("ID",Vertices[[#Headers],[Vertex]:[Vertex Content Word Count]],0),FALSE)</f>
        <v>39</v>
      </c>
    </row>
    <row r="15" spans="1:3" ht="15">
      <c r="A15" s="83" t="s">
        <v>719</v>
      </c>
      <c r="B15" s="88" t="s">
        <v>256</v>
      </c>
      <c r="C15" s="82">
        <f>VLOOKUP(GroupVertices[[#This Row],[Vertex]],Vertices[],MATCH("ID",Vertices[[#Headers],[Vertex]:[Vertex Content Word Count]],0),FALSE)</f>
        <v>40</v>
      </c>
    </row>
    <row r="16" spans="1:3" ht="15">
      <c r="A16" s="83" t="s">
        <v>719</v>
      </c>
      <c r="B16" s="88" t="s">
        <v>255</v>
      </c>
      <c r="C16" s="82">
        <f>VLOOKUP(GroupVertices[[#This Row],[Vertex]],Vertices[],MATCH("ID",Vertices[[#Headers],[Vertex]:[Vertex Content Word Count]],0),FALSE)</f>
        <v>38</v>
      </c>
    </row>
    <row r="17" spans="1:3" ht="15">
      <c r="A17" s="83" t="s">
        <v>719</v>
      </c>
      <c r="B17" s="88" t="s">
        <v>254</v>
      </c>
      <c r="C17" s="82">
        <f>VLOOKUP(GroupVertices[[#This Row],[Vertex]],Vertices[],MATCH("ID",Vertices[[#Headers],[Vertex]:[Vertex Content Word Count]],0),FALSE)</f>
        <v>36</v>
      </c>
    </row>
    <row r="18" spans="1:3" ht="15">
      <c r="A18" s="83" t="s">
        <v>719</v>
      </c>
      <c r="B18" s="88" t="s">
        <v>252</v>
      </c>
      <c r="C18" s="82">
        <f>VLOOKUP(GroupVertices[[#This Row],[Vertex]],Vertices[],MATCH("ID",Vertices[[#Headers],[Vertex]:[Vertex Content Word Count]],0),FALSE)</f>
        <v>37</v>
      </c>
    </row>
    <row r="19" spans="1:3" ht="15">
      <c r="A19" s="83" t="s">
        <v>719</v>
      </c>
      <c r="B19" s="88" t="s">
        <v>253</v>
      </c>
      <c r="C19" s="82">
        <f>VLOOKUP(GroupVertices[[#This Row],[Vertex]],Vertices[],MATCH("ID",Vertices[[#Headers],[Vertex]:[Vertex Content Word Count]],0),FALSE)</f>
        <v>14</v>
      </c>
    </row>
    <row r="20" spans="1:3" ht="15">
      <c r="A20" s="83" t="s">
        <v>719</v>
      </c>
      <c r="B20" s="88" t="s">
        <v>249</v>
      </c>
      <c r="C20" s="82">
        <f>VLOOKUP(GroupVertices[[#This Row],[Vertex]],Vertices[],MATCH("ID",Vertices[[#Headers],[Vertex]:[Vertex Content Word Count]],0),FALSE)</f>
        <v>26</v>
      </c>
    </row>
    <row r="21" spans="1:3" ht="15">
      <c r="A21" s="83" t="s">
        <v>719</v>
      </c>
      <c r="B21" s="88" t="s">
        <v>242</v>
      </c>
      <c r="C21" s="82">
        <f>VLOOKUP(GroupVertices[[#This Row],[Vertex]],Vertices[],MATCH("ID",Vertices[[#Headers],[Vertex]:[Vertex Content Word Count]],0),FALSE)</f>
        <v>13</v>
      </c>
    </row>
    <row r="22" spans="1:3" ht="15">
      <c r="A22" s="83" t="s">
        <v>720</v>
      </c>
      <c r="B22" s="88" t="s">
        <v>245</v>
      </c>
      <c r="C22" s="82">
        <f>VLOOKUP(GroupVertices[[#This Row],[Vertex]],Vertices[],MATCH("ID",Vertices[[#Headers],[Vertex]:[Vertex Content Word Count]],0),FALSE)</f>
        <v>20</v>
      </c>
    </row>
    <row r="23" spans="1:3" ht="15">
      <c r="A23" s="83" t="s">
        <v>720</v>
      </c>
      <c r="B23" s="88" t="s">
        <v>246</v>
      </c>
      <c r="C23" s="82">
        <f>VLOOKUP(GroupVertices[[#This Row],[Vertex]],Vertices[],MATCH("ID",Vertices[[#Headers],[Vertex]:[Vertex Content Word Count]],0),FALSE)</f>
        <v>21</v>
      </c>
    </row>
    <row r="24" spans="1:3" ht="15">
      <c r="A24" s="83" t="s">
        <v>720</v>
      </c>
      <c r="B24" s="88" t="s">
        <v>260</v>
      </c>
      <c r="C24" s="82">
        <f>VLOOKUP(GroupVertices[[#This Row],[Vertex]],Vertices[],MATCH("ID",Vertices[[#Headers],[Vertex]:[Vertex Content Word Count]],0),FALSE)</f>
        <v>44</v>
      </c>
    </row>
    <row r="25" spans="1:3" ht="15">
      <c r="A25" s="83" t="s">
        <v>720</v>
      </c>
      <c r="B25" s="88" t="s">
        <v>263</v>
      </c>
      <c r="C25" s="82">
        <f>VLOOKUP(GroupVertices[[#This Row],[Vertex]],Vertices[],MATCH("ID",Vertices[[#Headers],[Vertex]:[Vertex Content Word Count]],0),FALSE)</f>
        <v>46</v>
      </c>
    </row>
    <row r="26" spans="1:3" ht="15">
      <c r="A26" s="83" t="s">
        <v>720</v>
      </c>
      <c r="B26" s="88" t="s">
        <v>264</v>
      </c>
      <c r="C26" s="82">
        <f>VLOOKUP(GroupVertices[[#This Row],[Vertex]],Vertices[],MATCH("ID",Vertices[[#Headers],[Vertex]:[Vertex Content Word Count]],0),FALSE)</f>
        <v>47</v>
      </c>
    </row>
    <row r="27" spans="1:3" ht="15">
      <c r="A27" s="83" t="s">
        <v>720</v>
      </c>
      <c r="B27" s="88" t="s">
        <v>266</v>
      </c>
      <c r="C27" s="82">
        <f>VLOOKUP(GroupVertices[[#This Row],[Vertex]],Vertices[],MATCH("ID",Vertices[[#Headers],[Vertex]:[Vertex Content Word Count]],0),FALSE)</f>
        <v>50</v>
      </c>
    </row>
    <row r="28" spans="1:3" ht="15">
      <c r="A28" s="83" t="s">
        <v>721</v>
      </c>
      <c r="B28" s="88" t="s">
        <v>270</v>
      </c>
      <c r="C28" s="82">
        <f>VLOOKUP(GroupVertices[[#This Row],[Vertex]],Vertices[],MATCH("ID",Vertices[[#Headers],[Vertex]:[Vertex Content Word Count]],0),FALSE)</f>
        <v>53</v>
      </c>
    </row>
    <row r="29" spans="1:3" ht="15">
      <c r="A29" s="83" t="s">
        <v>721</v>
      </c>
      <c r="B29" s="88" t="s">
        <v>269</v>
      </c>
      <c r="C29" s="82">
        <f>VLOOKUP(GroupVertices[[#This Row],[Vertex]],Vertices[],MATCH("ID",Vertices[[#Headers],[Vertex]:[Vertex Content Word Count]],0),FALSE)</f>
        <v>43</v>
      </c>
    </row>
    <row r="30" spans="1:3" ht="15">
      <c r="A30" s="83" t="s">
        <v>721</v>
      </c>
      <c r="B30" s="88" t="s">
        <v>268</v>
      </c>
      <c r="C30" s="82">
        <f>VLOOKUP(GroupVertices[[#This Row],[Vertex]],Vertices[],MATCH("ID",Vertices[[#Headers],[Vertex]:[Vertex Content Word Count]],0),FALSE)</f>
        <v>52</v>
      </c>
    </row>
    <row r="31" spans="1:3" ht="15">
      <c r="A31" s="83" t="s">
        <v>721</v>
      </c>
      <c r="B31" s="88" t="s">
        <v>267</v>
      </c>
      <c r="C31" s="82">
        <f>VLOOKUP(GroupVertices[[#This Row],[Vertex]],Vertices[],MATCH("ID",Vertices[[#Headers],[Vertex]:[Vertex Content Word Count]],0),FALSE)</f>
        <v>51</v>
      </c>
    </row>
    <row r="32" spans="1:3" ht="15">
      <c r="A32" s="83" t="s">
        <v>721</v>
      </c>
      <c r="B32" s="88" t="s">
        <v>259</v>
      </c>
      <c r="C32" s="82">
        <f>VLOOKUP(GroupVertices[[#This Row],[Vertex]],Vertices[],MATCH("ID",Vertices[[#Headers],[Vertex]:[Vertex Content Word Count]],0),FALSE)</f>
        <v>42</v>
      </c>
    </row>
    <row r="33" spans="1:3" ht="15">
      <c r="A33" s="83" t="s">
        <v>722</v>
      </c>
      <c r="B33" s="88" t="s">
        <v>261</v>
      </c>
      <c r="C33" s="82">
        <f>VLOOKUP(GroupVertices[[#This Row],[Vertex]],Vertices[],MATCH("ID",Vertices[[#Headers],[Vertex]:[Vertex Content Word Count]],0),FALSE)</f>
        <v>45</v>
      </c>
    </row>
    <row r="34" spans="1:3" ht="15">
      <c r="A34" s="83" t="s">
        <v>722</v>
      </c>
      <c r="B34" s="88" t="s">
        <v>274</v>
      </c>
      <c r="C34" s="82">
        <f>VLOOKUP(GroupVertices[[#This Row],[Vertex]],Vertices[],MATCH("ID",Vertices[[#Headers],[Vertex]:[Vertex Content Word Count]],0),FALSE)</f>
        <v>17</v>
      </c>
    </row>
    <row r="35" spans="1:3" ht="15">
      <c r="A35" s="83" t="s">
        <v>722</v>
      </c>
      <c r="B35" s="88" t="s">
        <v>273</v>
      </c>
      <c r="C35" s="82">
        <f>VLOOKUP(GroupVertices[[#This Row],[Vertex]],Vertices[],MATCH("ID",Vertices[[#Headers],[Vertex]:[Vertex Content Word Count]],0),FALSE)</f>
        <v>16</v>
      </c>
    </row>
    <row r="36" spans="1:3" ht="15">
      <c r="A36" s="83" t="s">
        <v>722</v>
      </c>
      <c r="B36" s="88" t="s">
        <v>243</v>
      </c>
      <c r="C36" s="82">
        <f>VLOOKUP(GroupVertices[[#This Row],[Vertex]],Vertices[],MATCH("ID",Vertices[[#Headers],[Vertex]:[Vertex Content Word Count]],0),FALSE)</f>
        <v>15</v>
      </c>
    </row>
    <row r="37" spans="1:3" ht="15">
      <c r="A37" s="83" t="s">
        <v>723</v>
      </c>
      <c r="B37" s="88" t="s">
        <v>237</v>
      </c>
      <c r="C37" s="82">
        <f>VLOOKUP(GroupVertices[[#This Row],[Vertex]],Vertices[],MATCH("ID",Vertices[[#Headers],[Vertex]:[Vertex Content Word Count]],0),FALSE)</f>
        <v>8</v>
      </c>
    </row>
    <row r="38" spans="1:3" ht="15">
      <c r="A38" s="83" t="s">
        <v>723</v>
      </c>
      <c r="B38" s="88" t="s">
        <v>236</v>
      </c>
      <c r="C38" s="82">
        <f>VLOOKUP(GroupVertices[[#This Row],[Vertex]],Vertices[],MATCH("ID",Vertices[[#Headers],[Vertex]:[Vertex Content Word Count]],0),FALSE)</f>
        <v>6</v>
      </c>
    </row>
    <row r="39" spans="1:3" ht="15">
      <c r="A39" s="83" t="s">
        <v>723</v>
      </c>
      <c r="B39" s="88" t="s">
        <v>272</v>
      </c>
      <c r="C39" s="82">
        <f>VLOOKUP(GroupVertices[[#This Row],[Vertex]],Vertices[],MATCH("ID",Vertices[[#Headers],[Vertex]:[Vertex Content Word Count]],0),FALSE)</f>
        <v>7</v>
      </c>
    </row>
    <row r="40" spans="1:3" ht="15">
      <c r="A40" s="83" t="s">
        <v>724</v>
      </c>
      <c r="B40" s="88" t="s">
        <v>235</v>
      </c>
      <c r="C40" s="82">
        <f>VLOOKUP(GroupVertices[[#This Row],[Vertex]],Vertices[],MATCH("ID",Vertices[[#Headers],[Vertex]:[Vertex Content Word Count]],0),FALSE)</f>
        <v>5</v>
      </c>
    </row>
    <row r="41" spans="1:3" ht="15">
      <c r="A41" s="83" t="s">
        <v>724</v>
      </c>
      <c r="B41" s="88" t="s">
        <v>234</v>
      </c>
      <c r="C41" s="82">
        <f>VLOOKUP(GroupVertices[[#This Row],[Vertex]],Vertices[],MATCH("ID",Vertices[[#Headers],[Vertex]:[Vertex Content Word Count]],0),FALSE)</f>
        <v>4</v>
      </c>
    </row>
    <row r="42" spans="1:3" ht="15">
      <c r="A42" s="83" t="s">
        <v>724</v>
      </c>
      <c r="B42" s="88" t="s">
        <v>271</v>
      </c>
      <c r="C42" s="82">
        <f>VLOOKUP(GroupVertices[[#This Row],[Vertex]],Vertices[],MATCH("ID",Vertices[[#Headers],[Vertex]:[Vertex Content Word Count]],0),FALSE)</f>
        <v>3</v>
      </c>
    </row>
    <row r="43" spans="1:3" ht="15">
      <c r="A43" s="83" t="s">
        <v>725</v>
      </c>
      <c r="B43" s="88" t="s">
        <v>265</v>
      </c>
      <c r="C43" s="82">
        <f>VLOOKUP(GroupVertices[[#This Row],[Vertex]],Vertices[],MATCH("ID",Vertices[[#Headers],[Vertex]:[Vertex Content Word Count]],0),FALSE)</f>
        <v>48</v>
      </c>
    </row>
    <row r="44" spans="1:3" ht="15">
      <c r="A44" s="83" t="s">
        <v>725</v>
      </c>
      <c r="B44" s="88" t="s">
        <v>284</v>
      </c>
      <c r="C44" s="82">
        <f>VLOOKUP(GroupVertices[[#This Row],[Vertex]],Vertices[],MATCH("ID",Vertices[[#Headers],[Vertex]:[Vertex Content Word Count]],0),FALSE)</f>
        <v>49</v>
      </c>
    </row>
    <row r="45" spans="1:3" ht="15">
      <c r="A45" s="83" t="s">
        <v>726</v>
      </c>
      <c r="B45" s="88" t="s">
        <v>248</v>
      </c>
      <c r="C45" s="82">
        <f>VLOOKUP(GroupVertices[[#This Row],[Vertex]],Vertices[],MATCH("ID",Vertices[[#Headers],[Vertex]:[Vertex Content Word Count]],0),FALSE)</f>
        <v>24</v>
      </c>
    </row>
    <row r="46" spans="1:3" ht="15">
      <c r="A46" s="83" t="s">
        <v>726</v>
      </c>
      <c r="B46" s="88" t="s">
        <v>276</v>
      </c>
      <c r="C46" s="82">
        <f>VLOOKUP(GroupVertices[[#This Row],[Vertex]],Vertices[],MATCH("ID",Vertices[[#Headers],[Vertex]:[Vertex Content Word Count]],0),FALSE)</f>
        <v>25</v>
      </c>
    </row>
    <row r="47" spans="1:3" ht="15">
      <c r="A47" s="83" t="s">
        <v>727</v>
      </c>
      <c r="B47" s="88" t="s">
        <v>262</v>
      </c>
      <c r="C47" s="82">
        <f>VLOOKUP(GroupVertices[[#This Row],[Vertex]],Vertices[],MATCH("ID",Vertices[[#Headers],[Vertex]:[Vertex Content Word Count]],0),FALSE)</f>
        <v>19</v>
      </c>
    </row>
    <row r="48" spans="1:3" ht="15">
      <c r="A48" s="83" t="s">
        <v>727</v>
      </c>
      <c r="B48" s="88" t="s">
        <v>244</v>
      </c>
      <c r="C48" s="82">
        <f>VLOOKUP(GroupVertices[[#This Row],[Vertex]],Vertices[],MATCH("ID",Vertices[[#Headers],[Vertex]:[Vertex Content Word Count]],0),FALSE)</f>
        <v>18</v>
      </c>
    </row>
    <row r="49" spans="1:3" ht="15">
      <c r="A49" s="83" t="s">
        <v>728</v>
      </c>
      <c r="B49" s="88" t="s">
        <v>241</v>
      </c>
      <c r="C49" s="82">
        <f>VLOOKUP(GroupVertices[[#This Row],[Vertex]],Vertices[],MATCH("ID",Vertices[[#Headers],[Vertex]:[Vertex Content Word Count]],0),FALSE)</f>
        <v>12</v>
      </c>
    </row>
    <row r="50" spans="1:3" ht="15">
      <c r="A50" s="83" t="s">
        <v>728</v>
      </c>
      <c r="B50" s="88" t="s">
        <v>240</v>
      </c>
      <c r="C50" s="82">
        <f>VLOOKUP(GroupVertices[[#This Row],[Vertex]],Vertices[],MATCH("ID",Vertices[[#Headers],[Vertex]:[Vertex Content Word Count]],0),FALSE)</f>
        <v>11</v>
      </c>
    </row>
    <row r="51" spans="1:3" ht="15">
      <c r="A51" s="83" t="s">
        <v>729</v>
      </c>
      <c r="B51" s="88" t="s">
        <v>239</v>
      </c>
      <c r="C51" s="82">
        <f>VLOOKUP(GroupVertices[[#This Row],[Vertex]],Vertices[],MATCH("ID",Vertices[[#Headers],[Vertex]:[Vertex Content Word Count]],0),FALSE)</f>
        <v>10</v>
      </c>
    </row>
    <row r="52" spans="1:3" ht="15">
      <c r="A52" s="83" t="s">
        <v>729</v>
      </c>
      <c r="B52" s="88" t="s">
        <v>238</v>
      </c>
      <c r="C52" s="82">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1307</v>
      </c>
      <c r="B2" s="36" t="s">
        <v>191</v>
      </c>
      <c r="D2" s="33">
        <f>MIN(Vertices[Degree])</f>
        <v>0</v>
      </c>
      <c r="E2" s="3">
        <f>COUNTIF(Vertices[Degree],"&gt;= "&amp;D2)-COUNTIF(Vertices[Degree],"&gt;="&amp;D3)</f>
        <v>0</v>
      </c>
      <c r="F2" s="39">
        <f>MIN(Vertices[In-Degree])</f>
        <v>0</v>
      </c>
      <c r="G2" s="40">
        <f>COUNTIF(Vertices[In-Degree],"&gt;= "&amp;F2)-COUNTIF(Vertices[In-Degree],"&gt;="&amp;F3)</f>
        <v>20</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43</v>
      </c>
      <c r="L2" s="39">
        <f>MIN(Vertices[Closeness Centrality])</f>
        <v>0</v>
      </c>
      <c r="M2" s="40">
        <f>COUNTIF(Vertices[Closeness Centrality],"&gt;= "&amp;L2)-COUNTIF(Vertices[Closeness Centrality],"&gt;="&amp;L3)</f>
        <v>23</v>
      </c>
      <c r="N2" s="39">
        <f>MIN(Vertices[Eigenvector Centrality])</f>
        <v>0</v>
      </c>
      <c r="O2" s="40">
        <f>COUNTIF(Vertices[Eigenvector Centrality],"&gt;= "&amp;N2)-COUNTIF(Vertices[Eigenvector Centrality],"&gt;="&amp;N3)</f>
        <v>33</v>
      </c>
      <c r="P2" s="39">
        <f>MIN(Vertices[PageRank])</f>
        <v>0.433187</v>
      </c>
      <c r="Q2" s="40">
        <f>COUNTIF(Vertices[PageRank],"&gt;= "&amp;P2)-COUNTIF(Vertices[PageRank],"&gt;="&amp;P3)</f>
        <v>6</v>
      </c>
      <c r="R2" s="39">
        <f>MIN(Vertices[Clustering Coefficient])</f>
        <v>0</v>
      </c>
      <c r="S2" s="45">
        <f>COUNTIF(Vertices[Clustering Coefficient],"&gt;= "&amp;R2)-COUNTIF(Vertices[Clustering Coefficient],"&gt;="&amp;R3)</f>
        <v>37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5"/>
      <c r="B3" s="125"/>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6.352941176470588</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3</v>
      </c>
      <c r="N3" s="41">
        <f aca="true" t="shared" si="6" ref="N3:N35">N2+($N$36-$N$2)/BinDivisor</f>
        <v>0.004516617647058824</v>
      </c>
      <c r="O3" s="42">
        <f>COUNTIF(Vertices[Eigenvector Centrality],"&gt;= "&amp;N3)-COUNTIF(Vertices[Eigenvector Centrality],"&gt;="&amp;N4)</f>
        <v>3</v>
      </c>
      <c r="P3" s="41">
        <f aca="true" t="shared" si="7" ref="P3:P35">P2+($P$36-$P$2)/BinDivisor</f>
        <v>0.5037124705882353</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51</v>
      </c>
      <c r="D4" s="34">
        <f t="shared" si="1"/>
        <v>0</v>
      </c>
      <c r="E4" s="3">
        <f>COUNTIF(Vertices[Degree],"&gt;= "&amp;D4)-COUNTIF(Vertices[Degree],"&gt;="&amp;D5)</f>
        <v>0</v>
      </c>
      <c r="F4" s="39">
        <f t="shared" si="2"/>
        <v>0.29411764705882354</v>
      </c>
      <c r="G4" s="40">
        <f>COUNTIF(Vertices[In-Degree],"&gt;= "&amp;F4)-COUNTIF(Vertices[In-Degree],"&gt;="&amp;F5)</f>
        <v>0</v>
      </c>
      <c r="H4" s="39">
        <f t="shared" si="3"/>
        <v>0.5882352941176471</v>
      </c>
      <c r="I4" s="40">
        <f>COUNTIF(Vertices[Out-Degree],"&gt;= "&amp;H4)-COUNTIF(Vertices[Out-Degree],"&gt;="&amp;H5)</f>
        <v>0</v>
      </c>
      <c r="J4" s="39">
        <f t="shared" si="4"/>
        <v>12.705882352941176</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0.009033235294117647</v>
      </c>
      <c r="O4" s="40">
        <f>COUNTIF(Vertices[Eigenvector Centrality],"&gt;= "&amp;N4)-COUNTIF(Vertices[Eigenvector Centrality],"&gt;="&amp;N5)</f>
        <v>0</v>
      </c>
      <c r="P4" s="39">
        <f t="shared" si="7"/>
        <v>0.5742379411764706</v>
      </c>
      <c r="Q4" s="40">
        <f>COUNTIF(Vertices[PageRank],"&gt;= "&amp;P4)-COUNTIF(Vertices[PageRank],"&gt;="&amp;P5)</f>
        <v>13</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5"/>
      <c r="B5" s="125"/>
      <c r="D5" s="34">
        <f t="shared" si="1"/>
        <v>0</v>
      </c>
      <c r="E5" s="3">
        <f>COUNTIF(Vertices[Degree],"&gt;= "&amp;D5)-COUNTIF(Vertices[Degree],"&gt;="&amp;D6)</f>
        <v>0</v>
      </c>
      <c r="F5" s="41">
        <f t="shared" si="2"/>
        <v>0.4411764705882353</v>
      </c>
      <c r="G5" s="42">
        <f>COUNTIF(Vertices[In-Degree],"&gt;= "&amp;F5)-COUNTIF(Vertices[In-Degree],"&gt;="&amp;F6)</f>
        <v>0</v>
      </c>
      <c r="H5" s="41">
        <f t="shared" si="3"/>
        <v>0.8823529411764706</v>
      </c>
      <c r="I5" s="42">
        <f>COUNTIF(Vertices[Out-Degree],"&gt;= "&amp;H5)-COUNTIF(Vertices[Out-Degree],"&gt;="&amp;H6)</f>
        <v>32</v>
      </c>
      <c r="J5" s="41">
        <f t="shared" si="4"/>
        <v>19.058823529411764</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0.013549852941176471</v>
      </c>
      <c r="O5" s="42">
        <f>COUNTIF(Vertices[Eigenvector Centrality],"&gt;= "&amp;N5)-COUNTIF(Vertices[Eigenvector Centrality],"&gt;="&amp;N6)</f>
        <v>1</v>
      </c>
      <c r="P5" s="41">
        <f t="shared" si="7"/>
        <v>0.644763411764706</v>
      </c>
      <c r="Q5" s="42">
        <f>COUNTIF(Vertices[PageRank],"&gt;= "&amp;P5)-COUNTIF(Vertices[PageRank],"&gt;="&amp;P6)</f>
        <v>3</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58</v>
      </c>
      <c r="D6" s="34">
        <f t="shared" si="1"/>
        <v>0</v>
      </c>
      <c r="E6" s="3">
        <f>COUNTIF(Vertices[Degree],"&gt;= "&amp;D6)-COUNTIF(Vertices[Degree],"&gt;="&amp;D7)</f>
        <v>0</v>
      </c>
      <c r="F6" s="39">
        <f t="shared" si="2"/>
        <v>0.5882352941176471</v>
      </c>
      <c r="G6" s="40">
        <f>COUNTIF(Vertices[In-Degree],"&gt;= "&amp;F6)-COUNTIF(Vertices[In-Degree],"&gt;="&amp;F7)</f>
        <v>0</v>
      </c>
      <c r="H6" s="39">
        <f t="shared" si="3"/>
        <v>1.1764705882352942</v>
      </c>
      <c r="I6" s="40">
        <f>COUNTIF(Vertices[Out-Degree],"&gt;= "&amp;H6)-COUNTIF(Vertices[Out-Degree],"&gt;="&amp;H7)</f>
        <v>0</v>
      </c>
      <c r="J6" s="39">
        <f t="shared" si="4"/>
        <v>25.41176470588235</v>
      </c>
      <c r="K6" s="40">
        <f>COUNTIF(Vertices[Betweenness Centrality],"&gt;= "&amp;J6)-COUNTIF(Vertices[Betweenness Centrality],"&gt;="&amp;J7)</f>
        <v>0</v>
      </c>
      <c r="L6" s="39">
        <f t="shared" si="5"/>
        <v>0.11764705882352941</v>
      </c>
      <c r="M6" s="40">
        <f>COUNTIF(Vertices[Closeness Centrality],"&gt;= "&amp;L6)-COUNTIF(Vertices[Closeness Centrality],"&gt;="&amp;L7)</f>
        <v>4</v>
      </c>
      <c r="N6" s="39">
        <f t="shared" si="6"/>
        <v>0.018066470588235295</v>
      </c>
      <c r="O6" s="40">
        <f>COUNTIF(Vertices[Eigenvector Centrality],"&gt;= "&amp;N6)-COUNTIF(Vertices[Eigenvector Centrality],"&gt;="&amp;N7)</f>
        <v>2</v>
      </c>
      <c r="P6" s="39">
        <f t="shared" si="7"/>
        <v>0.7152888823529413</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0.7352941176470589</v>
      </c>
      <c r="G7" s="42">
        <f>COUNTIF(Vertices[In-Degree],"&gt;= "&amp;F7)-COUNTIF(Vertices[In-Degree],"&gt;="&amp;F8)</f>
        <v>0</v>
      </c>
      <c r="H7" s="41">
        <f t="shared" si="3"/>
        <v>1.4705882352941178</v>
      </c>
      <c r="I7" s="42">
        <f>COUNTIF(Vertices[Out-Degree],"&gt;= "&amp;H7)-COUNTIF(Vertices[Out-Degree],"&gt;="&amp;H8)</f>
        <v>0</v>
      </c>
      <c r="J7" s="41">
        <f t="shared" si="4"/>
        <v>31.76470588235294</v>
      </c>
      <c r="K7" s="42">
        <f>COUNTIF(Vertices[Betweenness Centrality],"&gt;= "&amp;J7)-COUNTIF(Vertices[Betweenness Centrality],"&gt;="&amp;J8)</f>
        <v>3</v>
      </c>
      <c r="L7" s="41">
        <f t="shared" si="5"/>
        <v>0.14705882352941177</v>
      </c>
      <c r="M7" s="42">
        <f>COUNTIF(Vertices[Closeness Centrality],"&gt;= "&amp;L7)-COUNTIF(Vertices[Closeness Centrality],"&gt;="&amp;L8)</f>
        <v>0</v>
      </c>
      <c r="N7" s="41">
        <f t="shared" si="6"/>
        <v>0.02258308823529412</v>
      </c>
      <c r="O7" s="42">
        <f>COUNTIF(Vertices[Eigenvector Centrality],"&gt;= "&amp;N7)-COUNTIF(Vertices[Eigenvector Centrality],"&gt;="&amp;N8)</f>
        <v>1</v>
      </c>
      <c r="P7" s="41">
        <f t="shared" si="7"/>
        <v>0.7858143529411766</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65</v>
      </c>
      <c r="D8" s="34">
        <f t="shared" si="1"/>
        <v>0</v>
      </c>
      <c r="E8" s="3">
        <f>COUNTIF(Vertices[Degree],"&gt;= "&amp;D8)-COUNTIF(Vertices[Degree],"&gt;="&amp;D9)</f>
        <v>0</v>
      </c>
      <c r="F8" s="39">
        <f t="shared" si="2"/>
        <v>0.8823529411764707</v>
      </c>
      <c r="G8" s="40">
        <f>COUNTIF(Vertices[In-Degree],"&gt;= "&amp;F8)-COUNTIF(Vertices[In-Degree],"&gt;="&amp;F9)</f>
        <v>11</v>
      </c>
      <c r="H8" s="39">
        <f t="shared" si="3"/>
        <v>1.7647058823529413</v>
      </c>
      <c r="I8" s="40">
        <f>COUNTIF(Vertices[Out-Degree],"&gt;= "&amp;H8)-COUNTIF(Vertices[Out-Degree],"&gt;="&amp;H9)</f>
        <v>3</v>
      </c>
      <c r="J8" s="39">
        <f t="shared" si="4"/>
        <v>38.11764705882353</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0.027099705882352942</v>
      </c>
      <c r="O8" s="40">
        <f>COUNTIF(Vertices[Eigenvector Centrality],"&gt;= "&amp;N8)-COUNTIF(Vertices[Eigenvector Centrality],"&gt;="&amp;N9)</f>
        <v>0</v>
      </c>
      <c r="P8" s="39">
        <f t="shared" si="7"/>
        <v>0.856339823529412</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5"/>
      <c r="B9" s="125"/>
      <c r="D9" s="34">
        <f t="shared" si="1"/>
        <v>0</v>
      </c>
      <c r="E9" s="3">
        <f>COUNTIF(Vertices[Degree],"&gt;= "&amp;D9)-COUNTIF(Vertices[Degree],"&gt;="&amp;D10)</f>
        <v>0</v>
      </c>
      <c r="F9" s="41">
        <f t="shared" si="2"/>
        <v>1.0294117647058825</v>
      </c>
      <c r="G9" s="42">
        <f>COUNTIF(Vertices[In-Degree],"&gt;= "&amp;F9)-COUNTIF(Vertices[In-Degree],"&gt;="&amp;F10)</f>
        <v>0</v>
      </c>
      <c r="H9" s="41">
        <f t="shared" si="3"/>
        <v>2.058823529411765</v>
      </c>
      <c r="I9" s="42">
        <f>COUNTIF(Vertices[Out-Degree],"&gt;= "&amp;H9)-COUNTIF(Vertices[Out-Degree],"&gt;="&amp;H10)</f>
        <v>0</v>
      </c>
      <c r="J9" s="41">
        <f t="shared" si="4"/>
        <v>44.470588235294116</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0.031616323529411766</v>
      </c>
      <c r="O9" s="42">
        <f>COUNTIF(Vertices[Eigenvector Centrality],"&gt;= "&amp;N9)-COUNTIF(Vertices[Eigenvector Centrality],"&gt;="&amp;N10)</f>
        <v>0</v>
      </c>
      <c r="P9" s="41">
        <f t="shared" si="7"/>
        <v>0.9268652941176473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1308</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2.3529411764705883</v>
      </c>
      <c r="I10" s="40">
        <f>COUNTIF(Vertices[Out-Degree],"&gt;= "&amp;H10)-COUNTIF(Vertices[Out-Degree],"&gt;="&amp;H11)</f>
        <v>0</v>
      </c>
      <c r="J10" s="39">
        <f t="shared" si="4"/>
        <v>50.8235294117647</v>
      </c>
      <c r="K10" s="40">
        <f>COUNTIF(Vertices[Betweenness Centrality],"&gt;= "&amp;J10)-COUNTIF(Vertices[Betweenness Centrality],"&gt;="&amp;J11)</f>
        <v>0</v>
      </c>
      <c r="L10" s="39">
        <f t="shared" si="5"/>
        <v>0.23529411764705885</v>
      </c>
      <c r="M10" s="40">
        <f>COUNTIF(Vertices[Closeness Centrality],"&gt;= "&amp;L10)-COUNTIF(Vertices[Closeness Centrality],"&gt;="&amp;L11)</f>
        <v>5</v>
      </c>
      <c r="N10" s="39">
        <f t="shared" si="6"/>
        <v>0.03613294117647059</v>
      </c>
      <c r="O10" s="40">
        <f>COUNTIF(Vertices[Eigenvector Centrality],"&gt;= "&amp;N10)-COUNTIF(Vertices[Eigenvector Centrality],"&gt;="&amp;N11)</f>
        <v>0</v>
      </c>
      <c r="P10" s="39">
        <f t="shared" si="7"/>
        <v>0.9973907647058826</v>
      </c>
      <c r="Q10" s="40">
        <f>COUNTIF(Vertices[PageRank],"&gt;= "&amp;P10)-COUNTIF(Vertices[PageRank],"&gt;="&amp;P11)</f>
        <v>18</v>
      </c>
      <c r="R10" s="39">
        <f t="shared" si="8"/>
        <v>0.23529411764705885</v>
      </c>
      <c r="S10" s="45">
        <f>COUNTIF(Vertices[Clustering Coefficient],"&gt;= "&amp;R10)-COUNTIF(Vertices[Clustering Coefficient],"&gt;="&amp;R11)</f>
        <v>0</v>
      </c>
      <c r="T10" s="39" t="e">
        <f ca="1" t="shared" si="9"/>
        <v>#REF!</v>
      </c>
      <c r="U10" s="40" t="e">
        <f ca="1" t="shared" si="0"/>
        <v>#REF!</v>
      </c>
    </row>
    <row r="11" spans="1:21" ht="15">
      <c r="A11" s="125"/>
      <c r="B11" s="125"/>
      <c r="D11" s="34">
        <f t="shared" si="1"/>
        <v>0</v>
      </c>
      <c r="E11" s="3">
        <f>COUNTIF(Vertices[Degree],"&gt;= "&amp;D11)-COUNTIF(Vertices[Degree],"&gt;="&amp;D12)</f>
        <v>0</v>
      </c>
      <c r="F11" s="41">
        <f t="shared" si="2"/>
        <v>1.3235294117647058</v>
      </c>
      <c r="G11" s="42">
        <f>COUNTIF(Vertices[In-Degree],"&gt;= "&amp;F11)-COUNTIF(Vertices[In-Degree],"&gt;="&amp;F12)</f>
        <v>0</v>
      </c>
      <c r="H11" s="41">
        <f t="shared" si="3"/>
        <v>2.6470588235294117</v>
      </c>
      <c r="I11" s="42">
        <f>COUNTIF(Vertices[Out-Degree],"&gt;= "&amp;H11)-COUNTIF(Vertices[Out-Degree],"&gt;="&amp;H12)</f>
        <v>0</v>
      </c>
      <c r="J11" s="41">
        <f t="shared" si="4"/>
        <v>57.17647058823529</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0.040649558823529414</v>
      </c>
      <c r="O11" s="42">
        <f>COUNTIF(Vertices[Eigenvector Centrality],"&gt;= "&amp;N11)-COUNTIF(Vertices[Eigenvector Centrality],"&gt;="&amp;N12)</f>
        <v>0</v>
      </c>
      <c r="P11" s="41">
        <f t="shared" si="7"/>
        <v>1.0679162352941178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287</v>
      </c>
      <c r="B12" s="36">
        <v>16</v>
      </c>
      <c r="D12" s="34">
        <f t="shared" si="1"/>
        <v>0</v>
      </c>
      <c r="E12" s="3">
        <f>COUNTIF(Vertices[Degree],"&gt;= "&amp;D12)-COUNTIF(Vertices[Degree],"&gt;="&amp;D13)</f>
        <v>0</v>
      </c>
      <c r="F12" s="39">
        <f t="shared" si="2"/>
        <v>1.4705882352941175</v>
      </c>
      <c r="G12" s="40">
        <f>COUNTIF(Vertices[In-Degree],"&gt;= "&amp;F12)-COUNTIF(Vertices[In-Degree],"&gt;="&amp;F13)</f>
        <v>0</v>
      </c>
      <c r="H12" s="39">
        <f t="shared" si="3"/>
        <v>2.941176470588235</v>
      </c>
      <c r="I12" s="40">
        <f>COUNTIF(Vertices[Out-Degree],"&gt;= "&amp;H12)-COUNTIF(Vertices[Out-Degree],"&gt;="&amp;H13)</f>
        <v>1</v>
      </c>
      <c r="J12" s="39">
        <f t="shared" si="4"/>
        <v>63.52941176470588</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0.04516617647058824</v>
      </c>
      <c r="O12" s="40">
        <f>COUNTIF(Vertices[Eigenvector Centrality],"&gt;= "&amp;N12)-COUNTIF(Vertices[Eigenvector Centrality],"&gt;="&amp;N13)</f>
        <v>0</v>
      </c>
      <c r="P12" s="39">
        <f t="shared" si="7"/>
        <v>1.138441705882353</v>
      </c>
      <c r="Q12" s="40">
        <f>COUNTIF(Vertices[PageRank],"&gt;= "&amp;P12)-COUNTIF(Vertices[PageRank],"&gt;="&amp;P13)</f>
        <v>2</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196</v>
      </c>
      <c r="B13" s="36">
        <v>17</v>
      </c>
      <c r="D13" s="34">
        <f t="shared" si="1"/>
        <v>0</v>
      </c>
      <c r="E13" s="3">
        <f>COUNTIF(Vertices[Degree],"&gt;= "&amp;D13)-COUNTIF(Vertices[Degree],"&gt;="&amp;D14)</f>
        <v>0</v>
      </c>
      <c r="F13" s="41">
        <f t="shared" si="2"/>
        <v>1.6176470588235292</v>
      </c>
      <c r="G13" s="42">
        <f>COUNTIF(Vertices[In-Degree],"&gt;= "&amp;F13)-COUNTIF(Vertices[In-Degree],"&gt;="&amp;F14)</f>
        <v>0</v>
      </c>
      <c r="H13" s="41">
        <f t="shared" si="3"/>
        <v>3.2352941176470584</v>
      </c>
      <c r="I13" s="42">
        <f>COUNTIF(Vertices[Out-Degree],"&gt;= "&amp;H13)-COUNTIF(Vertices[Out-Degree],"&gt;="&amp;H14)</f>
        <v>0</v>
      </c>
      <c r="J13" s="41">
        <f t="shared" si="4"/>
        <v>69.88235294117646</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0.04968279411764706</v>
      </c>
      <c r="O13" s="42">
        <f>COUNTIF(Vertices[Eigenvector Centrality],"&gt;= "&amp;N13)-COUNTIF(Vertices[Eigenvector Centrality],"&gt;="&amp;N14)</f>
        <v>0</v>
      </c>
      <c r="P13" s="41">
        <f t="shared" si="7"/>
        <v>1.2089671764705883</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285</v>
      </c>
      <c r="B14" s="36">
        <v>22</v>
      </c>
      <c r="D14" s="34">
        <f t="shared" si="1"/>
        <v>0</v>
      </c>
      <c r="E14" s="3">
        <f>COUNTIF(Vertices[Degree],"&gt;= "&amp;D14)-COUNTIF(Vertices[Degree],"&gt;="&amp;D15)</f>
        <v>0</v>
      </c>
      <c r="F14" s="39">
        <f t="shared" si="2"/>
        <v>1.764705882352941</v>
      </c>
      <c r="G14" s="40">
        <f>COUNTIF(Vertices[In-Degree],"&gt;= "&amp;F14)-COUNTIF(Vertices[In-Degree],"&gt;="&amp;F15)</f>
        <v>0</v>
      </c>
      <c r="H14" s="39">
        <f t="shared" si="3"/>
        <v>3.529411764705882</v>
      </c>
      <c r="I14" s="40">
        <f>COUNTIF(Vertices[Out-Degree],"&gt;= "&amp;H14)-COUNTIF(Vertices[Out-Degree],"&gt;="&amp;H15)</f>
        <v>0</v>
      </c>
      <c r="J14" s="39">
        <f t="shared" si="4"/>
        <v>76.23529411764706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0.054199411764705885</v>
      </c>
      <c r="O14" s="40">
        <f>COUNTIF(Vertices[Eigenvector Centrality],"&gt;= "&amp;N14)-COUNTIF(Vertices[Eigenvector Centrality],"&gt;="&amp;N15)</f>
        <v>0</v>
      </c>
      <c r="P14" s="39">
        <f t="shared" si="7"/>
        <v>1.2794926470588235</v>
      </c>
      <c r="Q14" s="40">
        <f>COUNTIF(Vertices[PageRank],"&gt;= "&amp;P14)-COUNTIF(Vertices[PageRank],"&gt;="&amp;P15)</f>
        <v>3</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286</v>
      </c>
      <c r="B15" s="36">
        <v>10</v>
      </c>
      <c r="D15" s="34">
        <f t="shared" si="1"/>
        <v>0</v>
      </c>
      <c r="E15" s="3">
        <f>COUNTIF(Vertices[Degree],"&gt;= "&amp;D15)-COUNTIF(Vertices[Degree],"&gt;="&amp;D16)</f>
        <v>0</v>
      </c>
      <c r="F15" s="41">
        <f t="shared" si="2"/>
        <v>1.9117647058823526</v>
      </c>
      <c r="G15" s="42">
        <f>COUNTIF(Vertices[In-Degree],"&gt;= "&amp;F15)-COUNTIF(Vertices[In-Degree],"&gt;="&amp;F16)</f>
        <v>14</v>
      </c>
      <c r="H15" s="41">
        <f t="shared" si="3"/>
        <v>3.823529411764705</v>
      </c>
      <c r="I15" s="42">
        <f>COUNTIF(Vertices[Out-Degree],"&gt;= "&amp;H15)-COUNTIF(Vertices[Out-Degree],"&gt;="&amp;H16)</f>
        <v>0</v>
      </c>
      <c r="J15" s="41">
        <f t="shared" si="4"/>
        <v>82.58823529411765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0.05871602941176471</v>
      </c>
      <c r="O15" s="42">
        <f>COUNTIF(Vertices[Eigenvector Centrality],"&gt;= "&amp;N15)-COUNTIF(Vertices[Eigenvector Centrality],"&gt;="&amp;N16)</f>
        <v>0</v>
      </c>
      <c r="P15" s="41">
        <f t="shared" si="7"/>
        <v>1.3500181176470587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5"/>
      <c r="B16" s="125"/>
      <c r="D16" s="34">
        <f t="shared" si="1"/>
        <v>0</v>
      </c>
      <c r="E16" s="3">
        <f>COUNTIF(Vertices[Degree],"&gt;= "&amp;D16)-COUNTIF(Vertices[Degree],"&gt;="&amp;D17)</f>
        <v>0</v>
      </c>
      <c r="F16" s="39">
        <f t="shared" si="2"/>
        <v>2.0588235294117645</v>
      </c>
      <c r="G16" s="40">
        <f>COUNTIF(Vertices[In-Degree],"&gt;= "&amp;F16)-COUNTIF(Vertices[In-Degree],"&gt;="&amp;F17)</f>
        <v>0</v>
      </c>
      <c r="H16" s="39">
        <f t="shared" si="3"/>
        <v>4.117647058823529</v>
      </c>
      <c r="I16" s="40">
        <f>COUNTIF(Vertices[Out-Degree],"&gt;= "&amp;H16)-COUNTIF(Vertices[Out-Degree],"&gt;="&amp;H17)</f>
        <v>0</v>
      </c>
      <c r="J16" s="39">
        <f t="shared" si="4"/>
        <v>88.94117647058825</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0.06323264705882353</v>
      </c>
      <c r="O16" s="40">
        <f>COUNTIF(Vertices[Eigenvector Centrality],"&gt;= "&amp;N16)-COUNTIF(Vertices[Eigenvector Centrality],"&gt;="&amp;N17)</f>
        <v>8</v>
      </c>
      <c r="P16" s="39">
        <f t="shared" si="7"/>
        <v>1.420543588235294</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17</v>
      </c>
      <c r="D17" s="34">
        <f t="shared" si="1"/>
        <v>0</v>
      </c>
      <c r="E17" s="3">
        <f>COUNTIF(Vertices[Degree],"&gt;= "&amp;D17)-COUNTIF(Vertices[Degree],"&gt;="&amp;D18)</f>
        <v>0</v>
      </c>
      <c r="F17" s="41">
        <f t="shared" si="2"/>
        <v>2.205882352941176</v>
      </c>
      <c r="G17" s="42">
        <f>COUNTIF(Vertices[In-Degree],"&gt;= "&amp;F17)-COUNTIF(Vertices[In-Degree],"&gt;="&amp;F18)</f>
        <v>0</v>
      </c>
      <c r="H17" s="41">
        <f t="shared" si="3"/>
        <v>4.411764705882352</v>
      </c>
      <c r="I17" s="42">
        <f>COUNTIF(Vertices[Out-Degree],"&gt;= "&amp;H17)-COUNTIF(Vertices[Out-Degree],"&gt;="&amp;H18)</f>
        <v>0</v>
      </c>
      <c r="J17" s="41">
        <f t="shared" si="4"/>
        <v>95.29411764705884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0.06774926470588236</v>
      </c>
      <c r="O17" s="42">
        <f>COUNTIF(Vertices[Eigenvector Centrality],"&gt;= "&amp;N17)-COUNTIF(Vertices[Eigenvector Centrality],"&gt;="&amp;N18)</f>
        <v>0</v>
      </c>
      <c r="P17" s="41">
        <f t="shared" si="7"/>
        <v>1.4910690588235291</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5"/>
      <c r="B18" s="125"/>
      <c r="D18" s="34">
        <f t="shared" si="1"/>
        <v>0</v>
      </c>
      <c r="E18" s="3">
        <f>COUNTIF(Vertices[Degree],"&gt;= "&amp;D18)-COUNTIF(Vertices[Degree],"&gt;="&amp;D19)</f>
        <v>0</v>
      </c>
      <c r="F18" s="39">
        <f t="shared" si="2"/>
        <v>2.352941176470588</v>
      </c>
      <c r="G18" s="40">
        <f>COUNTIF(Vertices[In-Degree],"&gt;= "&amp;F18)-COUNTIF(Vertices[In-Degree],"&gt;="&amp;F19)</f>
        <v>0</v>
      </c>
      <c r="H18" s="39">
        <f t="shared" si="3"/>
        <v>4.705882352941176</v>
      </c>
      <c r="I18" s="40">
        <f>COUNTIF(Vertices[Out-Degree],"&gt;= "&amp;H18)-COUNTIF(Vertices[Out-Degree],"&gt;="&amp;H19)</f>
        <v>0</v>
      </c>
      <c r="J18" s="39">
        <f t="shared" si="4"/>
        <v>101.64705882352943</v>
      </c>
      <c r="K18" s="40">
        <f>COUNTIF(Vertices[Betweenness Centrality],"&gt;= "&amp;J18)-COUNTIF(Vertices[Betweenness Centrality],"&gt;="&amp;J19)</f>
        <v>1</v>
      </c>
      <c r="L18" s="39">
        <f t="shared" si="5"/>
        <v>0.4705882352941177</v>
      </c>
      <c r="M18" s="40">
        <f>COUNTIF(Vertices[Closeness Centrality],"&gt;= "&amp;L18)-COUNTIF(Vertices[Closeness Centrality],"&gt;="&amp;L19)</f>
        <v>0</v>
      </c>
      <c r="N18" s="39">
        <f t="shared" si="6"/>
        <v>0.07226588235294118</v>
      </c>
      <c r="O18" s="40">
        <f>COUNTIF(Vertices[Eigenvector Centrality],"&gt;= "&amp;N18)-COUNTIF(Vertices[Eigenvector Centrality],"&gt;="&amp;N19)</f>
        <v>0</v>
      </c>
      <c r="P18" s="39">
        <f t="shared" si="7"/>
        <v>1.5615945294117644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0.021739130434782608</v>
      </c>
      <c r="D19" s="34">
        <f t="shared" si="1"/>
        <v>0</v>
      </c>
      <c r="E19" s="3">
        <f>COUNTIF(Vertices[Degree],"&gt;= "&amp;D19)-COUNTIF(Vertices[Degree],"&gt;="&amp;D20)</f>
        <v>0</v>
      </c>
      <c r="F19" s="41">
        <f t="shared" si="2"/>
        <v>2.4999999999999996</v>
      </c>
      <c r="G19" s="42">
        <f>COUNTIF(Vertices[In-Degree],"&gt;= "&amp;F19)-COUNTIF(Vertices[In-Degree],"&gt;="&amp;F20)</f>
        <v>0</v>
      </c>
      <c r="H19" s="41">
        <f t="shared" si="3"/>
        <v>4.999999999999999</v>
      </c>
      <c r="I19" s="42">
        <f>COUNTIF(Vertices[Out-Degree],"&gt;= "&amp;H19)-COUNTIF(Vertices[Out-Degree],"&gt;="&amp;H20)</f>
        <v>0</v>
      </c>
      <c r="J19" s="41">
        <f t="shared" si="4"/>
        <v>108.00000000000003</v>
      </c>
      <c r="K19" s="42">
        <f>COUNTIF(Vertices[Betweenness Centrality],"&gt;= "&amp;J19)-COUNTIF(Vertices[Betweenness Centrality],"&gt;="&amp;J20)</f>
        <v>0</v>
      </c>
      <c r="L19" s="41">
        <f t="shared" si="5"/>
        <v>0.5</v>
      </c>
      <c r="M19" s="42">
        <f>COUNTIF(Vertices[Closeness Centrality],"&gt;= "&amp;L19)-COUNTIF(Vertices[Closeness Centrality],"&gt;="&amp;L20)</f>
        <v>4</v>
      </c>
      <c r="N19" s="41">
        <f t="shared" si="6"/>
        <v>0.0767825</v>
      </c>
      <c r="O19" s="42">
        <f>COUNTIF(Vertices[Eigenvector Centrality],"&gt;= "&amp;N19)-COUNTIF(Vertices[Eigenvector Centrality],"&gt;="&amp;N20)</f>
        <v>1</v>
      </c>
      <c r="P19" s="41">
        <f t="shared" si="7"/>
        <v>1.6321199999999996</v>
      </c>
      <c r="Q19" s="42">
        <f>COUNTIF(Vertices[PageRank],"&gt;= "&amp;P19)-COUNTIF(Vertices[PageRank],"&gt;="&amp;P20)</f>
        <v>1</v>
      </c>
      <c r="R19" s="41">
        <f t="shared" si="8"/>
        <v>0.5</v>
      </c>
      <c r="S19" s="46">
        <f>COUNTIF(Vertices[Clustering Coefficient],"&gt;= "&amp;R19)-COUNTIF(Vertices[Clustering Coefficient],"&gt;="&amp;R20)</f>
        <v>3</v>
      </c>
      <c r="T19" s="41" t="e">
        <f ca="1" t="shared" si="9"/>
        <v>#REF!</v>
      </c>
      <c r="U19" s="42" t="e">
        <f ca="1" t="shared" si="0"/>
        <v>#REF!</v>
      </c>
    </row>
    <row r="20" spans="1:21" ht="15">
      <c r="A20" s="36" t="s">
        <v>171</v>
      </c>
      <c r="B20" s="36">
        <v>0.0425531914893617</v>
      </c>
      <c r="D20" s="34">
        <f t="shared" si="1"/>
        <v>0</v>
      </c>
      <c r="E20" s="3">
        <f>COUNTIF(Vertices[Degree],"&gt;= "&amp;D20)-COUNTIF(Vertices[Degree],"&gt;="&amp;D21)</f>
        <v>0</v>
      </c>
      <c r="F20" s="39">
        <f t="shared" si="2"/>
        <v>2.6470588235294112</v>
      </c>
      <c r="G20" s="40">
        <f>COUNTIF(Vertices[In-Degree],"&gt;= "&amp;F20)-COUNTIF(Vertices[In-Degree],"&gt;="&amp;F21)</f>
        <v>0</v>
      </c>
      <c r="H20" s="39">
        <f t="shared" si="3"/>
        <v>5.2941176470588225</v>
      </c>
      <c r="I20" s="40">
        <f>COUNTIF(Vertices[Out-Degree],"&gt;= "&amp;H20)-COUNTIF(Vertices[Out-Degree],"&gt;="&amp;H21)</f>
        <v>0</v>
      </c>
      <c r="J20" s="39">
        <f t="shared" si="4"/>
        <v>114.35294117647062</v>
      </c>
      <c r="K20" s="40">
        <f>COUNTIF(Vertices[Betweenness Centrality],"&gt;= "&amp;J20)-COUNTIF(Vertices[Betweenness Centrality],"&gt;="&amp;J21)</f>
        <v>2</v>
      </c>
      <c r="L20" s="39">
        <f t="shared" si="5"/>
        <v>0.5294117647058824</v>
      </c>
      <c r="M20" s="40">
        <f>COUNTIF(Vertices[Closeness Centrality],"&gt;= "&amp;L20)-COUNTIF(Vertices[Closeness Centrality],"&gt;="&amp;L21)</f>
        <v>0</v>
      </c>
      <c r="N20" s="39">
        <f t="shared" si="6"/>
        <v>0.08129911764705883</v>
      </c>
      <c r="O20" s="40">
        <f>COUNTIF(Vertices[Eigenvector Centrality],"&gt;= "&amp;N20)-COUNTIF(Vertices[Eigenvector Centrality],"&gt;="&amp;N21)</f>
        <v>0</v>
      </c>
      <c r="P20" s="39">
        <f t="shared" si="7"/>
        <v>1.7026454705882348</v>
      </c>
      <c r="Q20" s="40">
        <f>COUNTIF(Vertices[PageRank],"&gt;= "&amp;P20)-COUNTIF(Vertices[PageRank],"&gt;="&amp;P21)</f>
        <v>1</v>
      </c>
      <c r="R20" s="39">
        <f t="shared" si="8"/>
        <v>0.5294117647058824</v>
      </c>
      <c r="S20" s="45">
        <f>COUNTIF(Vertices[Clustering Coefficient],"&gt;= "&amp;R20)-COUNTIF(Vertices[Clustering Coefficient],"&gt;="&amp;R21)</f>
        <v>0</v>
      </c>
      <c r="T20" s="39" t="e">
        <f ca="1" t="shared" si="9"/>
        <v>#REF!</v>
      </c>
      <c r="U20" s="40" t="e">
        <f ca="1" t="shared" si="0"/>
        <v>#REF!</v>
      </c>
    </row>
    <row r="21" spans="1:21" ht="15">
      <c r="A21" s="125"/>
      <c r="B21" s="125"/>
      <c r="D21" s="34">
        <f t="shared" si="1"/>
        <v>0</v>
      </c>
      <c r="E21" s="3">
        <f>COUNTIF(Vertices[Degree],"&gt;= "&amp;D21)-COUNTIF(Vertices[Degree],"&gt;="&amp;D22)</f>
        <v>0</v>
      </c>
      <c r="F21" s="41">
        <f t="shared" si="2"/>
        <v>2.794117647058823</v>
      </c>
      <c r="G21" s="42">
        <f>COUNTIF(Vertices[In-Degree],"&gt;= "&amp;F21)-COUNTIF(Vertices[In-Degree],"&gt;="&amp;F22)</f>
        <v>0</v>
      </c>
      <c r="H21" s="41">
        <f t="shared" si="3"/>
        <v>5.588235294117646</v>
      </c>
      <c r="I21" s="42">
        <f>COUNTIF(Vertices[Out-Degree],"&gt;= "&amp;H21)-COUNTIF(Vertices[Out-Degree],"&gt;="&amp;H22)</f>
        <v>0</v>
      </c>
      <c r="J21" s="41">
        <f t="shared" si="4"/>
        <v>120.70588235294122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0.08581573529411765</v>
      </c>
      <c r="O21" s="42">
        <f>COUNTIF(Vertices[Eigenvector Centrality],"&gt;= "&amp;N21)-COUNTIF(Vertices[Eigenvector Centrality],"&gt;="&amp;N22)</f>
        <v>0</v>
      </c>
      <c r="P21" s="41">
        <f t="shared" si="7"/>
        <v>1.77317094117647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16</v>
      </c>
      <c r="D22" s="34">
        <f t="shared" si="1"/>
        <v>0</v>
      </c>
      <c r="E22" s="3">
        <f>COUNTIF(Vertices[Degree],"&gt;= "&amp;D22)-COUNTIF(Vertices[Degree],"&gt;="&amp;D23)</f>
        <v>0</v>
      </c>
      <c r="F22" s="39">
        <f t="shared" si="2"/>
        <v>2.9411764705882346</v>
      </c>
      <c r="G22" s="40">
        <f>COUNTIF(Vertices[In-Degree],"&gt;= "&amp;F22)-COUNTIF(Vertices[In-Degree],"&gt;="&amp;F23)</f>
        <v>4</v>
      </c>
      <c r="H22" s="39">
        <f t="shared" si="3"/>
        <v>5.882352941176469</v>
      </c>
      <c r="I22" s="40">
        <f>COUNTIF(Vertices[Out-Degree],"&gt;= "&amp;H22)-COUNTIF(Vertices[Out-Degree],"&gt;="&amp;H23)</f>
        <v>0</v>
      </c>
      <c r="J22" s="39">
        <f t="shared" si="4"/>
        <v>127.05882352941181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0.09033235294117647</v>
      </c>
      <c r="O22" s="40">
        <f>COUNTIF(Vertices[Eigenvector Centrality],"&gt;= "&amp;N22)-COUNTIF(Vertices[Eigenvector Centrality],"&gt;="&amp;N23)</f>
        <v>0</v>
      </c>
      <c r="P22" s="39">
        <f t="shared" si="7"/>
        <v>1.8436964117647052</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6</v>
      </c>
      <c r="D23" s="34">
        <f t="shared" si="1"/>
        <v>0</v>
      </c>
      <c r="E23" s="3">
        <f>COUNTIF(Vertices[Degree],"&gt;= "&amp;D23)-COUNTIF(Vertices[Degree],"&gt;="&amp;D24)</f>
        <v>0</v>
      </c>
      <c r="F23" s="41">
        <f t="shared" si="2"/>
        <v>3.0882352941176463</v>
      </c>
      <c r="G23" s="42">
        <f>COUNTIF(Vertices[In-Degree],"&gt;= "&amp;F23)-COUNTIF(Vertices[In-Degree],"&gt;="&amp;F24)</f>
        <v>0</v>
      </c>
      <c r="H23" s="41">
        <f t="shared" si="3"/>
        <v>6.176470588235293</v>
      </c>
      <c r="I23" s="42">
        <f>COUNTIF(Vertices[Out-Degree],"&gt;= "&amp;H23)-COUNTIF(Vertices[Out-Degree],"&gt;="&amp;H24)</f>
        <v>0</v>
      </c>
      <c r="J23" s="41">
        <f t="shared" si="4"/>
        <v>133.4117647058824</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0.0948489705882353</v>
      </c>
      <c r="O23" s="42">
        <f>COUNTIF(Vertices[Eigenvector Centrality],"&gt;= "&amp;N23)-COUNTIF(Vertices[Eigenvector Centrality],"&gt;="&amp;N24)</f>
        <v>0</v>
      </c>
      <c r="P23" s="41">
        <f t="shared" si="7"/>
        <v>1.9142218823529404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20</v>
      </c>
      <c r="D24" s="34">
        <f t="shared" si="1"/>
        <v>0</v>
      </c>
      <c r="E24" s="3">
        <f>COUNTIF(Vertices[Degree],"&gt;= "&amp;D24)-COUNTIF(Vertices[Degree],"&gt;="&amp;D25)</f>
        <v>0</v>
      </c>
      <c r="F24" s="39">
        <f t="shared" si="2"/>
        <v>3.235294117647058</v>
      </c>
      <c r="G24" s="40">
        <f>COUNTIF(Vertices[In-Degree],"&gt;= "&amp;F24)-COUNTIF(Vertices[In-Degree],"&gt;="&amp;F25)</f>
        <v>0</v>
      </c>
      <c r="H24" s="39">
        <f t="shared" si="3"/>
        <v>6.470588235294116</v>
      </c>
      <c r="I24" s="40">
        <f>COUNTIF(Vertices[Out-Degree],"&gt;= "&amp;H24)-COUNTIF(Vertices[Out-Degree],"&gt;="&amp;H25)</f>
        <v>0</v>
      </c>
      <c r="J24" s="39">
        <f t="shared" si="4"/>
        <v>139.76470588235298</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0.09936558823529412</v>
      </c>
      <c r="O24" s="40">
        <f>COUNTIF(Vertices[Eigenvector Centrality],"&gt;= "&amp;N24)-COUNTIF(Vertices[Eigenvector Centrality],"&gt;="&amp;N25)</f>
        <v>0</v>
      </c>
      <c r="P24" s="39">
        <f t="shared" si="7"/>
        <v>1.9847473529411757</v>
      </c>
      <c r="Q24" s="40">
        <f>COUNTIF(Vertices[PageRank],"&gt;= "&amp;P24)-COUNTIF(Vertices[PageRank],"&gt;="&amp;P25)</f>
        <v>1</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35</v>
      </c>
      <c r="D25" s="34">
        <f t="shared" si="1"/>
        <v>0</v>
      </c>
      <c r="E25" s="3">
        <f>COUNTIF(Vertices[Degree],"&gt;= "&amp;D25)-COUNTIF(Vertices[Degree],"&gt;="&amp;D26)</f>
        <v>0</v>
      </c>
      <c r="F25" s="41">
        <f t="shared" si="2"/>
        <v>3.3823529411764697</v>
      </c>
      <c r="G25" s="42">
        <f>COUNTIF(Vertices[In-Degree],"&gt;= "&amp;F25)-COUNTIF(Vertices[In-Degree],"&gt;="&amp;F26)</f>
        <v>0</v>
      </c>
      <c r="H25" s="41">
        <f t="shared" si="3"/>
        <v>6.764705882352939</v>
      </c>
      <c r="I25" s="42">
        <f>COUNTIF(Vertices[Out-Degree],"&gt;= "&amp;H25)-COUNTIF(Vertices[Out-Degree],"&gt;="&amp;H26)</f>
        <v>0</v>
      </c>
      <c r="J25" s="41">
        <f t="shared" si="4"/>
        <v>146.11764705882356</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0.10388220588235295</v>
      </c>
      <c r="O25" s="42">
        <f>COUNTIF(Vertices[Eigenvector Centrality],"&gt;= "&amp;N25)-COUNTIF(Vertices[Eigenvector Centrality],"&gt;="&amp;N26)</f>
        <v>0</v>
      </c>
      <c r="P25" s="41">
        <f t="shared" si="7"/>
        <v>2.055272823529411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5"/>
      <c r="B26" s="125"/>
      <c r="D26" s="34">
        <f t="shared" si="1"/>
        <v>0</v>
      </c>
      <c r="E26" s="3">
        <f>COUNTIF(Vertices[Degree],"&gt;= "&amp;D26)-COUNTIF(Vertices[Degree],"&gt;="&amp;D27)</f>
        <v>0</v>
      </c>
      <c r="F26" s="39">
        <f t="shared" si="2"/>
        <v>3.5294117647058814</v>
      </c>
      <c r="G26" s="40">
        <f>COUNTIF(Vertices[In-Degree],"&gt;= "&amp;F26)-COUNTIF(Vertices[In-Degree],"&gt;="&amp;F27)</f>
        <v>0</v>
      </c>
      <c r="H26" s="39">
        <f t="shared" si="3"/>
        <v>7.058823529411763</v>
      </c>
      <c r="I26" s="40">
        <f>COUNTIF(Vertices[Out-Degree],"&gt;= "&amp;H26)-COUNTIF(Vertices[Out-Degree],"&gt;="&amp;H27)</f>
        <v>0</v>
      </c>
      <c r="J26" s="39">
        <f t="shared" si="4"/>
        <v>152.47058823529414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0.10839882352941177</v>
      </c>
      <c r="O26" s="40">
        <f>COUNTIF(Vertices[Eigenvector Centrality],"&gt;= "&amp;N26)-COUNTIF(Vertices[Eigenvector Centrality],"&gt;="&amp;N27)</f>
        <v>0</v>
      </c>
      <c r="P26" s="39">
        <f t="shared" si="7"/>
        <v>2.1257982941176463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5</v>
      </c>
      <c r="D27" s="34">
        <f t="shared" si="1"/>
        <v>0</v>
      </c>
      <c r="E27" s="3">
        <f>COUNTIF(Vertices[Degree],"&gt;= "&amp;D27)-COUNTIF(Vertices[Degree],"&gt;="&amp;D28)</f>
        <v>0</v>
      </c>
      <c r="F27" s="41">
        <f t="shared" si="2"/>
        <v>3.676470588235293</v>
      </c>
      <c r="G27" s="42">
        <f>COUNTIF(Vertices[In-Degree],"&gt;= "&amp;F27)-COUNTIF(Vertices[In-Degree],"&gt;="&amp;F28)</f>
        <v>0</v>
      </c>
      <c r="H27" s="41">
        <f t="shared" si="3"/>
        <v>7.352941176470586</v>
      </c>
      <c r="I27" s="42">
        <f>COUNTIF(Vertices[Out-Degree],"&gt;= "&amp;H27)-COUNTIF(Vertices[Out-Degree],"&gt;="&amp;H28)</f>
        <v>0</v>
      </c>
      <c r="J27" s="41">
        <f t="shared" si="4"/>
        <v>158.82352941176472</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0.1129154411764706</v>
      </c>
      <c r="O27" s="42">
        <f>COUNTIF(Vertices[Eigenvector Centrality],"&gt;= "&amp;N27)-COUNTIF(Vertices[Eigenvector Centrality],"&gt;="&amp;N28)</f>
        <v>0</v>
      </c>
      <c r="P27" s="41">
        <f t="shared" si="7"/>
        <v>2.1963237647058818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2.28866</v>
      </c>
      <c r="D28" s="34">
        <f t="shared" si="1"/>
        <v>0</v>
      </c>
      <c r="E28" s="3">
        <f>COUNTIF(Vertices[Degree],"&gt;= "&amp;D28)-COUNTIF(Vertices[Degree],"&gt;="&amp;D29)</f>
        <v>0</v>
      </c>
      <c r="F28" s="39">
        <f t="shared" si="2"/>
        <v>3.8235294117647047</v>
      </c>
      <c r="G28" s="40">
        <f>COUNTIF(Vertices[In-Degree],"&gt;= "&amp;F28)-COUNTIF(Vertices[In-Degree],"&gt;="&amp;F29)</f>
        <v>0</v>
      </c>
      <c r="H28" s="39">
        <f t="shared" si="3"/>
        <v>7.6470588235294095</v>
      </c>
      <c r="I28" s="40">
        <f>COUNTIF(Vertices[Out-Degree],"&gt;= "&amp;H28)-COUNTIF(Vertices[Out-Degree],"&gt;="&amp;H29)</f>
        <v>0</v>
      </c>
      <c r="J28" s="39">
        <f t="shared" si="4"/>
        <v>165.1764705882353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0.11743205882352942</v>
      </c>
      <c r="O28" s="40">
        <f>COUNTIF(Vertices[Eigenvector Centrality],"&gt;= "&amp;N28)-COUNTIF(Vertices[Eigenvector Centrality],"&gt;="&amp;N29)</f>
        <v>0</v>
      </c>
      <c r="P28" s="39">
        <f t="shared" si="7"/>
        <v>2.266849235294117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5"/>
      <c r="B29" s="125"/>
      <c r="D29" s="34">
        <f t="shared" si="1"/>
        <v>0</v>
      </c>
      <c r="E29" s="3">
        <f>COUNTIF(Vertices[Degree],"&gt;= "&amp;D29)-COUNTIF(Vertices[Degree],"&gt;="&amp;D30)</f>
        <v>0</v>
      </c>
      <c r="F29" s="41">
        <f t="shared" si="2"/>
        <v>3.9705882352941164</v>
      </c>
      <c r="G29" s="42">
        <f>COUNTIF(Vertices[In-Degree],"&gt;= "&amp;F29)-COUNTIF(Vertices[In-Degree],"&gt;="&amp;F30)</f>
        <v>0</v>
      </c>
      <c r="H29" s="41">
        <f t="shared" si="3"/>
        <v>7.941176470588233</v>
      </c>
      <c r="I29" s="42">
        <f>COUNTIF(Vertices[Out-Degree],"&gt;= "&amp;H29)-COUNTIF(Vertices[Out-Degree],"&gt;="&amp;H30)</f>
        <v>0</v>
      </c>
      <c r="J29" s="41">
        <f t="shared" si="4"/>
        <v>171.52941176470588</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0.12194867647058824</v>
      </c>
      <c r="O29" s="42">
        <f>COUNTIF(Vertices[Eigenvector Centrality],"&gt;= "&amp;N29)-COUNTIF(Vertices[Eigenvector Centrality],"&gt;="&amp;N30)</f>
        <v>0</v>
      </c>
      <c r="P29" s="41">
        <f t="shared" si="7"/>
        <v>2.3373747058823526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0.01843137254901961</v>
      </c>
      <c r="D30" s="34">
        <f t="shared" si="1"/>
        <v>0</v>
      </c>
      <c r="E30" s="3">
        <f>COUNTIF(Vertices[Degree],"&gt;= "&amp;D30)-COUNTIF(Vertices[Degree],"&gt;="&amp;D31)</f>
        <v>0</v>
      </c>
      <c r="F30" s="39">
        <f t="shared" si="2"/>
        <v>4.117647058823528</v>
      </c>
      <c r="G30" s="40">
        <f>COUNTIF(Vertices[In-Degree],"&gt;= "&amp;F30)-COUNTIF(Vertices[In-Degree],"&gt;="&amp;F31)</f>
        <v>0</v>
      </c>
      <c r="H30" s="39">
        <f t="shared" si="3"/>
        <v>8.235294117647056</v>
      </c>
      <c r="I30" s="40">
        <f>COUNTIF(Vertices[Out-Degree],"&gt;= "&amp;H30)-COUNTIF(Vertices[Out-Degree],"&gt;="&amp;H31)</f>
        <v>0</v>
      </c>
      <c r="J30" s="39">
        <f t="shared" si="4"/>
        <v>177.88235294117646</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0.12646529411764706</v>
      </c>
      <c r="O30" s="40">
        <f>COUNTIF(Vertices[Eigenvector Centrality],"&gt;= "&amp;N30)-COUNTIF(Vertices[Eigenvector Centrality],"&gt;="&amp;N31)</f>
        <v>0</v>
      </c>
      <c r="P30" s="39">
        <f t="shared" si="7"/>
        <v>2.407900176470588</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1309</v>
      </c>
      <c r="B31" s="36">
        <v>0.656686</v>
      </c>
      <c r="D31" s="34">
        <f t="shared" si="1"/>
        <v>0</v>
      </c>
      <c r="E31" s="3">
        <f>COUNTIF(Vertices[Degree],"&gt;= "&amp;D31)-COUNTIF(Vertices[Degree],"&gt;="&amp;D32)</f>
        <v>0</v>
      </c>
      <c r="F31" s="41">
        <f t="shared" si="2"/>
        <v>4.26470588235294</v>
      </c>
      <c r="G31" s="42">
        <f>COUNTIF(Vertices[In-Degree],"&gt;= "&amp;F31)-COUNTIF(Vertices[In-Degree],"&gt;="&amp;F32)</f>
        <v>0</v>
      </c>
      <c r="H31" s="41">
        <f t="shared" si="3"/>
        <v>8.52941176470588</v>
      </c>
      <c r="I31" s="42">
        <f>COUNTIF(Vertices[Out-Degree],"&gt;= "&amp;H31)-COUNTIF(Vertices[Out-Degree],"&gt;="&amp;H32)</f>
        <v>0</v>
      </c>
      <c r="J31" s="41">
        <f t="shared" si="4"/>
        <v>184.23529411764704</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0.1309819117647059</v>
      </c>
      <c r="O31" s="42">
        <f>COUNTIF(Vertices[Eigenvector Centrality],"&gt;= "&amp;N31)-COUNTIF(Vertices[Eigenvector Centrality],"&gt;="&amp;N32)</f>
        <v>0</v>
      </c>
      <c r="P31" s="41">
        <f t="shared" si="7"/>
        <v>2.4784256470588235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5"/>
      <c r="B32" s="125"/>
      <c r="D32" s="34">
        <f t="shared" si="1"/>
        <v>0</v>
      </c>
      <c r="E32" s="3">
        <f>COUNTIF(Vertices[Degree],"&gt;= "&amp;D32)-COUNTIF(Vertices[Degree],"&gt;="&amp;D33)</f>
        <v>0</v>
      </c>
      <c r="F32" s="39">
        <f t="shared" si="2"/>
        <v>4.411764705882352</v>
      </c>
      <c r="G32" s="40">
        <f>COUNTIF(Vertices[In-Degree],"&gt;= "&amp;F32)-COUNTIF(Vertices[In-Degree],"&gt;="&amp;F33)</f>
        <v>0</v>
      </c>
      <c r="H32" s="39">
        <f t="shared" si="3"/>
        <v>8.823529411764705</v>
      </c>
      <c r="I32" s="40">
        <f>COUNTIF(Vertices[Out-Degree],"&gt;= "&amp;H32)-COUNTIF(Vertices[Out-Degree],"&gt;="&amp;H33)</f>
        <v>0</v>
      </c>
      <c r="J32" s="39">
        <f t="shared" si="4"/>
        <v>190.58823529411762</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0.1354985294117647</v>
      </c>
      <c r="O32" s="40">
        <f>COUNTIF(Vertices[Eigenvector Centrality],"&gt;= "&amp;N32)-COUNTIF(Vertices[Eigenvector Centrality],"&gt;="&amp;N33)</f>
        <v>0</v>
      </c>
      <c r="P32" s="39">
        <f t="shared" si="7"/>
        <v>2.548951117647059</v>
      </c>
      <c r="Q32" s="40">
        <f>COUNTIF(Vertices[PageRank],"&gt;= "&amp;P32)-COUNTIF(Vertices[PageRank],"&gt;="&amp;P33)</f>
        <v>1</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1310</v>
      </c>
      <c r="B33" s="36" t="s">
        <v>1325</v>
      </c>
      <c r="D33" s="34">
        <f t="shared" si="1"/>
        <v>0</v>
      </c>
      <c r="E33" s="3">
        <f>COUNTIF(Vertices[Degree],"&gt;= "&amp;D33)-COUNTIF(Vertices[Degree],"&gt;="&amp;D34)</f>
        <v>0</v>
      </c>
      <c r="F33" s="41">
        <f t="shared" si="2"/>
        <v>4.5588235294117645</v>
      </c>
      <c r="G33" s="42">
        <f>COUNTIF(Vertices[In-Degree],"&gt;= "&amp;F33)-COUNTIF(Vertices[In-Degree],"&gt;="&amp;F34)</f>
        <v>0</v>
      </c>
      <c r="H33" s="41">
        <f t="shared" si="3"/>
        <v>9.117647058823529</v>
      </c>
      <c r="I33" s="42">
        <f>COUNTIF(Vertices[Out-Degree],"&gt;= "&amp;H33)-COUNTIF(Vertices[Out-Degree],"&gt;="&amp;H34)</f>
        <v>0</v>
      </c>
      <c r="J33" s="41">
        <f t="shared" si="4"/>
        <v>196.9411764705882</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0.14001514705882354</v>
      </c>
      <c r="O33" s="42">
        <f>COUNTIF(Vertices[Eigenvector Centrality],"&gt;= "&amp;N33)-COUNTIF(Vertices[Eigenvector Centrality],"&gt;="&amp;N34)</f>
        <v>0</v>
      </c>
      <c r="P33" s="41">
        <f t="shared" si="7"/>
        <v>2.6194765882352944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5"/>
      <c r="B34" s="125"/>
      <c r="D34" s="34">
        <f t="shared" si="1"/>
        <v>0</v>
      </c>
      <c r="E34" s="3">
        <f>COUNTIF(Vertices[Degree],"&gt;= "&amp;D34)-COUNTIF(Vertices[Degree],"&gt;="&amp;D35)</f>
        <v>0</v>
      </c>
      <c r="F34" s="39">
        <f t="shared" si="2"/>
        <v>4.705882352941177</v>
      </c>
      <c r="G34" s="40">
        <f>COUNTIF(Vertices[In-Degree],"&gt;= "&amp;F34)-COUNTIF(Vertices[In-Degree],"&gt;="&amp;F35)</f>
        <v>0</v>
      </c>
      <c r="H34" s="39">
        <f t="shared" si="3"/>
        <v>9.411764705882353</v>
      </c>
      <c r="I34" s="40">
        <f>COUNTIF(Vertices[Out-Degree],"&gt;= "&amp;H34)-COUNTIF(Vertices[Out-Degree],"&gt;="&amp;H35)</f>
        <v>0</v>
      </c>
      <c r="J34" s="39">
        <f t="shared" si="4"/>
        <v>203.29411764705878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0.14453176470588236</v>
      </c>
      <c r="O34" s="40">
        <f>COUNTIF(Vertices[Eigenvector Centrality],"&gt;= "&amp;N34)-COUNTIF(Vertices[Eigenvector Centrality],"&gt;="&amp;N35)</f>
        <v>0</v>
      </c>
      <c r="P34" s="39">
        <f t="shared" si="7"/>
        <v>2.69000205882353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1311</v>
      </c>
      <c r="B35" s="36" t="s">
        <v>1407</v>
      </c>
      <c r="D35" s="34">
        <f t="shared" si="1"/>
        <v>0</v>
      </c>
      <c r="E35" s="3">
        <f>COUNTIF(Vertices[Degree],"&gt;= "&amp;D35)-COUNTIF(Vertices[Degree],"&gt;="&amp;D36)</f>
        <v>0</v>
      </c>
      <c r="F35" s="41">
        <f t="shared" si="2"/>
        <v>4.852941176470589</v>
      </c>
      <c r="G35" s="42">
        <f>COUNTIF(Vertices[In-Degree],"&gt;= "&amp;F35)-COUNTIF(Vertices[In-Degree],"&gt;="&amp;F36)</f>
        <v>0</v>
      </c>
      <c r="H35" s="41">
        <f t="shared" si="3"/>
        <v>9.705882352941178</v>
      </c>
      <c r="I35" s="42">
        <f>COUNTIF(Vertices[Out-Degree],"&gt;= "&amp;H35)-COUNTIF(Vertices[Out-Degree],"&gt;="&amp;H36)</f>
        <v>0</v>
      </c>
      <c r="J35" s="41">
        <f t="shared" si="4"/>
        <v>209.64705882352936</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0.14904838235294118</v>
      </c>
      <c r="O35" s="42">
        <f>COUNTIF(Vertices[Eigenvector Centrality],"&gt;= "&amp;N35)-COUNTIF(Vertices[Eigenvector Centrality],"&gt;="&amp;N36)</f>
        <v>0</v>
      </c>
      <c r="P35" s="41">
        <f t="shared" si="7"/>
        <v>2.7605275294117653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1312</v>
      </c>
      <c r="B36" s="36" t="s">
        <v>1408</v>
      </c>
      <c r="D36" s="34">
        <f>MAX(Vertices[Degree])</f>
        <v>0</v>
      </c>
      <c r="E36" s="3">
        <f>COUNTIF(Vertices[Degree],"&gt;= "&amp;D36)-COUNTIF(Vertices[Degree],"&gt;="&amp;#REF!)</f>
        <v>0</v>
      </c>
      <c r="F36" s="43">
        <f>MAX(Vertices[In-Degree])</f>
        <v>5</v>
      </c>
      <c r="G36" s="44">
        <f>COUNTIF(Vertices[In-Degree],"&gt;= "&amp;F36)-COUNTIF(Vertices[In-Degree],"&gt;="&amp;#REF!)</f>
        <v>2</v>
      </c>
      <c r="H36" s="43">
        <f>MAX(Vertices[Out-Degree])</f>
        <v>10</v>
      </c>
      <c r="I36" s="44">
        <f>COUNTIF(Vertices[Out-Degree],"&gt;= "&amp;H36)-COUNTIF(Vertices[Out-Degree],"&gt;="&amp;#REF!)</f>
        <v>2</v>
      </c>
      <c r="J36" s="43">
        <f>MAX(Vertices[Betweenness Centrality])</f>
        <v>216</v>
      </c>
      <c r="K36" s="44">
        <f>COUNTIF(Vertices[Betweenness Centrality],"&gt;= "&amp;J36)-COUNTIF(Vertices[Betweenness Centrality],"&gt;="&amp;#REF!)</f>
        <v>1</v>
      </c>
      <c r="L36" s="43">
        <f>MAX(Vertices[Closeness Centrality])</f>
        <v>1</v>
      </c>
      <c r="M36" s="44">
        <f>COUNTIF(Vertices[Closeness Centrality],"&gt;= "&amp;L36)-COUNTIF(Vertices[Closeness Centrality],"&gt;="&amp;#REF!)</f>
        <v>10</v>
      </c>
      <c r="N36" s="43">
        <f>MAX(Vertices[Eigenvector Centrality])</f>
        <v>0.153565</v>
      </c>
      <c r="O36" s="44">
        <f>COUNTIF(Vertices[Eigenvector Centrality],"&gt;= "&amp;N36)-COUNTIF(Vertices[Eigenvector Centrality],"&gt;="&amp;#REF!)</f>
        <v>2</v>
      </c>
      <c r="P36" s="43">
        <f>MAX(Vertices[PageRank])</f>
        <v>2.831053</v>
      </c>
      <c r="Q36" s="44">
        <f>COUNTIF(Vertices[PageRank],"&gt;= "&amp;P36)-COUNTIF(Vertices[PageRank],"&gt;="&amp;#REF!)</f>
        <v>2</v>
      </c>
      <c r="R36" s="43">
        <f>MAX(Vertices[Clustering Coefficient])</f>
        <v>1</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5"/>
      <c r="B37" s="125"/>
    </row>
    <row r="38" spans="1:2" ht="15">
      <c r="A38" s="36" t="s">
        <v>1313</v>
      </c>
      <c r="B38" s="36" t="s">
        <v>1403</v>
      </c>
    </row>
    <row r="39" spans="1:2" ht="15">
      <c r="A39" s="36" t="s">
        <v>1314</v>
      </c>
      <c r="B39" s="36" t="s">
        <v>871</v>
      </c>
    </row>
    <row r="40" spans="1:2" ht="409.5">
      <c r="A40" s="36" t="s">
        <v>1315</v>
      </c>
      <c r="B40" s="68" t="s">
        <v>1404</v>
      </c>
    </row>
    <row r="41" spans="1:2" ht="15">
      <c r="A41" s="36" t="s">
        <v>1316</v>
      </c>
      <c r="B41" s="36" t="s">
        <v>1405</v>
      </c>
    </row>
    <row r="42" spans="1:2" ht="15">
      <c r="A42" s="36" t="s">
        <v>1317</v>
      </c>
      <c r="B42" s="36" t="s">
        <v>1406</v>
      </c>
    </row>
    <row r="43" spans="1:2" ht="15">
      <c r="A43" s="36" t="s">
        <v>1318</v>
      </c>
      <c r="B43" s="36" t="s">
        <v>717</v>
      </c>
    </row>
    <row r="44" spans="1:2" ht="15">
      <c r="A44" s="36" t="s">
        <v>1319</v>
      </c>
      <c r="B44" s="36" t="s">
        <v>717</v>
      </c>
    </row>
    <row r="45" spans="1:2" ht="15">
      <c r="A45" s="36" t="s">
        <v>1320</v>
      </c>
      <c r="B45" s="36" t="s">
        <v>717</v>
      </c>
    </row>
    <row r="46" spans="1:2" ht="15">
      <c r="A46" s="36" t="s">
        <v>1321</v>
      </c>
      <c r="B46" s="36"/>
    </row>
    <row r="47" spans="1:2" ht="15">
      <c r="A47" s="36" t="s">
        <v>21</v>
      </c>
      <c r="B47" s="36"/>
    </row>
    <row r="48" spans="1:2" ht="15">
      <c r="A48" s="36" t="s">
        <v>1322</v>
      </c>
      <c r="B48" s="36" t="s">
        <v>467</v>
      </c>
    </row>
    <row r="49" spans="1:2" ht="15">
      <c r="A49" s="36" t="s">
        <v>1323</v>
      </c>
      <c r="B49" s="36"/>
    </row>
    <row r="50" spans="1:2" ht="15">
      <c r="A50" s="36" t="s">
        <v>1324</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1.196078431372549</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1.196078431372549</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216</v>
      </c>
    </row>
    <row r="111" spans="1:2" ht="15">
      <c r="A111" s="35" t="s">
        <v>102</v>
      </c>
      <c r="B111" s="49">
        <f>_xlfn.IFERROR(AVERAGE(Vertices[Betweenness Centrality]),NoMetricMessage)</f>
        <v>13.254901960784315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0.29200241176470576</v>
      </c>
    </row>
    <row r="126" spans="1:2" ht="15">
      <c r="A126" s="35" t="s">
        <v>109</v>
      </c>
      <c r="B126" s="49">
        <f>_xlfn.IFERROR(MEDIAN(Vertices[Closeness Centrality]),NoMetricMessage)</f>
        <v>0.030303</v>
      </c>
    </row>
    <row r="137" spans="1:2" ht="15">
      <c r="A137" s="35" t="s">
        <v>112</v>
      </c>
      <c r="B137" s="49">
        <f>IF(COUNT(Vertices[Eigenvector Centrality])&gt;0,N2,NoMetricMessage)</f>
        <v>0</v>
      </c>
    </row>
    <row r="138" spans="1:2" ht="15">
      <c r="A138" s="35" t="s">
        <v>113</v>
      </c>
      <c r="B138" s="49">
        <f>IF(COUNT(Vertices[Eigenvector Centrality])&gt;0,N36,NoMetricMessage)</f>
        <v>0.153565</v>
      </c>
    </row>
    <row r="139" spans="1:2" ht="15">
      <c r="A139" s="35" t="s">
        <v>114</v>
      </c>
      <c r="B139" s="49">
        <f>_xlfn.IFERROR(AVERAGE(Vertices[Eigenvector Centrality]),NoMetricMessage)</f>
        <v>0.019607784313725486</v>
      </c>
    </row>
    <row r="140" spans="1:2" ht="15">
      <c r="A140" s="35" t="s">
        <v>115</v>
      </c>
      <c r="B140" s="49">
        <f>_xlfn.IFERROR(MEDIAN(Vertices[Eigenvector Centrality]),NoMetricMessage)</f>
        <v>0</v>
      </c>
    </row>
    <row r="151" spans="1:2" ht="15">
      <c r="A151" s="35" t="s">
        <v>140</v>
      </c>
      <c r="B151" s="49">
        <f>IF(COUNT(Vertices[PageRank])&gt;0,P2,NoMetricMessage)</f>
        <v>0.433187</v>
      </c>
    </row>
    <row r="152" spans="1:2" ht="15">
      <c r="A152" s="35" t="s">
        <v>141</v>
      </c>
      <c r="B152" s="49">
        <f>IF(COUNT(Vertices[PageRank])&gt;0,P36,NoMetricMessage)</f>
        <v>2.831053</v>
      </c>
    </row>
    <row r="153" spans="1:2" ht="15">
      <c r="A153" s="35" t="s">
        <v>142</v>
      </c>
      <c r="B153" s="49">
        <f>_xlfn.IFERROR(AVERAGE(Vertices[PageRank]),NoMetricMessage)</f>
        <v>0.9999902745098038</v>
      </c>
    </row>
    <row r="154" spans="1:2" ht="15">
      <c r="A154" s="35" t="s">
        <v>143</v>
      </c>
      <c r="B154" s="49">
        <f>_xlfn.IFERROR(MEDIAN(Vertices[PageRank]),NoMetricMessage)</f>
        <v>0.99999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0.17908496732026144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715</v>
      </c>
    </row>
    <row r="6" spans="1:18" ht="409.5">
      <c r="A6">
        <v>0</v>
      </c>
      <c r="B6" s="1" t="s">
        <v>136</v>
      </c>
      <c r="C6">
        <v>1</v>
      </c>
      <c r="D6" t="s">
        <v>59</v>
      </c>
      <c r="E6" t="s">
        <v>59</v>
      </c>
      <c r="F6">
        <v>0</v>
      </c>
      <c r="H6" t="s">
        <v>71</v>
      </c>
      <c r="J6" t="s">
        <v>173</v>
      </c>
      <c r="K6" s="13" t="s">
        <v>716</v>
      </c>
      <c r="R6" t="s">
        <v>129</v>
      </c>
    </row>
    <row r="7" spans="1:11" ht="409.5">
      <c r="A7">
        <v>2</v>
      </c>
      <c r="B7">
        <v>1</v>
      </c>
      <c r="C7">
        <v>0</v>
      </c>
      <c r="D7" t="s">
        <v>60</v>
      </c>
      <c r="E7" t="s">
        <v>60</v>
      </c>
      <c r="F7">
        <v>2</v>
      </c>
      <c r="H7" t="s">
        <v>72</v>
      </c>
      <c r="J7" t="s">
        <v>174</v>
      </c>
      <c r="K7" s="13" t="s">
        <v>1387</v>
      </c>
    </row>
    <row r="8" spans="1:11" ht="409.5">
      <c r="A8"/>
      <c r="B8">
        <v>2</v>
      </c>
      <c r="C8">
        <v>2</v>
      </c>
      <c r="D8" t="s">
        <v>61</v>
      </c>
      <c r="E8" t="s">
        <v>61</v>
      </c>
      <c r="H8" t="s">
        <v>73</v>
      </c>
      <c r="J8" t="s">
        <v>175</v>
      </c>
      <c r="K8" s="13" t="s">
        <v>1388</v>
      </c>
    </row>
    <row r="9" spans="1:11" ht="409.5">
      <c r="A9"/>
      <c r="B9">
        <v>3</v>
      </c>
      <c r="C9">
        <v>4</v>
      </c>
      <c r="D9" t="s">
        <v>62</v>
      </c>
      <c r="E9" t="s">
        <v>62</v>
      </c>
      <c r="H9" t="s">
        <v>74</v>
      </c>
      <c r="J9" t="s">
        <v>176</v>
      </c>
      <c r="K9" s="13" t="s">
        <v>1389</v>
      </c>
    </row>
    <row r="10" spans="1:11" ht="15">
      <c r="A10"/>
      <c r="B10">
        <v>4</v>
      </c>
      <c r="D10" t="s">
        <v>63</v>
      </c>
      <c r="E10" t="s">
        <v>63</v>
      </c>
      <c r="H10" t="s">
        <v>75</v>
      </c>
      <c r="J10" t="s">
        <v>177</v>
      </c>
      <c r="K10" t="s">
        <v>1390</v>
      </c>
    </row>
    <row r="11" spans="1:11" ht="15">
      <c r="A11"/>
      <c r="B11">
        <v>5</v>
      </c>
      <c r="D11" t="s">
        <v>46</v>
      </c>
      <c r="E11">
        <v>1</v>
      </c>
      <c r="H11" t="s">
        <v>76</v>
      </c>
      <c r="J11" t="s">
        <v>178</v>
      </c>
      <c r="K11" t="s">
        <v>1391</v>
      </c>
    </row>
    <row r="12" spans="1:11" ht="15">
      <c r="A12"/>
      <c r="B12"/>
      <c r="D12" t="s">
        <v>64</v>
      </c>
      <c r="E12">
        <v>2</v>
      </c>
      <c r="H12">
        <v>0</v>
      </c>
      <c r="J12" t="s">
        <v>179</v>
      </c>
      <c r="K12" t="s">
        <v>1392</v>
      </c>
    </row>
    <row r="13" spans="1:11" ht="15">
      <c r="A13"/>
      <c r="B13"/>
      <c r="D13">
        <v>1</v>
      </c>
      <c r="E13">
        <v>3</v>
      </c>
      <c r="H13">
        <v>1</v>
      </c>
      <c r="J13" t="s">
        <v>180</v>
      </c>
      <c r="K13" t="s">
        <v>1393</v>
      </c>
    </row>
    <row r="14" spans="4:11" ht="15">
      <c r="D14">
        <v>2</v>
      </c>
      <c r="E14">
        <v>4</v>
      </c>
      <c r="H14">
        <v>2</v>
      </c>
      <c r="J14" t="s">
        <v>181</v>
      </c>
      <c r="K14" t="s">
        <v>1394</v>
      </c>
    </row>
    <row r="15" spans="4:11" ht="15">
      <c r="D15">
        <v>3</v>
      </c>
      <c r="E15">
        <v>5</v>
      </c>
      <c r="H15">
        <v>3</v>
      </c>
      <c r="J15" t="s">
        <v>182</v>
      </c>
      <c r="K15" t="s">
        <v>1395</v>
      </c>
    </row>
    <row r="16" spans="4:11" ht="15">
      <c r="D16">
        <v>4</v>
      </c>
      <c r="E16">
        <v>6</v>
      </c>
      <c r="H16">
        <v>4</v>
      </c>
      <c r="J16" t="s">
        <v>183</v>
      </c>
      <c r="K16" t="s">
        <v>1396</v>
      </c>
    </row>
    <row r="17" spans="4:11" ht="15">
      <c r="D17">
        <v>5</v>
      </c>
      <c r="E17">
        <v>7</v>
      </c>
      <c r="H17">
        <v>5</v>
      </c>
      <c r="J17" t="s">
        <v>184</v>
      </c>
      <c r="K17" t="s">
        <v>1397</v>
      </c>
    </row>
    <row r="18" spans="4:11" ht="15">
      <c r="D18">
        <v>6</v>
      </c>
      <c r="E18">
        <v>8</v>
      </c>
      <c r="H18">
        <v>6</v>
      </c>
      <c r="J18" t="s">
        <v>185</v>
      </c>
      <c r="K18" t="s">
        <v>1398</v>
      </c>
    </row>
    <row r="19" spans="4:11" ht="15">
      <c r="D19">
        <v>7</v>
      </c>
      <c r="E19">
        <v>9</v>
      </c>
      <c r="H19">
        <v>7</v>
      </c>
      <c r="J19" t="s">
        <v>186</v>
      </c>
      <c r="K19" t="s">
        <v>1399</v>
      </c>
    </row>
    <row r="20" spans="4:11" ht="409.5">
      <c r="D20">
        <v>8</v>
      </c>
      <c r="H20">
        <v>8</v>
      </c>
      <c r="J20" t="s">
        <v>187</v>
      </c>
      <c r="K20" s="13" t="s">
        <v>1400</v>
      </c>
    </row>
    <row r="21" spans="4:11" ht="409.5">
      <c r="D21">
        <v>9</v>
      </c>
      <c r="H21">
        <v>9</v>
      </c>
      <c r="J21" t="s">
        <v>188</v>
      </c>
      <c r="K21" s="13" t="s">
        <v>1401</v>
      </c>
    </row>
    <row r="22" spans="4:11" ht="409.5">
      <c r="D22">
        <v>10</v>
      </c>
      <c r="J22" t="s">
        <v>189</v>
      </c>
      <c r="K22" s="13" t="s">
        <v>1402</v>
      </c>
    </row>
    <row r="23" spans="4:11" ht="15">
      <c r="D23">
        <v>11</v>
      </c>
      <c r="J23" t="s">
        <v>190</v>
      </c>
      <c r="K23">
        <v>18</v>
      </c>
    </row>
    <row r="24" spans="10:11" ht="15">
      <c r="J24" t="s">
        <v>192</v>
      </c>
      <c r="K24" t="s">
        <v>1384</v>
      </c>
    </row>
    <row r="25" spans="10:11" ht="409.5">
      <c r="J25" t="s">
        <v>193</v>
      </c>
      <c r="K25" s="13" t="s">
        <v>1386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020FA-0C2D-48F5-8354-8D54122FADD2}">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746</v>
      </c>
      <c r="B1" s="13" t="s">
        <v>757</v>
      </c>
      <c r="C1" s="13" t="s">
        <v>758</v>
      </c>
      <c r="D1" s="13" t="s">
        <v>762</v>
      </c>
      <c r="E1" s="13" t="s">
        <v>761</v>
      </c>
      <c r="F1" s="13" t="s">
        <v>764</v>
      </c>
      <c r="G1" s="13" t="s">
        <v>763</v>
      </c>
      <c r="H1" s="13" t="s">
        <v>769</v>
      </c>
      <c r="I1" s="13" t="s">
        <v>768</v>
      </c>
      <c r="J1" s="13" t="s">
        <v>771</v>
      </c>
      <c r="K1" s="13" t="s">
        <v>770</v>
      </c>
      <c r="L1" s="13" t="s">
        <v>773</v>
      </c>
      <c r="M1" s="13" t="s">
        <v>772</v>
      </c>
      <c r="N1" s="13" t="s">
        <v>776</v>
      </c>
      <c r="O1" s="13" t="s">
        <v>775</v>
      </c>
      <c r="P1" s="13" t="s">
        <v>778</v>
      </c>
      <c r="Q1" s="13" t="s">
        <v>777</v>
      </c>
      <c r="R1" s="13" t="s">
        <v>781</v>
      </c>
      <c r="S1" s="82" t="s">
        <v>780</v>
      </c>
      <c r="T1" s="82" t="s">
        <v>783</v>
      </c>
      <c r="U1" s="13" t="s">
        <v>782</v>
      </c>
      <c r="V1" s="13" t="s">
        <v>786</v>
      </c>
    </row>
    <row r="2" spans="1:22" ht="15">
      <c r="A2" s="86" t="s">
        <v>747</v>
      </c>
      <c r="B2" s="82">
        <v>6</v>
      </c>
      <c r="C2" s="86" t="s">
        <v>752</v>
      </c>
      <c r="D2" s="82">
        <v>2</v>
      </c>
      <c r="E2" s="86" t="s">
        <v>747</v>
      </c>
      <c r="F2" s="82">
        <v>6</v>
      </c>
      <c r="G2" s="86" t="s">
        <v>765</v>
      </c>
      <c r="H2" s="82">
        <v>1</v>
      </c>
      <c r="I2" s="86" t="s">
        <v>748</v>
      </c>
      <c r="J2" s="82">
        <v>5</v>
      </c>
      <c r="K2" s="86" t="s">
        <v>749</v>
      </c>
      <c r="L2" s="82">
        <v>2</v>
      </c>
      <c r="M2" s="86" t="s">
        <v>774</v>
      </c>
      <c r="N2" s="82">
        <v>2</v>
      </c>
      <c r="O2" s="86" t="s">
        <v>750</v>
      </c>
      <c r="P2" s="82">
        <v>3</v>
      </c>
      <c r="Q2" s="86" t="s">
        <v>779</v>
      </c>
      <c r="R2" s="82">
        <v>1</v>
      </c>
      <c r="S2" s="82"/>
      <c r="T2" s="82"/>
      <c r="U2" s="86" t="s">
        <v>784</v>
      </c>
      <c r="V2" s="82">
        <v>1</v>
      </c>
    </row>
    <row r="3" spans="1:22" ht="15">
      <c r="A3" s="87" t="s">
        <v>748</v>
      </c>
      <c r="B3" s="82">
        <v>5</v>
      </c>
      <c r="C3" s="86" t="s">
        <v>759</v>
      </c>
      <c r="D3" s="82">
        <v>1</v>
      </c>
      <c r="E3" s="86" t="s">
        <v>751</v>
      </c>
      <c r="F3" s="82">
        <v>2</v>
      </c>
      <c r="G3" s="86" t="s">
        <v>766</v>
      </c>
      <c r="H3" s="82">
        <v>1</v>
      </c>
      <c r="I3" s="82"/>
      <c r="J3" s="82"/>
      <c r="K3" s="82"/>
      <c r="L3" s="82"/>
      <c r="M3" s="82"/>
      <c r="N3" s="82"/>
      <c r="O3" s="82"/>
      <c r="P3" s="82"/>
      <c r="Q3" s="82"/>
      <c r="R3" s="82"/>
      <c r="S3" s="82"/>
      <c r="T3" s="82"/>
      <c r="U3" s="86" t="s">
        <v>785</v>
      </c>
      <c r="V3" s="82">
        <v>1</v>
      </c>
    </row>
    <row r="4" spans="1:22" ht="15">
      <c r="A4" s="87" t="s">
        <v>749</v>
      </c>
      <c r="B4" s="82">
        <v>3</v>
      </c>
      <c r="C4" s="86" t="s">
        <v>760</v>
      </c>
      <c r="D4" s="82">
        <v>1</v>
      </c>
      <c r="E4" s="86" t="s">
        <v>753</v>
      </c>
      <c r="F4" s="82">
        <v>2</v>
      </c>
      <c r="G4" s="86" t="s">
        <v>767</v>
      </c>
      <c r="H4" s="82">
        <v>1</v>
      </c>
      <c r="I4" s="82"/>
      <c r="J4" s="82"/>
      <c r="K4" s="82"/>
      <c r="L4" s="82"/>
      <c r="M4" s="82"/>
      <c r="N4" s="82"/>
      <c r="O4" s="82"/>
      <c r="P4" s="82"/>
      <c r="Q4" s="82"/>
      <c r="R4" s="82"/>
      <c r="S4" s="82"/>
      <c r="T4" s="82"/>
      <c r="U4" s="82"/>
      <c r="V4" s="82"/>
    </row>
    <row r="5" spans="1:22" ht="15">
      <c r="A5" s="87" t="s">
        <v>750</v>
      </c>
      <c r="B5" s="82">
        <v>3</v>
      </c>
      <c r="C5" s="82"/>
      <c r="D5" s="82"/>
      <c r="E5" s="82"/>
      <c r="F5" s="82"/>
      <c r="G5" s="86" t="s">
        <v>749</v>
      </c>
      <c r="H5" s="82">
        <v>1</v>
      </c>
      <c r="I5" s="82"/>
      <c r="J5" s="82"/>
      <c r="K5" s="82"/>
      <c r="L5" s="82"/>
      <c r="M5" s="82"/>
      <c r="N5" s="82"/>
      <c r="O5" s="82"/>
      <c r="P5" s="82"/>
      <c r="Q5" s="82"/>
      <c r="R5" s="82"/>
      <c r="S5" s="82"/>
      <c r="T5" s="82"/>
      <c r="U5" s="82"/>
      <c r="V5" s="82"/>
    </row>
    <row r="6" spans="1:22" ht="15">
      <c r="A6" s="87" t="s">
        <v>751</v>
      </c>
      <c r="B6" s="82">
        <v>2</v>
      </c>
      <c r="C6" s="82"/>
      <c r="D6" s="82"/>
      <c r="E6" s="82"/>
      <c r="F6" s="82"/>
      <c r="G6" s="82"/>
      <c r="H6" s="82"/>
      <c r="I6" s="82"/>
      <c r="J6" s="82"/>
      <c r="K6" s="82"/>
      <c r="L6" s="82"/>
      <c r="M6" s="82"/>
      <c r="N6" s="82"/>
      <c r="O6" s="82"/>
      <c r="P6" s="82"/>
      <c r="Q6" s="82"/>
      <c r="R6" s="82"/>
      <c r="S6" s="82"/>
      <c r="T6" s="82"/>
      <c r="U6" s="82"/>
      <c r="V6" s="82"/>
    </row>
    <row r="7" spans="1:22" ht="15">
      <c r="A7" s="87" t="s">
        <v>752</v>
      </c>
      <c r="B7" s="82">
        <v>2</v>
      </c>
      <c r="C7" s="82"/>
      <c r="D7" s="82"/>
      <c r="E7" s="82"/>
      <c r="F7" s="82"/>
      <c r="G7" s="82"/>
      <c r="H7" s="82"/>
      <c r="I7" s="82"/>
      <c r="J7" s="82"/>
      <c r="K7" s="82"/>
      <c r="L7" s="82"/>
      <c r="M7" s="82"/>
      <c r="N7" s="82"/>
      <c r="O7" s="82"/>
      <c r="P7" s="82"/>
      <c r="Q7" s="82"/>
      <c r="R7" s="82"/>
      <c r="S7" s="82"/>
      <c r="T7" s="82"/>
      <c r="U7" s="82"/>
      <c r="V7" s="82"/>
    </row>
    <row r="8" spans="1:22" ht="15">
      <c r="A8" s="87" t="s">
        <v>753</v>
      </c>
      <c r="B8" s="82">
        <v>2</v>
      </c>
      <c r="C8" s="82"/>
      <c r="D8" s="82"/>
      <c r="E8" s="82"/>
      <c r="F8" s="82"/>
      <c r="G8" s="82"/>
      <c r="H8" s="82"/>
      <c r="I8" s="82"/>
      <c r="J8" s="82"/>
      <c r="K8" s="82"/>
      <c r="L8" s="82"/>
      <c r="M8" s="82"/>
      <c r="N8" s="82"/>
      <c r="O8" s="82"/>
      <c r="P8" s="82"/>
      <c r="Q8" s="82"/>
      <c r="R8" s="82"/>
      <c r="S8" s="82"/>
      <c r="T8" s="82"/>
      <c r="U8" s="82"/>
      <c r="V8" s="82"/>
    </row>
    <row r="9" spans="1:22" ht="15">
      <c r="A9" s="87" t="s">
        <v>754</v>
      </c>
      <c r="B9" s="82">
        <v>2</v>
      </c>
      <c r="C9" s="82"/>
      <c r="D9" s="82"/>
      <c r="E9" s="82"/>
      <c r="F9" s="82"/>
      <c r="G9" s="82"/>
      <c r="H9" s="82"/>
      <c r="I9" s="82"/>
      <c r="J9" s="82"/>
      <c r="K9" s="82"/>
      <c r="L9" s="82"/>
      <c r="M9" s="82"/>
      <c r="N9" s="82"/>
      <c r="O9" s="82"/>
      <c r="P9" s="82"/>
      <c r="Q9" s="82"/>
      <c r="R9" s="82"/>
      <c r="S9" s="82"/>
      <c r="T9" s="82"/>
      <c r="U9" s="82"/>
      <c r="V9" s="82"/>
    </row>
    <row r="10" spans="1:22" ht="15">
      <c r="A10" s="87" t="s">
        <v>755</v>
      </c>
      <c r="B10" s="82">
        <v>2</v>
      </c>
      <c r="C10" s="82"/>
      <c r="D10" s="82"/>
      <c r="E10" s="82"/>
      <c r="F10" s="82"/>
      <c r="G10" s="82"/>
      <c r="H10" s="82"/>
      <c r="I10" s="82"/>
      <c r="J10" s="82"/>
      <c r="K10" s="82"/>
      <c r="L10" s="82"/>
      <c r="M10" s="82"/>
      <c r="N10" s="82"/>
      <c r="O10" s="82"/>
      <c r="P10" s="82"/>
      <c r="Q10" s="82"/>
      <c r="R10" s="82"/>
      <c r="S10" s="82"/>
      <c r="T10" s="82"/>
      <c r="U10" s="82"/>
      <c r="V10" s="82"/>
    </row>
    <row r="11" spans="1:22" ht="15">
      <c r="A11" s="87" t="s">
        <v>756</v>
      </c>
      <c r="B11" s="82">
        <v>2</v>
      </c>
      <c r="C11" s="82"/>
      <c r="D11" s="82"/>
      <c r="E11" s="82"/>
      <c r="F11" s="82"/>
      <c r="G11" s="82"/>
      <c r="H11" s="82"/>
      <c r="I11" s="82"/>
      <c r="J11" s="82"/>
      <c r="K11" s="82"/>
      <c r="L11" s="82"/>
      <c r="M11" s="82"/>
      <c r="N11" s="82"/>
      <c r="O11" s="82"/>
      <c r="P11" s="82"/>
      <c r="Q11" s="82"/>
      <c r="R11" s="82"/>
      <c r="S11" s="82"/>
      <c r="T11" s="82"/>
      <c r="U11" s="82"/>
      <c r="V11" s="82"/>
    </row>
    <row r="14" spans="1:22" ht="15" customHeight="1">
      <c r="A14" s="13" t="s">
        <v>792</v>
      </c>
      <c r="B14" s="13" t="s">
        <v>757</v>
      </c>
      <c r="C14" s="13" t="s">
        <v>794</v>
      </c>
      <c r="D14" s="13" t="s">
        <v>762</v>
      </c>
      <c r="E14" s="13" t="s">
        <v>795</v>
      </c>
      <c r="F14" s="13" t="s">
        <v>764</v>
      </c>
      <c r="G14" s="13" t="s">
        <v>796</v>
      </c>
      <c r="H14" s="13" t="s">
        <v>769</v>
      </c>
      <c r="I14" s="13" t="s">
        <v>797</v>
      </c>
      <c r="J14" s="13" t="s">
        <v>771</v>
      </c>
      <c r="K14" s="13" t="s">
        <v>798</v>
      </c>
      <c r="L14" s="13" t="s">
        <v>773</v>
      </c>
      <c r="M14" s="13" t="s">
        <v>799</v>
      </c>
      <c r="N14" s="13" t="s">
        <v>776</v>
      </c>
      <c r="O14" s="13" t="s">
        <v>800</v>
      </c>
      <c r="P14" s="13" t="s">
        <v>778</v>
      </c>
      <c r="Q14" s="13" t="s">
        <v>801</v>
      </c>
      <c r="R14" s="13" t="s">
        <v>781</v>
      </c>
      <c r="S14" s="82" t="s">
        <v>802</v>
      </c>
      <c r="T14" s="82" t="s">
        <v>783</v>
      </c>
      <c r="U14" s="13" t="s">
        <v>803</v>
      </c>
      <c r="V14" s="13" t="s">
        <v>786</v>
      </c>
    </row>
    <row r="15" spans="1:22" ht="15">
      <c r="A15" s="82" t="s">
        <v>324</v>
      </c>
      <c r="B15" s="82">
        <v>7</v>
      </c>
      <c r="C15" s="82" t="s">
        <v>326</v>
      </c>
      <c r="D15" s="82">
        <v>2</v>
      </c>
      <c r="E15" s="82" t="s">
        <v>324</v>
      </c>
      <c r="F15" s="82">
        <v>6</v>
      </c>
      <c r="G15" s="82" t="s">
        <v>324</v>
      </c>
      <c r="H15" s="82">
        <v>1</v>
      </c>
      <c r="I15" s="82" t="s">
        <v>328</v>
      </c>
      <c r="J15" s="82">
        <v>5</v>
      </c>
      <c r="K15" s="82" t="s">
        <v>322</v>
      </c>
      <c r="L15" s="82">
        <v>2</v>
      </c>
      <c r="M15" s="82" t="s">
        <v>318</v>
      </c>
      <c r="N15" s="82">
        <v>2</v>
      </c>
      <c r="O15" s="82" t="s">
        <v>317</v>
      </c>
      <c r="P15" s="82">
        <v>3</v>
      </c>
      <c r="Q15" s="82" t="s">
        <v>332</v>
      </c>
      <c r="R15" s="82">
        <v>1</v>
      </c>
      <c r="S15" s="82"/>
      <c r="T15" s="82"/>
      <c r="U15" s="82" t="s">
        <v>330</v>
      </c>
      <c r="V15" s="82">
        <v>1</v>
      </c>
    </row>
    <row r="16" spans="1:22" ht="15">
      <c r="A16" s="83" t="s">
        <v>328</v>
      </c>
      <c r="B16" s="82">
        <v>5</v>
      </c>
      <c r="C16" s="82" t="s">
        <v>325</v>
      </c>
      <c r="D16" s="82">
        <v>2</v>
      </c>
      <c r="E16" s="82" t="s">
        <v>327</v>
      </c>
      <c r="F16" s="82">
        <v>2</v>
      </c>
      <c r="G16" s="82" t="s">
        <v>329</v>
      </c>
      <c r="H16" s="82">
        <v>1</v>
      </c>
      <c r="I16" s="82"/>
      <c r="J16" s="82"/>
      <c r="K16" s="82"/>
      <c r="L16" s="82"/>
      <c r="M16" s="82"/>
      <c r="N16" s="82"/>
      <c r="O16" s="82"/>
      <c r="P16" s="82"/>
      <c r="Q16" s="82"/>
      <c r="R16" s="82"/>
      <c r="S16" s="82"/>
      <c r="T16" s="82"/>
      <c r="U16" s="82" t="s">
        <v>323</v>
      </c>
      <c r="V16" s="82">
        <v>1</v>
      </c>
    </row>
    <row r="17" spans="1:22" ht="15">
      <c r="A17" s="83" t="s">
        <v>793</v>
      </c>
      <c r="B17" s="82">
        <v>4</v>
      </c>
      <c r="C17" s="82"/>
      <c r="D17" s="82"/>
      <c r="E17" s="82" t="s">
        <v>321</v>
      </c>
      <c r="F17" s="82">
        <v>2</v>
      </c>
      <c r="G17" s="82" t="s">
        <v>331</v>
      </c>
      <c r="H17" s="82">
        <v>1</v>
      </c>
      <c r="I17" s="82"/>
      <c r="J17" s="82"/>
      <c r="K17" s="82"/>
      <c r="L17" s="82"/>
      <c r="M17" s="82"/>
      <c r="N17" s="82"/>
      <c r="O17" s="82"/>
      <c r="P17" s="82"/>
      <c r="Q17" s="82"/>
      <c r="R17" s="82"/>
      <c r="S17" s="82"/>
      <c r="T17" s="82"/>
      <c r="U17" s="82"/>
      <c r="V17" s="82"/>
    </row>
    <row r="18" spans="1:22" ht="15">
      <c r="A18" s="83" t="s">
        <v>322</v>
      </c>
      <c r="B18" s="82">
        <v>3</v>
      </c>
      <c r="C18" s="82"/>
      <c r="D18" s="82"/>
      <c r="E18" s="82"/>
      <c r="F18" s="82"/>
      <c r="G18" s="82" t="s">
        <v>322</v>
      </c>
      <c r="H18" s="82">
        <v>1</v>
      </c>
      <c r="I18" s="82"/>
      <c r="J18" s="82"/>
      <c r="K18" s="82"/>
      <c r="L18" s="82"/>
      <c r="M18" s="82"/>
      <c r="N18" s="82"/>
      <c r="O18" s="82"/>
      <c r="P18" s="82"/>
      <c r="Q18" s="82"/>
      <c r="R18" s="82"/>
      <c r="S18" s="82"/>
      <c r="T18" s="82"/>
      <c r="U18" s="82"/>
      <c r="V18" s="82"/>
    </row>
    <row r="19" spans="1:22" ht="15">
      <c r="A19" s="83" t="s">
        <v>317</v>
      </c>
      <c r="B19" s="82">
        <v>3</v>
      </c>
      <c r="C19" s="82"/>
      <c r="D19" s="82"/>
      <c r="E19" s="82"/>
      <c r="F19" s="82"/>
      <c r="G19" s="82"/>
      <c r="H19" s="82"/>
      <c r="I19" s="82"/>
      <c r="J19" s="82"/>
      <c r="K19" s="82"/>
      <c r="L19" s="82"/>
      <c r="M19" s="82"/>
      <c r="N19" s="82"/>
      <c r="O19" s="82"/>
      <c r="P19" s="82"/>
      <c r="Q19" s="82"/>
      <c r="R19" s="82"/>
      <c r="S19" s="82"/>
      <c r="T19" s="82"/>
      <c r="U19" s="82"/>
      <c r="V19" s="82"/>
    </row>
    <row r="20" spans="1:22" ht="15">
      <c r="A20" s="83" t="s">
        <v>327</v>
      </c>
      <c r="B20" s="82">
        <v>2</v>
      </c>
      <c r="C20" s="82"/>
      <c r="D20" s="82"/>
      <c r="E20" s="82"/>
      <c r="F20" s="82"/>
      <c r="G20" s="82"/>
      <c r="H20" s="82"/>
      <c r="I20" s="82"/>
      <c r="J20" s="82"/>
      <c r="K20" s="82"/>
      <c r="L20" s="82"/>
      <c r="M20" s="82"/>
      <c r="N20" s="82"/>
      <c r="O20" s="82"/>
      <c r="P20" s="82"/>
      <c r="Q20" s="82"/>
      <c r="R20" s="82"/>
      <c r="S20" s="82"/>
      <c r="T20" s="82"/>
      <c r="U20" s="82"/>
      <c r="V20" s="82"/>
    </row>
    <row r="21" spans="1:22" ht="15">
      <c r="A21" s="83" t="s">
        <v>326</v>
      </c>
      <c r="B21" s="82">
        <v>2</v>
      </c>
      <c r="C21" s="82"/>
      <c r="D21" s="82"/>
      <c r="E21" s="82"/>
      <c r="F21" s="82"/>
      <c r="G21" s="82"/>
      <c r="H21" s="82"/>
      <c r="I21" s="82"/>
      <c r="J21" s="82"/>
      <c r="K21" s="82"/>
      <c r="L21" s="82"/>
      <c r="M21" s="82"/>
      <c r="N21" s="82"/>
      <c r="O21" s="82"/>
      <c r="P21" s="82"/>
      <c r="Q21" s="82"/>
      <c r="R21" s="82"/>
      <c r="S21" s="82"/>
      <c r="T21" s="82"/>
      <c r="U21" s="82"/>
      <c r="V21" s="82"/>
    </row>
    <row r="22" spans="1:22" ht="15">
      <c r="A22" s="83" t="s">
        <v>325</v>
      </c>
      <c r="B22" s="82">
        <v>2</v>
      </c>
      <c r="C22" s="82"/>
      <c r="D22" s="82"/>
      <c r="E22" s="82"/>
      <c r="F22" s="82"/>
      <c r="G22" s="82"/>
      <c r="H22" s="82"/>
      <c r="I22" s="82"/>
      <c r="J22" s="82"/>
      <c r="K22" s="82"/>
      <c r="L22" s="82"/>
      <c r="M22" s="82"/>
      <c r="N22" s="82"/>
      <c r="O22" s="82"/>
      <c r="P22" s="82"/>
      <c r="Q22" s="82"/>
      <c r="R22" s="82"/>
      <c r="S22" s="82"/>
      <c r="T22" s="82"/>
      <c r="U22" s="82"/>
      <c r="V22" s="82"/>
    </row>
    <row r="23" spans="1:22" ht="15">
      <c r="A23" s="83" t="s">
        <v>321</v>
      </c>
      <c r="B23" s="82">
        <v>2</v>
      </c>
      <c r="C23" s="82"/>
      <c r="D23" s="82"/>
      <c r="E23" s="82"/>
      <c r="F23" s="82"/>
      <c r="G23" s="82"/>
      <c r="H23" s="82"/>
      <c r="I23" s="82"/>
      <c r="J23" s="82"/>
      <c r="K23" s="82"/>
      <c r="L23" s="82"/>
      <c r="M23" s="82"/>
      <c r="N23" s="82"/>
      <c r="O23" s="82"/>
      <c r="P23" s="82"/>
      <c r="Q23" s="82"/>
      <c r="R23" s="82"/>
      <c r="S23" s="82"/>
      <c r="T23" s="82"/>
      <c r="U23" s="82"/>
      <c r="V23" s="82"/>
    </row>
    <row r="24" spans="1:22" ht="15">
      <c r="A24" s="83" t="s">
        <v>320</v>
      </c>
      <c r="B24" s="82">
        <v>2</v>
      </c>
      <c r="C24" s="82"/>
      <c r="D24" s="82"/>
      <c r="E24" s="82"/>
      <c r="F24" s="82"/>
      <c r="G24" s="82"/>
      <c r="H24" s="82"/>
      <c r="I24" s="82"/>
      <c r="J24" s="82"/>
      <c r="K24" s="82"/>
      <c r="L24" s="82"/>
      <c r="M24" s="82"/>
      <c r="N24" s="82"/>
      <c r="O24" s="82"/>
      <c r="P24" s="82"/>
      <c r="Q24" s="82"/>
      <c r="R24" s="82"/>
      <c r="S24" s="82"/>
      <c r="T24" s="82"/>
      <c r="U24" s="82"/>
      <c r="V24" s="82"/>
    </row>
    <row r="27" spans="1:22" ht="15" customHeight="1">
      <c r="A27" s="13" t="s">
        <v>809</v>
      </c>
      <c r="B27" s="13" t="s">
        <v>757</v>
      </c>
      <c r="C27" s="13" t="s">
        <v>819</v>
      </c>
      <c r="D27" s="13" t="s">
        <v>762</v>
      </c>
      <c r="E27" s="13" t="s">
        <v>824</v>
      </c>
      <c r="F27" s="13" t="s">
        <v>764</v>
      </c>
      <c r="G27" s="13" t="s">
        <v>828</v>
      </c>
      <c r="H27" s="13" t="s">
        <v>769</v>
      </c>
      <c r="I27" s="13" t="s">
        <v>837</v>
      </c>
      <c r="J27" s="13" t="s">
        <v>771</v>
      </c>
      <c r="K27" s="13" t="s">
        <v>838</v>
      </c>
      <c r="L27" s="13" t="s">
        <v>773</v>
      </c>
      <c r="M27" s="13" t="s">
        <v>842</v>
      </c>
      <c r="N27" s="13" t="s">
        <v>776</v>
      </c>
      <c r="O27" s="13" t="s">
        <v>846</v>
      </c>
      <c r="P27" s="13" t="s">
        <v>778</v>
      </c>
      <c r="Q27" s="13" t="s">
        <v>847</v>
      </c>
      <c r="R27" s="13" t="s">
        <v>781</v>
      </c>
      <c r="S27" s="13" t="s">
        <v>852</v>
      </c>
      <c r="T27" s="13" t="s">
        <v>783</v>
      </c>
      <c r="U27" s="13" t="s">
        <v>860</v>
      </c>
      <c r="V27" s="13" t="s">
        <v>786</v>
      </c>
    </row>
    <row r="28" spans="1:22" ht="15">
      <c r="A28" s="82" t="s">
        <v>344</v>
      </c>
      <c r="B28" s="82">
        <v>42</v>
      </c>
      <c r="C28" s="82" t="s">
        <v>344</v>
      </c>
      <c r="D28" s="82">
        <v>3</v>
      </c>
      <c r="E28" s="82" t="s">
        <v>344</v>
      </c>
      <c r="F28" s="82">
        <v>13</v>
      </c>
      <c r="G28" s="82" t="s">
        <v>344</v>
      </c>
      <c r="H28" s="82">
        <v>7</v>
      </c>
      <c r="I28" s="82" t="s">
        <v>814</v>
      </c>
      <c r="J28" s="82">
        <v>5</v>
      </c>
      <c r="K28" s="82" t="s">
        <v>839</v>
      </c>
      <c r="L28" s="82">
        <v>3</v>
      </c>
      <c r="M28" s="82" t="s">
        <v>335</v>
      </c>
      <c r="N28" s="82">
        <v>2</v>
      </c>
      <c r="O28" s="82" t="s">
        <v>818</v>
      </c>
      <c r="P28" s="82">
        <v>3</v>
      </c>
      <c r="Q28" s="82" t="s">
        <v>344</v>
      </c>
      <c r="R28" s="82">
        <v>1</v>
      </c>
      <c r="S28" s="82" t="s">
        <v>853</v>
      </c>
      <c r="T28" s="82">
        <v>1</v>
      </c>
      <c r="U28" s="82" t="s">
        <v>344</v>
      </c>
      <c r="V28" s="82">
        <v>2</v>
      </c>
    </row>
    <row r="29" spans="1:22" ht="15">
      <c r="A29" s="83" t="s">
        <v>810</v>
      </c>
      <c r="B29" s="82">
        <v>8</v>
      </c>
      <c r="C29" s="82" t="s">
        <v>820</v>
      </c>
      <c r="D29" s="82">
        <v>1</v>
      </c>
      <c r="E29" s="82" t="s">
        <v>810</v>
      </c>
      <c r="F29" s="82">
        <v>8</v>
      </c>
      <c r="G29" s="82" t="s">
        <v>829</v>
      </c>
      <c r="H29" s="82">
        <v>3</v>
      </c>
      <c r="I29" s="82" t="s">
        <v>344</v>
      </c>
      <c r="J29" s="82">
        <v>5</v>
      </c>
      <c r="K29" s="82" t="s">
        <v>344</v>
      </c>
      <c r="L29" s="82">
        <v>2</v>
      </c>
      <c r="M29" s="82" t="s">
        <v>843</v>
      </c>
      <c r="N29" s="82">
        <v>1</v>
      </c>
      <c r="O29" s="82" t="s">
        <v>344</v>
      </c>
      <c r="P29" s="82">
        <v>3</v>
      </c>
      <c r="Q29" s="82" t="s">
        <v>835</v>
      </c>
      <c r="R29" s="82">
        <v>1</v>
      </c>
      <c r="S29" s="82" t="s">
        <v>854</v>
      </c>
      <c r="T29" s="82">
        <v>1</v>
      </c>
      <c r="U29" s="82" t="s">
        <v>812</v>
      </c>
      <c r="V29" s="82">
        <v>2</v>
      </c>
    </row>
    <row r="30" spans="1:22" ht="15">
      <c r="A30" s="83" t="s">
        <v>811</v>
      </c>
      <c r="B30" s="82">
        <v>7</v>
      </c>
      <c r="C30" s="82" t="s">
        <v>821</v>
      </c>
      <c r="D30" s="82">
        <v>1</v>
      </c>
      <c r="E30" s="82" t="s">
        <v>811</v>
      </c>
      <c r="F30" s="82">
        <v>6</v>
      </c>
      <c r="G30" s="82" t="s">
        <v>830</v>
      </c>
      <c r="H30" s="82">
        <v>2</v>
      </c>
      <c r="I30" s="82"/>
      <c r="J30" s="82"/>
      <c r="K30" s="82" t="s">
        <v>816</v>
      </c>
      <c r="L30" s="82">
        <v>1</v>
      </c>
      <c r="M30" s="82" t="s">
        <v>344</v>
      </c>
      <c r="N30" s="82">
        <v>1</v>
      </c>
      <c r="O30" s="82" t="s">
        <v>816</v>
      </c>
      <c r="P30" s="82">
        <v>3</v>
      </c>
      <c r="Q30" s="82" t="s">
        <v>815</v>
      </c>
      <c r="R30" s="82">
        <v>1</v>
      </c>
      <c r="S30" s="82" t="s">
        <v>855</v>
      </c>
      <c r="T30" s="82">
        <v>1</v>
      </c>
      <c r="U30" s="82" t="s">
        <v>861</v>
      </c>
      <c r="V30" s="82">
        <v>2</v>
      </c>
    </row>
    <row r="31" spans="1:22" ht="15">
      <c r="A31" s="83" t="s">
        <v>812</v>
      </c>
      <c r="B31" s="82">
        <v>7</v>
      </c>
      <c r="C31" s="82" t="s">
        <v>822</v>
      </c>
      <c r="D31" s="82">
        <v>1</v>
      </c>
      <c r="E31" s="82" t="s">
        <v>813</v>
      </c>
      <c r="F31" s="82">
        <v>6</v>
      </c>
      <c r="G31" s="82" t="s">
        <v>831</v>
      </c>
      <c r="H31" s="82">
        <v>1</v>
      </c>
      <c r="I31" s="82"/>
      <c r="J31" s="82"/>
      <c r="K31" s="82" t="s">
        <v>840</v>
      </c>
      <c r="L31" s="82">
        <v>1</v>
      </c>
      <c r="M31" s="82" t="s">
        <v>844</v>
      </c>
      <c r="N31" s="82">
        <v>1</v>
      </c>
      <c r="O31" s="82"/>
      <c r="P31" s="82"/>
      <c r="Q31" s="82" t="s">
        <v>848</v>
      </c>
      <c r="R31" s="82">
        <v>1</v>
      </c>
      <c r="S31" s="82" t="s">
        <v>856</v>
      </c>
      <c r="T31" s="82">
        <v>1</v>
      </c>
      <c r="U31" s="82" t="s">
        <v>815</v>
      </c>
      <c r="V31" s="82">
        <v>1</v>
      </c>
    </row>
    <row r="32" spans="1:22" ht="15">
      <c r="A32" s="83" t="s">
        <v>813</v>
      </c>
      <c r="B32" s="82">
        <v>6</v>
      </c>
      <c r="C32" s="82" t="s">
        <v>823</v>
      </c>
      <c r="D32" s="82">
        <v>1</v>
      </c>
      <c r="E32" s="82" t="s">
        <v>825</v>
      </c>
      <c r="F32" s="82">
        <v>4</v>
      </c>
      <c r="G32" s="82" t="s">
        <v>832</v>
      </c>
      <c r="H32" s="82">
        <v>1</v>
      </c>
      <c r="I32" s="82"/>
      <c r="J32" s="82"/>
      <c r="K32" s="82" t="s">
        <v>841</v>
      </c>
      <c r="L32" s="82">
        <v>1</v>
      </c>
      <c r="M32" s="82" t="s">
        <v>845</v>
      </c>
      <c r="N32" s="82">
        <v>1</v>
      </c>
      <c r="O32" s="82"/>
      <c r="P32" s="82"/>
      <c r="Q32" s="82" t="s">
        <v>849</v>
      </c>
      <c r="R32" s="82">
        <v>1</v>
      </c>
      <c r="S32" s="82" t="s">
        <v>857</v>
      </c>
      <c r="T32" s="82">
        <v>1</v>
      </c>
      <c r="U32" s="82" t="s">
        <v>862</v>
      </c>
      <c r="V32" s="82">
        <v>1</v>
      </c>
    </row>
    <row r="33" spans="1:22" ht="15">
      <c r="A33" s="83" t="s">
        <v>814</v>
      </c>
      <c r="B33" s="82">
        <v>5</v>
      </c>
      <c r="C33" s="82"/>
      <c r="D33" s="82"/>
      <c r="E33" s="82" t="s">
        <v>826</v>
      </c>
      <c r="F33" s="82">
        <v>4</v>
      </c>
      <c r="G33" s="82" t="s">
        <v>833</v>
      </c>
      <c r="H33" s="82">
        <v>1</v>
      </c>
      <c r="I33" s="82"/>
      <c r="J33" s="82"/>
      <c r="K33" s="82"/>
      <c r="L33" s="82"/>
      <c r="M33" s="82"/>
      <c r="N33" s="82"/>
      <c r="O33" s="82"/>
      <c r="P33" s="82"/>
      <c r="Q33" s="82" t="s">
        <v>850</v>
      </c>
      <c r="R33" s="82">
        <v>1</v>
      </c>
      <c r="S33" s="82" t="s">
        <v>858</v>
      </c>
      <c r="T33" s="82">
        <v>1</v>
      </c>
      <c r="U33" s="82" t="s">
        <v>817</v>
      </c>
      <c r="V33" s="82">
        <v>1</v>
      </c>
    </row>
    <row r="34" spans="1:22" ht="15">
      <c r="A34" s="83" t="s">
        <v>815</v>
      </c>
      <c r="B34" s="82">
        <v>5</v>
      </c>
      <c r="C34" s="82"/>
      <c r="D34" s="82"/>
      <c r="E34" s="82" t="s">
        <v>827</v>
      </c>
      <c r="F34" s="82">
        <v>4</v>
      </c>
      <c r="G34" s="82" t="s">
        <v>811</v>
      </c>
      <c r="H34" s="82">
        <v>1</v>
      </c>
      <c r="I34" s="82"/>
      <c r="J34" s="82"/>
      <c r="K34" s="82"/>
      <c r="L34" s="82"/>
      <c r="M34" s="82"/>
      <c r="N34" s="82"/>
      <c r="O34" s="82"/>
      <c r="P34" s="82"/>
      <c r="Q34" s="82" t="s">
        <v>851</v>
      </c>
      <c r="R34" s="82">
        <v>1</v>
      </c>
      <c r="S34" s="82" t="s">
        <v>344</v>
      </c>
      <c r="T34" s="82">
        <v>1</v>
      </c>
      <c r="U34" s="82" t="s">
        <v>863</v>
      </c>
      <c r="V34" s="82">
        <v>1</v>
      </c>
    </row>
    <row r="35" spans="1:22" ht="15">
      <c r="A35" s="83" t="s">
        <v>816</v>
      </c>
      <c r="B35" s="82">
        <v>5</v>
      </c>
      <c r="C35" s="82"/>
      <c r="D35" s="82"/>
      <c r="E35" s="82" t="s">
        <v>812</v>
      </c>
      <c r="F35" s="82">
        <v>4</v>
      </c>
      <c r="G35" s="82" t="s">
        <v>834</v>
      </c>
      <c r="H35" s="82">
        <v>1</v>
      </c>
      <c r="I35" s="82"/>
      <c r="J35" s="82"/>
      <c r="K35" s="82"/>
      <c r="L35" s="82"/>
      <c r="M35" s="82"/>
      <c r="N35" s="82"/>
      <c r="O35" s="82"/>
      <c r="P35" s="82"/>
      <c r="Q35" s="82" t="s">
        <v>284</v>
      </c>
      <c r="R35" s="82">
        <v>1</v>
      </c>
      <c r="S35" s="82" t="s">
        <v>859</v>
      </c>
      <c r="T35" s="82">
        <v>1</v>
      </c>
      <c r="U35" s="82"/>
      <c r="V35" s="82"/>
    </row>
    <row r="36" spans="1:22" ht="15">
      <c r="A36" s="83" t="s">
        <v>817</v>
      </c>
      <c r="B36" s="82">
        <v>5</v>
      </c>
      <c r="C36" s="82"/>
      <c r="D36" s="82"/>
      <c r="E36" s="82" t="s">
        <v>817</v>
      </c>
      <c r="F36" s="82">
        <v>4</v>
      </c>
      <c r="G36" s="82" t="s">
        <v>835</v>
      </c>
      <c r="H36" s="82">
        <v>1</v>
      </c>
      <c r="I36" s="82"/>
      <c r="J36" s="82"/>
      <c r="K36" s="82"/>
      <c r="L36" s="82"/>
      <c r="M36" s="82"/>
      <c r="N36" s="82"/>
      <c r="O36" s="82"/>
      <c r="P36" s="82"/>
      <c r="Q36" s="82"/>
      <c r="R36" s="82"/>
      <c r="S36" s="82" t="s">
        <v>812</v>
      </c>
      <c r="T36" s="82">
        <v>1</v>
      </c>
      <c r="U36" s="82"/>
      <c r="V36" s="82"/>
    </row>
    <row r="37" spans="1:22" ht="15">
      <c r="A37" s="83" t="s">
        <v>818</v>
      </c>
      <c r="B37" s="82">
        <v>4</v>
      </c>
      <c r="C37" s="82"/>
      <c r="D37" s="82"/>
      <c r="E37" s="82" t="s">
        <v>253</v>
      </c>
      <c r="F37" s="82">
        <v>3</v>
      </c>
      <c r="G37" s="82" t="s">
        <v>836</v>
      </c>
      <c r="H37" s="82">
        <v>1</v>
      </c>
      <c r="I37" s="82"/>
      <c r="J37" s="82"/>
      <c r="K37" s="82"/>
      <c r="L37" s="82"/>
      <c r="M37" s="82"/>
      <c r="N37" s="82"/>
      <c r="O37" s="82"/>
      <c r="P37" s="82"/>
      <c r="Q37" s="82"/>
      <c r="R37" s="82"/>
      <c r="S37" s="82"/>
      <c r="T37" s="82"/>
      <c r="U37" s="82"/>
      <c r="V37" s="82"/>
    </row>
    <row r="40" spans="1:22" ht="15" customHeight="1">
      <c r="A40" s="13" t="s">
        <v>870</v>
      </c>
      <c r="B40" s="13" t="s">
        <v>757</v>
      </c>
      <c r="C40" s="13" t="s">
        <v>880</v>
      </c>
      <c r="D40" s="13" t="s">
        <v>762</v>
      </c>
      <c r="E40" s="13" t="s">
        <v>882</v>
      </c>
      <c r="F40" s="13" t="s">
        <v>764</v>
      </c>
      <c r="G40" s="13" t="s">
        <v>889</v>
      </c>
      <c r="H40" s="13" t="s">
        <v>769</v>
      </c>
      <c r="I40" s="13" t="s">
        <v>897</v>
      </c>
      <c r="J40" s="13" t="s">
        <v>771</v>
      </c>
      <c r="K40" s="13" t="s">
        <v>905</v>
      </c>
      <c r="L40" s="13" t="s">
        <v>773</v>
      </c>
      <c r="M40" s="13" t="s">
        <v>914</v>
      </c>
      <c r="N40" s="13" t="s">
        <v>776</v>
      </c>
      <c r="O40" s="13" t="s">
        <v>921</v>
      </c>
      <c r="P40" s="13" t="s">
        <v>778</v>
      </c>
      <c r="Q40" s="13" t="s">
        <v>931</v>
      </c>
      <c r="R40" s="13" t="s">
        <v>781</v>
      </c>
      <c r="S40" s="82" t="s">
        <v>933</v>
      </c>
      <c r="T40" s="82" t="s">
        <v>783</v>
      </c>
      <c r="U40" s="13" t="s">
        <v>934</v>
      </c>
      <c r="V40" s="13" t="s">
        <v>786</v>
      </c>
    </row>
    <row r="41" spans="1:22" ht="15">
      <c r="A41" s="88" t="s">
        <v>871</v>
      </c>
      <c r="B41" s="88">
        <v>44</v>
      </c>
      <c r="C41" s="88" t="s">
        <v>275</v>
      </c>
      <c r="D41" s="88">
        <v>4</v>
      </c>
      <c r="E41" s="88" t="s">
        <v>871</v>
      </c>
      <c r="F41" s="88">
        <v>13</v>
      </c>
      <c r="G41" s="88" t="s">
        <v>871</v>
      </c>
      <c r="H41" s="88">
        <v>7</v>
      </c>
      <c r="I41" s="88" t="s">
        <v>872</v>
      </c>
      <c r="J41" s="88">
        <v>20</v>
      </c>
      <c r="K41" s="88" t="s">
        <v>906</v>
      </c>
      <c r="L41" s="88">
        <v>3</v>
      </c>
      <c r="M41" s="88" t="s">
        <v>845</v>
      </c>
      <c r="N41" s="88">
        <v>2</v>
      </c>
      <c r="O41" s="88" t="s">
        <v>922</v>
      </c>
      <c r="P41" s="88">
        <v>3</v>
      </c>
      <c r="Q41" s="88" t="s">
        <v>932</v>
      </c>
      <c r="R41" s="88">
        <v>2</v>
      </c>
      <c r="S41" s="88"/>
      <c r="T41" s="88"/>
      <c r="U41" s="88" t="s">
        <v>873</v>
      </c>
      <c r="V41" s="88">
        <v>2</v>
      </c>
    </row>
    <row r="42" spans="1:22" ht="15">
      <c r="A42" s="89" t="s">
        <v>872</v>
      </c>
      <c r="B42" s="88">
        <v>20</v>
      </c>
      <c r="C42" s="88" t="s">
        <v>871</v>
      </c>
      <c r="D42" s="88">
        <v>4</v>
      </c>
      <c r="E42" s="88" t="s">
        <v>874</v>
      </c>
      <c r="F42" s="88">
        <v>12</v>
      </c>
      <c r="G42" s="88" t="s">
        <v>873</v>
      </c>
      <c r="H42" s="88">
        <v>4</v>
      </c>
      <c r="I42" s="88" t="s">
        <v>875</v>
      </c>
      <c r="J42" s="88">
        <v>10</v>
      </c>
      <c r="K42" s="88" t="s">
        <v>907</v>
      </c>
      <c r="L42" s="88">
        <v>2</v>
      </c>
      <c r="M42" s="88" t="s">
        <v>915</v>
      </c>
      <c r="N42" s="88">
        <v>2</v>
      </c>
      <c r="O42" s="88" t="s">
        <v>923</v>
      </c>
      <c r="P42" s="88">
        <v>3</v>
      </c>
      <c r="Q42" s="88"/>
      <c r="R42" s="88"/>
      <c r="S42" s="88"/>
      <c r="T42" s="88"/>
      <c r="U42" s="88" t="s">
        <v>850</v>
      </c>
      <c r="V42" s="88">
        <v>2</v>
      </c>
    </row>
    <row r="43" spans="1:22" ht="15">
      <c r="A43" s="89" t="s">
        <v>873</v>
      </c>
      <c r="B43" s="88">
        <v>13</v>
      </c>
      <c r="C43" s="88" t="s">
        <v>873</v>
      </c>
      <c r="D43" s="88">
        <v>2</v>
      </c>
      <c r="E43" s="88" t="s">
        <v>878</v>
      </c>
      <c r="F43" s="88">
        <v>8</v>
      </c>
      <c r="G43" s="88" t="s">
        <v>850</v>
      </c>
      <c r="H43" s="88">
        <v>4</v>
      </c>
      <c r="I43" s="88" t="s">
        <v>876</v>
      </c>
      <c r="J43" s="88">
        <v>10</v>
      </c>
      <c r="K43" s="88" t="s">
        <v>908</v>
      </c>
      <c r="L43" s="88">
        <v>2</v>
      </c>
      <c r="M43" s="88" t="s">
        <v>873</v>
      </c>
      <c r="N43" s="88">
        <v>2</v>
      </c>
      <c r="O43" s="88" t="s">
        <v>924</v>
      </c>
      <c r="P43" s="88">
        <v>3</v>
      </c>
      <c r="Q43" s="88"/>
      <c r="R43" s="88"/>
      <c r="S43" s="88"/>
      <c r="T43" s="88"/>
      <c r="U43" s="88" t="s">
        <v>935</v>
      </c>
      <c r="V43" s="88">
        <v>2</v>
      </c>
    </row>
    <row r="44" spans="1:22" ht="15">
      <c r="A44" s="89" t="s">
        <v>850</v>
      </c>
      <c r="B44" s="88">
        <v>12</v>
      </c>
      <c r="C44" s="88" t="s">
        <v>850</v>
      </c>
      <c r="D44" s="88">
        <v>2</v>
      </c>
      <c r="E44" s="88" t="s">
        <v>879</v>
      </c>
      <c r="F44" s="88">
        <v>8</v>
      </c>
      <c r="G44" s="88" t="s">
        <v>890</v>
      </c>
      <c r="H44" s="88">
        <v>3</v>
      </c>
      <c r="I44" s="88" t="s">
        <v>898</v>
      </c>
      <c r="J44" s="88">
        <v>5</v>
      </c>
      <c r="K44" s="88" t="s">
        <v>909</v>
      </c>
      <c r="L44" s="88">
        <v>2</v>
      </c>
      <c r="M44" s="88" t="s">
        <v>916</v>
      </c>
      <c r="N44" s="88">
        <v>2</v>
      </c>
      <c r="O44" s="88" t="s">
        <v>925</v>
      </c>
      <c r="P44" s="88">
        <v>3</v>
      </c>
      <c r="Q44" s="88"/>
      <c r="R44" s="88"/>
      <c r="S44" s="88"/>
      <c r="T44" s="88"/>
      <c r="U44" s="88" t="s">
        <v>871</v>
      </c>
      <c r="V44" s="88">
        <v>2</v>
      </c>
    </row>
    <row r="45" spans="1:22" ht="15">
      <c r="A45" s="89" t="s">
        <v>874</v>
      </c>
      <c r="B45" s="88">
        <v>12</v>
      </c>
      <c r="C45" s="88" t="s">
        <v>881</v>
      </c>
      <c r="D45" s="88">
        <v>2</v>
      </c>
      <c r="E45" s="88" t="s">
        <v>883</v>
      </c>
      <c r="F45" s="88">
        <v>7</v>
      </c>
      <c r="G45" s="88" t="s">
        <v>891</v>
      </c>
      <c r="H45" s="88">
        <v>2</v>
      </c>
      <c r="I45" s="88" t="s">
        <v>899</v>
      </c>
      <c r="J45" s="88">
        <v>5</v>
      </c>
      <c r="K45" s="88" t="s">
        <v>910</v>
      </c>
      <c r="L45" s="88">
        <v>2</v>
      </c>
      <c r="M45" s="88" t="s">
        <v>917</v>
      </c>
      <c r="N45" s="88">
        <v>2</v>
      </c>
      <c r="O45" s="88" t="s">
        <v>926</v>
      </c>
      <c r="P45" s="88">
        <v>3</v>
      </c>
      <c r="Q45" s="88"/>
      <c r="R45" s="88"/>
      <c r="S45" s="88"/>
      <c r="T45" s="88"/>
      <c r="U45" s="88" t="s">
        <v>936</v>
      </c>
      <c r="V45" s="88">
        <v>2</v>
      </c>
    </row>
    <row r="46" spans="1:22" ht="15">
      <c r="A46" s="89" t="s">
        <v>875</v>
      </c>
      <c r="B46" s="88">
        <v>10</v>
      </c>
      <c r="C46" s="88" t="s">
        <v>254</v>
      </c>
      <c r="D46" s="88">
        <v>2</v>
      </c>
      <c r="E46" s="88" t="s">
        <v>884</v>
      </c>
      <c r="F46" s="88">
        <v>6</v>
      </c>
      <c r="G46" s="88" t="s">
        <v>892</v>
      </c>
      <c r="H46" s="88">
        <v>2</v>
      </c>
      <c r="I46" s="88" t="s">
        <v>900</v>
      </c>
      <c r="J46" s="88">
        <v>5</v>
      </c>
      <c r="K46" s="88" t="s">
        <v>274</v>
      </c>
      <c r="L46" s="88">
        <v>2</v>
      </c>
      <c r="M46" s="88" t="s">
        <v>918</v>
      </c>
      <c r="N46" s="88">
        <v>2</v>
      </c>
      <c r="O46" s="88" t="s">
        <v>927</v>
      </c>
      <c r="P46" s="88">
        <v>3</v>
      </c>
      <c r="Q46" s="88"/>
      <c r="R46" s="88"/>
      <c r="S46" s="88"/>
      <c r="T46" s="88"/>
      <c r="U46" s="88" t="s">
        <v>937</v>
      </c>
      <c r="V46" s="88">
        <v>2</v>
      </c>
    </row>
    <row r="47" spans="1:22" ht="15">
      <c r="A47" s="89" t="s">
        <v>876</v>
      </c>
      <c r="B47" s="88">
        <v>10</v>
      </c>
      <c r="C47" s="88" t="s">
        <v>283</v>
      </c>
      <c r="D47" s="88">
        <v>2</v>
      </c>
      <c r="E47" s="88" t="s">
        <v>885</v>
      </c>
      <c r="F47" s="88">
        <v>6</v>
      </c>
      <c r="G47" s="88" t="s">
        <v>893</v>
      </c>
      <c r="H47" s="88">
        <v>2</v>
      </c>
      <c r="I47" s="88" t="s">
        <v>901</v>
      </c>
      <c r="J47" s="88">
        <v>5</v>
      </c>
      <c r="K47" s="88" t="s">
        <v>273</v>
      </c>
      <c r="L47" s="88">
        <v>2</v>
      </c>
      <c r="M47" s="88" t="s">
        <v>919</v>
      </c>
      <c r="N47" s="88">
        <v>2</v>
      </c>
      <c r="O47" s="88" t="s">
        <v>928</v>
      </c>
      <c r="P47" s="88">
        <v>3</v>
      </c>
      <c r="Q47" s="88"/>
      <c r="R47" s="88"/>
      <c r="S47" s="88"/>
      <c r="T47" s="88"/>
      <c r="U47" s="88"/>
      <c r="V47" s="88"/>
    </row>
    <row r="48" spans="1:22" ht="15">
      <c r="A48" s="89" t="s">
        <v>877</v>
      </c>
      <c r="B48" s="88">
        <v>10</v>
      </c>
      <c r="C48" s="88" t="s">
        <v>282</v>
      </c>
      <c r="D48" s="88">
        <v>2</v>
      </c>
      <c r="E48" s="88" t="s">
        <v>886</v>
      </c>
      <c r="F48" s="88">
        <v>6</v>
      </c>
      <c r="G48" s="88" t="s">
        <v>894</v>
      </c>
      <c r="H48" s="88">
        <v>2</v>
      </c>
      <c r="I48" s="88" t="s">
        <v>902</v>
      </c>
      <c r="J48" s="88">
        <v>5</v>
      </c>
      <c r="K48" s="88" t="s">
        <v>911</v>
      </c>
      <c r="L48" s="88">
        <v>2</v>
      </c>
      <c r="M48" s="88" t="s">
        <v>272</v>
      </c>
      <c r="N48" s="88">
        <v>2</v>
      </c>
      <c r="O48" s="88" t="s">
        <v>929</v>
      </c>
      <c r="P48" s="88">
        <v>3</v>
      </c>
      <c r="Q48" s="88"/>
      <c r="R48" s="88"/>
      <c r="S48" s="88"/>
      <c r="T48" s="88"/>
      <c r="U48" s="88"/>
      <c r="V48" s="88"/>
    </row>
    <row r="49" spans="1:22" ht="15">
      <c r="A49" s="89" t="s">
        <v>878</v>
      </c>
      <c r="B49" s="88">
        <v>8</v>
      </c>
      <c r="C49" s="88" t="s">
        <v>281</v>
      </c>
      <c r="D49" s="88">
        <v>2</v>
      </c>
      <c r="E49" s="88" t="s">
        <v>887</v>
      </c>
      <c r="F49" s="88">
        <v>6</v>
      </c>
      <c r="G49" s="88" t="s">
        <v>895</v>
      </c>
      <c r="H49" s="88">
        <v>2</v>
      </c>
      <c r="I49" s="88" t="s">
        <v>903</v>
      </c>
      <c r="J49" s="88">
        <v>5</v>
      </c>
      <c r="K49" s="88" t="s">
        <v>912</v>
      </c>
      <c r="L49" s="88">
        <v>2</v>
      </c>
      <c r="M49" s="88" t="s">
        <v>920</v>
      </c>
      <c r="N49" s="88">
        <v>2</v>
      </c>
      <c r="O49" s="88" t="s">
        <v>930</v>
      </c>
      <c r="P49" s="88">
        <v>3</v>
      </c>
      <c r="Q49" s="88"/>
      <c r="R49" s="88"/>
      <c r="S49" s="88"/>
      <c r="T49" s="88"/>
      <c r="U49" s="88"/>
      <c r="V49" s="88"/>
    </row>
    <row r="50" spans="1:22" ht="15">
      <c r="A50" s="89" t="s">
        <v>879</v>
      </c>
      <c r="B50" s="88">
        <v>8</v>
      </c>
      <c r="C50" s="88" t="s">
        <v>251</v>
      </c>
      <c r="D50" s="88">
        <v>2</v>
      </c>
      <c r="E50" s="88" t="s">
        <v>888</v>
      </c>
      <c r="F50" s="88">
        <v>6</v>
      </c>
      <c r="G50" s="88" t="s">
        <v>896</v>
      </c>
      <c r="H50" s="88">
        <v>2</v>
      </c>
      <c r="I50" s="88" t="s">
        <v>904</v>
      </c>
      <c r="J50" s="88">
        <v>5</v>
      </c>
      <c r="K50" s="88" t="s">
        <v>913</v>
      </c>
      <c r="L50" s="88">
        <v>2</v>
      </c>
      <c r="M50" s="88" t="s">
        <v>871</v>
      </c>
      <c r="N50" s="88">
        <v>2</v>
      </c>
      <c r="O50" s="88" t="s">
        <v>234</v>
      </c>
      <c r="P50" s="88">
        <v>3</v>
      </c>
      <c r="Q50" s="88"/>
      <c r="R50" s="88"/>
      <c r="S50" s="88"/>
      <c r="T50" s="88"/>
      <c r="U50" s="88"/>
      <c r="V50" s="88"/>
    </row>
    <row r="53" spans="1:22" ht="15" customHeight="1">
      <c r="A53" s="13" t="s">
        <v>949</v>
      </c>
      <c r="B53" s="13" t="s">
        <v>757</v>
      </c>
      <c r="C53" s="13" t="s">
        <v>960</v>
      </c>
      <c r="D53" s="13" t="s">
        <v>762</v>
      </c>
      <c r="E53" s="13" t="s">
        <v>970</v>
      </c>
      <c r="F53" s="13" t="s">
        <v>764</v>
      </c>
      <c r="G53" s="13" t="s">
        <v>973</v>
      </c>
      <c r="H53" s="13" t="s">
        <v>769</v>
      </c>
      <c r="I53" s="13" t="s">
        <v>975</v>
      </c>
      <c r="J53" s="13" t="s">
        <v>771</v>
      </c>
      <c r="K53" s="13" t="s">
        <v>985</v>
      </c>
      <c r="L53" s="13" t="s">
        <v>773</v>
      </c>
      <c r="M53" s="13" t="s">
        <v>995</v>
      </c>
      <c r="N53" s="13" t="s">
        <v>776</v>
      </c>
      <c r="O53" s="13" t="s">
        <v>1006</v>
      </c>
      <c r="P53" s="13" t="s">
        <v>778</v>
      </c>
      <c r="Q53" s="82" t="s">
        <v>1017</v>
      </c>
      <c r="R53" s="82" t="s">
        <v>781</v>
      </c>
      <c r="S53" s="82" t="s">
        <v>1018</v>
      </c>
      <c r="T53" s="82" t="s">
        <v>783</v>
      </c>
      <c r="U53" s="13" t="s">
        <v>1019</v>
      </c>
      <c r="V53" s="13" t="s">
        <v>786</v>
      </c>
    </row>
    <row r="54" spans="1:22" ht="15">
      <c r="A54" s="88" t="s">
        <v>950</v>
      </c>
      <c r="B54" s="88">
        <v>10</v>
      </c>
      <c r="C54" s="88" t="s">
        <v>951</v>
      </c>
      <c r="D54" s="88">
        <v>2</v>
      </c>
      <c r="E54" s="88" t="s">
        <v>952</v>
      </c>
      <c r="F54" s="88">
        <v>6</v>
      </c>
      <c r="G54" s="88" t="s">
        <v>951</v>
      </c>
      <c r="H54" s="88">
        <v>3</v>
      </c>
      <c r="I54" s="88" t="s">
        <v>950</v>
      </c>
      <c r="J54" s="88">
        <v>10</v>
      </c>
      <c r="K54" s="88" t="s">
        <v>986</v>
      </c>
      <c r="L54" s="88">
        <v>2</v>
      </c>
      <c r="M54" s="88" t="s">
        <v>996</v>
      </c>
      <c r="N54" s="88">
        <v>2</v>
      </c>
      <c r="O54" s="88" t="s">
        <v>1007</v>
      </c>
      <c r="P54" s="88">
        <v>3</v>
      </c>
      <c r="Q54" s="88"/>
      <c r="R54" s="88"/>
      <c r="S54" s="88"/>
      <c r="T54" s="88"/>
      <c r="U54" s="88" t="s">
        <v>951</v>
      </c>
      <c r="V54" s="88">
        <v>2</v>
      </c>
    </row>
    <row r="55" spans="1:22" ht="15">
      <c r="A55" s="89" t="s">
        <v>951</v>
      </c>
      <c r="B55" s="88">
        <v>10</v>
      </c>
      <c r="C55" s="88" t="s">
        <v>961</v>
      </c>
      <c r="D55" s="88">
        <v>2</v>
      </c>
      <c r="E55" s="88" t="s">
        <v>953</v>
      </c>
      <c r="F55" s="88">
        <v>6</v>
      </c>
      <c r="G55" s="88" t="s">
        <v>974</v>
      </c>
      <c r="H55" s="88">
        <v>2</v>
      </c>
      <c r="I55" s="88" t="s">
        <v>976</v>
      </c>
      <c r="J55" s="88">
        <v>5</v>
      </c>
      <c r="K55" s="88" t="s">
        <v>987</v>
      </c>
      <c r="L55" s="88">
        <v>2</v>
      </c>
      <c r="M55" s="88" t="s">
        <v>997</v>
      </c>
      <c r="N55" s="88">
        <v>2</v>
      </c>
      <c r="O55" s="88" t="s">
        <v>1008</v>
      </c>
      <c r="P55" s="88">
        <v>3</v>
      </c>
      <c r="Q55" s="88"/>
      <c r="R55" s="88"/>
      <c r="S55" s="88"/>
      <c r="T55" s="88"/>
      <c r="U55" s="88" t="s">
        <v>1020</v>
      </c>
      <c r="V55" s="88">
        <v>2</v>
      </c>
    </row>
    <row r="56" spans="1:22" ht="15">
      <c r="A56" s="89" t="s">
        <v>952</v>
      </c>
      <c r="B56" s="88">
        <v>6</v>
      </c>
      <c r="C56" s="88" t="s">
        <v>962</v>
      </c>
      <c r="D56" s="88">
        <v>2</v>
      </c>
      <c r="E56" s="88" t="s">
        <v>954</v>
      </c>
      <c r="F56" s="88">
        <v>6</v>
      </c>
      <c r="G56" s="88"/>
      <c r="H56" s="88"/>
      <c r="I56" s="88" t="s">
        <v>977</v>
      </c>
      <c r="J56" s="88">
        <v>5</v>
      </c>
      <c r="K56" s="88" t="s">
        <v>988</v>
      </c>
      <c r="L56" s="88">
        <v>2</v>
      </c>
      <c r="M56" s="88" t="s">
        <v>998</v>
      </c>
      <c r="N56" s="88">
        <v>2</v>
      </c>
      <c r="O56" s="88" t="s">
        <v>1009</v>
      </c>
      <c r="P56" s="88">
        <v>3</v>
      </c>
      <c r="Q56" s="88"/>
      <c r="R56" s="88"/>
      <c r="S56" s="88"/>
      <c r="T56" s="88"/>
      <c r="U56" s="88" t="s">
        <v>1021</v>
      </c>
      <c r="V56" s="88">
        <v>2</v>
      </c>
    </row>
    <row r="57" spans="1:22" ht="15">
      <c r="A57" s="89" t="s">
        <v>953</v>
      </c>
      <c r="B57" s="88">
        <v>6</v>
      </c>
      <c r="C57" s="88" t="s">
        <v>963</v>
      </c>
      <c r="D57" s="88">
        <v>2</v>
      </c>
      <c r="E57" s="88" t="s">
        <v>955</v>
      </c>
      <c r="F57" s="88">
        <v>6</v>
      </c>
      <c r="G57" s="88"/>
      <c r="H57" s="88"/>
      <c r="I57" s="88" t="s">
        <v>978</v>
      </c>
      <c r="J57" s="88">
        <v>5</v>
      </c>
      <c r="K57" s="88" t="s">
        <v>989</v>
      </c>
      <c r="L57" s="88">
        <v>2</v>
      </c>
      <c r="M57" s="88" t="s">
        <v>999</v>
      </c>
      <c r="N57" s="88">
        <v>2</v>
      </c>
      <c r="O57" s="88" t="s">
        <v>1010</v>
      </c>
      <c r="P57" s="88">
        <v>3</v>
      </c>
      <c r="Q57" s="88"/>
      <c r="R57" s="88"/>
      <c r="S57" s="88"/>
      <c r="T57" s="88"/>
      <c r="U57" s="88" t="s">
        <v>1022</v>
      </c>
      <c r="V57" s="88">
        <v>2</v>
      </c>
    </row>
    <row r="58" spans="1:22" ht="15">
      <c r="A58" s="89" t="s">
        <v>954</v>
      </c>
      <c r="B58" s="88">
        <v>6</v>
      </c>
      <c r="C58" s="88" t="s">
        <v>964</v>
      </c>
      <c r="D58" s="88">
        <v>2</v>
      </c>
      <c r="E58" s="88" t="s">
        <v>956</v>
      </c>
      <c r="F58" s="88">
        <v>6</v>
      </c>
      <c r="G58" s="88"/>
      <c r="H58" s="88"/>
      <c r="I58" s="88" t="s">
        <v>979</v>
      </c>
      <c r="J58" s="88">
        <v>5</v>
      </c>
      <c r="K58" s="88" t="s">
        <v>990</v>
      </c>
      <c r="L58" s="88">
        <v>2</v>
      </c>
      <c r="M58" s="88" t="s">
        <v>1000</v>
      </c>
      <c r="N58" s="88">
        <v>2</v>
      </c>
      <c r="O58" s="88" t="s">
        <v>1011</v>
      </c>
      <c r="P58" s="88">
        <v>3</v>
      </c>
      <c r="Q58" s="88"/>
      <c r="R58" s="88"/>
      <c r="S58" s="88"/>
      <c r="T58" s="88"/>
      <c r="U58" s="88"/>
      <c r="V58" s="88"/>
    </row>
    <row r="59" spans="1:22" ht="15">
      <c r="A59" s="89" t="s">
        <v>955</v>
      </c>
      <c r="B59" s="88">
        <v>6</v>
      </c>
      <c r="C59" s="88" t="s">
        <v>965</v>
      </c>
      <c r="D59" s="88">
        <v>2</v>
      </c>
      <c r="E59" s="88" t="s">
        <v>957</v>
      </c>
      <c r="F59" s="88">
        <v>6</v>
      </c>
      <c r="G59" s="88"/>
      <c r="H59" s="88"/>
      <c r="I59" s="88" t="s">
        <v>980</v>
      </c>
      <c r="J59" s="88">
        <v>5</v>
      </c>
      <c r="K59" s="88" t="s">
        <v>991</v>
      </c>
      <c r="L59" s="88">
        <v>2</v>
      </c>
      <c r="M59" s="88" t="s">
        <v>1001</v>
      </c>
      <c r="N59" s="88">
        <v>2</v>
      </c>
      <c r="O59" s="88" t="s">
        <v>1012</v>
      </c>
      <c r="P59" s="88">
        <v>3</v>
      </c>
      <c r="Q59" s="88"/>
      <c r="R59" s="88"/>
      <c r="S59" s="88"/>
      <c r="T59" s="88"/>
      <c r="U59" s="88"/>
      <c r="V59" s="88"/>
    </row>
    <row r="60" spans="1:22" ht="15">
      <c r="A60" s="89" t="s">
        <v>956</v>
      </c>
      <c r="B60" s="88">
        <v>6</v>
      </c>
      <c r="C60" s="88" t="s">
        <v>966</v>
      </c>
      <c r="D60" s="88">
        <v>2</v>
      </c>
      <c r="E60" s="88" t="s">
        <v>958</v>
      </c>
      <c r="F60" s="88">
        <v>6</v>
      </c>
      <c r="G60" s="88"/>
      <c r="H60" s="88"/>
      <c r="I60" s="88" t="s">
        <v>981</v>
      </c>
      <c r="J60" s="88">
        <v>5</v>
      </c>
      <c r="K60" s="88" t="s">
        <v>992</v>
      </c>
      <c r="L60" s="88">
        <v>2</v>
      </c>
      <c r="M60" s="88" t="s">
        <v>1002</v>
      </c>
      <c r="N60" s="88">
        <v>2</v>
      </c>
      <c r="O60" s="88" t="s">
        <v>1013</v>
      </c>
      <c r="P60" s="88">
        <v>3</v>
      </c>
      <c r="Q60" s="88"/>
      <c r="R60" s="88"/>
      <c r="S60" s="88"/>
      <c r="T60" s="88"/>
      <c r="U60" s="88"/>
      <c r="V60" s="88"/>
    </row>
    <row r="61" spans="1:22" ht="15">
      <c r="A61" s="89" t="s">
        <v>957</v>
      </c>
      <c r="B61" s="88">
        <v>6</v>
      </c>
      <c r="C61" s="88" t="s">
        <v>967</v>
      </c>
      <c r="D61" s="88">
        <v>2</v>
      </c>
      <c r="E61" s="88" t="s">
        <v>959</v>
      </c>
      <c r="F61" s="88">
        <v>6</v>
      </c>
      <c r="G61" s="88"/>
      <c r="H61" s="88"/>
      <c r="I61" s="88" t="s">
        <v>982</v>
      </c>
      <c r="J61" s="88">
        <v>5</v>
      </c>
      <c r="K61" s="88" t="s">
        <v>993</v>
      </c>
      <c r="L61" s="88">
        <v>2</v>
      </c>
      <c r="M61" s="88" t="s">
        <v>1003</v>
      </c>
      <c r="N61" s="88">
        <v>2</v>
      </c>
      <c r="O61" s="88" t="s">
        <v>1014</v>
      </c>
      <c r="P61" s="88">
        <v>3</v>
      </c>
      <c r="Q61" s="88"/>
      <c r="R61" s="88"/>
      <c r="S61" s="88"/>
      <c r="T61" s="88"/>
      <c r="U61" s="88"/>
      <c r="V61" s="88"/>
    </row>
    <row r="62" spans="1:22" ht="15">
      <c r="A62" s="89" t="s">
        <v>958</v>
      </c>
      <c r="B62" s="88">
        <v>6</v>
      </c>
      <c r="C62" s="88" t="s">
        <v>968</v>
      </c>
      <c r="D62" s="88">
        <v>2</v>
      </c>
      <c r="E62" s="88" t="s">
        <v>971</v>
      </c>
      <c r="F62" s="88">
        <v>6</v>
      </c>
      <c r="G62" s="88"/>
      <c r="H62" s="88"/>
      <c r="I62" s="88" t="s">
        <v>983</v>
      </c>
      <c r="J62" s="88">
        <v>5</v>
      </c>
      <c r="K62" s="88" t="s">
        <v>994</v>
      </c>
      <c r="L62" s="88">
        <v>2</v>
      </c>
      <c r="M62" s="88" t="s">
        <v>1004</v>
      </c>
      <c r="N62" s="88">
        <v>2</v>
      </c>
      <c r="O62" s="88" t="s">
        <v>1015</v>
      </c>
      <c r="P62" s="88">
        <v>3</v>
      </c>
      <c r="Q62" s="88"/>
      <c r="R62" s="88"/>
      <c r="S62" s="88"/>
      <c r="T62" s="88"/>
      <c r="U62" s="88"/>
      <c r="V62" s="88"/>
    </row>
    <row r="63" spans="1:22" ht="15">
      <c r="A63" s="89" t="s">
        <v>959</v>
      </c>
      <c r="B63" s="88">
        <v>6</v>
      </c>
      <c r="C63" s="88" t="s">
        <v>969</v>
      </c>
      <c r="D63" s="88">
        <v>2</v>
      </c>
      <c r="E63" s="88" t="s">
        <v>972</v>
      </c>
      <c r="F63" s="88">
        <v>6</v>
      </c>
      <c r="G63" s="88"/>
      <c r="H63" s="88"/>
      <c r="I63" s="88" t="s">
        <v>984</v>
      </c>
      <c r="J63" s="88">
        <v>5</v>
      </c>
      <c r="K63" s="88"/>
      <c r="L63" s="88"/>
      <c r="M63" s="88" t="s">
        <v>1005</v>
      </c>
      <c r="N63" s="88">
        <v>2</v>
      </c>
      <c r="O63" s="88" t="s">
        <v>1016</v>
      </c>
      <c r="P63" s="88">
        <v>3</v>
      </c>
      <c r="Q63" s="88"/>
      <c r="R63" s="88"/>
      <c r="S63" s="88"/>
      <c r="T63" s="88"/>
      <c r="U63" s="88"/>
      <c r="V63" s="88"/>
    </row>
    <row r="66" spans="1:22" ht="15" customHeight="1">
      <c r="A66" s="82" t="s">
        <v>1034</v>
      </c>
      <c r="B66" s="82" t="s">
        <v>757</v>
      </c>
      <c r="C66" s="82" t="s">
        <v>1037</v>
      </c>
      <c r="D66" s="82" t="s">
        <v>762</v>
      </c>
      <c r="E66" s="82" t="s">
        <v>1038</v>
      </c>
      <c r="F66" s="82" t="s">
        <v>764</v>
      </c>
      <c r="G66" s="82" t="s">
        <v>1041</v>
      </c>
      <c r="H66" s="82" t="s">
        <v>769</v>
      </c>
      <c r="I66" s="82" t="s">
        <v>1043</v>
      </c>
      <c r="J66" s="82" t="s">
        <v>771</v>
      </c>
      <c r="K66" s="82" t="s">
        <v>1045</v>
      </c>
      <c r="L66" s="82" t="s">
        <v>773</v>
      </c>
      <c r="M66" s="82" t="s">
        <v>1047</v>
      </c>
      <c r="N66" s="82" t="s">
        <v>776</v>
      </c>
      <c r="O66" s="82" t="s">
        <v>1049</v>
      </c>
      <c r="P66" s="82" t="s">
        <v>778</v>
      </c>
      <c r="Q66" s="82" t="s">
        <v>1051</v>
      </c>
      <c r="R66" s="82" t="s">
        <v>781</v>
      </c>
      <c r="S66" s="82" t="s">
        <v>1053</v>
      </c>
      <c r="T66" s="82" t="s">
        <v>783</v>
      </c>
      <c r="U66" s="82" t="s">
        <v>1055</v>
      </c>
      <c r="V66" s="82" t="s">
        <v>786</v>
      </c>
    </row>
    <row r="67" spans="1:22" ht="15">
      <c r="A67" s="82"/>
      <c r="B67" s="82"/>
      <c r="C67" s="82"/>
      <c r="D67" s="82"/>
      <c r="E67" s="82"/>
      <c r="F67" s="82"/>
      <c r="G67" s="82"/>
      <c r="H67" s="82"/>
      <c r="I67" s="82"/>
      <c r="J67" s="82"/>
      <c r="K67" s="82"/>
      <c r="L67" s="82"/>
      <c r="M67" s="82"/>
      <c r="N67" s="82"/>
      <c r="O67" s="82"/>
      <c r="P67" s="82"/>
      <c r="Q67" s="82"/>
      <c r="R67" s="82"/>
      <c r="S67" s="82"/>
      <c r="T67" s="82"/>
      <c r="U67" s="82"/>
      <c r="V67" s="82"/>
    </row>
    <row r="69" spans="1:22" ht="15" customHeight="1">
      <c r="A69" s="13" t="s">
        <v>1035</v>
      </c>
      <c r="B69" s="13" t="s">
        <v>757</v>
      </c>
      <c r="C69" s="13" t="s">
        <v>1039</v>
      </c>
      <c r="D69" s="13" t="s">
        <v>762</v>
      </c>
      <c r="E69" s="13" t="s">
        <v>1040</v>
      </c>
      <c r="F69" s="13" t="s">
        <v>764</v>
      </c>
      <c r="G69" s="82" t="s">
        <v>1042</v>
      </c>
      <c r="H69" s="82" t="s">
        <v>769</v>
      </c>
      <c r="I69" s="82" t="s">
        <v>1044</v>
      </c>
      <c r="J69" s="82" t="s">
        <v>771</v>
      </c>
      <c r="K69" s="13" t="s">
        <v>1046</v>
      </c>
      <c r="L69" s="13" t="s">
        <v>773</v>
      </c>
      <c r="M69" s="13" t="s">
        <v>1048</v>
      </c>
      <c r="N69" s="13" t="s">
        <v>776</v>
      </c>
      <c r="O69" s="13" t="s">
        <v>1050</v>
      </c>
      <c r="P69" s="13" t="s">
        <v>778</v>
      </c>
      <c r="Q69" s="13" t="s">
        <v>1052</v>
      </c>
      <c r="R69" s="13" t="s">
        <v>781</v>
      </c>
      <c r="S69" s="13" t="s">
        <v>1054</v>
      </c>
      <c r="T69" s="13" t="s">
        <v>783</v>
      </c>
      <c r="U69" s="13" t="s">
        <v>1056</v>
      </c>
      <c r="V69" s="13" t="s">
        <v>786</v>
      </c>
    </row>
    <row r="70" spans="1:22" ht="15">
      <c r="A70" s="82" t="s">
        <v>1036</v>
      </c>
      <c r="B70" s="82">
        <v>6</v>
      </c>
      <c r="C70" s="82" t="s">
        <v>275</v>
      </c>
      <c r="D70" s="82">
        <v>4</v>
      </c>
      <c r="E70" s="82" t="s">
        <v>1036</v>
      </c>
      <c r="F70" s="82">
        <v>6</v>
      </c>
      <c r="G70" s="82"/>
      <c r="H70" s="82"/>
      <c r="I70" s="82"/>
      <c r="J70" s="82"/>
      <c r="K70" s="82" t="s">
        <v>274</v>
      </c>
      <c r="L70" s="82">
        <v>2</v>
      </c>
      <c r="M70" s="82" t="s">
        <v>272</v>
      </c>
      <c r="N70" s="82">
        <v>2</v>
      </c>
      <c r="O70" s="82" t="s">
        <v>234</v>
      </c>
      <c r="P70" s="82">
        <v>3</v>
      </c>
      <c r="Q70" s="82" t="s">
        <v>284</v>
      </c>
      <c r="R70" s="82">
        <v>1</v>
      </c>
      <c r="S70" s="82" t="s">
        <v>248</v>
      </c>
      <c r="T70" s="82">
        <v>1</v>
      </c>
      <c r="U70" s="82" t="s">
        <v>262</v>
      </c>
      <c r="V70" s="82">
        <v>1</v>
      </c>
    </row>
    <row r="71" spans="1:22" ht="15">
      <c r="A71" s="83" t="s">
        <v>275</v>
      </c>
      <c r="B71" s="82">
        <v>4</v>
      </c>
      <c r="C71" s="82" t="s">
        <v>254</v>
      </c>
      <c r="D71" s="82">
        <v>2</v>
      </c>
      <c r="E71" s="82"/>
      <c r="F71" s="82"/>
      <c r="G71" s="82"/>
      <c r="H71" s="82"/>
      <c r="I71" s="82"/>
      <c r="J71" s="82"/>
      <c r="K71" s="82" t="s">
        <v>273</v>
      </c>
      <c r="L71" s="82">
        <v>2</v>
      </c>
      <c r="M71" s="82"/>
      <c r="N71" s="82"/>
      <c r="O71" s="82"/>
      <c r="P71" s="82"/>
      <c r="Q71" s="82"/>
      <c r="R71" s="82"/>
      <c r="S71" s="82" t="s">
        <v>276</v>
      </c>
      <c r="T71" s="82">
        <v>1</v>
      </c>
      <c r="U71" s="82"/>
      <c r="V71" s="82"/>
    </row>
    <row r="72" spans="1:22" ht="15">
      <c r="A72" s="83" t="s">
        <v>234</v>
      </c>
      <c r="B72" s="82">
        <v>3</v>
      </c>
      <c r="C72" s="82" t="s">
        <v>283</v>
      </c>
      <c r="D72" s="82">
        <v>2</v>
      </c>
      <c r="E72" s="82"/>
      <c r="F72" s="82"/>
      <c r="G72" s="82"/>
      <c r="H72" s="82"/>
      <c r="I72" s="82"/>
      <c r="J72" s="82"/>
      <c r="K72" s="82"/>
      <c r="L72" s="82"/>
      <c r="M72" s="82"/>
      <c r="N72" s="82"/>
      <c r="O72" s="82"/>
      <c r="P72" s="82"/>
      <c r="Q72" s="82"/>
      <c r="R72" s="82"/>
      <c r="S72" s="82"/>
      <c r="T72" s="82"/>
      <c r="U72" s="82"/>
      <c r="V72" s="82"/>
    </row>
    <row r="73" spans="1:22" ht="15">
      <c r="A73" s="83" t="s">
        <v>274</v>
      </c>
      <c r="B73" s="82">
        <v>2</v>
      </c>
      <c r="C73" s="82" t="s">
        <v>282</v>
      </c>
      <c r="D73" s="82">
        <v>2</v>
      </c>
      <c r="E73" s="82"/>
      <c r="F73" s="82"/>
      <c r="G73" s="82"/>
      <c r="H73" s="82"/>
      <c r="I73" s="82"/>
      <c r="J73" s="82"/>
      <c r="K73" s="82"/>
      <c r="L73" s="82"/>
      <c r="M73" s="82"/>
      <c r="N73" s="82"/>
      <c r="O73" s="82"/>
      <c r="P73" s="82"/>
      <c r="Q73" s="82"/>
      <c r="R73" s="82"/>
      <c r="S73" s="82"/>
      <c r="T73" s="82"/>
      <c r="U73" s="82"/>
      <c r="V73" s="82"/>
    </row>
    <row r="74" spans="1:22" ht="15">
      <c r="A74" s="83" t="s">
        <v>273</v>
      </c>
      <c r="B74" s="82">
        <v>2</v>
      </c>
      <c r="C74" s="82" t="s">
        <v>281</v>
      </c>
      <c r="D74" s="82">
        <v>2</v>
      </c>
      <c r="E74" s="82"/>
      <c r="F74" s="82"/>
      <c r="G74" s="82"/>
      <c r="H74" s="82"/>
      <c r="I74" s="82"/>
      <c r="J74" s="82"/>
      <c r="K74" s="82"/>
      <c r="L74" s="82"/>
      <c r="M74" s="82"/>
      <c r="N74" s="82"/>
      <c r="O74" s="82"/>
      <c r="P74" s="82"/>
      <c r="Q74" s="82"/>
      <c r="R74" s="82"/>
      <c r="S74" s="82"/>
      <c r="T74" s="82"/>
      <c r="U74" s="82"/>
      <c r="V74" s="82"/>
    </row>
    <row r="75" spans="1:22" ht="15">
      <c r="A75" s="83" t="s">
        <v>254</v>
      </c>
      <c r="B75" s="82">
        <v>2</v>
      </c>
      <c r="C75" s="82" t="s">
        <v>251</v>
      </c>
      <c r="D75" s="82">
        <v>2</v>
      </c>
      <c r="E75" s="82"/>
      <c r="F75" s="82"/>
      <c r="G75" s="82"/>
      <c r="H75" s="82"/>
      <c r="I75" s="82"/>
      <c r="J75" s="82"/>
      <c r="K75" s="82"/>
      <c r="L75" s="82"/>
      <c r="M75" s="82"/>
      <c r="N75" s="82"/>
      <c r="O75" s="82"/>
      <c r="P75" s="82"/>
      <c r="Q75" s="82"/>
      <c r="R75" s="82"/>
      <c r="S75" s="82"/>
      <c r="T75" s="82"/>
      <c r="U75" s="82"/>
      <c r="V75" s="82"/>
    </row>
    <row r="76" spans="1:22" ht="15">
      <c r="A76" s="83" t="s">
        <v>283</v>
      </c>
      <c r="B76" s="82">
        <v>2</v>
      </c>
      <c r="C76" s="82" t="s">
        <v>280</v>
      </c>
      <c r="D76" s="82">
        <v>2</v>
      </c>
      <c r="E76" s="82"/>
      <c r="F76" s="82"/>
      <c r="G76" s="82"/>
      <c r="H76" s="82"/>
      <c r="I76" s="82"/>
      <c r="J76" s="82"/>
      <c r="K76" s="82"/>
      <c r="L76" s="82"/>
      <c r="M76" s="82"/>
      <c r="N76" s="82"/>
      <c r="O76" s="82"/>
      <c r="P76" s="82"/>
      <c r="Q76" s="82"/>
      <c r="R76" s="82"/>
      <c r="S76" s="82"/>
      <c r="T76" s="82"/>
      <c r="U76" s="82"/>
      <c r="V76" s="82"/>
    </row>
    <row r="77" spans="1:22" ht="15">
      <c r="A77" s="83" t="s">
        <v>282</v>
      </c>
      <c r="B77" s="82">
        <v>2</v>
      </c>
      <c r="C77" s="82" t="s">
        <v>279</v>
      </c>
      <c r="D77" s="82">
        <v>2</v>
      </c>
      <c r="E77" s="82"/>
      <c r="F77" s="82"/>
      <c r="G77" s="82"/>
      <c r="H77" s="82"/>
      <c r="I77" s="82"/>
      <c r="J77" s="82"/>
      <c r="K77" s="82"/>
      <c r="L77" s="82"/>
      <c r="M77" s="82"/>
      <c r="N77" s="82"/>
      <c r="O77" s="82"/>
      <c r="P77" s="82"/>
      <c r="Q77" s="82"/>
      <c r="R77" s="82"/>
      <c r="S77" s="82"/>
      <c r="T77" s="82"/>
      <c r="U77" s="82"/>
      <c r="V77" s="82"/>
    </row>
    <row r="78" spans="1:22" ht="15">
      <c r="A78" s="83" t="s">
        <v>281</v>
      </c>
      <c r="B78" s="82">
        <v>2</v>
      </c>
      <c r="C78" s="82" t="s">
        <v>278</v>
      </c>
      <c r="D78" s="82">
        <v>2</v>
      </c>
      <c r="E78" s="82"/>
      <c r="F78" s="82"/>
      <c r="G78" s="82"/>
      <c r="H78" s="82"/>
      <c r="I78" s="82"/>
      <c r="J78" s="82"/>
      <c r="K78" s="82"/>
      <c r="L78" s="82"/>
      <c r="M78" s="82"/>
      <c r="N78" s="82"/>
      <c r="O78" s="82"/>
      <c r="P78" s="82"/>
      <c r="Q78" s="82"/>
      <c r="R78" s="82"/>
      <c r="S78" s="82"/>
      <c r="T78" s="82"/>
      <c r="U78" s="82"/>
      <c r="V78" s="82"/>
    </row>
    <row r="79" spans="1:22" ht="15">
      <c r="A79" s="83" t="s">
        <v>251</v>
      </c>
      <c r="B79" s="82">
        <v>2</v>
      </c>
      <c r="C79" s="82" t="s">
        <v>277</v>
      </c>
      <c r="D79" s="82">
        <v>2</v>
      </c>
      <c r="E79" s="82"/>
      <c r="F79" s="82"/>
      <c r="G79" s="82"/>
      <c r="H79" s="82"/>
      <c r="I79" s="82"/>
      <c r="J79" s="82"/>
      <c r="K79" s="82"/>
      <c r="L79" s="82"/>
      <c r="M79" s="82"/>
      <c r="N79" s="82"/>
      <c r="O79" s="82"/>
      <c r="P79" s="82"/>
      <c r="Q79" s="82"/>
      <c r="R79" s="82"/>
      <c r="S79" s="82"/>
      <c r="T79" s="82"/>
      <c r="U79" s="82"/>
      <c r="V79" s="82"/>
    </row>
    <row r="82" spans="1:22" ht="15" customHeight="1">
      <c r="A82" s="13" t="s">
        <v>1062</v>
      </c>
      <c r="B82" s="13" t="s">
        <v>757</v>
      </c>
      <c r="C82" s="13" t="s">
        <v>1063</v>
      </c>
      <c r="D82" s="13" t="s">
        <v>762</v>
      </c>
      <c r="E82" s="13" t="s">
        <v>1064</v>
      </c>
      <c r="F82" s="13" t="s">
        <v>764</v>
      </c>
      <c r="G82" s="13" t="s">
        <v>1065</v>
      </c>
      <c r="H82" s="13" t="s">
        <v>769</v>
      </c>
      <c r="I82" s="13" t="s">
        <v>1066</v>
      </c>
      <c r="J82" s="13" t="s">
        <v>771</v>
      </c>
      <c r="K82" s="13" t="s">
        <v>1067</v>
      </c>
      <c r="L82" s="13" t="s">
        <v>773</v>
      </c>
      <c r="M82" s="13" t="s">
        <v>1068</v>
      </c>
      <c r="N82" s="13" t="s">
        <v>776</v>
      </c>
      <c r="O82" s="13" t="s">
        <v>1069</v>
      </c>
      <c r="P82" s="13" t="s">
        <v>778</v>
      </c>
      <c r="Q82" s="13" t="s">
        <v>1070</v>
      </c>
      <c r="R82" s="13" t="s">
        <v>781</v>
      </c>
      <c r="S82" s="13" t="s">
        <v>1071</v>
      </c>
      <c r="T82" s="13" t="s">
        <v>783</v>
      </c>
      <c r="U82" s="13" t="s">
        <v>1072</v>
      </c>
      <c r="V82" s="13" t="s">
        <v>786</v>
      </c>
    </row>
    <row r="83" spans="1:22" ht="15">
      <c r="A83" s="115" t="s">
        <v>275</v>
      </c>
      <c r="B83" s="82">
        <v>278884</v>
      </c>
      <c r="C83" s="115" t="s">
        <v>275</v>
      </c>
      <c r="D83" s="82">
        <v>278884</v>
      </c>
      <c r="E83" s="115" t="s">
        <v>258</v>
      </c>
      <c r="F83" s="82">
        <v>28869</v>
      </c>
      <c r="G83" s="115" t="s">
        <v>264</v>
      </c>
      <c r="H83" s="82">
        <v>8451</v>
      </c>
      <c r="I83" s="115" t="s">
        <v>268</v>
      </c>
      <c r="J83" s="82">
        <v>71593</v>
      </c>
      <c r="K83" s="115" t="s">
        <v>273</v>
      </c>
      <c r="L83" s="82">
        <v>17685</v>
      </c>
      <c r="M83" s="115" t="s">
        <v>236</v>
      </c>
      <c r="N83" s="82">
        <v>10269</v>
      </c>
      <c r="O83" s="115" t="s">
        <v>271</v>
      </c>
      <c r="P83" s="82">
        <v>47336</v>
      </c>
      <c r="Q83" s="115" t="s">
        <v>265</v>
      </c>
      <c r="R83" s="82">
        <v>42205</v>
      </c>
      <c r="S83" s="115" t="s">
        <v>276</v>
      </c>
      <c r="T83" s="82">
        <v>130851</v>
      </c>
      <c r="U83" s="115" t="s">
        <v>244</v>
      </c>
      <c r="V83" s="82">
        <v>7941</v>
      </c>
    </row>
    <row r="84" spans="1:22" ht="15">
      <c r="A84" s="117" t="s">
        <v>282</v>
      </c>
      <c r="B84" s="82">
        <v>131401</v>
      </c>
      <c r="C84" s="115" t="s">
        <v>282</v>
      </c>
      <c r="D84" s="82">
        <v>131401</v>
      </c>
      <c r="E84" s="115" t="s">
        <v>254</v>
      </c>
      <c r="F84" s="82">
        <v>26363</v>
      </c>
      <c r="G84" s="115" t="s">
        <v>263</v>
      </c>
      <c r="H84" s="82">
        <v>854</v>
      </c>
      <c r="I84" s="115" t="s">
        <v>267</v>
      </c>
      <c r="J84" s="82">
        <v>12233</v>
      </c>
      <c r="K84" s="115" t="s">
        <v>243</v>
      </c>
      <c r="L84" s="82">
        <v>10531</v>
      </c>
      <c r="M84" s="115" t="s">
        <v>272</v>
      </c>
      <c r="N84" s="82">
        <v>1251</v>
      </c>
      <c r="O84" s="115" t="s">
        <v>234</v>
      </c>
      <c r="P84" s="82">
        <v>19076</v>
      </c>
      <c r="Q84" s="115" t="s">
        <v>284</v>
      </c>
      <c r="R84" s="82">
        <v>12523</v>
      </c>
      <c r="S84" s="115" t="s">
        <v>248</v>
      </c>
      <c r="T84" s="82">
        <v>11</v>
      </c>
      <c r="U84" s="115" t="s">
        <v>262</v>
      </c>
      <c r="V84" s="82">
        <v>1166</v>
      </c>
    </row>
    <row r="85" spans="1:22" ht="15">
      <c r="A85" s="117" t="s">
        <v>276</v>
      </c>
      <c r="B85" s="82">
        <v>130851</v>
      </c>
      <c r="C85" s="115" t="s">
        <v>251</v>
      </c>
      <c r="D85" s="82">
        <v>68238</v>
      </c>
      <c r="E85" s="115" t="s">
        <v>252</v>
      </c>
      <c r="F85" s="82">
        <v>1605</v>
      </c>
      <c r="G85" s="115" t="s">
        <v>246</v>
      </c>
      <c r="H85" s="82">
        <v>391</v>
      </c>
      <c r="I85" s="115" t="s">
        <v>270</v>
      </c>
      <c r="J85" s="82">
        <v>11539</v>
      </c>
      <c r="K85" s="115" t="s">
        <v>274</v>
      </c>
      <c r="L85" s="82">
        <v>1883</v>
      </c>
      <c r="M85" s="115" t="s">
        <v>237</v>
      </c>
      <c r="N85" s="82">
        <v>1219</v>
      </c>
      <c r="O85" s="115" t="s">
        <v>235</v>
      </c>
      <c r="P85" s="82">
        <v>5847</v>
      </c>
      <c r="Q85" s="115"/>
      <c r="R85" s="82"/>
      <c r="S85" s="115"/>
      <c r="T85" s="82"/>
      <c r="U85" s="115"/>
      <c r="V85" s="82"/>
    </row>
    <row r="86" spans="1:22" ht="15">
      <c r="A86" s="117" t="s">
        <v>268</v>
      </c>
      <c r="B86" s="82">
        <v>71593</v>
      </c>
      <c r="C86" s="115" t="s">
        <v>247</v>
      </c>
      <c r="D86" s="82">
        <v>34950</v>
      </c>
      <c r="E86" s="115" t="s">
        <v>242</v>
      </c>
      <c r="F86" s="82">
        <v>1174</v>
      </c>
      <c r="G86" s="115" t="s">
        <v>245</v>
      </c>
      <c r="H86" s="82">
        <v>93</v>
      </c>
      <c r="I86" s="115" t="s">
        <v>269</v>
      </c>
      <c r="J86" s="82">
        <v>1765</v>
      </c>
      <c r="K86" s="115" t="s">
        <v>261</v>
      </c>
      <c r="L86" s="82">
        <v>921</v>
      </c>
      <c r="M86" s="115"/>
      <c r="N86" s="82"/>
      <c r="O86" s="115"/>
      <c r="P86" s="82"/>
      <c r="Q86" s="115"/>
      <c r="R86" s="82"/>
      <c r="S86" s="115"/>
      <c r="T86" s="82"/>
      <c r="U86" s="115"/>
      <c r="V86" s="82"/>
    </row>
    <row r="87" spans="1:22" ht="15">
      <c r="A87" s="117" t="s">
        <v>251</v>
      </c>
      <c r="B87" s="82">
        <v>68238</v>
      </c>
      <c r="C87" s="115" t="s">
        <v>281</v>
      </c>
      <c r="D87" s="82">
        <v>18742</v>
      </c>
      <c r="E87" s="115" t="s">
        <v>253</v>
      </c>
      <c r="F87" s="82">
        <v>610</v>
      </c>
      <c r="G87" s="115" t="s">
        <v>260</v>
      </c>
      <c r="H87" s="82">
        <v>55</v>
      </c>
      <c r="I87" s="115" t="s">
        <v>259</v>
      </c>
      <c r="J87" s="82">
        <v>1114</v>
      </c>
      <c r="K87" s="115"/>
      <c r="L87" s="82"/>
      <c r="M87" s="115"/>
      <c r="N87" s="82"/>
      <c r="O87" s="115"/>
      <c r="P87" s="82"/>
      <c r="Q87" s="115"/>
      <c r="R87" s="82"/>
      <c r="S87" s="115"/>
      <c r="T87" s="82"/>
      <c r="U87" s="115"/>
      <c r="V87" s="82"/>
    </row>
    <row r="88" spans="1:22" ht="15">
      <c r="A88" s="117" t="s">
        <v>239</v>
      </c>
      <c r="B88" s="82">
        <v>50351</v>
      </c>
      <c r="C88" s="115" t="s">
        <v>280</v>
      </c>
      <c r="D88" s="82">
        <v>11744</v>
      </c>
      <c r="E88" s="115" t="s">
        <v>257</v>
      </c>
      <c r="F88" s="82">
        <v>378</v>
      </c>
      <c r="G88" s="115" t="s">
        <v>266</v>
      </c>
      <c r="H88" s="82">
        <v>37</v>
      </c>
      <c r="I88" s="115"/>
      <c r="J88" s="82"/>
      <c r="K88" s="115"/>
      <c r="L88" s="82"/>
      <c r="M88" s="115"/>
      <c r="N88" s="82"/>
      <c r="O88" s="115"/>
      <c r="P88" s="82"/>
      <c r="Q88" s="115"/>
      <c r="R88" s="82"/>
      <c r="S88" s="115"/>
      <c r="T88" s="82"/>
      <c r="U88" s="115"/>
      <c r="V88" s="82"/>
    </row>
    <row r="89" spans="1:22" ht="15">
      <c r="A89" s="117" t="s">
        <v>271</v>
      </c>
      <c r="B89" s="82">
        <v>47336</v>
      </c>
      <c r="C89" s="115" t="s">
        <v>277</v>
      </c>
      <c r="D89" s="82">
        <v>3996</v>
      </c>
      <c r="E89" s="115" t="s">
        <v>249</v>
      </c>
      <c r="F89" s="82">
        <v>181</v>
      </c>
      <c r="G89" s="115"/>
      <c r="H89" s="82"/>
      <c r="I89" s="115"/>
      <c r="J89" s="82"/>
      <c r="K89" s="115"/>
      <c r="L89" s="82"/>
      <c r="M89" s="115"/>
      <c r="N89" s="82"/>
      <c r="O89" s="115"/>
      <c r="P89" s="82"/>
      <c r="Q89" s="115"/>
      <c r="R89" s="82"/>
      <c r="S89" s="115"/>
      <c r="T89" s="82"/>
      <c r="U89" s="115"/>
      <c r="V89" s="82"/>
    </row>
    <row r="90" spans="1:22" ht="15">
      <c r="A90" s="117" t="s">
        <v>265</v>
      </c>
      <c r="B90" s="82">
        <v>42205</v>
      </c>
      <c r="C90" s="115" t="s">
        <v>250</v>
      </c>
      <c r="D90" s="82">
        <v>2958</v>
      </c>
      <c r="E90" s="115" t="s">
        <v>255</v>
      </c>
      <c r="F90" s="82">
        <v>134</v>
      </c>
      <c r="G90" s="115"/>
      <c r="H90" s="82"/>
      <c r="I90" s="115"/>
      <c r="J90" s="82"/>
      <c r="K90" s="115"/>
      <c r="L90" s="82"/>
      <c r="M90" s="115"/>
      <c r="N90" s="82"/>
      <c r="O90" s="115"/>
      <c r="P90" s="82"/>
      <c r="Q90" s="115"/>
      <c r="R90" s="82"/>
      <c r="S90" s="115"/>
      <c r="T90" s="82"/>
      <c r="U90" s="115"/>
      <c r="V90" s="82"/>
    </row>
    <row r="91" spans="1:22" ht="15">
      <c r="A91" s="117" t="s">
        <v>247</v>
      </c>
      <c r="B91" s="82">
        <v>34950</v>
      </c>
      <c r="C91" s="115" t="s">
        <v>278</v>
      </c>
      <c r="D91" s="82">
        <v>884</v>
      </c>
      <c r="E91" s="115" t="s">
        <v>256</v>
      </c>
      <c r="F91" s="82">
        <v>83</v>
      </c>
      <c r="G91" s="115"/>
      <c r="H91" s="82"/>
      <c r="I91" s="115"/>
      <c r="J91" s="82"/>
      <c r="K91" s="115"/>
      <c r="L91" s="82"/>
      <c r="M91" s="115"/>
      <c r="N91" s="82"/>
      <c r="O91" s="115"/>
      <c r="P91" s="82"/>
      <c r="Q91" s="115"/>
      <c r="R91" s="82"/>
      <c r="S91" s="115"/>
      <c r="T91" s="82"/>
      <c r="U91" s="115"/>
      <c r="V91" s="82"/>
    </row>
    <row r="92" spans="1:22" ht="15">
      <c r="A92" s="117" t="s">
        <v>258</v>
      </c>
      <c r="B92" s="82">
        <v>28869</v>
      </c>
      <c r="C92" s="115" t="s">
        <v>283</v>
      </c>
      <c r="D92" s="82">
        <v>545</v>
      </c>
      <c r="E92" s="115"/>
      <c r="F92" s="82"/>
      <c r="G92" s="115"/>
      <c r="H92" s="82"/>
      <c r="I92" s="115"/>
      <c r="J92" s="82"/>
      <c r="K92" s="115"/>
      <c r="L92" s="82"/>
      <c r="M92" s="115"/>
      <c r="N92" s="82"/>
      <c r="O92" s="115"/>
      <c r="P92" s="82"/>
      <c r="Q92" s="115"/>
      <c r="R92" s="82"/>
      <c r="S92" s="115"/>
      <c r="T92" s="82"/>
      <c r="U92" s="115"/>
      <c r="V92" s="82"/>
    </row>
  </sheetData>
  <hyperlinks>
    <hyperlink ref="A2" r:id="rId1" display="https://www.linkedin.com/slink?code=eYxyEG3F"/>
    <hyperlink ref="A3" r:id="rId2" display="https://www.who.int/news/item/11-10-2021-who-s-10-calls-for-climate-action-to-assure-sustained-recovery-from-covid-19"/>
    <hyperlink ref="A4" r:id="rId3" display="https://thecounter.org/lab-grown-cultivated-meat-cost-at-scale/"/>
    <hyperlink ref="A5" r:id="rId4" display="https://www.bizcommunity.com/Article/108/162/220909.html"/>
    <hyperlink ref="A6" r:id="rId5" display="https://m-vest.com/events/global-agtech?utm_source=press_release&amp;utm_medium=pr&amp;utm_term=presenters"/>
    <hyperlink ref="A7" r:id="rId6" display="https://nodexlgraphgallery.org/Pages/Graph.aspx?graphID=264394"/>
    <hyperlink ref="A8" r:id="rId7" display="https://twitter.com/Calcalistech/status/1446115448035020808"/>
    <hyperlink ref="A9" r:id="rId8" display="https://proveg.com/blog/nfc-at-anuga-protein-of-the-future/?utm_source=Facebook&amp;utm_medium=Social&amp;utm_campaign=NFC_GeneralBlog"/>
    <hyperlink ref="A10" r:id="rId9" display="https://labgrownmeat.com/"/>
    <hyperlink ref="A11" r:id="rId10" display="https://labgrownmeat.com/open-to-cultured-meat/"/>
    <hyperlink ref="C2" r:id="rId11" display="https://nodexlgraphgallery.org/Pages/Graph.aspx?graphID=264394"/>
    <hyperlink ref="C3" r:id="rId12" display="https://geneticliteracyproject.org/2021/10/11/a-future-in-which-meat-no-longer-requires-animal-slaughter-there-are-some-barriers-to-that-goal/?utm_medium=Social&amp;utm_source=Twitter#Echobox=1633926322"/>
    <hyperlink ref="C4" r:id="rId13" display="https://geneticliteracyproject.org/2021/10/11/a-future-in-which-meat-no-longer-requires-animal-slaughter-there-are-some-barriers-to-that-goal/?utm_medium=Social&amp;utm_source=Twitter#Echobox=1633926304-1"/>
    <hyperlink ref="E2" r:id="rId14" display="https://www.linkedin.com/slink?code=eYxyEG3F"/>
    <hyperlink ref="E3" r:id="rId15" display="https://m-vest.com/events/global-agtech?utm_source=press_release&amp;utm_medium=pr&amp;utm_term=presenters"/>
    <hyperlink ref="E4" r:id="rId16" display="https://twitter.com/Calcalistech/status/1446115448035020808"/>
    <hyperlink ref="G2" r:id="rId17" display="https://www.linkedin.com/slink?code=dNAPHtUG"/>
    <hyperlink ref="G3" r:id="rId18" display="https://bygora.com/2021/10/cultured-meat/"/>
    <hyperlink ref="G4" r:id="rId19" display="https://astralcodexten.substack.com/p/bay-area-plant-based-meat-reviews"/>
    <hyperlink ref="G5" r:id="rId20" display="https://thecounter.org/lab-grown-cultivated-meat-cost-at-scale/"/>
    <hyperlink ref="I2" r:id="rId21" display="https://www.who.int/news/item/11-10-2021-who-s-10-calls-for-climate-action-to-assure-sustained-recovery-from-covid-19"/>
    <hyperlink ref="K2" r:id="rId22" display="https://thecounter.org/lab-grown-cultivated-meat-cost-at-scale/"/>
    <hyperlink ref="M2" r:id="rId23" display="https://www.foodingredientsfirst.com/news/flexitarian-and-cell-cultured-movements-advance-plant-based-eating-says-innova-market-insights.html#.YV8KaEy-8mY.twitter"/>
    <hyperlink ref="O2" r:id="rId24" display="https://www.bizcommunity.com/Article/108/162/220909.html"/>
    <hyperlink ref="Q2" r:id="rId25" display="https://www.surveycircle.com/en/surveys/?sr=r3#2b6d962de6ae"/>
    <hyperlink ref="U2" r:id="rId26" display="https://www.eventbrite.com/e/cultured-meat-symposium-2021-tickets-148260090923"/>
    <hyperlink ref="U3" r:id="rId27" display="https://cms21.io/"/>
  </hyperlinks>
  <printOptions/>
  <pageMargins left="0.7" right="0.7" top="0.75" bottom="0.75" header="0.3" footer="0.3"/>
  <pageSetup orientation="portrait" paperSize="9"/>
  <tableParts>
    <tablePart r:id="rId30"/>
    <tablePart r:id="rId29"/>
    <tablePart r:id="rId32"/>
    <tablePart r:id="rId31"/>
    <tablePart r:id="rId34"/>
    <tablePart r:id="rId33"/>
    <tablePart r:id="rId28"/>
    <tablePart r:id="rId3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DEFB9-B79D-4417-9D12-8A1FA8A4BB72}">
  <dimension ref="A1:G4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1155</v>
      </c>
      <c r="B1" s="13" t="s">
        <v>1275</v>
      </c>
      <c r="C1" s="13" t="s">
        <v>1279</v>
      </c>
      <c r="D1" s="13" t="s">
        <v>144</v>
      </c>
      <c r="E1" s="13" t="s">
        <v>1281</v>
      </c>
      <c r="F1" s="13" t="s">
        <v>1282</v>
      </c>
      <c r="G1" s="13" t="s">
        <v>1283</v>
      </c>
    </row>
    <row r="2" spans="1:7" ht="15">
      <c r="A2" s="82" t="s">
        <v>1156</v>
      </c>
      <c r="B2" s="82" t="s">
        <v>1276</v>
      </c>
      <c r="C2" s="120"/>
      <c r="D2" s="82"/>
      <c r="E2" s="82"/>
      <c r="F2" s="82"/>
      <c r="G2" s="82"/>
    </row>
    <row r="3" spans="1:7" ht="15">
      <c r="A3" s="83" t="s">
        <v>1157</v>
      </c>
      <c r="B3" s="82" t="s">
        <v>1277</v>
      </c>
      <c r="C3" s="120"/>
      <c r="D3" s="82"/>
      <c r="E3" s="82"/>
      <c r="F3" s="82"/>
      <c r="G3" s="82"/>
    </row>
    <row r="4" spans="1:7" ht="15">
      <c r="A4" s="83" t="s">
        <v>1158</v>
      </c>
      <c r="B4" s="82" t="s">
        <v>1278</v>
      </c>
      <c r="C4" s="120"/>
      <c r="D4" s="82"/>
      <c r="E4" s="82"/>
      <c r="F4" s="82"/>
      <c r="G4" s="82"/>
    </row>
    <row r="5" spans="1:7" ht="15">
      <c r="A5" s="83" t="s">
        <v>1159</v>
      </c>
      <c r="B5" s="82">
        <v>56</v>
      </c>
      <c r="C5" s="120">
        <v>0.044657097288676235</v>
      </c>
      <c r="D5" s="82"/>
      <c r="E5" s="82"/>
      <c r="F5" s="82"/>
      <c r="G5" s="82"/>
    </row>
    <row r="6" spans="1:7" ht="15">
      <c r="A6" s="83" t="s">
        <v>1160</v>
      </c>
      <c r="B6" s="82">
        <v>10</v>
      </c>
      <c r="C6" s="120">
        <v>0.007974481658692184</v>
      </c>
      <c r="D6" s="82"/>
      <c r="E6" s="82"/>
      <c r="F6" s="82"/>
      <c r="G6" s="82"/>
    </row>
    <row r="7" spans="1:7" ht="15">
      <c r="A7" s="83" t="s">
        <v>1161</v>
      </c>
      <c r="B7" s="82">
        <v>0</v>
      </c>
      <c r="C7" s="120">
        <v>0</v>
      </c>
      <c r="D7" s="82"/>
      <c r="E7" s="82"/>
      <c r="F7" s="82"/>
      <c r="G7" s="82"/>
    </row>
    <row r="8" spans="1:7" ht="15">
      <c r="A8" s="83" t="s">
        <v>1162</v>
      </c>
      <c r="B8" s="82">
        <v>1188</v>
      </c>
      <c r="C8" s="120">
        <v>0.9473684210526316</v>
      </c>
      <c r="D8" s="82"/>
      <c r="E8" s="82"/>
      <c r="F8" s="82"/>
      <c r="G8" s="82"/>
    </row>
    <row r="9" spans="1:7" ht="15">
      <c r="A9" s="83" t="s">
        <v>1163</v>
      </c>
      <c r="B9" s="82">
        <v>1254</v>
      </c>
      <c r="C9" s="120">
        <v>1</v>
      </c>
      <c r="D9" s="82"/>
      <c r="E9" s="82"/>
      <c r="F9" s="82"/>
      <c r="G9" s="82"/>
    </row>
    <row r="10" spans="1:7" ht="15">
      <c r="A10" s="89" t="s">
        <v>871</v>
      </c>
      <c r="B10" s="88">
        <v>44</v>
      </c>
      <c r="C10" s="121">
        <v>0</v>
      </c>
      <c r="D10" s="88" t="s">
        <v>1280</v>
      </c>
      <c r="E10" s="88" t="b">
        <v>0</v>
      </c>
      <c r="F10" s="88" t="b">
        <v>0</v>
      </c>
      <c r="G10" s="88" t="b">
        <v>0</v>
      </c>
    </row>
    <row r="11" spans="1:7" ht="15">
      <c r="A11" s="89" t="s">
        <v>872</v>
      </c>
      <c r="B11" s="88">
        <v>20</v>
      </c>
      <c r="C11" s="121">
        <v>0.020355230003236396</v>
      </c>
      <c r="D11" s="88" t="s">
        <v>1280</v>
      </c>
      <c r="E11" s="88" t="b">
        <v>0</v>
      </c>
      <c r="F11" s="88" t="b">
        <v>0</v>
      </c>
      <c r="G11" s="88" t="b">
        <v>0</v>
      </c>
    </row>
    <row r="12" spans="1:7" ht="15">
      <c r="A12" s="89" t="s">
        <v>873</v>
      </c>
      <c r="B12" s="88">
        <v>13</v>
      </c>
      <c r="C12" s="121">
        <v>0.00741769527406418</v>
      </c>
      <c r="D12" s="88" t="s">
        <v>1280</v>
      </c>
      <c r="E12" s="88" t="b">
        <v>0</v>
      </c>
      <c r="F12" s="88" t="b">
        <v>0</v>
      </c>
      <c r="G12" s="88" t="b">
        <v>0</v>
      </c>
    </row>
    <row r="13" spans="1:7" ht="15">
      <c r="A13" s="89" t="s">
        <v>850</v>
      </c>
      <c r="B13" s="88">
        <v>12</v>
      </c>
      <c r="C13" s="121">
        <v>0.0072966133246365845</v>
      </c>
      <c r="D13" s="88" t="s">
        <v>1280</v>
      </c>
      <c r="E13" s="88" t="b">
        <v>0</v>
      </c>
      <c r="F13" s="88" t="b">
        <v>0</v>
      </c>
      <c r="G13" s="88" t="b">
        <v>0</v>
      </c>
    </row>
    <row r="14" spans="1:7" ht="15">
      <c r="A14" s="89" t="s">
        <v>874</v>
      </c>
      <c r="B14" s="88">
        <v>12</v>
      </c>
      <c r="C14" s="121">
        <v>0.011189242578912203</v>
      </c>
      <c r="D14" s="88" t="s">
        <v>1280</v>
      </c>
      <c r="E14" s="88" t="b">
        <v>0</v>
      </c>
      <c r="F14" s="88" t="b">
        <v>0</v>
      </c>
      <c r="G14" s="88" t="b">
        <v>0</v>
      </c>
    </row>
    <row r="15" spans="1:7" ht="15">
      <c r="A15" s="89" t="s">
        <v>875</v>
      </c>
      <c r="B15" s="88">
        <v>10</v>
      </c>
      <c r="C15" s="121">
        <v>0.010177615001618198</v>
      </c>
      <c r="D15" s="88" t="s">
        <v>1280</v>
      </c>
      <c r="E15" s="88" t="b">
        <v>0</v>
      </c>
      <c r="F15" s="88" t="b">
        <v>0</v>
      </c>
      <c r="G15" s="88" t="b">
        <v>0</v>
      </c>
    </row>
    <row r="16" spans="1:7" ht="15">
      <c r="A16" s="89" t="s">
        <v>876</v>
      </c>
      <c r="B16" s="88">
        <v>10</v>
      </c>
      <c r="C16" s="121">
        <v>0.010177615001618198</v>
      </c>
      <c r="D16" s="88" t="s">
        <v>1280</v>
      </c>
      <c r="E16" s="88" t="b">
        <v>0</v>
      </c>
      <c r="F16" s="88" t="b">
        <v>0</v>
      </c>
      <c r="G16" s="88" t="b">
        <v>0</v>
      </c>
    </row>
    <row r="17" spans="1:7" ht="15">
      <c r="A17" s="89" t="s">
        <v>877</v>
      </c>
      <c r="B17" s="88">
        <v>10</v>
      </c>
      <c r="C17" s="121">
        <v>0.008602959444740632</v>
      </c>
      <c r="D17" s="88" t="s">
        <v>1280</v>
      </c>
      <c r="E17" s="88" t="b">
        <v>0</v>
      </c>
      <c r="F17" s="88" t="b">
        <v>0</v>
      </c>
      <c r="G17" s="88" t="b">
        <v>0</v>
      </c>
    </row>
    <row r="18" spans="1:7" ht="15">
      <c r="A18" s="89" t="s">
        <v>878</v>
      </c>
      <c r="B18" s="88">
        <v>8</v>
      </c>
      <c r="C18" s="121">
        <v>0.006382436978398654</v>
      </c>
      <c r="D18" s="88" t="s">
        <v>1280</v>
      </c>
      <c r="E18" s="88" t="b">
        <v>1</v>
      </c>
      <c r="F18" s="88" t="b">
        <v>0</v>
      </c>
      <c r="G18" s="88" t="b">
        <v>0</v>
      </c>
    </row>
    <row r="19" spans="1:7" ht="15">
      <c r="A19" s="89" t="s">
        <v>879</v>
      </c>
      <c r="B19" s="88">
        <v>8</v>
      </c>
      <c r="C19" s="121">
        <v>0.006382436978398654</v>
      </c>
      <c r="D19" s="88" t="s">
        <v>1280</v>
      </c>
      <c r="E19" s="88" t="b">
        <v>0</v>
      </c>
      <c r="F19" s="88" t="b">
        <v>0</v>
      </c>
      <c r="G19" s="88" t="b">
        <v>0</v>
      </c>
    </row>
    <row r="20" spans="1:7" ht="15">
      <c r="A20" s="89" t="s">
        <v>886</v>
      </c>
      <c r="B20" s="88">
        <v>7</v>
      </c>
      <c r="C20" s="121">
        <v>0.006022071611318442</v>
      </c>
      <c r="D20" s="88" t="s">
        <v>1280</v>
      </c>
      <c r="E20" s="88" t="b">
        <v>0</v>
      </c>
      <c r="F20" s="88" t="b">
        <v>0</v>
      </c>
      <c r="G20" s="88" t="b">
        <v>0</v>
      </c>
    </row>
    <row r="21" spans="1:7" ht="15">
      <c r="A21" s="89" t="s">
        <v>885</v>
      </c>
      <c r="B21" s="88">
        <v>7</v>
      </c>
      <c r="C21" s="121">
        <v>0.006022071611318442</v>
      </c>
      <c r="D21" s="88" t="s">
        <v>1280</v>
      </c>
      <c r="E21" s="88" t="b">
        <v>0</v>
      </c>
      <c r="F21" s="88" t="b">
        <v>0</v>
      </c>
      <c r="G21" s="88" t="b">
        <v>0</v>
      </c>
    </row>
    <row r="22" spans="1:7" ht="15">
      <c r="A22" s="89" t="s">
        <v>1164</v>
      </c>
      <c r="B22" s="88">
        <v>7</v>
      </c>
      <c r="C22" s="121">
        <v>0.006022071611318442</v>
      </c>
      <c r="D22" s="88" t="s">
        <v>1280</v>
      </c>
      <c r="E22" s="88" t="b">
        <v>0</v>
      </c>
      <c r="F22" s="88" t="b">
        <v>0</v>
      </c>
      <c r="G22" s="88" t="b">
        <v>0</v>
      </c>
    </row>
    <row r="23" spans="1:7" ht="15">
      <c r="A23" s="89" t="s">
        <v>1165</v>
      </c>
      <c r="B23" s="88">
        <v>7</v>
      </c>
      <c r="C23" s="121">
        <v>0.006022071611318442</v>
      </c>
      <c r="D23" s="88" t="s">
        <v>1280</v>
      </c>
      <c r="E23" s="88" t="b">
        <v>0</v>
      </c>
      <c r="F23" s="88" t="b">
        <v>0</v>
      </c>
      <c r="G23" s="88" t="b">
        <v>0</v>
      </c>
    </row>
    <row r="24" spans="1:7" ht="15">
      <c r="A24" s="89" t="s">
        <v>936</v>
      </c>
      <c r="B24" s="88">
        <v>7</v>
      </c>
      <c r="C24" s="121">
        <v>0.006022071611318442</v>
      </c>
      <c r="D24" s="88" t="s">
        <v>1280</v>
      </c>
      <c r="E24" s="88" t="b">
        <v>0</v>
      </c>
      <c r="F24" s="88" t="b">
        <v>0</v>
      </c>
      <c r="G24" s="88" t="b">
        <v>0</v>
      </c>
    </row>
    <row r="25" spans="1:7" ht="15">
      <c r="A25" s="89" t="s">
        <v>883</v>
      </c>
      <c r="B25" s="88">
        <v>7</v>
      </c>
      <c r="C25" s="121">
        <v>0.006022071611318442</v>
      </c>
      <c r="D25" s="88" t="s">
        <v>1280</v>
      </c>
      <c r="E25" s="88" t="b">
        <v>0</v>
      </c>
      <c r="F25" s="88" t="b">
        <v>0</v>
      </c>
      <c r="G25" s="88" t="b">
        <v>0</v>
      </c>
    </row>
    <row r="26" spans="1:7" ht="15">
      <c r="A26" s="89" t="s">
        <v>1166</v>
      </c>
      <c r="B26" s="88">
        <v>6</v>
      </c>
      <c r="C26" s="121">
        <v>0.005594621289456102</v>
      </c>
      <c r="D26" s="88" t="s">
        <v>1280</v>
      </c>
      <c r="E26" s="88" t="b">
        <v>0</v>
      </c>
      <c r="F26" s="88" t="b">
        <v>0</v>
      </c>
      <c r="G26" s="88" t="b">
        <v>0</v>
      </c>
    </row>
    <row r="27" spans="1:7" ht="15">
      <c r="A27" s="89" t="s">
        <v>1167</v>
      </c>
      <c r="B27" s="88">
        <v>6</v>
      </c>
      <c r="C27" s="121">
        <v>0.005594621289456102</v>
      </c>
      <c r="D27" s="88" t="s">
        <v>1280</v>
      </c>
      <c r="E27" s="88" t="b">
        <v>0</v>
      </c>
      <c r="F27" s="88" t="b">
        <v>0</v>
      </c>
      <c r="G27" s="88" t="b">
        <v>0</v>
      </c>
    </row>
    <row r="28" spans="1:7" ht="15">
      <c r="A28" s="89" t="s">
        <v>1168</v>
      </c>
      <c r="B28" s="88">
        <v>6</v>
      </c>
      <c r="C28" s="121">
        <v>0.005594621289456102</v>
      </c>
      <c r="D28" s="88" t="s">
        <v>1280</v>
      </c>
      <c r="E28" s="88" t="b">
        <v>0</v>
      </c>
      <c r="F28" s="88" t="b">
        <v>0</v>
      </c>
      <c r="G28" s="88" t="b">
        <v>0</v>
      </c>
    </row>
    <row r="29" spans="1:7" ht="15">
      <c r="A29" s="89" t="s">
        <v>1169</v>
      </c>
      <c r="B29" s="88">
        <v>6</v>
      </c>
      <c r="C29" s="121">
        <v>0.005594621289456102</v>
      </c>
      <c r="D29" s="88" t="s">
        <v>1280</v>
      </c>
      <c r="E29" s="88" t="b">
        <v>0</v>
      </c>
      <c r="F29" s="88" t="b">
        <v>0</v>
      </c>
      <c r="G29" s="88" t="b">
        <v>0</v>
      </c>
    </row>
    <row r="30" spans="1:7" ht="15">
      <c r="A30" s="89" t="s">
        <v>884</v>
      </c>
      <c r="B30" s="88">
        <v>6</v>
      </c>
      <c r="C30" s="121">
        <v>0.005594621289456102</v>
      </c>
      <c r="D30" s="88" t="s">
        <v>1280</v>
      </c>
      <c r="E30" s="88" t="b">
        <v>0</v>
      </c>
      <c r="F30" s="88" t="b">
        <v>0</v>
      </c>
      <c r="G30" s="88" t="b">
        <v>0</v>
      </c>
    </row>
    <row r="31" spans="1:7" ht="15">
      <c r="A31" s="89" t="s">
        <v>887</v>
      </c>
      <c r="B31" s="88">
        <v>6</v>
      </c>
      <c r="C31" s="121">
        <v>0.005594621289456102</v>
      </c>
      <c r="D31" s="88" t="s">
        <v>1280</v>
      </c>
      <c r="E31" s="88" t="b">
        <v>0</v>
      </c>
      <c r="F31" s="88" t="b">
        <v>0</v>
      </c>
      <c r="G31" s="88" t="b">
        <v>0</v>
      </c>
    </row>
    <row r="32" spans="1:7" ht="15">
      <c r="A32" s="89" t="s">
        <v>888</v>
      </c>
      <c r="B32" s="88">
        <v>6</v>
      </c>
      <c r="C32" s="121">
        <v>0.005594621289456102</v>
      </c>
      <c r="D32" s="88" t="s">
        <v>1280</v>
      </c>
      <c r="E32" s="88" t="b">
        <v>0</v>
      </c>
      <c r="F32" s="88" t="b">
        <v>0</v>
      </c>
      <c r="G32" s="88" t="b">
        <v>0</v>
      </c>
    </row>
    <row r="33" spans="1:7" ht="15">
      <c r="A33" s="89" t="s">
        <v>1170</v>
      </c>
      <c r="B33" s="88">
        <v>6</v>
      </c>
      <c r="C33" s="121">
        <v>0.005594621289456102</v>
      </c>
      <c r="D33" s="88" t="s">
        <v>1280</v>
      </c>
      <c r="E33" s="88" t="b">
        <v>0</v>
      </c>
      <c r="F33" s="88" t="b">
        <v>0</v>
      </c>
      <c r="G33" s="88" t="b">
        <v>0</v>
      </c>
    </row>
    <row r="34" spans="1:7" ht="15">
      <c r="A34" s="89" t="s">
        <v>1171</v>
      </c>
      <c r="B34" s="88">
        <v>6</v>
      </c>
      <c r="C34" s="121">
        <v>0.005594621289456102</v>
      </c>
      <c r="D34" s="88" t="s">
        <v>1280</v>
      </c>
      <c r="E34" s="88" t="b">
        <v>1</v>
      </c>
      <c r="F34" s="88" t="b">
        <v>0</v>
      </c>
      <c r="G34" s="88" t="b">
        <v>0</v>
      </c>
    </row>
    <row r="35" spans="1:7" ht="15">
      <c r="A35" s="89" t="s">
        <v>1172</v>
      </c>
      <c r="B35" s="88">
        <v>6</v>
      </c>
      <c r="C35" s="121">
        <v>0.005594621289456102</v>
      </c>
      <c r="D35" s="88" t="s">
        <v>1280</v>
      </c>
      <c r="E35" s="88" t="b">
        <v>1</v>
      </c>
      <c r="F35" s="88" t="b">
        <v>0</v>
      </c>
      <c r="G35" s="88" t="b">
        <v>0</v>
      </c>
    </row>
    <row r="36" spans="1:7" ht="15">
      <c r="A36" s="89" t="s">
        <v>1173</v>
      </c>
      <c r="B36" s="88">
        <v>6</v>
      </c>
      <c r="C36" s="121">
        <v>0.005594621289456102</v>
      </c>
      <c r="D36" s="88" t="s">
        <v>1280</v>
      </c>
      <c r="E36" s="88" t="b">
        <v>0</v>
      </c>
      <c r="F36" s="88" t="b">
        <v>0</v>
      </c>
      <c r="G36" s="88" t="b">
        <v>0</v>
      </c>
    </row>
    <row r="37" spans="1:7" ht="15">
      <c r="A37" s="89" t="s">
        <v>1174</v>
      </c>
      <c r="B37" s="88">
        <v>6</v>
      </c>
      <c r="C37" s="121">
        <v>0.005594621289456102</v>
      </c>
      <c r="D37" s="88" t="s">
        <v>1280</v>
      </c>
      <c r="E37" s="88" t="b">
        <v>0</v>
      </c>
      <c r="F37" s="88" t="b">
        <v>0</v>
      </c>
      <c r="G37" s="88" t="b">
        <v>0</v>
      </c>
    </row>
    <row r="38" spans="1:7" ht="15">
      <c r="A38" s="89" t="s">
        <v>1175</v>
      </c>
      <c r="B38" s="88">
        <v>6</v>
      </c>
      <c r="C38" s="121">
        <v>0.005594621289456102</v>
      </c>
      <c r="D38" s="88" t="s">
        <v>1280</v>
      </c>
      <c r="E38" s="88" t="b">
        <v>0</v>
      </c>
      <c r="F38" s="88" t="b">
        <v>0</v>
      </c>
      <c r="G38" s="88" t="b">
        <v>0</v>
      </c>
    </row>
    <row r="39" spans="1:7" ht="15">
      <c r="A39" s="89" t="s">
        <v>1036</v>
      </c>
      <c r="B39" s="88">
        <v>6</v>
      </c>
      <c r="C39" s="121">
        <v>0.005594621289456102</v>
      </c>
      <c r="D39" s="88" t="s">
        <v>1280</v>
      </c>
      <c r="E39" s="88" t="b">
        <v>0</v>
      </c>
      <c r="F39" s="88" t="b">
        <v>0</v>
      </c>
      <c r="G39" s="88" t="b">
        <v>0</v>
      </c>
    </row>
    <row r="40" spans="1:7" ht="15">
      <c r="A40" s="89" t="s">
        <v>1176</v>
      </c>
      <c r="B40" s="88">
        <v>6</v>
      </c>
      <c r="C40" s="121">
        <v>0.005594621289456102</v>
      </c>
      <c r="D40" s="88" t="s">
        <v>1280</v>
      </c>
      <c r="E40" s="88" t="b">
        <v>0</v>
      </c>
      <c r="F40" s="88" t="b">
        <v>0</v>
      </c>
      <c r="G40" s="88" t="b">
        <v>0</v>
      </c>
    </row>
    <row r="41" spans="1:7" ht="15">
      <c r="A41" s="89" t="s">
        <v>1177</v>
      </c>
      <c r="B41" s="88">
        <v>6</v>
      </c>
      <c r="C41" s="121">
        <v>0.005594621289456102</v>
      </c>
      <c r="D41" s="88" t="s">
        <v>1280</v>
      </c>
      <c r="E41" s="88" t="b">
        <v>0</v>
      </c>
      <c r="F41" s="88" t="b">
        <v>0</v>
      </c>
      <c r="G41" s="88" t="b">
        <v>0</v>
      </c>
    </row>
    <row r="42" spans="1:7" ht="15">
      <c r="A42" s="89" t="s">
        <v>1178</v>
      </c>
      <c r="B42" s="88">
        <v>6</v>
      </c>
      <c r="C42" s="121">
        <v>0.007540935916593912</v>
      </c>
      <c r="D42" s="88" t="s">
        <v>1280</v>
      </c>
      <c r="E42" s="88" t="b">
        <v>0</v>
      </c>
      <c r="F42" s="88" t="b">
        <v>0</v>
      </c>
      <c r="G42" s="88" t="b">
        <v>0</v>
      </c>
    </row>
    <row r="43" spans="1:7" ht="15">
      <c r="A43" s="89" t="s">
        <v>898</v>
      </c>
      <c r="B43" s="88">
        <v>5</v>
      </c>
      <c r="C43" s="121">
        <v>0.005088807500809099</v>
      </c>
      <c r="D43" s="88" t="s">
        <v>1280</v>
      </c>
      <c r="E43" s="88" t="b">
        <v>0</v>
      </c>
      <c r="F43" s="88" t="b">
        <v>0</v>
      </c>
      <c r="G43" s="88" t="b">
        <v>0</v>
      </c>
    </row>
    <row r="44" spans="1:7" ht="15">
      <c r="A44" s="89" t="s">
        <v>899</v>
      </c>
      <c r="B44" s="88">
        <v>5</v>
      </c>
      <c r="C44" s="121">
        <v>0.005088807500809099</v>
      </c>
      <c r="D44" s="88" t="s">
        <v>1280</v>
      </c>
      <c r="E44" s="88" t="b">
        <v>0</v>
      </c>
      <c r="F44" s="88" t="b">
        <v>0</v>
      </c>
      <c r="G44" s="88" t="b">
        <v>0</v>
      </c>
    </row>
    <row r="45" spans="1:7" ht="15">
      <c r="A45" s="89" t="s">
        <v>900</v>
      </c>
      <c r="B45" s="88">
        <v>5</v>
      </c>
      <c r="C45" s="121">
        <v>0.005088807500809099</v>
      </c>
      <c r="D45" s="88" t="s">
        <v>1280</v>
      </c>
      <c r="E45" s="88" t="b">
        <v>0</v>
      </c>
      <c r="F45" s="88" t="b">
        <v>0</v>
      </c>
      <c r="G45" s="88" t="b">
        <v>0</v>
      </c>
    </row>
    <row r="46" spans="1:7" ht="15">
      <c r="A46" s="89" t="s">
        <v>901</v>
      </c>
      <c r="B46" s="88">
        <v>5</v>
      </c>
      <c r="C46" s="121">
        <v>0.005088807500809099</v>
      </c>
      <c r="D46" s="88" t="s">
        <v>1280</v>
      </c>
      <c r="E46" s="88" t="b">
        <v>0</v>
      </c>
      <c r="F46" s="88" t="b">
        <v>0</v>
      </c>
      <c r="G46" s="88" t="b">
        <v>0</v>
      </c>
    </row>
    <row r="47" spans="1:7" ht="15">
      <c r="A47" s="89" t="s">
        <v>902</v>
      </c>
      <c r="B47" s="88">
        <v>5</v>
      </c>
      <c r="C47" s="121">
        <v>0.005088807500809099</v>
      </c>
      <c r="D47" s="88" t="s">
        <v>1280</v>
      </c>
      <c r="E47" s="88" t="b">
        <v>0</v>
      </c>
      <c r="F47" s="88" t="b">
        <v>0</v>
      </c>
      <c r="G47" s="88" t="b">
        <v>0</v>
      </c>
    </row>
    <row r="48" spans="1:7" ht="15">
      <c r="A48" s="89" t="s">
        <v>903</v>
      </c>
      <c r="B48" s="88">
        <v>5</v>
      </c>
      <c r="C48" s="121">
        <v>0.005088807500809099</v>
      </c>
      <c r="D48" s="88" t="s">
        <v>1280</v>
      </c>
      <c r="E48" s="88" t="b">
        <v>0</v>
      </c>
      <c r="F48" s="88" t="b">
        <v>0</v>
      </c>
      <c r="G48" s="88" t="b">
        <v>0</v>
      </c>
    </row>
    <row r="49" spans="1:7" ht="15">
      <c r="A49" s="89" t="s">
        <v>904</v>
      </c>
      <c r="B49" s="88">
        <v>5</v>
      </c>
      <c r="C49" s="121">
        <v>0.005088807500809099</v>
      </c>
      <c r="D49" s="88" t="s">
        <v>1280</v>
      </c>
      <c r="E49" s="88" t="b">
        <v>0</v>
      </c>
      <c r="F49" s="88" t="b">
        <v>0</v>
      </c>
      <c r="G49" s="88" t="b">
        <v>0</v>
      </c>
    </row>
    <row r="50" spans="1:7" ht="15">
      <c r="A50" s="89" t="s">
        <v>1179</v>
      </c>
      <c r="B50" s="88">
        <v>5</v>
      </c>
      <c r="C50" s="121">
        <v>0.005088807500809099</v>
      </c>
      <c r="D50" s="88" t="s">
        <v>1280</v>
      </c>
      <c r="E50" s="88" t="b">
        <v>0</v>
      </c>
      <c r="F50" s="88" t="b">
        <v>0</v>
      </c>
      <c r="G50" s="88" t="b">
        <v>0</v>
      </c>
    </row>
    <row r="51" spans="1:7" ht="15">
      <c r="A51" s="89" t="s">
        <v>1180</v>
      </c>
      <c r="B51" s="88">
        <v>5</v>
      </c>
      <c r="C51" s="121">
        <v>0.005088807500809099</v>
      </c>
      <c r="D51" s="88" t="s">
        <v>1280</v>
      </c>
      <c r="E51" s="88" t="b">
        <v>0</v>
      </c>
      <c r="F51" s="88" t="b">
        <v>0</v>
      </c>
      <c r="G51" s="88" t="b">
        <v>0</v>
      </c>
    </row>
    <row r="52" spans="1:7" ht="15">
      <c r="A52" s="89" t="s">
        <v>1181</v>
      </c>
      <c r="B52" s="88">
        <v>5</v>
      </c>
      <c r="C52" s="121">
        <v>0.005088807500809099</v>
      </c>
      <c r="D52" s="88" t="s">
        <v>1280</v>
      </c>
      <c r="E52" s="88" t="b">
        <v>0</v>
      </c>
      <c r="F52" s="88" t="b">
        <v>0</v>
      </c>
      <c r="G52" s="88" t="b">
        <v>0</v>
      </c>
    </row>
    <row r="53" spans="1:7" ht="15">
      <c r="A53" s="89" t="s">
        <v>1182</v>
      </c>
      <c r="B53" s="88">
        <v>5</v>
      </c>
      <c r="C53" s="121">
        <v>0.005088807500809099</v>
      </c>
      <c r="D53" s="88" t="s">
        <v>1280</v>
      </c>
      <c r="E53" s="88" t="b">
        <v>0</v>
      </c>
      <c r="F53" s="88" t="b">
        <v>0</v>
      </c>
      <c r="G53" s="88" t="b">
        <v>0</v>
      </c>
    </row>
    <row r="54" spans="1:7" ht="15">
      <c r="A54" s="89" t="s">
        <v>1183</v>
      </c>
      <c r="B54" s="88">
        <v>5</v>
      </c>
      <c r="C54" s="121">
        <v>0.005088807500809099</v>
      </c>
      <c r="D54" s="88" t="s">
        <v>1280</v>
      </c>
      <c r="E54" s="88" t="b">
        <v>0</v>
      </c>
      <c r="F54" s="88" t="b">
        <v>0</v>
      </c>
      <c r="G54" s="88" t="b">
        <v>0</v>
      </c>
    </row>
    <row r="55" spans="1:7" ht="15">
      <c r="A55" s="89" t="s">
        <v>1184</v>
      </c>
      <c r="B55" s="88">
        <v>5</v>
      </c>
      <c r="C55" s="121">
        <v>0.005088807500809099</v>
      </c>
      <c r="D55" s="88" t="s">
        <v>1280</v>
      </c>
      <c r="E55" s="88" t="b">
        <v>0</v>
      </c>
      <c r="F55" s="88" t="b">
        <v>0</v>
      </c>
      <c r="G55" s="88" t="b">
        <v>0</v>
      </c>
    </row>
    <row r="56" spans="1:7" ht="15">
      <c r="A56" s="89" t="s">
        <v>1185</v>
      </c>
      <c r="B56" s="88">
        <v>5</v>
      </c>
      <c r="C56" s="121">
        <v>0.005088807500809099</v>
      </c>
      <c r="D56" s="88" t="s">
        <v>1280</v>
      </c>
      <c r="E56" s="88" t="b">
        <v>0</v>
      </c>
      <c r="F56" s="88" t="b">
        <v>0</v>
      </c>
      <c r="G56" s="88" t="b">
        <v>0</v>
      </c>
    </row>
    <row r="57" spans="1:7" ht="15">
      <c r="A57" s="89" t="s">
        <v>1186</v>
      </c>
      <c r="B57" s="88">
        <v>5</v>
      </c>
      <c r="C57" s="121">
        <v>0.005088807500809099</v>
      </c>
      <c r="D57" s="88" t="s">
        <v>1280</v>
      </c>
      <c r="E57" s="88" t="b">
        <v>0</v>
      </c>
      <c r="F57" s="88" t="b">
        <v>0</v>
      </c>
      <c r="G57" s="88" t="b">
        <v>0</v>
      </c>
    </row>
    <row r="58" spans="1:7" ht="15">
      <c r="A58" s="89" t="s">
        <v>1187</v>
      </c>
      <c r="B58" s="88">
        <v>5</v>
      </c>
      <c r="C58" s="121">
        <v>0.005088807500809099</v>
      </c>
      <c r="D58" s="88" t="s">
        <v>1280</v>
      </c>
      <c r="E58" s="88" t="b">
        <v>0</v>
      </c>
      <c r="F58" s="88" t="b">
        <v>0</v>
      </c>
      <c r="G58" s="88" t="b">
        <v>0</v>
      </c>
    </row>
    <row r="59" spans="1:7" ht="15">
      <c r="A59" s="89" t="s">
        <v>1188</v>
      </c>
      <c r="B59" s="88">
        <v>5</v>
      </c>
      <c r="C59" s="121">
        <v>0.005088807500809099</v>
      </c>
      <c r="D59" s="88" t="s">
        <v>1280</v>
      </c>
      <c r="E59" s="88" t="b">
        <v>0</v>
      </c>
      <c r="F59" s="88" t="b">
        <v>0</v>
      </c>
      <c r="G59" s="88" t="b">
        <v>0</v>
      </c>
    </row>
    <row r="60" spans="1:7" ht="15">
      <c r="A60" s="89" t="s">
        <v>1189</v>
      </c>
      <c r="B60" s="88">
        <v>5</v>
      </c>
      <c r="C60" s="121">
        <v>0.005088807500809099</v>
      </c>
      <c r="D60" s="88" t="s">
        <v>1280</v>
      </c>
      <c r="E60" s="88" t="b">
        <v>0</v>
      </c>
      <c r="F60" s="88" t="b">
        <v>0</v>
      </c>
      <c r="G60" s="88" t="b">
        <v>0</v>
      </c>
    </row>
    <row r="61" spans="1:7" ht="15">
      <c r="A61" s="89" t="s">
        <v>1190</v>
      </c>
      <c r="B61" s="88">
        <v>5</v>
      </c>
      <c r="C61" s="121">
        <v>0.005088807500809099</v>
      </c>
      <c r="D61" s="88" t="s">
        <v>1280</v>
      </c>
      <c r="E61" s="88" t="b">
        <v>0</v>
      </c>
      <c r="F61" s="88" t="b">
        <v>0</v>
      </c>
      <c r="G61" s="88" t="b">
        <v>0</v>
      </c>
    </row>
    <row r="62" spans="1:7" ht="15">
      <c r="A62" s="89" t="s">
        <v>1191</v>
      </c>
      <c r="B62" s="88">
        <v>5</v>
      </c>
      <c r="C62" s="121">
        <v>0.005088807500809099</v>
      </c>
      <c r="D62" s="88" t="s">
        <v>1280</v>
      </c>
      <c r="E62" s="88" t="b">
        <v>0</v>
      </c>
      <c r="F62" s="88" t="b">
        <v>0</v>
      </c>
      <c r="G62" s="88" t="b">
        <v>0</v>
      </c>
    </row>
    <row r="63" spans="1:7" ht="15">
      <c r="A63" s="89" t="s">
        <v>1192</v>
      </c>
      <c r="B63" s="88">
        <v>5</v>
      </c>
      <c r="C63" s="121">
        <v>0.005088807500809099</v>
      </c>
      <c r="D63" s="88" t="s">
        <v>1280</v>
      </c>
      <c r="E63" s="88" t="b">
        <v>0</v>
      </c>
      <c r="F63" s="88" t="b">
        <v>0</v>
      </c>
      <c r="G63" s="88" t="b">
        <v>0</v>
      </c>
    </row>
    <row r="64" spans="1:7" ht="15">
      <c r="A64" s="89" t="s">
        <v>1193</v>
      </c>
      <c r="B64" s="88">
        <v>5</v>
      </c>
      <c r="C64" s="121">
        <v>0.005088807500809099</v>
      </c>
      <c r="D64" s="88" t="s">
        <v>1280</v>
      </c>
      <c r="E64" s="88" t="b">
        <v>0</v>
      </c>
      <c r="F64" s="88" t="b">
        <v>0</v>
      </c>
      <c r="G64" s="88" t="b">
        <v>0</v>
      </c>
    </row>
    <row r="65" spans="1:7" ht="15">
      <c r="A65" s="89" t="s">
        <v>1194</v>
      </c>
      <c r="B65" s="88">
        <v>5</v>
      </c>
      <c r="C65" s="121">
        <v>0.005088807500809099</v>
      </c>
      <c r="D65" s="88" t="s">
        <v>1280</v>
      </c>
      <c r="E65" s="88" t="b">
        <v>0</v>
      </c>
      <c r="F65" s="88" t="b">
        <v>0</v>
      </c>
      <c r="G65" s="88" t="b">
        <v>0</v>
      </c>
    </row>
    <row r="66" spans="1:7" ht="15">
      <c r="A66" s="89" t="s">
        <v>1195</v>
      </c>
      <c r="B66" s="88">
        <v>5</v>
      </c>
      <c r="C66" s="121">
        <v>0.005088807500809099</v>
      </c>
      <c r="D66" s="88" t="s">
        <v>1280</v>
      </c>
      <c r="E66" s="88" t="b">
        <v>0</v>
      </c>
      <c r="F66" s="88" t="b">
        <v>0</v>
      </c>
      <c r="G66" s="88" t="b">
        <v>0</v>
      </c>
    </row>
    <row r="67" spans="1:7" ht="15">
      <c r="A67" s="89" t="s">
        <v>1196</v>
      </c>
      <c r="B67" s="88">
        <v>5</v>
      </c>
      <c r="C67" s="121">
        <v>0.005088807500809099</v>
      </c>
      <c r="D67" s="88" t="s">
        <v>1280</v>
      </c>
      <c r="E67" s="88" t="b">
        <v>0</v>
      </c>
      <c r="F67" s="88" t="b">
        <v>0</v>
      </c>
      <c r="G67" s="88" t="b">
        <v>0</v>
      </c>
    </row>
    <row r="68" spans="1:7" ht="15">
      <c r="A68" s="89" t="s">
        <v>1197</v>
      </c>
      <c r="B68" s="88">
        <v>5</v>
      </c>
      <c r="C68" s="121">
        <v>0.005088807500809099</v>
      </c>
      <c r="D68" s="88" t="s">
        <v>1280</v>
      </c>
      <c r="E68" s="88" t="b">
        <v>0</v>
      </c>
      <c r="F68" s="88" t="b">
        <v>0</v>
      </c>
      <c r="G68" s="88" t="b">
        <v>0</v>
      </c>
    </row>
    <row r="69" spans="1:7" ht="15">
      <c r="A69" s="89" t="s">
        <v>1198</v>
      </c>
      <c r="B69" s="88">
        <v>5</v>
      </c>
      <c r="C69" s="121">
        <v>0.005088807500809099</v>
      </c>
      <c r="D69" s="88" t="s">
        <v>1280</v>
      </c>
      <c r="E69" s="88" t="b">
        <v>0</v>
      </c>
      <c r="F69" s="88" t="b">
        <v>0</v>
      </c>
      <c r="G69" s="88" t="b">
        <v>0</v>
      </c>
    </row>
    <row r="70" spans="1:7" ht="15">
      <c r="A70" s="89" t="s">
        <v>1199</v>
      </c>
      <c r="B70" s="88">
        <v>5</v>
      </c>
      <c r="C70" s="121">
        <v>0.005088807500809099</v>
      </c>
      <c r="D70" s="88" t="s">
        <v>1280</v>
      </c>
      <c r="E70" s="88" t="b">
        <v>0</v>
      </c>
      <c r="F70" s="88" t="b">
        <v>0</v>
      </c>
      <c r="G70" s="88" t="b">
        <v>0</v>
      </c>
    </row>
    <row r="71" spans="1:7" ht="15">
      <c r="A71" s="89" t="s">
        <v>927</v>
      </c>
      <c r="B71" s="88">
        <v>5</v>
      </c>
      <c r="C71" s="121">
        <v>0.005088807500809099</v>
      </c>
      <c r="D71" s="88" t="s">
        <v>1280</v>
      </c>
      <c r="E71" s="88" t="b">
        <v>0</v>
      </c>
      <c r="F71" s="88" t="b">
        <v>0</v>
      </c>
      <c r="G71" s="88" t="b">
        <v>0</v>
      </c>
    </row>
    <row r="72" spans="1:7" ht="15">
      <c r="A72" s="89" t="s">
        <v>929</v>
      </c>
      <c r="B72" s="88">
        <v>4</v>
      </c>
      <c r="C72" s="121">
        <v>0.004488761573957867</v>
      </c>
      <c r="D72" s="88" t="s">
        <v>1280</v>
      </c>
      <c r="E72" s="88" t="b">
        <v>0</v>
      </c>
      <c r="F72" s="88" t="b">
        <v>0</v>
      </c>
      <c r="G72" s="88" t="b">
        <v>0</v>
      </c>
    </row>
    <row r="73" spans="1:7" ht="15">
      <c r="A73" s="89" t="s">
        <v>894</v>
      </c>
      <c r="B73" s="88">
        <v>4</v>
      </c>
      <c r="C73" s="121">
        <v>0.004488761573957867</v>
      </c>
      <c r="D73" s="88" t="s">
        <v>1280</v>
      </c>
      <c r="E73" s="88" t="b">
        <v>0</v>
      </c>
      <c r="F73" s="88" t="b">
        <v>0</v>
      </c>
      <c r="G73" s="88" t="b">
        <v>0</v>
      </c>
    </row>
    <row r="74" spans="1:7" ht="15">
      <c r="A74" s="89" t="s">
        <v>1200</v>
      </c>
      <c r="B74" s="88">
        <v>4</v>
      </c>
      <c r="C74" s="121">
        <v>0.004488761573957867</v>
      </c>
      <c r="D74" s="88" t="s">
        <v>1280</v>
      </c>
      <c r="E74" s="88" t="b">
        <v>0</v>
      </c>
      <c r="F74" s="88" t="b">
        <v>0</v>
      </c>
      <c r="G74" s="88" t="b">
        <v>0</v>
      </c>
    </row>
    <row r="75" spans="1:7" ht="15">
      <c r="A75" s="89" t="s">
        <v>1201</v>
      </c>
      <c r="B75" s="88">
        <v>4</v>
      </c>
      <c r="C75" s="121">
        <v>0.004488761573957867</v>
      </c>
      <c r="D75" s="88" t="s">
        <v>1280</v>
      </c>
      <c r="E75" s="88" t="b">
        <v>0</v>
      </c>
      <c r="F75" s="88" t="b">
        <v>0</v>
      </c>
      <c r="G75" s="88" t="b">
        <v>0</v>
      </c>
    </row>
    <row r="76" spans="1:7" ht="15">
      <c r="A76" s="89" t="s">
        <v>1202</v>
      </c>
      <c r="B76" s="88">
        <v>4</v>
      </c>
      <c r="C76" s="121">
        <v>0.004488761573957867</v>
      </c>
      <c r="D76" s="88" t="s">
        <v>1280</v>
      </c>
      <c r="E76" s="88" t="b">
        <v>0</v>
      </c>
      <c r="F76" s="88" t="b">
        <v>0</v>
      </c>
      <c r="G76" s="88" t="b">
        <v>0</v>
      </c>
    </row>
    <row r="77" spans="1:7" ht="15">
      <c r="A77" s="89" t="s">
        <v>1203</v>
      </c>
      <c r="B77" s="88">
        <v>4</v>
      </c>
      <c r="C77" s="121">
        <v>0.004488761573957867</v>
      </c>
      <c r="D77" s="88" t="s">
        <v>1280</v>
      </c>
      <c r="E77" s="88" t="b">
        <v>0</v>
      </c>
      <c r="F77" s="88" t="b">
        <v>0</v>
      </c>
      <c r="G77" s="88" t="b">
        <v>0</v>
      </c>
    </row>
    <row r="78" spans="1:7" ht="15">
      <c r="A78" s="89" t="s">
        <v>1204</v>
      </c>
      <c r="B78" s="88">
        <v>4</v>
      </c>
      <c r="C78" s="121">
        <v>0.004488761573957867</v>
      </c>
      <c r="D78" s="88" t="s">
        <v>1280</v>
      </c>
      <c r="E78" s="88" t="b">
        <v>0</v>
      </c>
      <c r="F78" s="88" t="b">
        <v>0</v>
      </c>
      <c r="G78" s="88" t="b">
        <v>0</v>
      </c>
    </row>
    <row r="79" spans="1:7" ht="15">
      <c r="A79" s="89" t="s">
        <v>275</v>
      </c>
      <c r="B79" s="88">
        <v>4</v>
      </c>
      <c r="C79" s="121">
        <v>0.004488761573957867</v>
      </c>
      <c r="D79" s="88" t="s">
        <v>1280</v>
      </c>
      <c r="E79" s="88" t="b">
        <v>0</v>
      </c>
      <c r="F79" s="88" t="b">
        <v>0</v>
      </c>
      <c r="G79" s="88" t="b">
        <v>0</v>
      </c>
    </row>
    <row r="80" spans="1:7" ht="15">
      <c r="A80" s="89" t="s">
        <v>928</v>
      </c>
      <c r="B80" s="88">
        <v>4</v>
      </c>
      <c r="C80" s="121">
        <v>0.004488761573957867</v>
      </c>
      <c r="D80" s="88" t="s">
        <v>1280</v>
      </c>
      <c r="E80" s="88" t="b">
        <v>0</v>
      </c>
      <c r="F80" s="88" t="b">
        <v>0</v>
      </c>
      <c r="G80" s="88" t="b">
        <v>0</v>
      </c>
    </row>
    <row r="81" spans="1:7" ht="15">
      <c r="A81" s="89" t="s">
        <v>925</v>
      </c>
      <c r="B81" s="88">
        <v>4</v>
      </c>
      <c r="C81" s="121">
        <v>0.004488761573957867</v>
      </c>
      <c r="D81" s="88" t="s">
        <v>1280</v>
      </c>
      <c r="E81" s="88" t="b">
        <v>0</v>
      </c>
      <c r="F81" s="88" t="b">
        <v>0</v>
      </c>
      <c r="G81" s="88" t="b">
        <v>0</v>
      </c>
    </row>
    <row r="82" spans="1:7" ht="15">
      <c r="A82" s="89" t="s">
        <v>917</v>
      </c>
      <c r="B82" s="88">
        <v>4</v>
      </c>
      <c r="C82" s="121">
        <v>0.004488761573957867</v>
      </c>
      <c r="D82" s="88" t="s">
        <v>1280</v>
      </c>
      <c r="E82" s="88" t="b">
        <v>0</v>
      </c>
      <c r="F82" s="88" t="b">
        <v>0</v>
      </c>
      <c r="G82" s="88" t="b">
        <v>0</v>
      </c>
    </row>
    <row r="83" spans="1:7" ht="15">
      <c r="A83" s="89" t="s">
        <v>932</v>
      </c>
      <c r="B83" s="88">
        <v>3</v>
      </c>
      <c r="C83" s="121">
        <v>0.004339728494037304</v>
      </c>
      <c r="D83" s="88" t="s">
        <v>1280</v>
      </c>
      <c r="E83" s="88" t="b">
        <v>0</v>
      </c>
      <c r="F83" s="88" t="b">
        <v>0</v>
      </c>
      <c r="G83" s="88" t="b">
        <v>0</v>
      </c>
    </row>
    <row r="84" spans="1:7" ht="15">
      <c r="A84" s="89" t="s">
        <v>909</v>
      </c>
      <c r="B84" s="88">
        <v>3</v>
      </c>
      <c r="C84" s="121">
        <v>0.003770467958296956</v>
      </c>
      <c r="D84" s="88" t="s">
        <v>1280</v>
      </c>
      <c r="E84" s="88" t="b">
        <v>1</v>
      </c>
      <c r="F84" s="88" t="b">
        <v>0</v>
      </c>
      <c r="G84" s="88" t="b">
        <v>0</v>
      </c>
    </row>
    <row r="85" spans="1:7" ht="15">
      <c r="A85" s="89" t="s">
        <v>910</v>
      </c>
      <c r="B85" s="88">
        <v>3</v>
      </c>
      <c r="C85" s="121">
        <v>0.003770467958296956</v>
      </c>
      <c r="D85" s="88" t="s">
        <v>1280</v>
      </c>
      <c r="E85" s="88" t="b">
        <v>0</v>
      </c>
      <c r="F85" s="88" t="b">
        <v>0</v>
      </c>
      <c r="G85" s="88" t="b">
        <v>0</v>
      </c>
    </row>
    <row r="86" spans="1:7" ht="15">
      <c r="A86" s="89" t="s">
        <v>906</v>
      </c>
      <c r="B86" s="88">
        <v>3</v>
      </c>
      <c r="C86" s="121">
        <v>0.004339728494037304</v>
      </c>
      <c r="D86" s="88" t="s">
        <v>1280</v>
      </c>
      <c r="E86" s="88" t="b">
        <v>0</v>
      </c>
      <c r="F86" s="88" t="b">
        <v>0</v>
      </c>
      <c r="G86" s="88" t="b">
        <v>0</v>
      </c>
    </row>
    <row r="87" spans="1:7" ht="15">
      <c r="A87" s="89" t="s">
        <v>892</v>
      </c>
      <c r="B87" s="88">
        <v>3</v>
      </c>
      <c r="C87" s="121">
        <v>0.003770467958296956</v>
      </c>
      <c r="D87" s="88" t="s">
        <v>1280</v>
      </c>
      <c r="E87" s="88" t="b">
        <v>0</v>
      </c>
      <c r="F87" s="88" t="b">
        <v>0</v>
      </c>
      <c r="G87" s="88" t="b">
        <v>0</v>
      </c>
    </row>
    <row r="88" spans="1:7" ht="15">
      <c r="A88" s="89" t="s">
        <v>890</v>
      </c>
      <c r="B88" s="88">
        <v>3</v>
      </c>
      <c r="C88" s="121">
        <v>0.003770467958296956</v>
      </c>
      <c r="D88" s="88" t="s">
        <v>1280</v>
      </c>
      <c r="E88" s="88" t="b">
        <v>0</v>
      </c>
      <c r="F88" s="88" t="b">
        <v>0</v>
      </c>
      <c r="G88" s="88" t="b">
        <v>0</v>
      </c>
    </row>
    <row r="89" spans="1:7" ht="15">
      <c r="A89" s="89" t="s">
        <v>1205</v>
      </c>
      <c r="B89" s="88">
        <v>3</v>
      </c>
      <c r="C89" s="121">
        <v>0.003770467958296956</v>
      </c>
      <c r="D89" s="88" t="s">
        <v>1280</v>
      </c>
      <c r="E89" s="88" t="b">
        <v>0</v>
      </c>
      <c r="F89" s="88" t="b">
        <v>0</v>
      </c>
      <c r="G89" s="88" t="b">
        <v>0</v>
      </c>
    </row>
    <row r="90" spans="1:7" ht="15">
      <c r="A90" s="89" t="s">
        <v>1206</v>
      </c>
      <c r="B90" s="88">
        <v>3</v>
      </c>
      <c r="C90" s="121">
        <v>0.003770467958296956</v>
      </c>
      <c r="D90" s="88" t="s">
        <v>1280</v>
      </c>
      <c r="E90" s="88" t="b">
        <v>0</v>
      </c>
      <c r="F90" s="88" t="b">
        <v>0</v>
      </c>
      <c r="G90" s="88" t="b">
        <v>0</v>
      </c>
    </row>
    <row r="91" spans="1:7" ht="15">
      <c r="A91" s="89" t="s">
        <v>1207</v>
      </c>
      <c r="B91" s="88">
        <v>3</v>
      </c>
      <c r="C91" s="121">
        <v>0.003770467958296956</v>
      </c>
      <c r="D91" s="88" t="s">
        <v>1280</v>
      </c>
      <c r="E91" s="88" t="b">
        <v>0</v>
      </c>
      <c r="F91" s="88" t="b">
        <v>0</v>
      </c>
      <c r="G91" s="88" t="b">
        <v>0</v>
      </c>
    </row>
    <row r="92" spans="1:7" ht="15">
      <c r="A92" s="89" t="s">
        <v>1208</v>
      </c>
      <c r="B92" s="88">
        <v>3</v>
      </c>
      <c r="C92" s="121">
        <v>0.003770467958296956</v>
      </c>
      <c r="D92" s="88" t="s">
        <v>1280</v>
      </c>
      <c r="E92" s="88" t="b">
        <v>0</v>
      </c>
      <c r="F92" s="88" t="b">
        <v>0</v>
      </c>
      <c r="G92" s="88" t="b">
        <v>0</v>
      </c>
    </row>
    <row r="93" spans="1:7" ht="15">
      <c r="A93" s="89" t="s">
        <v>1209</v>
      </c>
      <c r="B93" s="88">
        <v>3</v>
      </c>
      <c r="C93" s="121">
        <v>0.003770467958296956</v>
      </c>
      <c r="D93" s="88" t="s">
        <v>1280</v>
      </c>
      <c r="E93" s="88" t="b">
        <v>0</v>
      </c>
      <c r="F93" s="88" t="b">
        <v>0</v>
      </c>
      <c r="G93" s="88" t="b">
        <v>0</v>
      </c>
    </row>
    <row r="94" spans="1:7" ht="15">
      <c r="A94" s="89" t="s">
        <v>1210</v>
      </c>
      <c r="B94" s="88">
        <v>3</v>
      </c>
      <c r="C94" s="121">
        <v>0.003770467958296956</v>
      </c>
      <c r="D94" s="88" t="s">
        <v>1280</v>
      </c>
      <c r="E94" s="88" t="b">
        <v>0</v>
      </c>
      <c r="F94" s="88" t="b">
        <v>1</v>
      </c>
      <c r="G94" s="88" t="b">
        <v>0</v>
      </c>
    </row>
    <row r="95" spans="1:7" ht="15">
      <c r="A95" s="89" t="s">
        <v>1211</v>
      </c>
      <c r="B95" s="88">
        <v>3</v>
      </c>
      <c r="C95" s="121">
        <v>0.003770467958296956</v>
      </c>
      <c r="D95" s="88" t="s">
        <v>1280</v>
      </c>
      <c r="E95" s="88" t="b">
        <v>0</v>
      </c>
      <c r="F95" s="88" t="b">
        <v>0</v>
      </c>
      <c r="G95" s="88" t="b">
        <v>0</v>
      </c>
    </row>
    <row r="96" spans="1:7" ht="15">
      <c r="A96" s="89" t="s">
        <v>1212</v>
      </c>
      <c r="B96" s="88">
        <v>3</v>
      </c>
      <c r="C96" s="121">
        <v>0.003770467958296956</v>
      </c>
      <c r="D96" s="88" t="s">
        <v>1280</v>
      </c>
      <c r="E96" s="88" t="b">
        <v>0</v>
      </c>
      <c r="F96" s="88" t="b">
        <v>0</v>
      </c>
      <c r="G96" s="88" t="b">
        <v>0</v>
      </c>
    </row>
    <row r="97" spans="1:7" ht="15">
      <c r="A97" s="89" t="s">
        <v>1213</v>
      </c>
      <c r="B97" s="88">
        <v>3</v>
      </c>
      <c r="C97" s="121">
        <v>0.003770467958296956</v>
      </c>
      <c r="D97" s="88" t="s">
        <v>1280</v>
      </c>
      <c r="E97" s="88" t="b">
        <v>0</v>
      </c>
      <c r="F97" s="88" t="b">
        <v>0</v>
      </c>
      <c r="G97" s="88" t="b">
        <v>0</v>
      </c>
    </row>
    <row r="98" spans="1:7" ht="15">
      <c r="A98" s="89" t="s">
        <v>1214</v>
      </c>
      <c r="B98" s="88">
        <v>3</v>
      </c>
      <c r="C98" s="121">
        <v>0.003770467958296956</v>
      </c>
      <c r="D98" s="88" t="s">
        <v>1280</v>
      </c>
      <c r="E98" s="88" t="b">
        <v>0</v>
      </c>
      <c r="F98" s="88" t="b">
        <v>0</v>
      </c>
      <c r="G98" s="88" t="b">
        <v>0</v>
      </c>
    </row>
    <row r="99" spans="1:7" ht="15">
      <c r="A99" s="89" t="s">
        <v>1215</v>
      </c>
      <c r="B99" s="88">
        <v>3</v>
      </c>
      <c r="C99" s="121">
        <v>0.003770467958296956</v>
      </c>
      <c r="D99" s="88" t="s">
        <v>1280</v>
      </c>
      <c r="E99" s="88" t="b">
        <v>0</v>
      </c>
      <c r="F99" s="88" t="b">
        <v>0</v>
      </c>
      <c r="G99" s="88" t="b">
        <v>0</v>
      </c>
    </row>
    <row r="100" spans="1:7" ht="15">
      <c r="A100" s="89" t="s">
        <v>1216</v>
      </c>
      <c r="B100" s="88">
        <v>3</v>
      </c>
      <c r="C100" s="121">
        <v>0.003770467958296956</v>
      </c>
      <c r="D100" s="88" t="s">
        <v>1280</v>
      </c>
      <c r="E100" s="88" t="b">
        <v>0</v>
      </c>
      <c r="F100" s="88" t="b">
        <v>0</v>
      </c>
      <c r="G100" s="88" t="b">
        <v>0</v>
      </c>
    </row>
    <row r="101" spans="1:7" ht="15">
      <c r="A101" s="89" t="s">
        <v>1217</v>
      </c>
      <c r="B101" s="88">
        <v>3</v>
      </c>
      <c r="C101" s="121">
        <v>0.003770467958296956</v>
      </c>
      <c r="D101" s="88" t="s">
        <v>1280</v>
      </c>
      <c r="E101" s="88" t="b">
        <v>0</v>
      </c>
      <c r="F101" s="88" t="b">
        <v>0</v>
      </c>
      <c r="G101" s="88" t="b">
        <v>0</v>
      </c>
    </row>
    <row r="102" spans="1:7" ht="15">
      <c r="A102" s="89" t="s">
        <v>1218</v>
      </c>
      <c r="B102" s="88">
        <v>3</v>
      </c>
      <c r="C102" s="121">
        <v>0.003770467958296956</v>
      </c>
      <c r="D102" s="88" t="s">
        <v>1280</v>
      </c>
      <c r="E102" s="88" t="b">
        <v>0</v>
      </c>
      <c r="F102" s="88" t="b">
        <v>0</v>
      </c>
      <c r="G102" s="88" t="b">
        <v>0</v>
      </c>
    </row>
    <row r="103" spans="1:7" ht="15">
      <c r="A103" s="89" t="s">
        <v>1219</v>
      </c>
      <c r="B103" s="88">
        <v>3</v>
      </c>
      <c r="C103" s="121">
        <v>0.003770467958296956</v>
      </c>
      <c r="D103" s="88" t="s">
        <v>1280</v>
      </c>
      <c r="E103" s="88" t="b">
        <v>0</v>
      </c>
      <c r="F103" s="88" t="b">
        <v>0</v>
      </c>
      <c r="G103" s="88" t="b">
        <v>0</v>
      </c>
    </row>
    <row r="104" spans="1:7" ht="15">
      <c r="A104" s="89" t="s">
        <v>1220</v>
      </c>
      <c r="B104" s="88">
        <v>3</v>
      </c>
      <c r="C104" s="121">
        <v>0.003770467958296956</v>
      </c>
      <c r="D104" s="88" t="s">
        <v>1280</v>
      </c>
      <c r="E104" s="88" t="b">
        <v>0</v>
      </c>
      <c r="F104" s="88" t="b">
        <v>0</v>
      </c>
      <c r="G104" s="88" t="b">
        <v>0</v>
      </c>
    </row>
    <row r="105" spans="1:7" ht="15">
      <c r="A105" s="89" t="s">
        <v>891</v>
      </c>
      <c r="B105" s="88">
        <v>3</v>
      </c>
      <c r="C105" s="121">
        <v>0.004339728494037304</v>
      </c>
      <c r="D105" s="88" t="s">
        <v>1280</v>
      </c>
      <c r="E105" s="88" t="b">
        <v>0</v>
      </c>
      <c r="F105" s="88" t="b">
        <v>0</v>
      </c>
      <c r="G105" s="88" t="b">
        <v>0</v>
      </c>
    </row>
    <row r="106" spans="1:7" ht="15">
      <c r="A106" s="89" t="s">
        <v>922</v>
      </c>
      <c r="B106" s="88">
        <v>3</v>
      </c>
      <c r="C106" s="121">
        <v>0.003770467958296956</v>
      </c>
      <c r="D106" s="88" t="s">
        <v>1280</v>
      </c>
      <c r="E106" s="88" t="b">
        <v>0</v>
      </c>
      <c r="F106" s="88" t="b">
        <v>0</v>
      </c>
      <c r="G106" s="88" t="b">
        <v>0</v>
      </c>
    </row>
    <row r="107" spans="1:7" ht="15">
      <c r="A107" s="89" t="s">
        <v>923</v>
      </c>
      <c r="B107" s="88">
        <v>3</v>
      </c>
      <c r="C107" s="121">
        <v>0.003770467958296956</v>
      </c>
      <c r="D107" s="88" t="s">
        <v>1280</v>
      </c>
      <c r="E107" s="88" t="b">
        <v>0</v>
      </c>
      <c r="F107" s="88" t="b">
        <v>0</v>
      </c>
      <c r="G107" s="88" t="b">
        <v>0</v>
      </c>
    </row>
    <row r="108" spans="1:7" ht="15">
      <c r="A108" s="89" t="s">
        <v>924</v>
      </c>
      <c r="B108" s="88">
        <v>3</v>
      </c>
      <c r="C108" s="121">
        <v>0.003770467958296956</v>
      </c>
      <c r="D108" s="88" t="s">
        <v>1280</v>
      </c>
      <c r="E108" s="88" t="b">
        <v>1</v>
      </c>
      <c r="F108" s="88" t="b">
        <v>0</v>
      </c>
      <c r="G108" s="88" t="b">
        <v>0</v>
      </c>
    </row>
    <row r="109" spans="1:7" ht="15">
      <c r="A109" s="89" t="s">
        <v>926</v>
      </c>
      <c r="B109" s="88">
        <v>3</v>
      </c>
      <c r="C109" s="121">
        <v>0.003770467958296956</v>
      </c>
      <c r="D109" s="88" t="s">
        <v>1280</v>
      </c>
      <c r="E109" s="88" t="b">
        <v>0</v>
      </c>
      <c r="F109" s="88" t="b">
        <v>0</v>
      </c>
      <c r="G109" s="88" t="b">
        <v>0</v>
      </c>
    </row>
    <row r="110" spans="1:7" ht="15">
      <c r="A110" s="89" t="s">
        <v>930</v>
      </c>
      <c r="B110" s="88">
        <v>3</v>
      </c>
      <c r="C110" s="121">
        <v>0.003770467958296956</v>
      </c>
      <c r="D110" s="88" t="s">
        <v>1280</v>
      </c>
      <c r="E110" s="88" t="b">
        <v>0</v>
      </c>
      <c r="F110" s="88" t="b">
        <v>0</v>
      </c>
      <c r="G110" s="88" t="b">
        <v>0</v>
      </c>
    </row>
    <row r="111" spans="1:7" ht="15">
      <c r="A111" s="89" t="s">
        <v>234</v>
      </c>
      <c r="B111" s="88">
        <v>3</v>
      </c>
      <c r="C111" s="121">
        <v>0.003770467958296956</v>
      </c>
      <c r="D111" s="88" t="s">
        <v>1280</v>
      </c>
      <c r="E111" s="88" t="b">
        <v>0</v>
      </c>
      <c r="F111" s="88" t="b">
        <v>0</v>
      </c>
      <c r="G111" s="88" t="b">
        <v>0</v>
      </c>
    </row>
    <row r="112" spans="1:7" ht="15">
      <c r="A112" s="89" t="s">
        <v>1221</v>
      </c>
      <c r="B112" s="88">
        <v>2</v>
      </c>
      <c r="C112" s="121">
        <v>0.002893152329358203</v>
      </c>
      <c r="D112" s="88" t="s">
        <v>1280</v>
      </c>
      <c r="E112" s="88" t="b">
        <v>0</v>
      </c>
      <c r="F112" s="88" t="b">
        <v>0</v>
      </c>
      <c r="G112" s="88" t="b">
        <v>0</v>
      </c>
    </row>
    <row r="113" spans="1:7" ht="15">
      <c r="A113" s="89" t="s">
        <v>1222</v>
      </c>
      <c r="B113" s="88">
        <v>2</v>
      </c>
      <c r="C113" s="121">
        <v>0.002893152329358203</v>
      </c>
      <c r="D113" s="88" t="s">
        <v>1280</v>
      </c>
      <c r="E113" s="88" t="b">
        <v>0</v>
      </c>
      <c r="F113" s="88" t="b">
        <v>0</v>
      </c>
      <c r="G113" s="88" t="b">
        <v>0</v>
      </c>
    </row>
    <row r="114" spans="1:7" ht="15">
      <c r="A114" s="89" t="s">
        <v>1223</v>
      </c>
      <c r="B114" s="88">
        <v>2</v>
      </c>
      <c r="C114" s="121">
        <v>0.002893152329358203</v>
      </c>
      <c r="D114" s="88" t="s">
        <v>1280</v>
      </c>
      <c r="E114" s="88" t="b">
        <v>0</v>
      </c>
      <c r="F114" s="88" t="b">
        <v>0</v>
      </c>
      <c r="G114" s="88" t="b">
        <v>0</v>
      </c>
    </row>
    <row r="115" spans="1:7" ht="15">
      <c r="A115" s="89" t="s">
        <v>895</v>
      </c>
      <c r="B115" s="88">
        <v>2</v>
      </c>
      <c r="C115" s="121">
        <v>0.0035419238717374728</v>
      </c>
      <c r="D115" s="88" t="s">
        <v>1280</v>
      </c>
      <c r="E115" s="88" t="b">
        <v>0</v>
      </c>
      <c r="F115" s="88" t="b">
        <v>0</v>
      </c>
      <c r="G115" s="88" t="b">
        <v>0</v>
      </c>
    </row>
    <row r="116" spans="1:7" ht="15">
      <c r="A116" s="89" t="s">
        <v>896</v>
      </c>
      <c r="B116" s="88">
        <v>2</v>
      </c>
      <c r="C116" s="121">
        <v>0.0035419238717374728</v>
      </c>
      <c r="D116" s="88" t="s">
        <v>1280</v>
      </c>
      <c r="E116" s="88" t="b">
        <v>0</v>
      </c>
      <c r="F116" s="88" t="b">
        <v>0</v>
      </c>
      <c r="G116" s="88" t="b">
        <v>0</v>
      </c>
    </row>
    <row r="117" spans="1:7" ht="15">
      <c r="A117" s="89" t="s">
        <v>907</v>
      </c>
      <c r="B117" s="88">
        <v>2</v>
      </c>
      <c r="C117" s="121">
        <v>0.002893152329358203</v>
      </c>
      <c r="D117" s="88" t="s">
        <v>1280</v>
      </c>
      <c r="E117" s="88" t="b">
        <v>0</v>
      </c>
      <c r="F117" s="88" t="b">
        <v>0</v>
      </c>
      <c r="G117" s="88" t="b">
        <v>0</v>
      </c>
    </row>
    <row r="118" spans="1:7" ht="15">
      <c r="A118" s="89" t="s">
        <v>908</v>
      </c>
      <c r="B118" s="88">
        <v>2</v>
      </c>
      <c r="C118" s="121">
        <v>0.002893152329358203</v>
      </c>
      <c r="D118" s="88" t="s">
        <v>1280</v>
      </c>
      <c r="E118" s="88" t="b">
        <v>0</v>
      </c>
      <c r="F118" s="88" t="b">
        <v>1</v>
      </c>
      <c r="G118" s="88" t="b">
        <v>0</v>
      </c>
    </row>
    <row r="119" spans="1:7" ht="15">
      <c r="A119" s="89" t="s">
        <v>274</v>
      </c>
      <c r="B119" s="88">
        <v>2</v>
      </c>
      <c r="C119" s="121">
        <v>0.002893152329358203</v>
      </c>
      <c r="D119" s="88" t="s">
        <v>1280</v>
      </c>
      <c r="E119" s="88" t="b">
        <v>0</v>
      </c>
      <c r="F119" s="88" t="b">
        <v>0</v>
      </c>
      <c r="G119" s="88" t="b">
        <v>0</v>
      </c>
    </row>
    <row r="120" spans="1:7" ht="15">
      <c r="A120" s="89" t="s">
        <v>273</v>
      </c>
      <c r="B120" s="88">
        <v>2</v>
      </c>
      <c r="C120" s="121">
        <v>0.002893152329358203</v>
      </c>
      <c r="D120" s="88" t="s">
        <v>1280</v>
      </c>
      <c r="E120" s="88" t="b">
        <v>0</v>
      </c>
      <c r="F120" s="88" t="b">
        <v>0</v>
      </c>
      <c r="G120" s="88" t="b">
        <v>0</v>
      </c>
    </row>
    <row r="121" spans="1:7" ht="15">
      <c r="A121" s="89" t="s">
        <v>911</v>
      </c>
      <c r="B121" s="88">
        <v>2</v>
      </c>
      <c r="C121" s="121">
        <v>0.002893152329358203</v>
      </c>
      <c r="D121" s="88" t="s">
        <v>1280</v>
      </c>
      <c r="E121" s="88" t="b">
        <v>0</v>
      </c>
      <c r="F121" s="88" t="b">
        <v>0</v>
      </c>
      <c r="G121" s="88" t="b">
        <v>0</v>
      </c>
    </row>
    <row r="122" spans="1:7" ht="15">
      <c r="A122" s="89" t="s">
        <v>912</v>
      </c>
      <c r="B122" s="88">
        <v>2</v>
      </c>
      <c r="C122" s="121">
        <v>0.002893152329358203</v>
      </c>
      <c r="D122" s="88" t="s">
        <v>1280</v>
      </c>
      <c r="E122" s="88" t="b">
        <v>0</v>
      </c>
      <c r="F122" s="88" t="b">
        <v>0</v>
      </c>
      <c r="G122" s="88" t="b">
        <v>0</v>
      </c>
    </row>
    <row r="123" spans="1:7" ht="15">
      <c r="A123" s="89" t="s">
        <v>913</v>
      </c>
      <c r="B123" s="88">
        <v>2</v>
      </c>
      <c r="C123" s="121">
        <v>0.002893152329358203</v>
      </c>
      <c r="D123" s="88" t="s">
        <v>1280</v>
      </c>
      <c r="E123" s="88" t="b">
        <v>0</v>
      </c>
      <c r="F123" s="88" t="b">
        <v>1</v>
      </c>
      <c r="G123" s="88" t="b">
        <v>0</v>
      </c>
    </row>
    <row r="124" spans="1:7" ht="15">
      <c r="A124" s="89" t="s">
        <v>1224</v>
      </c>
      <c r="B124" s="88">
        <v>2</v>
      </c>
      <c r="C124" s="121">
        <v>0.002893152329358203</v>
      </c>
      <c r="D124" s="88" t="s">
        <v>1280</v>
      </c>
      <c r="E124" s="88" t="b">
        <v>0</v>
      </c>
      <c r="F124" s="88" t="b">
        <v>0</v>
      </c>
      <c r="G124" s="88" t="b">
        <v>0</v>
      </c>
    </row>
    <row r="125" spans="1:7" ht="15">
      <c r="A125" s="89" t="s">
        <v>1225</v>
      </c>
      <c r="B125" s="88">
        <v>2</v>
      </c>
      <c r="C125" s="121">
        <v>0.002893152329358203</v>
      </c>
      <c r="D125" s="88" t="s">
        <v>1280</v>
      </c>
      <c r="E125" s="88" t="b">
        <v>0</v>
      </c>
      <c r="F125" s="88" t="b">
        <v>0</v>
      </c>
      <c r="G125" s="88" t="b">
        <v>0</v>
      </c>
    </row>
    <row r="126" spans="1:7" ht="15">
      <c r="A126" s="89" t="s">
        <v>1226</v>
      </c>
      <c r="B126" s="88">
        <v>2</v>
      </c>
      <c r="C126" s="121">
        <v>0.002893152329358203</v>
      </c>
      <c r="D126" s="88" t="s">
        <v>1280</v>
      </c>
      <c r="E126" s="88" t="b">
        <v>0</v>
      </c>
      <c r="F126" s="88" t="b">
        <v>0</v>
      </c>
      <c r="G126" s="88" t="b">
        <v>0</v>
      </c>
    </row>
    <row r="127" spans="1:7" ht="15">
      <c r="A127" s="89" t="s">
        <v>1227</v>
      </c>
      <c r="B127" s="88">
        <v>2</v>
      </c>
      <c r="C127" s="121">
        <v>0.002893152329358203</v>
      </c>
      <c r="D127" s="88" t="s">
        <v>1280</v>
      </c>
      <c r="E127" s="88" t="b">
        <v>0</v>
      </c>
      <c r="F127" s="88" t="b">
        <v>0</v>
      </c>
      <c r="G127" s="88" t="b">
        <v>0</v>
      </c>
    </row>
    <row r="128" spans="1:7" ht="15">
      <c r="A128" s="89" t="s">
        <v>1228</v>
      </c>
      <c r="B128" s="88">
        <v>2</v>
      </c>
      <c r="C128" s="121">
        <v>0.002893152329358203</v>
      </c>
      <c r="D128" s="88" t="s">
        <v>1280</v>
      </c>
      <c r="E128" s="88" t="b">
        <v>0</v>
      </c>
      <c r="F128" s="88" t="b">
        <v>0</v>
      </c>
      <c r="G128" s="88" t="b">
        <v>0</v>
      </c>
    </row>
    <row r="129" spans="1:7" ht="15">
      <c r="A129" s="89" t="s">
        <v>855</v>
      </c>
      <c r="B129" s="88">
        <v>2</v>
      </c>
      <c r="C129" s="121">
        <v>0.002893152329358203</v>
      </c>
      <c r="D129" s="88" t="s">
        <v>1280</v>
      </c>
      <c r="E129" s="88" t="b">
        <v>0</v>
      </c>
      <c r="F129" s="88" t="b">
        <v>0</v>
      </c>
      <c r="G129" s="88" t="b">
        <v>0</v>
      </c>
    </row>
    <row r="130" spans="1:7" ht="15">
      <c r="A130" s="89" t="s">
        <v>1229</v>
      </c>
      <c r="B130" s="88">
        <v>2</v>
      </c>
      <c r="C130" s="121">
        <v>0.002893152329358203</v>
      </c>
      <c r="D130" s="88" t="s">
        <v>1280</v>
      </c>
      <c r="E130" s="88" t="b">
        <v>0</v>
      </c>
      <c r="F130" s="88" t="b">
        <v>0</v>
      </c>
      <c r="G130" s="88" t="b">
        <v>0</v>
      </c>
    </row>
    <row r="131" spans="1:7" ht="15">
      <c r="A131" s="89" t="s">
        <v>1230</v>
      </c>
      <c r="B131" s="88">
        <v>2</v>
      </c>
      <c r="C131" s="121">
        <v>0.002893152329358203</v>
      </c>
      <c r="D131" s="88" t="s">
        <v>1280</v>
      </c>
      <c r="E131" s="88" t="b">
        <v>0</v>
      </c>
      <c r="F131" s="88" t="b">
        <v>0</v>
      </c>
      <c r="G131" s="88" t="b">
        <v>0</v>
      </c>
    </row>
    <row r="132" spans="1:7" ht="15">
      <c r="A132" s="89" t="s">
        <v>1231</v>
      </c>
      <c r="B132" s="88">
        <v>2</v>
      </c>
      <c r="C132" s="121">
        <v>0.002893152329358203</v>
      </c>
      <c r="D132" s="88" t="s">
        <v>1280</v>
      </c>
      <c r="E132" s="88" t="b">
        <v>0</v>
      </c>
      <c r="F132" s="88" t="b">
        <v>0</v>
      </c>
      <c r="G132" s="88" t="b">
        <v>0</v>
      </c>
    </row>
    <row r="133" spans="1:7" ht="15">
      <c r="A133" s="89" t="s">
        <v>1232</v>
      </c>
      <c r="B133" s="88">
        <v>2</v>
      </c>
      <c r="C133" s="121">
        <v>0.002893152329358203</v>
      </c>
      <c r="D133" s="88" t="s">
        <v>1280</v>
      </c>
      <c r="E133" s="88" t="b">
        <v>0</v>
      </c>
      <c r="F133" s="88" t="b">
        <v>0</v>
      </c>
      <c r="G133" s="88" t="b">
        <v>0</v>
      </c>
    </row>
    <row r="134" spans="1:7" ht="15">
      <c r="A134" s="89" t="s">
        <v>1233</v>
      </c>
      <c r="B134" s="88">
        <v>2</v>
      </c>
      <c r="C134" s="121">
        <v>0.002893152329358203</v>
      </c>
      <c r="D134" s="88" t="s">
        <v>1280</v>
      </c>
      <c r="E134" s="88" t="b">
        <v>0</v>
      </c>
      <c r="F134" s="88" t="b">
        <v>0</v>
      </c>
      <c r="G134" s="88" t="b">
        <v>0</v>
      </c>
    </row>
    <row r="135" spans="1:7" ht="15">
      <c r="A135" s="89" t="s">
        <v>1234</v>
      </c>
      <c r="B135" s="88">
        <v>2</v>
      </c>
      <c r="C135" s="121">
        <v>0.002893152329358203</v>
      </c>
      <c r="D135" s="88" t="s">
        <v>1280</v>
      </c>
      <c r="E135" s="88" t="b">
        <v>0</v>
      </c>
      <c r="F135" s="88" t="b">
        <v>0</v>
      </c>
      <c r="G135" s="88" t="b">
        <v>0</v>
      </c>
    </row>
    <row r="136" spans="1:7" ht="15">
      <c r="A136" s="89" t="s">
        <v>1235</v>
      </c>
      <c r="B136" s="88">
        <v>2</v>
      </c>
      <c r="C136" s="121">
        <v>0.002893152329358203</v>
      </c>
      <c r="D136" s="88" t="s">
        <v>1280</v>
      </c>
      <c r="E136" s="88" t="b">
        <v>0</v>
      </c>
      <c r="F136" s="88" t="b">
        <v>0</v>
      </c>
      <c r="G136" s="88" t="b">
        <v>0</v>
      </c>
    </row>
    <row r="137" spans="1:7" ht="15">
      <c r="A137" s="89" t="s">
        <v>1236</v>
      </c>
      <c r="B137" s="88">
        <v>2</v>
      </c>
      <c r="C137" s="121">
        <v>0.002893152329358203</v>
      </c>
      <c r="D137" s="88" t="s">
        <v>1280</v>
      </c>
      <c r="E137" s="88" t="b">
        <v>0</v>
      </c>
      <c r="F137" s="88" t="b">
        <v>0</v>
      </c>
      <c r="G137" s="88" t="b">
        <v>0</v>
      </c>
    </row>
    <row r="138" spans="1:7" ht="15">
      <c r="A138" s="89" t="s">
        <v>881</v>
      </c>
      <c r="B138" s="88">
        <v>2</v>
      </c>
      <c r="C138" s="121">
        <v>0.002893152329358203</v>
      </c>
      <c r="D138" s="88" t="s">
        <v>1280</v>
      </c>
      <c r="E138" s="88" t="b">
        <v>0</v>
      </c>
      <c r="F138" s="88" t="b">
        <v>0</v>
      </c>
      <c r="G138" s="88" t="b">
        <v>0</v>
      </c>
    </row>
    <row r="139" spans="1:7" ht="15">
      <c r="A139" s="89" t="s">
        <v>254</v>
      </c>
      <c r="B139" s="88">
        <v>2</v>
      </c>
      <c r="C139" s="121">
        <v>0.002893152329358203</v>
      </c>
      <c r="D139" s="88" t="s">
        <v>1280</v>
      </c>
      <c r="E139" s="88" t="b">
        <v>0</v>
      </c>
      <c r="F139" s="88" t="b">
        <v>0</v>
      </c>
      <c r="G139" s="88" t="b">
        <v>0</v>
      </c>
    </row>
    <row r="140" spans="1:7" ht="15">
      <c r="A140" s="89" t="s">
        <v>283</v>
      </c>
      <c r="B140" s="88">
        <v>2</v>
      </c>
      <c r="C140" s="121">
        <v>0.002893152329358203</v>
      </c>
      <c r="D140" s="88" t="s">
        <v>1280</v>
      </c>
      <c r="E140" s="88" t="b">
        <v>0</v>
      </c>
      <c r="F140" s="88" t="b">
        <v>0</v>
      </c>
      <c r="G140" s="88" t="b">
        <v>0</v>
      </c>
    </row>
    <row r="141" spans="1:7" ht="15">
      <c r="A141" s="89" t="s">
        <v>282</v>
      </c>
      <c r="B141" s="88">
        <v>2</v>
      </c>
      <c r="C141" s="121">
        <v>0.002893152329358203</v>
      </c>
      <c r="D141" s="88" t="s">
        <v>1280</v>
      </c>
      <c r="E141" s="88" t="b">
        <v>0</v>
      </c>
      <c r="F141" s="88" t="b">
        <v>0</v>
      </c>
      <c r="G141" s="88" t="b">
        <v>0</v>
      </c>
    </row>
    <row r="142" spans="1:7" ht="15">
      <c r="A142" s="89" t="s">
        <v>281</v>
      </c>
      <c r="B142" s="88">
        <v>2</v>
      </c>
      <c r="C142" s="121">
        <v>0.002893152329358203</v>
      </c>
      <c r="D142" s="88" t="s">
        <v>1280</v>
      </c>
      <c r="E142" s="88" t="b">
        <v>0</v>
      </c>
      <c r="F142" s="88" t="b">
        <v>0</v>
      </c>
      <c r="G142" s="88" t="b">
        <v>0</v>
      </c>
    </row>
    <row r="143" spans="1:7" ht="15">
      <c r="A143" s="89" t="s">
        <v>251</v>
      </c>
      <c r="B143" s="88">
        <v>2</v>
      </c>
      <c r="C143" s="121">
        <v>0.002893152329358203</v>
      </c>
      <c r="D143" s="88" t="s">
        <v>1280</v>
      </c>
      <c r="E143" s="88" t="b">
        <v>0</v>
      </c>
      <c r="F143" s="88" t="b">
        <v>0</v>
      </c>
      <c r="G143" s="88" t="b">
        <v>0</v>
      </c>
    </row>
    <row r="144" spans="1:7" ht="15">
      <c r="A144" s="89" t="s">
        <v>280</v>
      </c>
      <c r="B144" s="88">
        <v>2</v>
      </c>
      <c r="C144" s="121">
        <v>0.002893152329358203</v>
      </c>
      <c r="D144" s="88" t="s">
        <v>1280</v>
      </c>
      <c r="E144" s="88" t="b">
        <v>0</v>
      </c>
      <c r="F144" s="88" t="b">
        <v>0</v>
      </c>
      <c r="G144" s="88" t="b">
        <v>0</v>
      </c>
    </row>
    <row r="145" spans="1:7" ht="15">
      <c r="A145" s="89" t="s">
        <v>279</v>
      </c>
      <c r="B145" s="88">
        <v>2</v>
      </c>
      <c r="C145" s="121">
        <v>0.002893152329358203</v>
      </c>
      <c r="D145" s="88" t="s">
        <v>1280</v>
      </c>
      <c r="E145" s="88" t="b">
        <v>0</v>
      </c>
      <c r="F145" s="88" t="b">
        <v>0</v>
      </c>
      <c r="G145" s="88" t="b">
        <v>0</v>
      </c>
    </row>
    <row r="146" spans="1:7" ht="15">
      <c r="A146" s="89" t="s">
        <v>278</v>
      </c>
      <c r="B146" s="88">
        <v>2</v>
      </c>
      <c r="C146" s="121">
        <v>0.002893152329358203</v>
      </c>
      <c r="D146" s="88" t="s">
        <v>1280</v>
      </c>
      <c r="E146" s="88" t="b">
        <v>0</v>
      </c>
      <c r="F146" s="88" t="b">
        <v>0</v>
      </c>
      <c r="G146" s="88" t="b">
        <v>0</v>
      </c>
    </row>
    <row r="147" spans="1:7" ht="15">
      <c r="A147" s="89" t="s">
        <v>277</v>
      </c>
      <c r="B147" s="88">
        <v>2</v>
      </c>
      <c r="C147" s="121">
        <v>0.002893152329358203</v>
      </c>
      <c r="D147" s="88" t="s">
        <v>1280</v>
      </c>
      <c r="E147" s="88" t="b">
        <v>0</v>
      </c>
      <c r="F147" s="88" t="b">
        <v>0</v>
      </c>
      <c r="G147" s="88" t="b">
        <v>0</v>
      </c>
    </row>
    <row r="148" spans="1:7" ht="15">
      <c r="A148" s="89" t="s">
        <v>1237</v>
      </c>
      <c r="B148" s="88">
        <v>2</v>
      </c>
      <c r="C148" s="121">
        <v>0.002893152329358203</v>
      </c>
      <c r="D148" s="88" t="s">
        <v>1280</v>
      </c>
      <c r="E148" s="88" t="b">
        <v>1</v>
      </c>
      <c r="F148" s="88" t="b">
        <v>0</v>
      </c>
      <c r="G148" s="88" t="b">
        <v>0</v>
      </c>
    </row>
    <row r="149" spans="1:7" ht="15">
      <c r="A149" s="89" t="s">
        <v>1238</v>
      </c>
      <c r="B149" s="88">
        <v>2</v>
      </c>
      <c r="C149" s="121">
        <v>0.002893152329358203</v>
      </c>
      <c r="D149" s="88" t="s">
        <v>1280</v>
      </c>
      <c r="E149" s="88" t="b">
        <v>0</v>
      </c>
      <c r="F149" s="88" t="b">
        <v>0</v>
      </c>
      <c r="G149" s="88" t="b">
        <v>0</v>
      </c>
    </row>
    <row r="150" spans="1:7" ht="15">
      <c r="A150" s="89" t="s">
        <v>1239</v>
      </c>
      <c r="B150" s="88">
        <v>2</v>
      </c>
      <c r="C150" s="121">
        <v>0.002893152329358203</v>
      </c>
      <c r="D150" s="88" t="s">
        <v>1280</v>
      </c>
      <c r="E150" s="88" t="b">
        <v>0</v>
      </c>
      <c r="F150" s="88" t="b">
        <v>0</v>
      </c>
      <c r="G150" s="88" t="b">
        <v>0</v>
      </c>
    </row>
    <row r="151" spans="1:7" ht="15">
      <c r="A151" s="89" t="s">
        <v>1240</v>
      </c>
      <c r="B151" s="88">
        <v>2</v>
      </c>
      <c r="C151" s="121">
        <v>0.002893152329358203</v>
      </c>
      <c r="D151" s="88" t="s">
        <v>1280</v>
      </c>
      <c r="E151" s="88" t="b">
        <v>0</v>
      </c>
      <c r="F151" s="88" t="b">
        <v>0</v>
      </c>
      <c r="G151" s="88" t="b">
        <v>0</v>
      </c>
    </row>
    <row r="152" spans="1:7" ht="15">
      <c r="A152" s="89" t="s">
        <v>1241</v>
      </c>
      <c r="B152" s="88">
        <v>2</v>
      </c>
      <c r="C152" s="121">
        <v>0.002893152329358203</v>
      </c>
      <c r="D152" s="88" t="s">
        <v>1280</v>
      </c>
      <c r="E152" s="88" t="b">
        <v>0</v>
      </c>
      <c r="F152" s="88" t="b">
        <v>0</v>
      </c>
      <c r="G152" s="88" t="b">
        <v>0</v>
      </c>
    </row>
    <row r="153" spans="1:7" ht="15">
      <c r="A153" s="89" t="s">
        <v>1242</v>
      </c>
      <c r="B153" s="88">
        <v>2</v>
      </c>
      <c r="C153" s="121">
        <v>0.002893152329358203</v>
      </c>
      <c r="D153" s="88" t="s">
        <v>1280</v>
      </c>
      <c r="E153" s="88" t="b">
        <v>0</v>
      </c>
      <c r="F153" s="88" t="b">
        <v>0</v>
      </c>
      <c r="G153" s="88" t="b">
        <v>0</v>
      </c>
    </row>
    <row r="154" spans="1:7" ht="15">
      <c r="A154" s="89" t="s">
        <v>1243</v>
      </c>
      <c r="B154" s="88">
        <v>2</v>
      </c>
      <c r="C154" s="121">
        <v>0.002893152329358203</v>
      </c>
      <c r="D154" s="88" t="s">
        <v>1280</v>
      </c>
      <c r="E154" s="88" t="b">
        <v>0</v>
      </c>
      <c r="F154" s="88" t="b">
        <v>0</v>
      </c>
      <c r="G154" s="88" t="b">
        <v>0</v>
      </c>
    </row>
    <row r="155" spans="1:7" ht="15">
      <c r="A155" s="89" t="s">
        <v>1244</v>
      </c>
      <c r="B155" s="88">
        <v>2</v>
      </c>
      <c r="C155" s="121">
        <v>0.002893152329358203</v>
      </c>
      <c r="D155" s="88" t="s">
        <v>1280</v>
      </c>
      <c r="E155" s="88" t="b">
        <v>0</v>
      </c>
      <c r="F155" s="88" t="b">
        <v>0</v>
      </c>
      <c r="G155" s="88" t="b">
        <v>0</v>
      </c>
    </row>
    <row r="156" spans="1:7" ht="15">
      <c r="A156" s="89" t="s">
        <v>893</v>
      </c>
      <c r="B156" s="88">
        <v>2</v>
      </c>
      <c r="C156" s="121">
        <v>0.0035419238717374728</v>
      </c>
      <c r="D156" s="88" t="s">
        <v>1280</v>
      </c>
      <c r="E156" s="88" t="b">
        <v>0</v>
      </c>
      <c r="F156" s="88" t="b">
        <v>0</v>
      </c>
      <c r="G156" s="88" t="b">
        <v>0</v>
      </c>
    </row>
    <row r="157" spans="1:7" ht="15">
      <c r="A157" s="89" t="s">
        <v>935</v>
      </c>
      <c r="B157" s="88">
        <v>2</v>
      </c>
      <c r="C157" s="121">
        <v>0.002893152329358203</v>
      </c>
      <c r="D157" s="88" t="s">
        <v>1280</v>
      </c>
      <c r="E157" s="88" t="b">
        <v>0</v>
      </c>
      <c r="F157" s="88" t="b">
        <v>0</v>
      </c>
      <c r="G157" s="88" t="b">
        <v>0</v>
      </c>
    </row>
    <row r="158" spans="1:7" ht="15">
      <c r="A158" s="89" t="s">
        <v>937</v>
      </c>
      <c r="B158" s="88">
        <v>2</v>
      </c>
      <c r="C158" s="121">
        <v>0.002893152329358203</v>
      </c>
      <c r="D158" s="88" t="s">
        <v>1280</v>
      </c>
      <c r="E158" s="88" t="b">
        <v>0</v>
      </c>
      <c r="F158" s="88" t="b">
        <v>0</v>
      </c>
      <c r="G158" s="88" t="b">
        <v>0</v>
      </c>
    </row>
    <row r="159" spans="1:7" ht="15">
      <c r="A159" s="89" t="s">
        <v>1245</v>
      </c>
      <c r="B159" s="88">
        <v>2</v>
      </c>
      <c r="C159" s="121">
        <v>0.002893152329358203</v>
      </c>
      <c r="D159" s="88" t="s">
        <v>1280</v>
      </c>
      <c r="E159" s="88" t="b">
        <v>1</v>
      </c>
      <c r="F159" s="88" t="b">
        <v>0</v>
      </c>
      <c r="G159" s="88" t="b">
        <v>0</v>
      </c>
    </row>
    <row r="160" spans="1:7" ht="15">
      <c r="A160" s="89" t="s">
        <v>1246</v>
      </c>
      <c r="B160" s="88">
        <v>2</v>
      </c>
      <c r="C160" s="121">
        <v>0.002893152329358203</v>
      </c>
      <c r="D160" s="88" t="s">
        <v>1280</v>
      </c>
      <c r="E160" s="88" t="b">
        <v>0</v>
      </c>
      <c r="F160" s="88" t="b">
        <v>0</v>
      </c>
      <c r="G160" s="88" t="b">
        <v>0</v>
      </c>
    </row>
    <row r="161" spans="1:7" ht="15">
      <c r="A161" s="89" t="s">
        <v>1247</v>
      </c>
      <c r="B161" s="88">
        <v>2</v>
      </c>
      <c r="C161" s="121">
        <v>0.002893152329358203</v>
      </c>
      <c r="D161" s="88" t="s">
        <v>1280</v>
      </c>
      <c r="E161" s="88" t="b">
        <v>0</v>
      </c>
      <c r="F161" s="88" t="b">
        <v>0</v>
      </c>
      <c r="G161" s="88" t="b">
        <v>0</v>
      </c>
    </row>
    <row r="162" spans="1:7" ht="15">
      <c r="A162" s="89" t="s">
        <v>1248</v>
      </c>
      <c r="B162" s="88">
        <v>2</v>
      </c>
      <c r="C162" s="121">
        <v>0.002893152329358203</v>
      </c>
      <c r="D162" s="88" t="s">
        <v>1280</v>
      </c>
      <c r="E162" s="88" t="b">
        <v>0</v>
      </c>
      <c r="F162" s="88" t="b">
        <v>0</v>
      </c>
      <c r="G162" s="88" t="b">
        <v>0</v>
      </c>
    </row>
    <row r="163" spans="1:7" ht="15">
      <c r="A163" s="89" t="s">
        <v>1249</v>
      </c>
      <c r="B163" s="88">
        <v>2</v>
      </c>
      <c r="C163" s="121">
        <v>0.002893152329358203</v>
      </c>
      <c r="D163" s="88" t="s">
        <v>1280</v>
      </c>
      <c r="E163" s="88" t="b">
        <v>0</v>
      </c>
      <c r="F163" s="88" t="b">
        <v>0</v>
      </c>
      <c r="G163" s="88" t="b">
        <v>0</v>
      </c>
    </row>
    <row r="164" spans="1:7" ht="15">
      <c r="A164" s="89" t="s">
        <v>1250</v>
      </c>
      <c r="B164" s="88">
        <v>2</v>
      </c>
      <c r="C164" s="121">
        <v>0.002893152329358203</v>
      </c>
      <c r="D164" s="88" t="s">
        <v>1280</v>
      </c>
      <c r="E164" s="88" t="b">
        <v>0</v>
      </c>
      <c r="F164" s="88" t="b">
        <v>0</v>
      </c>
      <c r="G164" s="88" t="b">
        <v>0</v>
      </c>
    </row>
    <row r="165" spans="1:7" ht="15">
      <c r="A165" s="89" t="s">
        <v>1251</v>
      </c>
      <c r="B165" s="88">
        <v>2</v>
      </c>
      <c r="C165" s="121">
        <v>0.002893152329358203</v>
      </c>
      <c r="D165" s="88" t="s">
        <v>1280</v>
      </c>
      <c r="E165" s="88" t="b">
        <v>0</v>
      </c>
      <c r="F165" s="88" t="b">
        <v>0</v>
      </c>
      <c r="G165" s="88" t="b">
        <v>0</v>
      </c>
    </row>
    <row r="166" spans="1:7" ht="15">
      <c r="A166" s="89" t="s">
        <v>1252</v>
      </c>
      <c r="B166" s="88">
        <v>2</v>
      </c>
      <c r="C166" s="121">
        <v>0.002893152329358203</v>
      </c>
      <c r="D166" s="88" t="s">
        <v>1280</v>
      </c>
      <c r="E166" s="88" t="b">
        <v>0</v>
      </c>
      <c r="F166" s="88" t="b">
        <v>0</v>
      </c>
      <c r="G166" s="88" t="b">
        <v>0</v>
      </c>
    </row>
    <row r="167" spans="1:7" ht="15">
      <c r="A167" s="89" t="s">
        <v>1253</v>
      </c>
      <c r="B167" s="88">
        <v>2</v>
      </c>
      <c r="C167" s="121">
        <v>0.002893152329358203</v>
      </c>
      <c r="D167" s="88" t="s">
        <v>1280</v>
      </c>
      <c r="E167" s="88" t="b">
        <v>0</v>
      </c>
      <c r="F167" s="88" t="b">
        <v>0</v>
      </c>
      <c r="G167" s="88" t="b">
        <v>0</v>
      </c>
    </row>
    <row r="168" spans="1:7" ht="15">
      <c r="A168" s="89" t="s">
        <v>1254</v>
      </c>
      <c r="B168" s="88">
        <v>2</v>
      </c>
      <c r="C168" s="121">
        <v>0.002893152329358203</v>
      </c>
      <c r="D168" s="88" t="s">
        <v>1280</v>
      </c>
      <c r="E168" s="88" t="b">
        <v>1</v>
      </c>
      <c r="F168" s="88" t="b">
        <v>0</v>
      </c>
      <c r="G168" s="88" t="b">
        <v>0</v>
      </c>
    </row>
    <row r="169" spans="1:7" ht="15">
      <c r="A169" s="89" t="s">
        <v>1255</v>
      </c>
      <c r="B169" s="88">
        <v>2</v>
      </c>
      <c r="C169" s="121">
        <v>0.002893152329358203</v>
      </c>
      <c r="D169" s="88" t="s">
        <v>1280</v>
      </c>
      <c r="E169" s="88" t="b">
        <v>0</v>
      </c>
      <c r="F169" s="88" t="b">
        <v>0</v>
      </c>
      <c r="G169" s="88" t="b">
        <v>0</v>
      </c>
    </row>
    <row r="170" spans="1:7" ht="15">
      <c r="A170" s="89" t="s">
        <v>1256</v>
      </c>
      <c r="B170" s="88">
        <v>2</v>
      </c>
      <c r="C170" s="121">
        <v>0.002893152329358203</v>
      </c>
      <c r="D170" s="88" t="s">
        <v>1280</v>
      </c>
      <c r="E170" s="88" t="b">
        <v>0</v>
      </c>
      <c r="F170" s="88" t="b">
        <v>0</v>
      </c>
      <c r="G170" s="88" t="b">
        <v>0</v>
      </c>
    </row>
    <row r="171" spans="1:7" ht="15">
      <c r="A171" s="89" t="s">
        <v>1257</v>
      </c>
      <c r="B171" s="88">
        <v>2</v>
      </c>
      <c r="C171" s="121">
        <v>0.002893152329358203</v>
      </c>
      <c r="D171" s="88" t="s">
        <v>1280</v>
      </c>
      <c r="E171" s="88" t="b">
        <v>0</v>
      </c>
      <c r="F171" s="88" t="b">
        <v>0</v>
      </c>
      <c r="G171" s="88" t="b">
        <v>0</v>
      </c>
    </row>
    <row r="172" spans="1:7" ht="15">
      <c r="A172" s="89" t="s">
        <v>1258</v>
      </c>
      <c r="B172" s="88">
        <v>2</v>
      </c>
      <c r="C172" s="121">
        <v>0.002893152329358203</v>
      </c>
      <c r="D172" s="88" t="s">
        <v>1280</v>
      </c>
      <c r="E172" s="88" t="b">
        <v>0</v>
      </c>
      <c r="F172" s="88" t="b">
        <v>0</v>
      </c>
      <c r="G172" s="88" t="b">
        <v>0</v>
      </c>
    </row>
    <row r="173" spans="1:7" ht="15">
      <c r="A173" s="89" t="s">
        <v>1259</v>
      </c>
      <c r="B173" s="88">
        <v>2</v>
      </c>
      <c r="C173" s="121">
        <v>0.002893152329358203</v>
      </c>
      <c r="D173" s="88" t="s">
        <v>1280</v>
      </c>
      <c r="E173" s="88" t="b">
        <v>0</v>
      </c>
      <c r="F173" s="88" t="b">
        <v>0</v>
      </c>
      <c r="G173" s="88" t="b">
        <v>0</v>
      </c>
    </row>
    <row r="174" spans="1:7" ht="15">
      <c r="A174" s="89" t="s">
        <v>1260</v>
      </c>
      <c r="B174" s="88">
        <v>2</v>
      </c>
      <c r="C174" s="121">
        <v>0.002893152329358203</v>
      </c>
      <c r="D174" s="88" t="s">
        <v>1280</v>
      </c>
      <c r="E174" s="88" t="b">
        <v>0</v>
      </c>
      <c r="F174" s="88" t="b">
        <v>0</v>
      </c>
      <c r="G174" s="88" t="b">
        <v>0</v>
      </c>
    </row>
    <row r="175" spans="1:7" ht="15">
      <c r="A175" s="89" t="s">
        <v>1261</v>
      </c>
      <c r="B175" s="88">
        <v>2</v>
      </c>
      <c r="C175" s="121">
        <v>0.002893152329358203</v>
      </c>
      <c r="D175" s="88" t="s">
        <v>1280</v>
      </c>
      <c r="E175" s="88" t="b">
        <v>0</v>
      </c>
      <c r="F175" s="88" t="b">
        <v>0</v>
      </c>
      <c r="G175" s="88" t="b">
        <v>0</v>
      </c>
    </row>
    <row r="176" spans="1:7" ht="15">
      <c r="A176" s="89" t="s">
        <v>1262</v>
      </c>
      <c r="B176" s="88">
        <v>2</v>
      </c>
      <c r="C176" s="121">
        <v>0.002893152329358203</v>
      </c>
      <c r="D176" s="88" t="s">
        <v>1280</v>
      </c>
      <c r="E176" s="88" t="b">
        <v>0</v>
      </c>
      <c r="F176" s="88" t="b">
        <v>0</v>
      </c>
      <c r="G176" s="88" t="b">
        <v>0</v>
      </c>
    </row>
    <row r="177" spans="1:7" ht="15">
      <c r="A177" s="89" t="s">
        <v>1263</v>
      </c>
      <c r="B177" s="88">
        <v>2</v>
      </c>
      <c r="C177" s="121">
        <v>0.002893152329358203</v>
      </c>
      <c r="D177" s="88" t="s">
        <v>1280</v>
      </c>
      <c r="E177" s="88" t="b">
        <v>0</v>
      </c>
      <c r="F177" s="88" t="b">
        <v>0</v>
      </c>
      <c r="G177" s="88" t="b">
        <v>0</v>
      </c>
    </row>
    <row r="178" spans="1:7" ht="15">
      <c r="A178" s="89" t="s">
        <v>1264</v>
      </c>
      <c r="B178" s="88">
        <v>2</v>
      </c>
      <c r="C178" s="121">
        <v>0.002893152329358203</v>
      </c>
      <c r="D178" s="88" t="s">
        <v>1280</v>
      </c>
      <c r="E178" s="88" t="b">
        <v>0</v>
      </c>
      <c r="F178" s="88" t="b">
        <v>0</v>
      </c>
      <c r="G178" s="88" t="b">
        <v>0</v>
      </c>
    </row>
    <row r="179" spans="1:7" ht="15">
      <c r="A179" s="89" t="s">
        <v>1265</v>
      </c>
      <c r="B179" s="88">
        <v>2</v>
      </c>
      <c r="C179" s="121">
        <v>0.002893152329358203</v>
      </c>
      <c r="D179" s="88" t="s">
        <v>1280</v>
      </c>
      <c r="E179" s="88" t="b">
        <v>0</v>
      </c>
      <c r="F179" s="88" t="b">
        <v>0</v>
      </c>
      <c r="G179" s="88" t="b">
        <v>0</v>
      </c>
    </row>
    <row r="180" spans="1:7" ht="15">
      <c r="A180" s="89" t="s">
        <v>1266</v>
      </c>
      <c r="B180" s="88">
        <v>2</v>
      </c>
      <c r="C180" s="121">
        <v>0.002893152329358203</v>
      </c>
      <c r="D180" s="88" t="s">
        <v>1280</v>
      </c>
      <c r="E180" s="88" t="b">
        <v>1</v>
      </c>
      <c r="F180" s="88" t="b">
        <v>0</v>
      </c>
      <c r="G180" s="88" t="b">
        <v>0</v>
      </c>
    </row>
    <row r="181" spans="1:7" ht="15">
      <c r="A181" s="89" t="s">
        <v>1267</v>
      </c>
      <c r="B181" s="88">
        <v>2</v>
      </c>
      <c r="C181" s="121">
        <v>0.002893152329358203</v>
      </c>
      <c r="D181" s="88" t="s">
        <v>1280</v>
      </c>
      <c r="E181" s="88" t="b">
        <v>0</v>
      </c>
      <c r="F181" s="88" t="b">
        <v>0</v>
      </c>
      <c r="G181" s="88" t="b">
        <v>0</v>
      </c>
    </row>
    <row r="182" spans="1:7" ht="15">
      <c r="A182" s="89" t="s">
        <v>1268</v>
      </c>
      <c r="B182" s="88">
        <v>2</v>
      </c>
      <c r="C182" s="121">
        <v>0.002893152329358203</v>
      </c>
      <c r="D182" s="88" t="s">
        <v>1280</v>
      </c>
      <c r="E182" s="88" t="b">
        <v>0</v>
      </c>
      <c r="F182" s="88" t="b">
        <v>0</v>
      </c>
      <c r="G182" s="88" t="b">
        <v>0</v>
      </c>
    </row>
    <row r="183" spans="1:7" ht="15">
      <c r="A183" s="89" t="s">
        <v>843</v>
      </c>
      <c r="B183" s="88">
        <v>2</v>
      </c>
      <c r="C183" s="121">
        <v>0.002893152329358203</v>
      </c>
      <c r="D183" s="88" t="s">
        <v>1280</v>
      </c>
      <c r="E183" s="88" t="b">
        <v>0</v>
      </c>
      <c r="F183" s="88" t="b">
        <v>0</v>
      </c>
      <c r="G183" s="88" t="b">
        <v>0</v>
      </c>
    </row>
    <row r="184" spans="1:7" ht="15">
      <c r="A184" s="89" t="s">
        <v>1269</v>
      </c>
      <c r="B184" s="88">
        <v>2</v>
      </c>
      <c r="C184" s="121">
        <v>0.002893152329358203</v>
      </c>
      <c r="D184" s="88" t="s">
        <v>1280</v>
      </c>
      <c r="E184" s="88" t="b">
        <v>0</v>
      </c>
      <c r="F184" s="88" t="b">
        <v>0</v>
      </c>
      <c r="G184" s="88" t="b">
        <v>0</v>
      </c>
    </row>
    <row r="185" spans="1:7" ht="15">
      <c r="A185" s="89" t="s">
        <v>1270</v>
      </c>
      <c r="B185" s="88">
        <v>2</v>
      </c>
      <c r="C185" s="121">
        <v>0.002893152329358203</v>
      </c>
      <c r="D185" s="88" t="s">
        <v>1280</v>
      </c>
      <c r="E185" s="88" t="b">
        <v>0</v>
      </c>
      <c r="F185" s="88" t="b">
        <v>0</v>
      </c>
      <c r="G185" s="88" t="b">
        <v>0</v>
      </c>
    </row>
    <row r="186" spans="1:7" ht="15">
      <c r="A186" s="89" t="s">
        <v>1271</v>
      </c>
      <c r="B186" s="88">
        <v>2</v>
      </c>
      <c r="C186" s="121">
        <v>0.002893152329358203</v>
      </c>
      <c r="D186" s="88" t="s">
        <v>1280</v>
      </c>
      <c r="E186" s="88" t="b">
        <v>0</v>
      </c>
      <c r="F186" s="88" t="b">
        <v>0</v>
      </c>
      <c r="G186" s="88" t="b">
        <v>0</v>
      </c>
    </row>
    <row r="187" spans="1:7" ht="15">
      <c r="A187" s="89" t="s">
        <v>1272</v>
      </c>
      <c r="B187" s="88">
        <v>2</v>
      </c>
      <c r="C187" s="121">
        <v>0.002893152329358203</v>
      </c>
      <c r="D187" s="88" t="s">
        <v>1280</v>
      </c>
      <c r="E187" s="88" t="b">
        <v>0</v>
      </c>
      <c r="F187" s="88" t="b">
        <v>0</v>
      </c>
      <c r="G187" s="88" t="b">
        <v>0</v>
      </c>
    </row>
    <row r="188" spans="1:7" ht="15">
      <c r="A188" s="89" t="s">
        <v>845</v>
      </c>
      <c r="B188" s="88">
        <v>2</v>
      </c>
      <c r="C188" s="121">
        <v>0.002893152329358203</v>
      </c>
      <c r="D188" s="88" t="s">
        <v>1280</v>
      </c>
      <c r="E188" s="88" t="b">
        <v>0</v>
      </c>
      <c r="F188" s="88" t="b">
        <v>0</v>
      </c>
      <c r="G188" s="88" t="b">
        <v>0</v>
      </c>
    </row>
    <row r="189" spans="1:7" ht="15">
      <c r="A189" s="89" t="s">
        <v>915</v>
      </c>
      <c r="B189" s="88">
        <v>2</v>
      </c>
      <c r="C189" s="121">
        <v>0.002893152329358203</v>
      </c>
      <c r="D189" s="88" t="s">
        <v>1280</v>
      </c>
      <c r="E189" s="88" t="b">
        <v>0</v>
      </c>
      <c r="F189" s="88" t="b">
        <v>0</v>
      </c>
      <c r="G189" s="88" t="b">
        <v>0</v>
      </c>
    </row>
    <row r="190" spans="1:7" ht="15">
      <c r="A190" s="89" t="s">
        <v>916</v>
      </c>
      <c r="B190" s="88">
        <v>2</v>
      </c>
      <c r="C190" s="121">
        <v>0.002893152329358203</v>
      </c>
      <c r="D190" s="88" t="s">
        <v>1280</v>
      </c>
      <c r="E190" s="88" t="b">
        <v>0</v>
      </c>
      <c r="F190" s="88" t="b">
        <v>0</v>
      </c>
      <c r="G190" s="88" t="b">
        <v>0</v>
      </c>
    </row>
    <row r="191" spans="1:7" ht="15">
      <c r="A191" s="89" t="s">
        <v>918</v>
      </c>
      <c r="B191" s="88">
        <v>2</v>
      </c>
      <c r="C191" s="121">
        <v>0.002893152329358203</v>
      </c>
      <c r="D191" s="88" t="s">
        <v>1280</v>
      </c>
      <c r="E191" s="88" t="b">
        <v>0</v>
      </c>
      <c r="F191" s="88" t="b">
        <v>0</v>
      </c>
      <c r="G191" s="88" t="b">
        <v>0</v>
      </c>
    </row>
    <row r="192" spans="1:7" ht="15">
      <c r="A192" s="89" t="s">
        <v>919</v>
      </c>
      <c r="B192" s="88">
        <v>2</v>
      </c>
      <c r="C192" s="121">
        <v>0.002893152329358203</v>
      </c>
      <c r="D192" s="88" t="s">
        <v>1280</v>
      </c>
      <c r="E192" s="88" t="b">
        <v>0</v>
      </c>
      <c r="F192" s="88" t="b">
        <v>0</v>
      </c>
      <c r="G192" s="88" t="b">
        <v>0</v>
      </c>
    </row>
    <row r="193" spans="1:7" ht="15">
      <c r="A193" s="89" t="s">
        <v>272</v>
      </c>
      <c r="B193" s="88">
        <v>2</v>
      </c>
      <c r="C193" s="121">
        <v>0.002893152329358203</v>
      </c>
      <c r="D193" s="88" t="s">
        <v>1280</v>
      </c>
      <c r="E193" s="88" t="b">
        <v>0</v>
      </c>
      <c r="F193" s="88" t="b">
        <v>0</v>
      </c>
      <c r="G193" s="88" t="b">
        <v>0</v>
      </c>
    </row>
    <row r="194" spans="1:7" ht="15">
      <c r="A194" s="89" t="s">
        <v>920</v>
      </c>
      <c r="B194" s="88">
        <v>2</v>
      </c>
      <c r="C194" s="121">
        <v>0.002893152329358203</v>
      </c>
      <c r="D194" s="88" t="s">
        <v>1280</v>
      </c>
      <c r="E194" s="88" t="b">
        <v>0</v>
      </c>
      <c r="F194" s="88" t="b">
        <v>0</v>
      </c>
      <c r="G194" s="88" t="b">
        <v>0</v>
      </c>
    </row>
    <row r="195" spans="1:7" ht="15">
      <c r="A195" s="89" t="s">
        <v>1273</v>
      </c>
      <c r="B195" s="88">
        <v>2</v>
      </c>
      <c r="C195" s="121">
        <v>0.002893152329358203</v>
      </c>
      <c r="D195" s="88" t="s">
        <v>1280</v>
      </c>
      <c r="E195" s="88" t="b">
        <v>0</v>
      </c>
      <c r="F195" s="88" t="b">
        <v>0</v>
      </c>
      <c r="G195" s="88" t="b">
        <v>0</v>
      </c>
    </row>
    <row r="196" spans="1:7" ht="15">
      <c r="A196" s="89" t="s">
        <v>1274</v>
      </c>
      <c r="B196" s="88">
        <v>2</v>
      </c>
      <c r="C196" s="121">
        <v>0.002893152329358203</v>
      </c>
      <c r="D196" s="88" t="s">
        <v>1280</v>
      </c>
      <c r="E196" s="88" t="b">
        <v>0</v>
      </c>
      <c r="F196" s="88" t="b">
        <v>0</v>
      </c>
      <c r="G196" s="88" t="b">
        <v>0</v>
      </c>
    </row>
    <row r="197" spans="1:7" ht="15">
      <c r="A197" s="89" t="s">
        <v>275</v>
      </c>
      <c r="B197" s="88">
        <v>4</v>
      </c>
      <c r="C197" s="121">
        <v>0</v>
      </c>
      <c r="D197" s="88" t="s">
        <v>718</v>
      </c>
      <c r="E197" s="88" t="b">
        <v>0</v>
      </c>
      <c r="F197" s="88" t="b">
        <v>0</v>
      </c>
      <c r="G197" s="88" t="b">
        <v>0</v>
      </c>
    </row>
    <row r="198" spans="1:7" ht="15">
      <c r="A198" s="89" t="s">
        <v>871</v>
      </c>
      <c r="B198" s="88">
        <v>4</v>
      </c>
      <c r="C198" s="121">
        <v>0</v>
      </c>
      <c r="D198" s="88" t="s">
        <v>718</v>
      </c>
      <c r="E198" s="88" t="b">
        <v>0</v>
      </c>
      <c r="F198" s="88" t="b">
        <v>0</v>
      </c>
      <c r="G198" s="88" t="b">
        <v>0</v>
      </c>
    </row>
    <row r="199" spans="1:7" ht="15">
      <c r="A199" s="89" t="s">
        <v>873</v>
      </c>
      <c r="B199" s="88">
        <v>2</v>
      </c>
      <c r="C199" s="121">
        <v>0.010204406632677328</v>
      </c>
      <c r="D199" s="88" t="s">
        <v>718</v>
      </c>
      <c r="E199" s="88" t="b">
        <v>0</v>
      </c>
      <c r="F199" s="88" t="b">
        <v>0</v>
      </c>
      <c r="G199" s="88" t="b">
        <v>0</v>
      </c>
    </row>
    <row r="200" spans="1:7" ht="15">
      <c r="A200" s="89" t="s">
        <v>850</v>
      </c>
      <c r="B200" s="88">
        <v>2</v>
      </c>
      <c r="C200" s="121">
        <v>0.010204406632677328</v>
      </c>
      <c r="D200" s="88" t="s">
        <v>718</v>
      </c>
      <c r="E200" s="88" t="b">
        <v>0</v>
      </c>
      <c r="F200" s="88" t="b">
        <v>0</v>
      </c>
      <c r="G200" s="88" t="b">
        <v>0</v>
      </c>
    </row>
    <row r="201" spans="1:7" ht="15">
      <c r="A201" s="89" t="s">
        <v>881</v>
      </c>
      <c r="B201" s="88">
        <v>2</v>
      </c>
      <c r="C201" s="121">
        <v>0.010204406632677328</v>
      </c>
      <c r="D201" s="88" t="s">
        <v>718</v>
      </c>
      <c r="E201" s="88" t="b">
        <v>0</v>
      </c>
      <c r="F201" s="88" t="b">
        <v>0</v>
      </c>
      <c r="G201" s="88" t="b">
        <v>0</v>
      </c>
    </row>
    <row r="202" spans="1:7" ht="15">
      <c r="A202" s="89" t="s">
        <v>254</v>
      </c>
      <c r="B202" s="88">
        <v>2</v>
      </c>
      <c r="C202" s="121">
        <v>0.010204406632677328</v>
      </c>
      <c r="D202" s="88" t="s">
        <v>718</v>
      </c>
      <c r="E202" s="88" t="b">
        <v>0</v>
      </c>
      <c r="F202" s="88" t="b">
        <v>0</v>
      </c>
      <c r="G202" s="88" t="b">
        <v>0</v>
      </c>
    </row>
    <row r="203" spans="1:7" ht="15">
      <c r="A203" s="89" t="s">
        <v>283</v>
      </c>
      <c r="B203" s="88">
        <v>2</v>
      </c>
      <c r="C203" s="121">
        <v>0.010204406632677328</v>
      </c>
      <c r="D203" s="88" t="s">
        <v>718</v>
      </c>
      <c r="E203" s="88" t="b">
        <v>0</v>
      </c>
      <c r="F203" s="88" t="b">
        <v>0</v>
      </c>
      <c r="G203" s="88" t="b">
        <v>0</v>
      </c>
    </row>
    <row r="204" spans="1:7" ht="15">
      <c r="A204" s="89" t="s">
        <v>282</v>
      </c>
      <c r="B204" s="88">
        <v>2</v>
      </c>
      <c r="C204" s="121">
        <v>0.010204406632677328</v>
      </c>
      <c r="D204" s="88" t="s">
        <v>718</v>
      </c>
      <c r="E204" s="88" t="b">
        <v>0</v>
      </c>
      <c r="F204" s="88" t="b">
        <v>0</v>
      </c>
      <c r="G204" s="88" t="b">
        <v>0</v>
      </c>
    </row>
    <row r="205" spans="1:7" ht="15">
      <c r="A205" s="89" t="s">
        <v>281</v>
      </c>
      <c r="B205" s="88">
        <v>2</v>
      </c>
      <c r="C205" s="121">
        <v>0.010204406632677328</v>
      </c>
      <c r="D205" s="88" t="s">
        <v>718</v>
      </c>
      <c r="E205" s="88" t="b">
        <v>0</v>
      </c>
      <c r="F205" s="88" t="b">
        <v>0</v>
      </c>
      <c r="G205" s="88" t="b">
        <v>0</v>
      </c>
    </row>
    <row r="206" spans="1:7" ht="15">
      <c r="A206" s="89" t="s">
        <v>251</v>
      </c>
      <c r="B206" s="88">
        <v>2</v>
      </c>
      <c r="C206" s="121">
        <v>0.010204406632677328</v>
      </c>
      <c r="D206" s="88" t="s">
        <v>718</v>
      </c>
      <c r="E206" s="88" t="b">
        <v>0</v>
      </c>
      <c r="F206" s="88" t="b">
        <v>0</v>
      </c>
      <c r="G206" s="88" t="b">
        <v>0</v>
      </c>
    </row>
    <row r="207" spans="1:7" ht="15">
      <c r="A207" s="89" t="s">
        <v>280</v>
      </c>
      <c r="B207" s="88">
        <v>2</v>
      </c>
      <c r="C207" s="121">
        <v>0.010204406632677328</v>
      </c>
      <c r="D207" s="88" t="s">
        <v>718</v>
      </c>
      <c r="E207" s="88" t="b">
        <v>0</v>
      </c>
      <c r="F207" s="88" t="b">
        <v>0</v>
      </c>
      <c r="G207" s="88" t="b">
        <v>0</v>
      </c>
    </row>
    <row r="208" spans="1:7" ht="15">
      <c r="A208" s="89" t="s">
        <v>279</v>
      </c>
      <c r="B208" s="88">
        <v>2</v>
      </c>
      <c r="C208" s="121">
        <v>0.010204406632677328</v>
      </c>
      <c r="D208" s="88" t="s">
        <v>718</v>
      </c>
      <c r="E208" s="88" t="b">
        <v>0</v>
      </c>
      <c r="F208" s="88" t="b">
        <v>0</v>
      </c>
      <c r="G208" s="88" t="b">
        <v>0</v>
      </c>
    </row>
    <row r="209" spans="1:7" ht="15">
      <c r="A209" s="89" t="s">
        <v>278</v>
      </c>
      <c r="B209" s="88">
        <v>2</v>
      </c>
      <c r="C209" s="121">
        <v>0.010204406632677328</v>
      </c>
      <c r="D209" s="88" t="s">
        <v>718</v>
      </c>
      <c r="E209" s="88" t="b">
        <v>0</v>
      </c>
      <c r="F209" s="88" t="b">
        <v>0</v>
      </c>
      <c r="G209" s="88" t="b">
        <v>0</v>
      </c>
    </row>
    <row r="210" spans="1:7" ht="15">
      <c r="A210" s="89" t="s">
        <v>277</v>
      </c>
      <c r="B210" s="88">
        <v>2</v>
      </c>
      <c r="C210" s="121">
        <v>0.010204406632677328</v>
      </c>
      <c r="D210" s="88" t="s">
        <v>718</v>
      </c>
      <c r="E210" s="88" t="b">
        <v>0</v>
      </c>
      <c r="F210" s="88" t="b">
        <v>0</v>
      </c>
      <c r="G210" s="88" t="b">
        <v>0</v>
      </c>
    </row>
    <row r="211" spans="1:7" ht="15">
      <c r="A211" s="89" t="s">
        <v>1237</v>
      </c>
      <c r="B211" s="88">
        <v>2</v>
      </c>
      <c r="C211" s="121">
        <v>0.010204406632677328</v>
      </c>
      <c r="D211" s="88" t="s">
        <v>718</v>
      </c>
      <c r="E211" s="88" t="b">
        <v>1</v>
      </c>
      <c r="F211" s="88" t="b">
        <v>0</v>
      </c>
      <c r="G211" s="88" t="b">
        <v>0</v>
      </c>
    </row>
    <row r="212" spans="1:7" ht="15">
      <c r="A212" s="89" t="s">
        <v>1238</v>
      </c>
      <c r="B212" s="88">
        <v>2</v>
      </c>
      <c r="C212" s="121">
        <v>0.010204406632677328</v>
      </c>
      <c r="D212" s="88" t="s">
        <v>718</v>
      </c>
      <c r="E212" s="88" t="b">
        <v>0</v>
      </c>
      <c r="F212" s="88" t="b">
        <v>0</v>
      </c>
      <c r="G212" s="88" t="b">
        <v>0</v>
      </c>
    </row>
    <row r="213" spans="1:7" ht="15">
      <c r="A213" s="89" t="s">
        <v>1239</v>
      </c>
      <c r="B213" s="88">
        <v>2</v>
      </c>
      <c r="C213" s="121">
        <v>0.010204406632677328</v>
      </c>
      <c r="D213" s="88" t="s">
        <v>718</v>
      </c>
      <c r="E213" s="88" t="b">
        <v>0</v>
      </c>
      <c r="F213" s="88" t="b">
        <v>0</v>
      </c>
      <c r="G213" s="88" t="b">
        <v>0</v>
      </c>
    </row>
    <row r="214" spans="1:7" ht="15">
      <c r="A214" s="89" t="s">
        <v>1240</v>
      </c>
      <c r="B214" s="88">
        <v>2</v>
      </c>
      <c r="C214" s="121">
        <v>0.010204406632677328</v>
      </c>
      <c r="D214" s="88" t="s">
        <v>718</v>
      </c>
      <c r="E214" s="88" t="b">
        <v>0</v>
      </c>
      <c r="F214" s="88" t="b">
        <v>0</v>
      </c>
      <c r="G214" s="88" t="b">
        <v>0</v>
      </c>
    </row>
    <row r="215" spans="1:7" ht="15">
      <c r="A215" s="89" t="s">
        <v>1241</v>
      </c>
      <c r="B215" s="88">
        <v>2</v>
      </c>
      <c r="C215" s="121">
        <v>0.010204406632677328</v>
      </c>
      <c r="D215" s="88" t="s">
        <v>718</v>
      </c>
      <c r="E215" s="88" t="b">
        <v>0</v>
      </c>
      <c r="F215" s="88" t="b">
        <v>0</v>
      </c>
      <c r="G215" s="88" t="b">
        <v>0</v>
      </c>
    </row>
    <row r="216" spans="1:7" ht="15">
      <c r="A216" s="89" t="s">
        <v>1242</v>
      </c>
      <c r="B216" s="88">
        <v>2</v>
      </c>
      <c r="C216" s="121">
        <v>0.010204406632677328</v>
      </c>
      <c r="D216" s="88" t="s">
        <v>718</v>
      </c>
      <c r="E216" s="88" t="b">
        <v>0</v>
      </c>
      <c r="F216" s="88" t="b">
        <v>0</v>
      </c>
      <c r="G216" s="88" t="b">
        <v>0</v>
      </c>
    </row>
    <row r="217" spans="1:7" ht="15">
      <c r="A217" s="89" t="s">
        <v>871</v>
      </c>
      <c r="B217" s="88">
        <v>13</v>
      </c>
      <c r="C217" s="121">
        <v>0</v>
      </c>
      <c r="D217" s="88" t="s">
        <v>719</v>
      </c>
      <c r="E217" s="88" t="b">
        <v>0</v>
      </c>
      <c r="F217" s="88" t="b">
        <v>0</v>
      </c>
      <c r="G217" s="88" t="b">
        <v>0</v>
      </c>
    </row>
    <row r="218" spans="1:7" ht="15">
      <c r="A218" s="89" t="s">
        <v>874</v>
      </c>
      <c r="B218" s="88">
        <v>12</v>
      </c>
      <c r="C218" s="121">
        <v>0.013476606097251896</v>
      </c>
      <c r="D218" s="88" t="s">
        <v>719</v>
      </c>
      <c r="E218" s="88" t="b">
        <v>0</v>
      </c>
      <c r="F218" s="88" t="b">
        <v>0</v>
      </c>
      <c r="G218" s="88" t="b">
        <v>0</v>
      </c>
    </row>
    <row r="219" spans="1:7" ht="15">
      <c r="A219" s="89" t="s">
        <v>878</v>
      </c>
      <c r="B219" s="88">
        <v>8</v>
      </c>
      <c r="C219" s="121">
        <v>0.005641561613776406</v>
      </c>
      <c r="D219" s="88" t="s">
        <v>719</v>
      </c>
      <c r="E219" s="88" t="b">
        <v>1</v>
      </c>
      <c r="F219" s="88" t="b">
        <v>0</v>
      </c>
      <c r="G219" s="88" t="b">
        <v>0</v>
      </c>
    </row>
    <row r="220" spans="1:7" ht="15">
      <c r="A220" s="89" t="s">
        <v>879</v>
      </c>
      <c r="B220" s="88">
        <v>8</v>
      </c>
      <c r="C220" s="121">
        <v>0.005641561613776406</v>
      </c>
      <c r="D220" s="88" t="s">
        <v>719</v>
      </c>
      <c r="E220" s="88" t="b">
        <v>0</v>
      </c>
      <c r="F220" s="88" t="b">
        <v>0</v>
      </c>
      <c r="G220" s="88" t="b">
        <v>0</v>
      </c>
    </row>
    <row r="221" spans="1:7" ht="15">
      <c r="A221" s="89" t="s">
        <v>883</v>
      </c>
      <c r="B221" s="88">
        <v>7</v>
      </c>
      <c r="C221" s="121">
        <v>0.006294037411531972</v>
      </c>
      <c r="D221" s="88" t="s">
        <v>719</v>
      </c>
      <c r="E221" s="88" t="b">
        <v>0</v>
      </c>
      <c r="F221" s="88" t="b">
        <v>0</v>
      </c>
      <c r="G221" s="88" t="b">
        <v>0</v>
      </c>
    </row>
    <row r="222" spans="1:7" ht="15">
      <c r="A222" s="89" t="s">
        <v>884</v>
      </c>
      <c r="B222" s="88">
        <v>6</v>
      </c>
      <c r="C222" s="121">
        <v>0.006738303048625948</v>
      </c>
      <c r="D222" s="88" t="s">
        <v>719</v>
      </c>
      <c r="E222" s="88" t="b">
        <v>0</v>
      </c>
      <c r="F222" s="88" t="b">
        <v>0</v>
      </c>
      <c r="G222" s="88" t="b">
        <v>0</v>
      </c>
    </row>
    <row r="223" spans="1:7" ht="15">
      <c r="A223" s="89" t="s">
        <v>885</v>
      </c>
      <c r="B223" s="88">
        <v>6</v>
      </c>
      <c r="C223" s="121">
        <v>0.006738303048625948</v>
      </c>
      <c r="D223" s="88" t="s">
        <v>719</v>
      </c>
      <c r="E223" s="88" t="b">
        <v>0</v>
      </c>
      <c r="F223" s="88" t="b">
        <v>0</v>
      </c>
      <c r="G223" s="88" t="b">
        <v>0</v>
      </c>
    </row>
    <row r="224" spans="1:7" ht="15">
      <c r="A224" s="89" t="s">
        <v>886</v>
      </c>
      <c r="B224" s="88">
        <v>6</v>
      </c>
      <c r="C224" s="121">
        <v>0.006738303048625948</v>
      </c>
      <c r="D224" s="88" t="s">
        <v>719</v>
      </c>
      <c r="E224" s="88" t="b">
        <v>0</v>
      </c>
      <c r="F224" s="88" t="b">
        <v>0</v>
      </c>
      <c r="G224" s="88" t="b">
        <v>0</v>
      </c>
    </row>
    <row r="225" spans="1:7" ht="15">
      <c r="A225" s="89" t="s">
        <v>887</v>
      </c>
      <c r="B225" s="88">
        <v>6</v>
      </c>
      <c r="C225" s="121">
        <v>0.006738303048625948</v>
      </c>
      <c r="D225" s="88" t="s">
        <v>719</v>
      </c>
      <c r="E225" s="88" t="b">
        <v>0</v>
      </c>
      <c r="F225" s="88" t="b">
        <v>0</v>
      </c>
      <c r="G225" s="88" t="b">
        <v>0</v>
      </c>
    </row>
    <row r="226" spans="1:7" ht="15">
      <c r="A226" s="89" t="s">
        <v>888</v>
      </c>
      <c r="B226" s="88">
        <v>6</v>
      </c>
      <c r="C226" s="121">
        <v>0.006738303048625948</v>
      </c>
      <c r="D226" s="88" t="s">
        <v>719</v>
      </c>
      <c r="E226" s="88" t="b">
        <v>0</v>
      </c>
      <c r="F226" s="88" t="b">
        <v>0</v>
      </c>
      <c r="G226" s="88" t="b">
        <v>0</v>
      </c>
    </row>
    <row r="227" spans="1:7" ht="15">
      <c r="A227" s="89" t="s">
        <v>1170</v>
      </c>
      <c r="B227" s="88">
        <v>6</v>
      </c>
      <c r="C227" s="121">
        <v>0.006738303048625948</v>
      </c>
      <c r="D227" s="88" t="s">
        <v>719</v>
      </c>
      <c r="E227" s="88" t="b">
        <v>0</v>
      </c>
      <c r="F227" s="88" t="b">
        <v>0</v>
      </c>
      <c r="G227" s="88" t="b">
        <v>0</v>
      </c>
    </row>
    <row r="228" spans="1:7" ht="15">
      <c r="A228" s="89" t="s">
        <v>1171</v>
      </c>
      <c r="B228" s="88">
        <v>6</v>
      </c>
      <c r="C228" s="121">
        <v>0.006738303048625948</v>
      </c>
      <c r="D228" s="88" t="s">
        <v>719</v>
      </c>
      <c r="E228" s="88" t="b">
        <v>1</v>
      </c>
      <c r="F228" s="88" t="b">
        <v>0</v>
      </c>
      <c r="G228" s="88" t="b">
        <v>0</v>
      </c>
    </row>
    <row r="229" spans="1:7" ht="15">
      <c r="A229" s="89" t="s">
        <v>1172</v>
      </c>
      <c r="B229" s="88">
        <v>6</v>
      </c>
      <c r="C229" s="121">
        <v>0.006738303048625948</v>
      </c>
      <c r="D229" s="88" t="s">
        <v>719</v>
      </c>
      <c r="E229" s="88" t="b">
        <v>1</v>
      </c>
      <c r="F229" s="88" t="b">
        <v>0</v>
      </c>
      <c r="G229" s="88" t="b">
        <v>0</v>
      </c>
    </row>
    <row r="230" spans="1:7" ht="15">
      <c r="A230" s="89" t="s">
        <v>1173</v>
      </c>
      <c r="B230" s="88">
        <v>6</v>
      </c>
      <c r="C230" s="121">
        <v>0.006738303048625948</v>
      </c>
      <c r="D230" s="88" t="s">
        <v>719</v>
      </c>
      <c r="E230" s="88" t="b">
        <v>0</v>
      </c>
      <c r="F230" s="88" t="b">
        <v>0</v>
      </c>
      <c r="G230" s="88" t="b">
        <v>0</v>
      </c>
    </row>
    <row r="231" spans="1:7" ht="15">
      <c r="A231" s="89" t="s">
        <v>1174</v>
      </c>
      <c r="B231" s="88">
        <v>6</v>
      </c>
      <c r="C231" s="121">
        <v>0.006738303048625948</v>
      </c>
      <c r="D231" s="88" t="s">
        <v>719</v>
      </c>
      <c r="E231" s="88" t="b">
        <v>0</v>
      </c>
      <c r="F231" s="88" t="b">
        <v>0</v>
      </c>
      <c r="G231" s="88" t="b">
        <v>0</v>
      </c>
    </row>
    <row r="232" spans="1:7" ht="15">
      <c r="A232" s="89" t="s">
        <v>1175</v>
      </c>
      <c r="B232" s="88">
        <v>6</v>
      </c>
      <c r="C232" s="121">
        <v>0.006738303048625948</v>
      </c>
      <c r="D232" s="88" t="s">
        <v>719</v>
      </c>
      <c r="E232" s="88" t="b">
        <v>0</v>
      </c>
      <c r="F232" s="88" t="b">
        <v>0</v>
      </c>
      <c r="G232" s="88" t="b">
        <v>0</v>
      </c>
    </row>
    <row r="233" spans="1:7" ht="15">
      <c r="A233" s="89" t="s">
        <v>1036</v>
      </c>
      <c r="B233" s="88">
        <v>6</v>
      </c>
      <c r="C233" s="121">
        <v>0.006738303048625948</v>
      </c>
      <c r="D233" s="88" t="s">
        <v>719</v>
      </c>
      <c r="E233" s="88" t="b">
        <v>0</v>
      </c>
      <c r="F233" s="88" t="b">
        <v>0</v>
      </c>
      <c r="G233" s="88" t="b">
        <v>0</v>
      </c>
    </row>
    <row r="234" spans="1:7" ht="15">
      <c r="A234" s="89" t="s">
        <v>1176</v>
      </c>
      <c r="B234" s="88">
        <v>6</v>
      </c>
      <c r="C234" s="121">
        <v>0.006738303048625948</v>
      </c>
      <c r="D234" s="88" t="s">
        <v>719</v>
      </c>
      <c r="E234" s="88" t="b">
        <v>0</v>
      </c>
      <c r="F234" s="88" t="b">
        <v>0</v>
      </c>
      <c r="G234" s="88" t="b">
        <v>0</v>
      </c>
    </row>
    <row r="235" spans="1:7" ht="15">
      <c r="A235" s="89" t="s">
        <v>1164</v>
      </c>
      <c r="B235" s="88">
        <v>6</v>
      </c>
      <c r="C235" s="121">
        <v>0.006738303048625948</v>
      </c>
      <c r="D235" s="88" t="s">
        <v>719</v>
      </c>
      <c r="E235" s="88" t="b">
        <v>0</v>
      </c>
      <c r="F235" s="88" t="b">
        <v>0</v>
      </c>
      <c r="G235" s="88" t="b">
        <v>0</v>
      </c>
    </row>
    <row r="236" spans="1:7" ht="15">
      <c r="A236" s="89" t="s">
        <v>1165</v>
      </c>
      <c r="B236" s="88">
        <v>6</v>
      </c>
      <c r="C236" s="121">
        <v>0.006738303048625948</v>
      </c>
      <c r="D236" s="88" t="s">
        <v>719</v>
      </c>
      <c r="E236" s="88" t="b">
        <v>0</v>
      </c>
      <c r="F236" s="88" t="b">
        <v>0</v>
      </c>
      <c r="G236" s="88" t="b">
        <v>0</v>
      </c>
    </row>
    <row r="237" spans="1:7" ht="15">
      <c r="A237" s="89" t="s">
        <v>1177</v>
      </c>
      <c r="B237" s="88">
        <v>6</v>
      </c>
      <c r="C237" s="121">
        <v>0.006738303048625948</v>
      </c>
      <c r="D237" s="88" t="s">
        <v>719</v>
      </c>
      <c r="E237" s="88" t="b">
        <v>0</v>
      </c>
      <c r="F237" s="88" t="b">
        <v>0</v>
      </c>
      <c r="G237" s="88" t="b">
        <v>0</v>
      </c>
    </row>
    <row r="238" spans="1:7" ht="15">
      <c r="A238" s="89" t="s">
        <v>877</v>
      </c>
      <c r="B238" s="88">
        <v>6</v>
      </c>
      <c r="C238" s="121">
        <v>0.012779038747568717</v>
      </c>
      <c r="D238" s="88" t="s">
        <v>719</v>
      </c>
      <c r="E238" s="88" t="b">
        <v>0</v>
      </c>
      <c r="F238" s="88" t="b">
        <v>0</v>
      </c>
      <c r="G238" s="88" t="b">
        <v>0</v>
      </c>
    </row>
    <row r="239" spans="1:7" ht="15">
      <c r="A239" s="89" t="s">
        <v>1178</v>
      </c>
      <c r="B239" s="88">
        <v>6</v>
      </c>
      <c r="C239" s="121">
        <v>0.012779038747568717</v>
      </c>
      <c r="D239" s="88" t="s">
        <v>719</v>
      </c>
      <c r="E239" s="88" t="b">
        <v>0</v>
      </c>
      <c r="F239" s="88" t="b">
        <v>0</v>
      </c>
      <c r="G239" s="88" t="b">
        <v>0</v>
      </c>
    </row>
    <row r="240" spans="1:7" ht="15">
      <c r="A240" s="89" t="s">
        <v>1194</v>
      </c>
      <c r="B240" s="88">
        <v>5</v>
      </c>
      <c r="C240" s="121">
        <v>0.006939353644996956</v>
      </c>
      <c r="D240" s="88" t="s">
        <v>719</v>
      </c>
      <c r="E240" s="88" t="b">
        <v>0</v>
      </c>
      <c r="F240" s="88" t="b">
        <v>0</v>
      </c>
      <c r="G240" s="88" t="b">
        <v>0</v>
      </c>
    </row>
    <row r="241" spans="1:7" ht="15">
      <c r="A241" s="89" t="s">
        <v>1195</v>
      </c>
      <c r="B241" s="88">
        <v>5</v>
      </c>
      <c r="C241" s="121">
        <v>0.006939353644996956</v>
      </c>
      <c r="D241" s="88" t="s">
        <v>719</v>
      </c>
      <c r="E241" s="88" t="b">
        <v>0</v>
      </c>
      <c r="F241" s="88" t="b">
        <v>0</v>
      </c>
      <c r="G241" s="88" t="b">
        <v>0</v>
      </c>
    </row>
    <row r="242" spans="1:7" ht="15">
      <c r="A242" s="89" t="s">
        <v>1196</v>
      </c>
      <c r="B242" s="88">
        <v>5</v>
      </c>
      <c r="C242" s="121">
        <v>0.006939353644996956</v>
      </c>
      <c r="D242" s="88" t="s">
        <v>719</v>
      </c>
      <c r="E242" s="88" t="b">
        <v>0</v>
      </c>
      <c r="F242" s="88" t="b">
        <v>0</v>
      </c>
      <c r="G242" s="88" t="b">
        <v>0</v>
      </c>
    </row>
    <row r="243" spans="1:7" ht="15">
      <c r="A243" s="89" t="s">
        <v>1197</v>
      </c>
      <c r="B243" s="88">
        <v>5</v>
      </c>
      <c r="C243" s="121">
        <v>0.006939353644996956</v>
      </c>
      <c r="D243" s="88" t="s">
        <v>719</v>
      </c>
      <c r="E243" s="88" t="b">
        <v>0</v>
      </c>
      <c r="F243" s="88" t="b">
        <v>0</v>
      </c>
      <c r="G243" s="88" t="b">
        <v>0</v>
      </c>
    </row>
    <row r="244" spans="1:7" ht="15">
      <c r="A244" s="89" t="s">
        <v>1198</v>
      </c>
      <c r="B244" s="88">
        <v>5</v>
      </c>
      <c r="C244" s="121">
        <v>0.006939353644996956</v>
      </c>
      <c r="D244" s="88" t="s">
        <v>719</v>
      </c>
      <c r="E244" s="88" t="b">
        <v>0</v>
      </c>
      <c r="F244" s="88" t="b">
        <v>0</v>
      </c>
      <c r="G244" s="88" t="b">
        <v>0</v>
      </c>
    </row>
    <row r="245" spans="1:7" ht="15">
      <c r="A245" s="89" t="s">
        <v>1200</v>
      </c>
      <c r="B245" s="88">
        <v>4</v>
      </c>
      <c r="C245" s="121">
        <v>0.006847937939516714</v>
      </c>
      <c r="D245" s="88" t="s">
        <v>719</v>
      </c>
      <c r="E245" s="88" t="b">
        <v>0</v>
      </c>
      <c r="F245" s="88" t="b">
        <v>0</v>
      </c>
      <c r="G245" s="88" t="b">
        <v>0</v>
      </c>
    </row>
    <row r="246" spans="1:7" ht="15">
      <c r="A246" s="89" t="s">
        <v>1201</v>
      </c>
      <c r="B246" s="88">
        <v>4</v>
      </c>
      <c r="C246" s="121">
        <v>0.006847937939516714</v>
      </c>
      <c r="D246" s="88" t="s">
        <v>719</v>
      </c>
      <c r="E246" s="88" t="b">
        <v>0</v>
      </c>
      <c r="F246" s="88" t="b">
        <v>0</v>
      </c>
      <c r="G246" s="88" t="b">
        <v>0</v>
      </c>
    </row>
    <row r="247" spans="1:7" ht="15">
      <c r="A247" s="89" t="s">
        <v>1202</v>
      </c>
      <c r="B247" s="88">
        <v>4</v>
      </c>
      <c r="C247" s="121">
        <v>0.006847937939516714</v>
      </c>
      <c r="D247" s="88" t="s">
        <v>719</v>
      </c>
      <c r="E247" s="88" t="b">
        <v>0</v>
      </c>
      <c r="F247" s="88" t="b">
        <v>0</v>
      </c>
      <c r="G247" s="88" t="b">
        <v>0</v>
      </c>
    </row>
    <row r="248" spans="1:7" ht="15">
      <c r="A248" s="89" t="s">
        <v>936</v>
      </c>
      <c r="B248" s="88">
        <v>4</v>
      </c>
      <c r="C248" s="121">
        <v>0.006847937939516714</v>
      </c>
      <c r="D248" s="88" t="s">
        <v>719</v>
      </c>
      <c r="E248" s="88" t="b">
        <v>0</v>
      </c>
      <c r="F248" s="88" t="b">
        <v>0</v>
      </c>
      <c r="G248" s="88" t="b">
        <v>0</v>
      </c>
    </row>
    <row r="249" spans="1:7" ht="15">
      <c r="A249" s="89" t="s">
        <v>1199</v>
      </c>
      <c r="B249" s="88">
        <v>4</v>
      </c>
      <c r="C249" s="121">
        <v>0.006847937939516714</v>
      </c>
      <c r="D249" s="88" t="s">
        <v>719</v>
      </c>
      <c r="E249" s="88" t="b">
        <v>0</v>
      </c>
      <c r="F249" s="88" t="b">
        <v>0</v>
      </c>
      <c r="G249" s="88" t="b">
        <v>0</v>
      </c>
    </row>
    <row r="250" spans="1:7" ht="15">
      <c r="A250" s="89" t="s">
        <v>1205</v>
      </c>
      <c r="B250" s="88">
        <v>3</v>
      </c>
      <c r="C250" s="121">
        <v>0.006389519373784358</v>
      </c>
      <c r="D250" s="88" t="s">
        <v>719</v>
      </c>
      <c r="E250" s="88" t="b">
        <v>0</v>
      </c>
      <c r="F250" s="88" t="b">
        <v>0</v>
      </c>
      <c r="G250" s="88" t="b">
        <v>0</v>
      </c>
    </row>
    <row r="251" spans="1:7" ht="15">
      <c r="A251" s="89" t="s">
        <v>1206</v>
      </c>
      <c r="B251" s="88">
        <v>3</v>
      </c>
      <c r="C251" s="121">
        <v>0.006389519373784358</v>
      </c>
      <c r="D251" s="88" t="s">
        <v>719</v>
      </c>
      <c r="E251" s="88" t="b">
        <v>0</v>
      </c>
      <c r="F251" s="88" t="b">
        <v>0</v>
      </c>
      <c r="G251" s="88" t="b">
        <v>0</v>
      </c>
    </row>
    <row r="252" spans="1:7" ht="15">
      <c r="A252" s="89" t="s">
        <v>1207</v>
      </c>
      <c r="B252" s="88">
        <v>3</v>
      </c>
      <c r="C252" s="121">
        <v>0.006389519373784358</v>
      </c>
      <c r="D252" s="88" t="s">
        <v>719</v>
      </c>
      <c r="E252" s="88" t="b">
        <v>0</v>
      </c>
      <c r="F252" s="88" t="b">
        <v>0</v>
      </c>
      <c r="G252" s="88" t="b">
        <v>0</v>
      </c>
    </row>
    <row r="253" spans="1:7" ht="15">
      <c r="A253" s="89" t="s">
        <v>1208</v>
      </c>
      <c r="B253" s="88">
        <v>3</v>
      </c>
      <c r="C253" s="121">
        <v>0.006389519373784358</v>
      </c>
      <c r="D253" s="88" t="s">
        <v>719</v>
      </c>
      <c r="E253" s="88" t="b">
        <v>0</v>
      </c>
      <c r="F253" s="88" t="b">
        <v>0</v>
      </c>
      <c r="G253" s="88" t="b">
        <v>0</v>
      </c>
    </row>
    <row r="254" spans="1:7" ht="15">
      <c r="A254" s="89" t="s">
        <v>1209</v>
      </c>
      <c r="B254" s="88">
        <v>3</v>
      </c>
      <c r="C254" s="121">
        <v>0.006389519373784358</v>
      </c>
      <c r="D254" s="88" t="s">
        <v>719</v>
      </c>
      <c r="E254" s="88" t="b">
        <v>0</v>
      </c>
      <c r="F254" s="88" t="b">
        <v>0</v>
      </c>
      <c r="G254" s="88" t="b">
        <v>0</v>
      </c>
    </row>
    <row r="255" spans="1:7" ht="15">
      <c r="A255" s="89" t="s">
        <v>1210</v>
      </c>
      <c r="B255" s="88">
        <v>3</v>
      </c>
      <c r="C255" s="121">
        <v>0.006389519373784358</v>
      </c>
      <c r="D255" s="88" t="s">
        <v>719</v>
      </c>
      <c r="E255" s="88" t="b">
        <v>0</v>
      </c>
      <c r="F255" s="88" t="b">
        <v>1</v>
      </c>
      <c r="G255" s="88" t="b">
        <v>0</v>
      </c>
    </row>
    <row r="256" spans="1:7" ht="15">
      <c r="A256" s="89" t="s">
        <v>1211</v>
      </c>
      <c r="B256" s="88">
        <v>3</v>
      </c>
      <c r="C256" s="121">
        <v>0.006389519373784358</v>
      </c>
      <c r="D256" s="88" t="s">
        <v>719</v>
      </c>
      <c r="E256" s="88" t="b">
        <v>0</v>
      </c>
      <c r="F256" s="88" t="b">
        <v>0</v>
      </c>
      <c r="G256" s="88" t="b">
        <v>0</v>
      </c>
    </row>
    <row r="257" spans="1:7" ht="15">
      <c r="A257" s="89" t="s">
        <v>1203</v>
      </c>
      <c r="B257" s="88">
        <v>3</v>
      </c>
      <c r="C257" s="121">
        <v>0.006389519373784358</v>
      </c>
      <c r="D257" s="88" t="s">
        <v>719</v>
      </c>
      <c r="E257" s="88" t="b">
        <v>0</v>
      </c>
      <c r="F257" s="88" t="b">
        <v>0</v>
      </c>
      <c r="G257" s="88" t="b">
        <v>0</v>
      </c>
    </row>
    <row r="258" spans="1:7" ht="15">
      <c r="A258" s="89" t="s">
        <v>1204</v>
      </c>
      <c r="B258" s="88">
        <v>3</v>
      </c>
      <c r="C258" s="121">
        <v>0.006389519373784358</v>
      </c>
      <c r="D258" s="88" t="s">
        <v>719</v>
      </c>
      <c r="E258" s="88" t="b">
        <v>0</v>
      </c>
      <c r="F258" s="88" t="b">
        <v>0</v>
      </c>
      <c r="G258" s="88" t="b">
        <v>0</v>
      </c>
    </row>
    <row r="259" spans="1:7" ht="15">
      <c r="A259" s="89" t="s">
        <v>1212</v>
      </c>
      <c r="B259" s="88">
        <v>3</v>
      </c>
      <c r="C259" s="121">
        <v>0.006389519373784358</v>
      </c>
      <c r="D259" s="88" t="s">
        <v>719</v>
      </c>
      <c r="E259" s="88" t="b">
        <v>0</v>
      </c>
      <c r="F259" s="88" t="b">
        <v>0</v>
      </c>
      <c r="G259" s="88" t="b">
        <v>0</v>
      </c>
    </row>
    <row r="260" spans="1:7" ht="15">
      <c r="A260" s="89" t="s">
        <v>1213</v>
      </c>
      <c r="B260" s="88">
        <v>3</v>
      </c>
      <c r="C260" s="121">
        <v>0.006389519373784358</v>
      </c>
      <c r="D260" s="88" t="s">
        <v>719</v>
      </c>
      <c r="E260" s="88" t="b">
        <v>0</v>
      </c>
      <c r="F260" s="88" t="b">
        <v>0</v>
      </c>
      <c r="G260" s="88" t="b">
        <v>0</v>
      </c>
    </row>
    <row r="261" spans="1:7" ht="15">
      <c r="A261" s="89" t="s">
        <v>1214</v>
      </c>
      <c r="B261" s="88">
        <v>3</v>
      </c>
      <c r="C261" s="121">
        <v>0.006389519373784358</v>
      </c>
      <c r="D261" s="88" t="s">
        <v>719</v>
      </c>
      <c r="E261" s="88" t="b">
        <v>0</v>
      </c>
      <c r="F261" s="88" t="b">
        <v>0</v>
      </c>
      <c r="G261" s="88" t="b">
        <v>0</v>
      </c>
    </row>
    <row r="262" spans="1:7" ht="15">
      <c r="A262" s="89" t="s">
        <v>1215</v>
      </c>
      <c r="B262" s="88">
        <v>3</v>
      </c>
      <c r="C262" s="121">
        <v>0.006389519373784358</v>
      </c>
      <c r="D262" s="88" t="s">
        <v>719</v>
      </c>
      <c r="E262" s="88" t="b">
        <v>0</v>
      </c>
      <c r="F262" s="88" t="b">
        <v>0</v>
      </c>
      <c r="G262" s="88" t="b">
        <v>0</v>
      </c>
    </row>
    <row r="263" spans="1:7" ht="15">
      <c r="A263" s="89" t="s">
        <v>1216</v>
      </c>
      <c r="B263" s="88">
        <v>3</v>
      </c>
      <c r="C263" s="121">
        <v>0.006389519373784358</v>
      </c>
      <c r="D263" s="88" t="s">
        <v>719</v>
      </c>
      <c r="E263" s="88" t="b">
        <v>0</v>
      </c>
      <c r="F263" s="88" t="b">
        <v>0</v>
      </c>
      <c r="G263" s="88" t="b">
        <v>0</v>
      </c>
    </row>
    <row r="264" spans="1:7" ht="15">
      <c r="A264" s="89" t="s">
        <v>1217</v>
      </c>
      <c r="B264" s="88">
        <v>3</v>
      </c>
      <c r="C264" s="121">
        <v>0.006389519373784358</v>
      </c>
      <c r="D264" s="88" t="s">
        <v>719</v>
      </c>
      <c r="E264" s="88" t="b">
        <v>0</v>
      </c>
      <c r="F264" s="88" t="b">
        <v>0</v>
      </c>
      <c r="G264" s="88" t="b">
        <v>0</v>
      </c>
    </row>
    <row r="265" spans="1:7" ht="15">
      <c r="A265" s="89" t="s">
        <v>1218</v>
      </c>
      <c r="B265" s="88">
        <v>3</v>
      </c>
      <c r="C265" s="121">
        <v>0.006389519373784358</v>
      </c>
      <c r="D265" s="88" t="s">
        <v>719</v>
      </c>
      <c r="E265" s="88" t="b">
        <v>0</v>
      </c>
      <c r="F265" s="88" t="b">
        <v>0</v>
      </c>
      <c r="G265" s="88" t="b">
        <v>0</v>
      </c>
    </row>
    <row r="266" spans="1:7" ht="15">
      <c r="A266" s="89" t="s">
        <v>1219</v>
      </c>
      <c r="B266" s="88">
        <v>3</v>
      </c>
      <c r="C266" s="121">
        <v>0.006389519373784358</v>
      </c>
      <c r="D266" s="88" t="s">
        <v>719</v>
      </c>
      <c r="E266" s="88" t="b">
        <v>0</v>
      </c>
      <c r="F266" s="88" t="b">
        <v>0</v>
      </c>
      <c r="G266" s="88" t="b">
        <v>0</v>
      </c>
    </row>
    <row r="267" spans="1:7" ht="15">
      <c r="A267" s="89" t="s">
        <v>1220</v>
      </c>
      <c r="B267" s="88">
        <v>3</v>
      </c>
      <c r="C267" s="121">
        <v>0.006389519373784358</v>
      </c>
      <c r="D267" s="88" t="s">
        <v>719</v>
      </c>
      <c r="E267" s="88" t="b">
        <v>0</v>
      </c>
      <c r="F267" s="88" t="b">
        <v>0</v>
      </c>
      <c r="G267" s="88" t="b">
        <v>0</v>
      </c>
    </row>
    <row r="268" spans="1:7" ht="15">
      <c r="A268" s="89" t="s">
        <v>1226</v>
      </c>
      <c r="B268" s="88">
        <v>2</v>
      </c>
      <c r="C268" s="121">
        <v>0.0054375475360726126</v>
      </c>
      <c r="D268" s="88" t="s">
        <v>719</v>
      </c>
      <c r="E268" s="88" t="b">
        <v>0</v>
      </c>
      <c r="F268" s="88" t="b">
        <v>0</v>
      </c>
      <c r="G268" s="88" t="b">
        <v>0</v>
      </c>
    </row>
    <row r="269" spans="1:7" ht="15">
      <c r="A269" s="89" t="s">
        <v>1227</v>
      </c>
      <c r="B269" s="88">
        <v>2</v>
      </c>
      <c r="C269" s="121">
        <v>0.0054375475360726126</v>
      </c>
      <c r="D269" s="88" t="s">
        <v>719</v>
      </c>
      <c r="E269" s="88" t="b">
        <v>0</v>
      </c>
      <c r="F269" s="88" t="b">
        <v>0</v>
      </c>
      <c r="G269" s="88" t="b">
        <v>0</v>
      </c>
    </row>
    <row r="270" spans="1:7" ht="15">
      <c r="A270" s="89" t="s">
        <v>1228</v>
      </c>
      <c r="B270" s="88">
        <v>2</v>
      </c>
      <c r="C270" s="121">
        <v>0.0054375475360726126</v>
      </c>
      <c r="D270" s="88" t="s">
        <v>719</v>
      </c>
      <c r="E270" s="88" t="b">
        <v>0</v>
      </c>
      <c r="F270" s="88" t="b">
        <v>0</v>
      </c>
      <c r="G270" s="88" t="b">
        <v>0</v>
      </c>
    </row>
    <row r="271" spans="1:7" ht="15">
      <c r="A271" s="89" t="s">
        <v>855</v>
      </c>
      <c r="B271" s="88">
        <v>2</v>
      </c>
      <c r="C271" s="121">
        <v>0.0054375475360726126</v>
      </c>
      <c r="D271" s="88" t="s">
        <v>719</v>
      </c>
      <c r="E271" s="88" t="b">
        <v>0</v>
      </c>
      <c r="F271" s="88" t="b">
        <v>0</v>
      </c>
      <c r="G271" s="88" t="b">
        <v>0</v>
      </c>
    </row>
    <row r="272" spans="1:7" ht="15">
      <c r="A272" s="89" t="s">
        <v>1229</v>
      </c>
      <c r="B272" s="88">
        <v>2</v>
      </c>
      <c r="C272" s="121">
        <v>0.0054375475360726126</v>
      </c>
      <c r="D272" s="88" t="s">
        <v>719</v>
      </c>
      <c r="E272" s="88" t="b">
        <v>0</v>
      </c>
      <c r="F272" s="88" t="b">
        <v>0</v>
      </c>
      <c r="G272" s="88" t="b">
        <v>0</v>
      </c>
    </row>
    <row r="273" spans="1:7" ht="15">
      <c r="A273" s="89" t="s">
        <v>1230</v>
      </c>
      <c r="B273" s="88">
        <v>2</v>
      </c>
      <c r="C273" s="121">
        <v>0.0054375475360726126</v>
      </c>
      <c r="D273" s="88" t="s">
        <v>719</v>
      </c>
      <c r="E273" s="88" t="b">
        <v>0</v>
      </c>
      <c r="F273" s="88" t="b">
        <v>0</v>
      </c>
      <c r="G273" s="88" t="b">
        <v>0</v>
      </c>
    </row>
    <row r="274" spans="1:7" ht="15">
      <c r="A274" s="89" t="s">
        <v>1231</v>
      </c>
      <c r="B274" s="88">
        <v>2</v>
      </c>
      <c r="C274" s="121">
        <v>0.0054375475360726126</v>
      </c>
      <c r="D274" s="88" t="s">
        <v>719</v>
      </c>
      <c r="E274" s="88" t="b">
        <v>0</v>
      </c>
      <c r="F274" s="88" t="b">
        <v>0</v>
      </c>
      <c r="G274" s="88" t="b">
        <v>0</v>
      </c>
    </row>
    <row r="275" spans="1:7" ht="15">
      <c r="A275" s="89" t="s">
        <v>1232</v>
      </c>
      <c r="B275" s="88">
        <v>2</v>
      </c>
      <c r="C275" s="121">
        <v>0.0054375475360726126</v>
      </c>
      <c r="D275" s="88" t="s">
        <v>719</v>
      </c>
      <c r="E275" s="88" t="b">
        <v>0</v>
      </c>
      <c r="F275" s="88" t="b">
        <v>0</v>
      </c>
      <c r="G275" s="88" t="b">
        <v>0</v>
      </c>
    </row>
    <row r="276" spans="1:7" ht="15">
      <c r="A276" s="89" t="s">
        <v>1233</v>
      </c>
      <c r="B276" s="88">
        <v>2</v>
      </c>
      <c r="C276" s="121">
        <v>0.0054375475360726126</v>
      </c>
      <c r="D276" s="88" t="s">
        <v>719</v>
      </c>
      <c r="E276" s="88" t="b">
        <v>0</v>
      </c>
      <c r="F276" s="88" t="b">
        <v>0</v>
      </c>
      <c r="G276" s="88" t="b">
        <v>0</v>
      </c>
    </row>
    <row r="277" spans="1:7" ht="15">
      <c r="A277" s="89" t="s">
        <v>1234</v>
      </c>
      <c r="B277" s="88">
        <v>2</v>
      </c>
      <c r="C277" s="121">
        <v>0.0054375475360726126</v>
      </c>
      <c r="D277" s="88" t="s">
        <v>719</v>
      </c>
      <c r="E277" s="88" t="b">
        <v>0</v>
      </c>
      <c r="F277" s="88" t="b">
        <v>0</v>
      </c>
      <c r="G277" s="88" t="b">
        <v>0</v>
      </c>
    </row>
    <row r="278" spans="1:7" ht="15">
      <c r="A278" s="89" t="s">
        <v>1235</v>
      </c>
      <c r="B278" s="88">
        <v>2</v>
      </c>
      <c r="C278" s="121">
        <v>0.0054375475360726126</v>
      </c>
      <c r="D278" s="88" t="s">
        <v>719</v>
      </c>
      <c r="E278" s="88" t="b">
        <v>0</v>
      </c>
      <c r="F278" s="88" t="b">
        <v>0</v>
      </c>
      <c r="G278" s="88" t="b">
        <v>0</v>
      </c>
    </row>
    <row r="279" spans="1:7" ht="15">
      <c r="A279" s="89" t="s">
        <v>1236</v>
      </c>
      <c r="B279" s="88">
        <v>2</v>
      </c>
      <c r="C279" s="121">
        <v>0.0054375475360726126</v>
      </c>
      <c r="D279" s="88" t="s">
        <v>719</v>
      </c>
      <c r="E279" s="88" t="b">
        <v>0</v>
      </c>
      <c r="F279" s="88" t="b">
        <v>0</v>
      </c>
      <c r="G279" s="88" t="b">
        <v>0</v>
      </c>
    </row>
    <row r="280" spans="1:7" ht="15">
      <c r="A280" s="89" t="s">
        <v>1245</v>
      </c>
      <c r="B280" s="88">
        <v>2</v>
      </c>
      <c r="C280" s="121">
        <v>0.0054375475360726126</v>
      </c>
      <c r="D280" s="88" t="s">
        <v>719</v>
      </c>
      <c r="E280" s="88" t="b">
        <v>1</v>
      </c>
      <c r="F280" s="88" t="b">
        <v>0</v>
      </c>
      <c r="G280" s="88" t="b">
        <v>0</v>
      </c>
    </row>
    <row r="281" spans="1:7" ht="15">
      <c r="A281" s="89" t="s">
        <v>1246</v>
      </c>
      <c r="B281" s="88">
        <v>2</v>
      </c>
      <c r="C281" s="121">
        <v>0.0054375475360726126</v>
      </c>
      <c r="D281" s="88" t="s">
        <v>719</v>
      </c>
      <c r="E281" s="88" t="b">
        <v>0</v>
      </c>
      <c r="F281" s="88" t="b">
        <v>0</v>
      </c>
      <c r="G281" s="88" t="b">
        <v>0</v>
      </c>
    </row>
    <row r="282" spans="1:7" ht="15">
      <c r="A282" s="89" t="s">
        <v>1247</v>
      </c>
      <c r="B282" s="88">
        <v>2</v>
      </c>
      <c r="C282" s="121">
        <v>0.0054375475360726126</v>
      </c>
      <c r="D282" s="88" t="s">
        <v>719</v>
      </c>
      <c r="E282" s="88" t="b">
        <v>0</v>
      </c>
      <c r="F282" s="88" t="b">
        <v>0</v>
      </c>
      <c r="G282" s="88" t="b">
        <v>0</v>
      </c>
    </row>
    <row r="283" spans="1:7" ht="15">
      <c r="A283" s="89" t="s">
        <v>917</v>
      </c>
      <c r="B283" s="88">
        <v>2</v>
      </c>
      <c r="C283" s="121">
        <v>0.0054375475360726126</v>
      </c>
      <c r="D283" s="88" t="s">
        <v>719</v>
      </c>
      <c r="E283" s="88" t="b">
        <v>0</v>
      </c>
      <c r="F283" s="88" t="b">
        <v>0</v>
      </c>
      <c r="G283" s="88" t="b">
        <v>0</v>
      </c>
    </row>
    <row r="284" spans="1:7" ht="15">
      <c r="A284" s="89" t="s">
        <v>1248</v>
      </c>
      <c r="B284" s="88">
        <v>2</v>
      </c>
      <c r="C284" s="121">
        <v>0.0054375475360726126</v>
      </c>
      <c r="D284" s="88" t="s">
        <v>719</v>
      </c>
      <c r="E284" s="88" t="b">
        <v>0</v>
      </c>
      <c r="F284" s="88" t="b">
        <v>0</v>
      </c>
      <c r="G284" s="88" t="b">
        <v>0</v>
      </c>
    </row>
    <row r="285" spans="1:7" ht="15">
      <c r="A285" s="89" t="s">
        <v>1168</v>
      </c>
      <c r="B285" s="88">
        <v>2</v>
      </c>
      <c r="C285" s="121">
        <v>0.0054375475360726126</v>
      </c>
      <c r="D285" s="88" t="s">
        <v>719</v>
      </c>
      <c r="E285" s="88" t="b">
        <v>0</v>
      </c>
      <c r="F285" s="88" t="b">
        <v>0</v>
      </c>
      <c r="G285" s="88" t="b">
        <v>0</v>
      </c>
    </row>
    <row r="286" spans="1:7" ht="15">
      <c r="A286" s="89" t="s">
        <v>1249</v>
      </c>
      <c r="B286" s="88">
        <v>2</v>
      </c>
      <c r="C286" s="121">
        <v>0.0054375475360726126</v>
      </c>
      <c r="D286" s="88" t="s">
        <v>719</v>
      </c>
      <c r="E286" s="88" t="b">
        <v>0</v>
      </c>
      <c r="F286" s="88" t="b">
        <v>0</v>
      </c>
      <c r="G286" s="88" t="b">
        <v>0</v>
      </c>
    </row>
    <row r="287" spans="1:7" ht="15">
      <c r="A287" s="89" t="s">
        <v>1250</v>
      </c>
      <c r="B287" s="88">
        <v>2</v>
      </c>
      <c r="C287" s="121">
        <v>0.0054375475360726126</v>
      </c>
      <c r="D287" s="88" t="s">
        <v>719</v>
      </c>
      <c r="E287" s="88" t="b">
        <v>0</v>
      </c>
      <c r="F287" s="88" t="b">
        <v>0</v>
      </c>
      <c r="G287" s="88" t="b">
        <v>0</v>
      </c>
    </row>
    <row r="288" spans="1:7" ht="15">
      <c r="A288" s="89" t="s">
        <v>894</v>
      </c>
      <c r="B288" s="88">
        <v>2</v>
      </c>
      <c r="C288" s="121">
        <v>0.0054375475360726126</v>
      </c>
      <c r="D288" s="88" t="s">
        <v>719</v>
      </c>
      <c r="E288" s="88" t="b">
        <v>0</v>
      </c>
      <c r="F288" s="88" t="b">
        <v>0</v>
      </c>
      <c r="G288" s="88" t="b">
        <v>0</v>
      </c>
    </row>
    <row r="289" spans="1:7" ht="15">
      <c r="A289" s="89" t="s">
        <v>1251</v>
      </c>
      <c r="B289" s="88">
        <v>2</v>
      </c>
      <c r="C289" s="121">
        <v>0.0054375475360726126</v>
      </c>
      <c r="D289" s="88" t="s">
        <v>719</v>
      </c>
      <c r="E289" s="88" t="b">
        <v>0</v>
      </c>
      <c r="F289" s="88" t="b">
        <v>0</v>
      </c>
      <c r="G289" s="88" t="b">
        <v>0</v>
      </c>
    </row>
    <row r="290" spans="1:7" ht="15">
      <c r="A290" s="89" t="s">
        <v>871</v>
      </c>
      <c r="B290" s="88">
        <v>7</v>
      </c>
      <c r="C290" s="121">
        <v>0</v>
      </c>
      <c r="D290" s="88" t="s">
        <v>720</v>
      </c>
      <c r="E290" s="88" t="b">
        <v>0</v>
      </c>
      <c r="F290" s="88" t="b">
        <v>0</v>
      </c>
      <c r="G290" s="88" t="b">
        <v>0</v>
      </c>
    </row>
    <row r="291" spans="1:7" ht="15">
      <c r="A291" s="89" t="s">
        <v>873</v>
      </c>
      <c r="B291" s="88">
        <v>4</v>
      </c>
      <c r="C291" s="121">
        <v>0.005964123894142195</v>
      </c>
      <c r="D291" s="88" t="s">
        <v>720</v>
      </c>
      <c r="E291" s="88" t="b">
        <v>0</v>
      </c>
      <c r="F291" s="88" t="b">
        <v>0</v>
      </c>
      <c r="G291" s="88" t="b">
        <v>0</v>
      </c>
    </row>
    <row r="292" spans="1:7" ht="15">
      <c r="A292" s="89" t="s">
        <v>850</v>
      </c>
      <c r="B292" s="88">
        <v>4</v>
      </c>
      <c r="C292" s="121">
        <v>0.005964123894142195</v>
      </c>
      <c r="D292" s="88" t="s">
        <v>720</v>
      </c>
      <c r="E292" s="88" t="b">
        <v>0</v>
      </c>
      <c r="F292" s="88" t="b">
        <v>0</v>
      </c>
      <c r="G292" s="88" t="b">
        <v>0</v>
      </c>
    </row>
    <row r="293" spans="1:7" ht="15">
      <c r="A293" s="89" t="s">
        <v>890</v>
      </c>
      <c r="B293" s="88">
        <v>3</v>
      </c>
      <c r="C293" s="121">
        <v>0.006772578870452658</v>
      </c>
      <c r="D293" s="88" t="s">
        <v>720</v>
      </c>
      <c r="E293" s="88" t="b">
        <v>0</v>
      </c>
      <c r="F293" s="88" t="b">
        <v>0</v>
      </c>
      <c r="G293" s="88" t="b">
        <v>0</v>
      </c>
    </row>
    <row r="294" spans="1:7" ht="15">
      <c r="A294" s="89" t="s">
        <v>891</v>
      </c>
      <c r="B294" s="88">
        <v>2</v>
      </c>
      <c r="C294" s="121">
        <v>0.01036930110446941</v>
      </c>
      <c r="D294" s="88" t="s">
        <v>720</v>
      </c>
      <c r="E294" s="88" t="b">
        <v>0</v>
      </c>
      <c r="F294" s="88" t="b">
        <v>0</v>
      </c>
      <c r="G294" s="88" t="b">
        <v>0</v>
      </c>
    </row>
    <row r="295" spans="1:7" ht="15">
      <c r="A295" s="89" t="s">
        <v>892</v>
      </c>
      <c r="B295" s="88">
        <v>2</v>
      </c>
      <c r="C295" s="121">
        <v>0.006675681525770254</v>
      </c>
      <c r="D295" s="88" t="s">
        <v>720</v>
      </c>
      <c r="E295" s="88" t="b">
        <v>0</v>
      </c>
      <c r="F295" s="88" t="b">
        <v>0</v>
      </c>
      <c r="G295" s="88" t="b">
        <v>0</v>
      </c>
    </row>
    <row r="296" spans="1:7" ht="15">
      <c r="A296" s="89" t="s">
        <v>893</v>
      </c>
      <c r="B296" s="88">
        <v>2</v>
      </c>
      <c r="C296" s="121">
        <v>0.01036930110446941</v>
      </c>
      <c r="D296" s="88" t="s">
        <v>720</v>
      </c>
      <c r="E296" s="88" t="b">
        <v>0</v>
      </c>
      <c r="F296" s="88" t="b">
        <v>0</v>
      </c>
      <c r="G296" s="88" t="b">
        <v>0</v>
      </c>
    </row>
    <row r="297" spans="1:7" ht="15">
      <c r="A297" s="89" t="s">
        <v>894</v>
      </c>
      <c r="B297" s="88">
        <v>2</v>
      </c>
      <c r="C297" s="121">
        <v>0.006675681525770254</v>
      </c>
      <c r="D297" s="88" t="s">
        <v>720</v>
      </c>
      <c r="E297" s="88" t="b">
        <v>0</v>
      </c>
      <c r="F297" s="88" t="b">
        <v>0</v>
      </c>
      <c r="G297" s="88" t="b">
        <v>0</v>
      </c>
    </row>
    <row r="298" spans="1:7" ht="15">
      <c r="A298" s="89" t="s">
        <v>895</v>
      </c>
      <c r="B298" s="88">
        <v>2</v>
      </c>
      <c r="C298" s="121">
        <v>0.01036930110446941</v>
      </c>
      <c r="D298" s="88" t="s">
        <v>720</v>
      </c>
      <c r="E298" s="88" t="b">
        <v>0</v>
      </c>
      <c r="F298" s="88" t="b">
        <v>0</v>
      </c>
      <c r="G298" s="88" t="b">
        <v>0</v>
      </c>
    </row>
    <row r="299" spans="1:7" ht="15">
      <c r="A299" s="89" t="s">
        <v>896</v>
      </c>
      <c r="B299" s="88">
        <v>2</v>
      </c>
      <c r="C299" s="121">
        <v>0.01036930110446941</v>
      </c>
      <c r="D299" s="88" t="s">
        <v>720</v>
      </c>
      <c r="E299" s="88" t="b">
        <v>0</v>
      </c>
      <c r="F299" s="88" t="b">
        <v>0</v>
      </c>
      <c r="G299" s="88" t="b">
        <v>0</v>
      </c>
    </row>
    <row r="300" spans="1:7" ht="15">
      <c r="A300" s="89" t="s">
        <v>872</v>
      </c>
      <c r="B300" s="88">
        <v>20</v>
      </c>
      <c r="C300" s="121">
        <v>0</v>
      </c>
      <c r="D300" s="88" t="s">
        <v>721</v>
      </c>
      <c r="E300" s="88" t="b">
        <v>0</v>
      </c>
      <c r="F300" s="88" t="b">
        <v>0</v>
      </c>
      <c r="G300" s="88" t="b">
        <v>0</v>
      </c>
    </row>
    <row r="301" spans="1:7" ht="15">
      <c r="A301" s="89" t="s">
        <v>875</v>
      </c>
      <c r="B301" s="88">
        <v>10</v>
      </c>
      <c r="C301" s="121">
        <v>0</v>
      </c>
      <c r="D301" s="88" t="s">
        <v>721</v>
      </c>
      <c r="E301" s="88" t="b">
        <v>0</v>
      </c>
      <c r="F301" s="88" t="b">
        <v>0</v>
      </c>
      <c r="G301" s="88" t="b">
        <v>0</v>
      </c>
    </row>
    <row r="302" spans="1:7" ht="15">
      <c r="A302" s="89" t="s">
        <v>876</v>
      </c>
      <c r="B302" s="88">
        <v>10</v>
      </c>
      <c r="C302" s="121">
        <v>0</v>
      </c>
      <c r="D302" s="88" t="s">
        <v>721</v>
      </c>
      <c r="E302" s="88" t="b">
        <v>0</v>
      </c>
      <c r="F302" s="88" t="b">
        <v>0</v>
      </c>
      <c r="G302" s="88" t="b">
        <v>0</v>
      </c>
    </row>
    <row r="303" spans="1:7" ht="15">
      <c r="A303" s="89" t="s">
        <v>898</v>
      </c>
      <c r="B303" s="88">
        <v>5</v>
      </c>
      <c r="C303" s="121">
        <v>0</v>
      </c>
      <c r="D303" s="88" t="s">
        <v>721</v>
      </c>
      <c r="E303" s="88" t="b">
        <v>0</v>
      </c>
      <c r="F303" s="88" t="b">
        <v>0</v>
      </c>
      <c r="G303" s="88" t="b">
        <v>0</v>
      </c>
    </row>
    <row r="304" spans="1:7" ht="15">
      <c r="A304" s="89" t="s">
        <v>899</v>
      </c>
      <c r="B304" s="88">
        <v>5</v>
      </c>
      <c r="C304" s="121">
        <v>0</v>
      </c>
      <c r="D304" s="88" t="s">
        <v>721</v>
      </c>
      <c r="E304" s="88" t="b">
        <v>0</v>
      </c>
      <c r="F304" s="88" t="b">
        <v>0</v>
      </c>
      <c r="G304" s="88" t="b">
        <v>0</v>
      </c>
    </row>
    <row r="305" spans="1:7" ht="15">
      <c r="A305" s="89" t="s">
        <v>900</v>
      </c>
      <c r="B305" s="88">
        <v>5</v>
      </c>
      <c r="C305" s="121">
        <v>0</v>
      </c>
      <c r="D305" s="88" t="s">
        <v>721</v>
      </c>
      <c r="E305" s="88" t="b">
        <v>0</v>
      </c>
      <c r="F305" s="88" t="b">
        <v>0</v>
      </c>
      <c r="G305" s="88" t="b">
        <v>0</v>
      </c>
    </row>
    <row r="306" spans="1:7" ht="15">
      <c r="A306" s="89" t="s">
        <v>901</v>
      </c>
      <c r="B306" s="88">
        <v>5</v>
      </c>
      <c r="C306" s="121">
        <v>0</v>
      </c>
      <c r="D306" s="88" t="s">
        <v>721</v>
      </c>
      <c r="E306" s="88" t="b">
        <v>0</v>
      </c>
      <c r="F306" s="88" t="b">
        <v>0</v>
      </c>
      <c r="G306" s="88" t="b">
        <v>0</v>
      </c>
    </row>
    <row r="307" spans="1:7" ht="15">
      <c r="A307" s="89" t="s">
        <v>902</v>
      </c>
      <c r="B307" s="88">
        <v>5</v>
      </c>
      <c r="C307" s="121">
        <v>0</v>
      </c>
      <c r="D307" s="88" t="s">
        <v>721</v>
      </c>
      <c r="E307" s="88" t="b">
        <v>0</v>
      </c>
      <c r="F307" s="88" t="b">
        <v>0</v>
      </c>
      <c r="G307" s="88" t="b">
        <v>0</v>
      </c>
    </row>
    <row r="308" spans="1:7" ht="15">
      <c r="A308" s="89" t="s">
        <v>903</v>
      </c>
      <c r="B308" s="88">
        <v>5</v>
      </c>
      <c r="C308" s="121">
        <v>0</v>
      </c>
      <c r="D308" s="88" t="s">
        <v>721</v>
      </c>
      <c r="E308" s="88" t="b">
        <v>0</v>
      </c>
      <c r="F308" s="88" t="b">
        <v>0</v>
      </c>
      <c r="G308" s="88" t="b">
        <v>0</v>
      </c>
    </row>
    <row r="309" spans="1:7" ht="15">
      <c r="A309" s="89" t="s">
        <v>904</v>
      </c>
      <c r="B309" s="88">
        <v>5</v>
      </c>
      <c r="C309" s="121">
        <v>0</v>
      </c>
      <c r="D309" s="88" t="s">
        <v>721</v>
      </c>
      <c r="E309" s="88" t="b">
        <v>0</v>
      </c>
      <c r="F309" s="88" t="b">
        <v>0</v>
      </c>
      <c r="G309" s="88" t="b">
        <v>0</v>
      </c>
    </row>
    <row r="310" spans="1:7" ht="15">
      <c r="A310" s="89" t="s">
        <v>1179</v>
      </c>
      <c r="B310" s="88">
        <v>5</v>
      </c>
      <c r="C310" s="121">
        <v>0</v>
      </c>
      <c r="D310" s="88" t="s">
        <v>721</v>
      </c>
      <c r="E310" s="88" t="b">
        <v>0</v>
      </c>
      <c r="F310" s="88" t="b">
        <v>0</v>
      </c>
      <c r="G310" s="88" t="b">
        <v>0</v>
      </c>
    </row>
    <row r="311" spans="1:7" ht="15">
      <c r="A311" s="89" t="s">
        <v>1180</v>
      </c>
      <c r="B311" s="88">
        <v>5</v>
      </c>
      <c r="C311" s="121">
        <v>0</v>
      </c>
      <c r="D311" s="88" t="s">
        <v>721</v>
      </c>
      <c r="E311" s="88" t="b">
        <v>0</v>
      </c>
      <c r="F311" s="88" t="b">
        <v>0</v>
      </c>
      <c r="G311" s="88" t="b">
        <v>0</v>
      </c>
    </row>
    <row r="312" spans="1:7" ht="15">
      <c r="A312" s="89" t="s">
        <v>1181</v>
      </c>
      <c r="B312" s="88">
        <v>5</v>
      </c>
      <c r="C312" s="121">
        <v>0</v>
      </c>
      <c r="D312" s="88" t="s">
        <v>721</v>
      </c>
      <c r="E312" s="88" t="b">
        <v>0</v>
      </c>
      <c r="F312" s="88" t="b">
        <v>0</v>
      </c>
      <c r="G312" s="88" t="b">
        <v>0</v>
      </c>
    </row>
    <row r="313" spans="1:7" ht="15">
      <c r="A313" s="89" t="s">
        <v>1182</v>
      </c>
      <c r="B313" s="88">
        <v>5</v>
      </c>
      <c r="C313" s="121">
        <v>0</v>
      </c>
      <c r="D313" s="88" t="s">
        <v>721</v>
      </c>
      <c r="E313" s="88" t="b">
        <v>0</v>
      </c>
      <c r="F313" s="88" t="b">
        <v>0</v>
      </c>
      <c r="G313" s="88" t="b">
        <v>0</v>
      </c>
    </row>
    <row r="314" spans="1:7" ht="15">
      <c r="A314" s="89" t="s">
        <v>1183</v>
      </c>
      <c r="B314" s="88">
        <v>5</v>
      </c>
      <c r="C314" s="121">
        <v>0</v>
      </c>
      <c r="D314" s="88" t="s">
        <v>721</v>
      </c>
      <c r="E314" s="88" t="b">
        <v>0</v>
      </c>
      <c r="F314" s="88" t="b">
        <v>0</v>
      </c>
      <c r="G314" s="88" t="b">
        <v>0</v>
      </c>
    </row>
    <row r="315" spans="1:7" ht="15">
      <c r="A315" s="89" t="s">
        <v>1184</v>
      </c>
      <c r="B315" s="88">
        <v>5</v>
      </c>
      <c r="C315" s="121">
        <v>0</v>
      </c>
      <c r="D315" s="88" t="s">
        <v>721</v>
      </c>
      <c r="E315" s="88" t="b">
        <v>0</v>
      </c>
      <c r="F315" s="88" t="b">
        <v>0</v>
      </c>
      <c r="G315" s="88" t="b">
        <v>0</v>
      </c>
    </row>
    <row r="316" spans="1:7" ht="15">
      <c r="A316" s="89" t="s">
        <v>1185</v>
      </c>
      <c r="B316" s="88">
        <v>5</v>
      </c>
      <c r="C316" s="121">
        <v>0</v>
      </c>
      <c r="D316" s="88" t="s">
        <v>721</v>
      </c>
      <c r="E316" s="88" t="b">
        <v>0</v>
      </c>
      <c r="F316" s="88" t="b">
        <v>0</v>
      </c>
      <c r="G316" s="88" t="b">
        <v>0</v>
      </c>
    </row>
    <row r="317" spans="1:7" ht="15">
      <c r="A317" s="89" t="s">
        <v>1166</v>
      </c>
      <c r="B317" s="88">
        <v>5</v>
      </c>
      <c r="C317" s="121">
        <v>0</v>
      </c>
      <c r="D317" s="88" t="s">
        <v>721</v>
      </c>
      <c r="E317" s="88" t="b">
        <v>0</v>
      </c>
      <c r="F317" s="88" t="b">
        <v>0</v>
      </c>
      <c r="G317" s="88" t="b">
        <v>0</v>
      </c>
    </row>
    <row r="318" spans="1:7" ht="15">
      <c r="A318" s="89" t="s">
        <v>1186</v>
      </c>
      <c r="B318" s="88">
        <v>5</v>
      </c>
      <c r="C318" s="121">
        <v>0</v>
      </c>
      <c r="D318" s="88" t="s">
        <v>721</v>
      </c>
      <c r="E318" s="88" t="b">
        <v>0</v>
      </c>
      <c r="F318" s="88" t="b">
        <v>0</v>
      </c>
      <c r="G318" s="88" t="b">
        <v>0</v>
      </c>
    </row>
    <row r="319" spans="1:7" ht="15">
      <c r="A319" s="89" t="s">
        <v>1187</v>
      </c>
      <c r="B319" s="88">
        <v>5</v>
      </c>
      <c r="C319" s="121">
        <v>0</v>
      </c>
      <c r="D319" s="88" t="s">
        <v>721</v>
      </c>
      <c r="E319" s="88" t="b">
        <v>0</v>
      </c>
      <c r="F319" s="88" t="b">
        <v>0</v>
      </c>
      <c r="G319" s="88" t="b">
        <v>0</v>
      </c>
    </row>
    <row r="320" spans="1:7" ht="15">
      <c r="A320" s="89" t="s">
        <v>1188</v>
      </c>
      <c r="B320" s="88">
        <v>5</v>
      </c>
      <c r="C320" s="121">
        <v>0</v>
      </c>
      <c r="D320" s="88" t="s">
        <v>721</v>
      </c>
      <c r="E320" s="88" t="b">
        <v>0</v>
      </c>
      <c r="F320" s="88" t="b">
        <v>0</v>
      </c>
      <c r="G320" s="88" t="b">
        <v>0</v>
      </c>
    </row>
    <row r="321" spans="1:7" ht="15">
      <c r="A321" s="89" t="s">
        <v>1189</v>
      </c>
      <c r="B321" s="88">
        <v>5</v>
      </c>
      <c r="C321" s="121">
        <v>0</v>
      </c>
      <c r="D321" s="88" t="s">
        <v>721</v>
      </c>
      <c r="E321" s="88" t="b">
        <v>0</v>
      </c>
      <c r="F321" s="88" t="b">
        <v>0</v>
      </c>
      <c r="G321" s="88" t="b">
        <v>0</v>
      </c>
    </row>
    <row r="322" spans="1:7" ht="15">
      <c r="A322" s="89" t="s">
        <v>1190</v>
      </c>
      <c r="B322" s="88">
        <v>5</v>
      </c>
      <c r="C322" s="121">
        <v>0</v>
      </c>
      <c r="D322" s="88" t="s">
        <v>721</v>
      </c>
      <c r="E322" s="88" t="b">
        <v>0</v>
      </c>
      <c r="F322" s="88" t="b">
        <v>0</v>
      </c>
      <c r="G322" s="88" t="b">
        <v>0</v>
      </c>
    </row>
    <row r="323" spans="1:7" ht="15">
      <c r="A323" s="89" t="s">
        <v>1167</v>
      </c>
      <c r="B323" s="88">
        <v>5</v>
      </c>
      <c r="C323" s="121">
        <v>0</v>
      </c>
      <c r="D323" s="88" t="s">
        <v>721</v>
      </c>
      <c r="E323" s="88" t="b">
        <v>0</v>
      </c>
      <c r="F323" s="88" t="b">
        <v>0</v>
      </c>
      <c r="G323" s="88" t="b">
        <v>0</v>
      </c>
    </row>
    <row r="324" spans="1:7" ht="15">
      <c r="A324" s="89" t="s">
        <v>1191</v>
      </c>
      <c r="B324" s="88">
        <v>5</v>
      </c>
      <c r="C324" s="121">
        <v>0</v>
      </c>
      <c r="D324" s="88" t="s">
        <v>721</v>
      </c>
      <c r="E324" s="88" t="b">
        <v>0</v>
      </c>
      <c r="F324" s="88" t="b">
        <v>0</v>
      </c>
      <c r="G324" s="88" t="b">
        <v>0</v>
      </c>
    </row>
    <row r="325" spans="1:7" ht="15">
      <c r="A325" s="89" t="s">
        <v>1192</v>
      </c>
      <c r="B325" s="88">
        <v>5</v>
      </c>
      <c r="C325" s="121">
        <v>0</v>
      </c>
      <c r="D325" s="88" t="s">
        <v>721</v>
      </c>
      <c r="E325" s="88" t="b">
        <v>0</v>
      </c>
      <c r="F325" s="88" t="b">
        <v>0</v>
      </c>
      <c r="G325" s="88" t="b">
        <v>0</v>
      </c>
    </row>
    <row r="326" spans="1:7" ht="15">
      <c r="A326" s="89" t="s">
        <v>1193</v>
      </c>
      <c r="B326" s="88">
        <v>5</v>
      </c>
      <c r="C326" s="121">
        <v>0</v>
      </c>
      <c r="D326" s="88" t="s">
        <v>721</v>
      </c>
      <c r="E326" s="88" t="b">
        <v>0</v>
      </c>
      <c r="F326" s="88" t="b">
        <v>0</v>
      </c>
      <c r="G326" s="88" t="b">
        <v>0</v>
      </c>
    </row>
    <row r="327" spans="1:7" ht="15">
      <c r="A327" s="89" t="s">
        <v>871</v>
      </c>
      <c r="B327" s="88">
        <v>5</v>
      </c>
      <c r="C327" s="121">
        <v>0</v>
      </c>
      <c r="D327" s="88" t="s">
        <v>721</v>
      </c>
      <c r="E327" s="88" t="b">
        <v>0</v>
      </c>
      <c r="F327" s="88" t="b">
        <v>0</v>
      </c>
      <c r="G327" s="88" t="b">
        <v>0</v>
      </c>
    </row>
    <row r="328" spans="1:7" ht="15">
      <c r="A328" s="89" t="s">
        <v>906</v>
      </c>
      <c r="B328" s="88">
        <v>3</v>
      </c>
      <c r="C328" s="121">
        <v>0</v>
      </c>
      <c r="D328" s="88" t="s">
        <v>722</v>
      </c>
      <c r="E328" s="88" t="b">
        <v>0</v>
      </c>
      <c r="F328" s="88" t="b">
        <v>0</v>
      </c>
      <c r="G328" s="88" t="b">
        <v>0</v>
      </c>
    </row>
    <row r="329" spans="1:7" ht="15">
      <c r="A329" s="89" t="s">
        <v>907</v>
      </c>
      <c r="B329" s="88">
        <v>2</v>
      </c>
      <c r="C329" s="121">
        <v>0</v>
      </c>
      <c r="D329" s="88" t="s">
        <v>722</v>
      </c>
      <c r="E329" s="88" t="b">
        <v>0</v>
      </c>
      <c r="F329" s="88" t="b">
        <v>0</v>
      </c>
      <c r="G329" s="88" t="b">
        <v>0</v>
      </c>
    </row>
    <row r="330" spans="1:7" ht="15">
      <c r="A330" s="89" t="s">
        <v>908</v>
      </c>
      <c r="B330" s="88">
        <v>2</v>
      </c>
      <c r="C330" s="121">
        <v>0</v>
      </c>
      <c r="D330" s="88" t="s">
        <v>722</v>
      </c>
      <c r="E330" s="88" t="b">
        <v>0</v>
      </c>
      <c r="F330" s="88" t="b">
        <v>1</v>
      </c>
      <c r="G330" s="88" t="b">
        <v>0</v>
      </c>
    </row>
    <row r="331" spans="1:7" ht="15">
      <c r="A331" s="89" t="s">
        <v>909</v>
      </c>
      <c r="B331" s="88">
        <v>2</v>
      </c>
      <c r="C331" s="121">
        <v>0</v>
      </c>
      <c r="D331" s="88" t="s">
        <v>722</v>
      </c>
      <c r="E331" s="88" t="b">
        <v>1</v>
      </c>
      <c r="F331" s="88" t="b">
        <v>0</v>
      </c>
      <c r="G331" s="88" t="b">
        <v>0</v>
      </c>
    </row>
    <row r="332" spans="1:7" ht="15">
      <c r="A332" s="89" t="s">
        <v>910</v>
      </c>
      <c r="B332" s="88">
        <v>2</v>
      </c>
      <c r="C332" s="121">
        <v>0</v>
      </c>
      <c r="D332" s="88" t="s">
        <v>722</v>
      </c>
      <c r="E332" s="88" t="b">
        <v>0</v>
      </c>
      <c r="F332" s="88" t="b">
        <v>0</v>
      </c>
      <c r="G332" s="88" t="b">
        <v>0</v>
      </c>
    </row>
    <row r="333" spans="1:7" ht="15">
      <c r="A333" s="89" t="s">
        <v>274</v>
      </c>
      <c r="B333" s="88">
        <v>2</v>
      </c>
      <c r="C333" s="121">
        <v>0</v>
      </c>
      <c r="D333" s="88" t="s">
        <v>722</v>
      </c>
      <c r="E333" s="88" t="b">
        <v>0</v>
      </c>
      <c r="F333" s="88" t="b">
        <v>0</v>
      </c>
      <c r="G333" s="88" t="b">
        <v>0</v>
      </c>
    </row>
    <row r="334" spans="1:7" ht="15">
      <c r="A334" s="89" t="s">
        <v>273</v>
      </c>
      <c r="B334" s="88">
        <v>2</v>
      </c>
      <c r="C334" s="121">
        <v>0</v>
      </c>
      <c r="D334" s="88" t="s">
        <v>722</v>
      </c>
      <c r="E334" s="88" t="b">
        <v>0</v>
      </c>
      <c r="F334" s="88" t="b">
        <v>0</v>
      </c>
      <c r="G334" s="88" t="b">
        <v>0</v>
      </c>
    </row>
    <row r="335" spans="1:7" ht="15">
      <c r="A335" s="89" t="s">
        <v>911</v>
      </c>
      <c r="B335" s="88">
        <v>2</v>
      </c>
      <c r="C335" s="121">
        <v>0</v>
      </c>
      <c r="D335" s="88" t="s">
        <v>722</v>
      </c>
      <c r="E335" s="88" t="b">
        <v>0</v>
      </c>
      <c r="F335" s="88" t="b">
        <v>0</v>
      </c>
      <c r="G335" s="88" t="b">
        <v>0</v>
      </c>
    </row>
    <row r="336" spans="1:7" ht="15">
      <c r="A336" s="89" t="s">
        <v>912</v>
      </c>
      <c r="B336" s="88">
        <v>2</v>
      </c>
      <c r="C336" s="121">
        <v>0</v>
      </c>
      <c r="D336" s="88" t="s">
        <v>722</v>
      </c>
      <c r="E336" s="88" t="b">
        <v>0</v>
      </c>
      <c r="F336" s="88" t="b">
        <v>0</v>
      </c>
      <c r="G336" s="88" t="b">
        <v>0</v>
      </c>
    </row>
    <row r="337" spans="1:7" ht="15">
      <c r="A337" s="89" t="s">
        <v>913</v>
      </c>
      <c r="B337" s="88">
        <v>2</v>
      </c>
      <c r="C337" s="121">
        <v>0</v>
      </c>
      <c r="D337" s="88" t="s">
        <v>722</v>
      </c>
      <c r="E337" s="88" t="b">
        <v>0</v>
      </c>
      <c r="F337" s="88" t="b">
        <v>1</v>
      </c>
      <c r="G337" s="88" t="b">
        <v>0</v>
      </c>
    </row>
    <row r="338" spans="1:7" ht="15">
      <c r="A338" s="89" t="s">
        <v>1224</v>
      </c>
      <c r="B338" s="88">
        <v>2</v>
      </c>
      <c r="C338" s="121">
        <v>0</v>
      </c>
      <c r="D338" s="88" t="s">
        <v>722</v>
      </c>
      <c r="E338" s="88" t="b">
        <v>0</v>
      </c>
      <c r="F338" s="88" t="b">
        <v>0</v>
      </c>
      <c r="G338" s="88" t="b">
        <v>0</v>
      </c>
    </row>
    <row r="339" spans="1:7" ht="15">
      <c r="A339" s="89" t="s">
        <v>1225</v>
      </c>
      <c r="B339" s="88">
        <v>2</v>
      </c>
      <c r="C339" s="121">
        <v>0</v>
      </c>
      <c r="D339" s="88" t="s">
        <v>722</v>
      </c>
      <c r="E339" s="88" t="b">
        <v>0</v>
      </c>
      <c r="F339" s="88" t="b">
        <v>0</v>
      </c>
      <c r="G339" s="88" t="b">
        <v>0</v>
      </c>
    </row>
    <row r="340" spans="1:7" ht="15">
      <c r="A340" s="89" t="s">
        <v>871</v>
      </c>
      <c r="B340" s="88">
        <v>2</v>
      </c>
      <c r="C340" s="121">
        <v>0</v>
      </c>
      <c r="D340" s="88" t="s">
        <v>722</v>
      </c>
      <c r="E340" s="88" t="b">
        <v>0</v>
      </c>
      <c r="F340" s="88" t="b">
        <v>0</v>
      </c>
      <c r="G340" s="88" t="b">
        <v>0</v>
      </c>
    </row>
    <row r="341" spans="1:7" ht="15">
      <c r="A341" s="89" t="s">
        <v>845</v>
      </c>
      <c r="B341" s="88">
        <v>2</v>
      </c>
      <c r="C341" s="121">
        <v>0</v>
      </c>
      <c r="D341" s="88" t="s">
        <v>723</v>
      </c>
      <c r="E341" s="88" t="b">
        <v>0</v>
      </c>
      <c r="F341" s="88" t="b">
        <v>0</v>
      </c>
      <c r="G341" s="88" t="b">
        <v>0</v>
      </c>
    </row>
    <row r="342" spans="1:7" ht="15">
      <c r="A342" s="89" t="s">
        <v>915</v>
      </c>
      <c r="B342" s="88">
        <v>2</v>
      </c>
      <c r="C342" s="121">
        <v>0</v>
      </c>
      <c r="D342" s="88" t="s">
        <v>723</v>
      </c>
      <c r="E342" s="88" t="b">
        <v>0</v>
      </c>
      <c r="F342" s="88" t="b">
        <v>0</v>
      </c>
      <c r="G342" s="88" t="b">
        <v>0</v>
      </c>
    </row>
    <row r="343" spans="1:7" ht="15">
      <c r="A343" s="89" t="s">
        <v>873</v>
      </c>
      <c r="B343" s="88">
        <v>2</v>
      </c>
      <c r="C343" s="121">
        <v>0</v>
      </c>
      <c r="D343" s="88" t="s">
        <v>723</v>
      </c>
      <c r="E343" s="88" t="b">
        <v>0</v>
      </c>
      <c r="F343" s="88" t="b">
        <v>0</v>
      </c>
      <c r="G343" s="88" t="b">
        <v>0</v>
      </c>
    </row>
    <row r="344" spans="1:7" ht="15">
      <c r="A344" s="89" t="s">
        <v>916</v>
      </c>
      <c r="B344" s="88">
        <v>2</v>
      </c>
      <c r="C344" s="121">
        <v>0</v>
      </c>
      <c r="D344" s="88" t="s">
        <v>723</v>
      </c>
      <c r="E344" s="88" t="b">
        <v>0</v>
      </c>
      <c r="F344" s="88" t="b">
        <v>0</v>
      </c>
      <c r="G344" s="88" t="b">
        <v>0</v>
      </c>
    </row>
    <row r="345" spans="1:7" ht="15">
      <c r="A345" s="89" t="s">
        <v>917</v>
      </c>
      <c r="B345" s="88">
        <v>2</v>
      </c>
      <c r="C345" s="121">
        <v>0</v>
      </c>
      <c r="D345" s="88" t="s">
        <v>723</v>
      </c>
      <c r="E345" s="88" t="b">
        <v>0</v>
      </c>
      <c r="F345" s="88" t="b">
        <v>0</v>
      </c>
      <c r="G345" s="88" t="b">
        <v>0</v>
      </c>
    </row>
    <row r="346" spans="1:7" ht="15">
      <c r="A346" s="89" t="s">
        <v>918</v>
      </c>
      <c r="B346" s="88">
        <v>2</v>
      </c>
      <c r="C346" s="121">
        <v>0</v>
      </c>
      <c r="D346" s="88" t="s">
        <v>723</v>
      </c>
      <c r="E346" s="88" t="b">
        <v>0</v>
      </c>
      <c r="F346" s="88" t="b">
        <v>0</v>
      </c>
      <c r="G346" s="88" t="b">
        <v>0</v>
      </c>
    </row>
    <row r="347" spans="1:7" ht="15">
      <c r="A347" s="89" t="s">
        <v>919</v>
      </c>
      <c r="B347" s="88">
        <v>2</v>
      </c>
      <c r="C347" s="121">
        <v>0</v>
      </c>
      <c r="D347" s="88" t="s">
        <v>723</v>
      </c>
      <c r="E347" s="88" t="b">
        <v>0</v>
      </c>
      <c r="F347" s="88" t="b">
        <v>0</v>
      </c>
      <c r="G347" s="88" t="b">
        <v>0</v>
      </c>
    </row>
    <row r="348" spans="1:7" ht="15">
      <c r="A348" s="89" t="s">
        <v>272</v>
      </c>
      <c r="B348" s="88">
        <v>2</v>
      </c>
      <c r="C348" s="121">
        <v>0</v>
      </c>
      <c r="D348" s="88" t="s">
        <v>723</v>
      </c>
      <c r="E348" s="88" t="b">
        <v>0</v>
      </c>
      <c r="F348" s="88" t="b">
        <v>0</v>
      </c>
      <c r="G348" s="88" t="b">
        <v>0</v>
      </c>
    </row>
    <row r="349" spans="1:7" ht="15">
      <c r="A349" s="89" t="s">
        <v>920</v>
      </c>
      <c r="B349" s="88">
        <v>2</v>
      </c>
      <c r="C349" s="121">
        <v>0</v>
      </c>
      <c r="D349" s="88" t="s">
        <v>723</v>
      </c>
      <c r="E349" s="88" t="b">
        <v>0</v>
      </c>
      <c r="F349" s="88" t="b">
        <v>0</v>
      </c>
      <c r="G349" s="88" t="b">
        <v>0</v>
      </c>
    </row>
    <row r="350" spans="1:7" ht="15">
      <c r="A350" s="89" t="s">
        <v>871</v>
      </c>
      <c r="B350" s="88">
        <v>2</v>
      </c>
      <c r="C350" s="121">
        <v>0</v>
      </c>
      <c r="D350" s="88" t="s">
        <v>723</v>
      </c>
      <c r="E350" s="88" t="b">
        <v>0</v>
      </c>
      <c r="F350" s="88" t="b">
        <v>0</v>
      </c>
      <c r="G350" s="88" t="b">
        <v>0</v>
      </c>
    </row>
    <row r="351" spans="1:7" ht="15">
      <c r="A351" s="89" t="s">
        <v>1273</v>
      </c>
      <c r="B351" s="88">
        <v>2</v>
      </c>
      <c r="C351" s="121">
        <v>0</v>
      </c>
      <c r="D351" s="88" t="s">
        <v>723</v>
      </c>
      <c r="E351" s="88" t="b">
        <v>0</v>
      </c>
      <c r="F351" s="88" t="b">
        <v>0</v>
      </c>
      <c r="G351" s="88" t="b">
        <v>0</v>
      </c>
    </row>
    <row r="352" spans="1:7" ht="15">
      <c r="A352" s="89" t="s">
        <v>1274</v>
      </c>
      <c r="B352" s="88">
        <v>2</v>
      </c>
      <c r="C352" s="121">
        <v>0</v>
      </c>
      <c r="D352" s="88" t="s">
        <v>723</v>
      </c>
      <c r="E352" s="88" t="b">
        <v>0</v>
      </c>
      <c r="F352" s="88" t="b">
        <v>0</v>
      </c>
      <c r="G352" s="88" t="b">
        <v>0</v>
      </c>
    </row>
    <row r="353" spans="1:7" ht="15">
      <c r="A353" s="89" t="s">
        <v>922</v>
      </c>
      <c r="B353" s="88">
        <v>3</v>
      </c>
      <c r="C353" s="121">
        <v>0</v>
      </c>
      <c r="D353" s="88" t="s">
        <v>724</v>
      </c>
      <c r="E353" s="88" t="b">
        <v>0</v>
      </c>
      <c r="F353" s="88" t="b">
        <v>0</v>
      </c>
      <c r="G353" s="88" t="b">
        <v>0</v>
      </c>
    </row>
    <row r="354" spans="1:7" ht="15">
      <c r="A354" s="89" t="s">
        <v>923</v>
      </c>
      <c r="B354" s="88">
        <v>3</v>
      </c>
      <c r="C354" s="121">
        <v>0</v>
      </c>
      <c r="D354" s="88" t="s">
        <v>724</v>
      </c>
      <c r="E354" s="88" t="b">
        <v>0</v>
      </c>
      <c r="F354" s="88" t="b">
        <v>0</v>
      </c>
      <c r="G354" s="88" t="b">
        <v>0</v>
      </c>
    </row>
    <row r="355" spans="1:7" ht="15">
      <c r="A355" s="89" t="s">
        <v>924</v>
      </c>
      <c r="B355" s="88">
        <v>3</v>
      </c>
      <c r="C355" s="121">
        <v>0</v>
      </c>
      <c r="D355" s="88" t="s">
        <v>724</v>
      </c>
      <c r="E355" s="88" t="b">
        <v>1</v>
      </c>
      <c r="F355" s="88" t="b">
        <v>0</v>
      </c>
      <c r="G355" s="88" t="b">
        <v>0</v>
      </c>
    </row>
    <row r="356" spans="1:7" ht="15">
      <c r="A356" s="89" t="s">
        <v>925</v>
      </c>
      <c r="B356" s="88">
        <v>3</v>
      </c>
      <c r="C356" s="121">
        <v>0</v>
      </c>
      <c r="D356" s="88" t="s">
        <v>724</v>
      </c>
      <c r="E356" s="88" t="b">
        <v>0</v>
      </c>
      <c r="F356" s="88" t="b">
        <v>0</v>
      </c>
      <c r="G356" s="88" t="b">
        <v>0</v>
      </c>
    </row>
    <row r="357" spans="1:7" ht="15">
      <c r="A357" s="89" t="s">
        <v>926</v>
      </c>
      <c r="B357" s="88">
        <v>3</v>
      </c>
      <c r="C357" s="121">
        <v>0</v>
      </c>
      <c r="D357" s="88" t="s">
        <v>724</v>
      </c>
      <c r="E357" s="88" t="b">
        <v>0</v>
      </c>
      <c r="F357" s="88" t="b">
        <v>0</v>
      </c>
      <c r="G357" s="88" t="b">
        <v>0</v>
      </c>
    </row>
    <row r="358" spans="1:7" ht="15">
      <c r="A358" s="89" t="s">
        <v>927</v>
      </c>
      <c r="B358" s="88">
        <v>3</v>
      </c>
      <c r="C358" s="121">
        <v>0</v>
      </c>
      <c r="D358" s="88" t="s">
        <v>724</v>
      </c>
      <c r="E358" s="88" t="b">
        <v>0</v>
      </c>
      <c r="F358" s="88" t="b">
        <v>0</v>
      </c>
      <c r="G358" s="88" t="b">
        <v>0</v>
      </c>
    </row>
    <row r="359" spans="1:7" ht="15">
      <c r="A359" s="89" t="s">
        <v>928</v>
      </c>
      <c r="B359" s="88">
        <v>3</v>
      </c>
      <c r="C359" s="121">
        <v>0</v>
      </c>
      <c r="D359" s="88" t="s">
        <v>724</v>
      </c>
      <c r="E359" s="88" t="b">
        <v>0</v>
      </c>
      <c r="F359" s="88" t="b">
        <v>0</v>
      </c>
      <c r="G359" s="88" t="b">
        <v>0</v>
      </c>
    </row>
    <row r="360" spans="1:7" ht="15">
      <c r="A360" s="89" t="s">
        <v>929</v>
      </c>
      <c r="B360" s="88">
        <v>3</v>
      </c>
      <c r="C360" s="121">
        <v>0</v>
      </c>
      <c r="D360" s="88" t="s">
        <v>724</v>
      </c>
      <c r="E360" s="88" t="b">
        <v>0</v>
      </c>
      <c r="F360" s="88" t="b">
        <v>0</v>
      </c>
      <c r="G360" s="88" t="b">
        <v>0</v>
      </c>
    </row>
    <row r="361" spans="1:7" ht="15">
      <c r="A361" s="89" t="s">
        <v>930</v>
      </c>
      <c r="B361" s="88">
        <v>3</v>
      </c>
      <c r="C361" s="121">
        <v>0</v>
      </c>
      <c r="D361" s="88" t="s">
        <v>724</v>
      </c>
      <c r="E361" s="88" t="b">
        <v>0</v>
      </c>
      <c r="F361" s="88" t="b">
        <v>0</v>
      </c>
      <c r="G361" s="88" t="b">
        <v>0</v>
      </c>
    </row>
    <row r="362" spans="1:7" ht="15">
      <c r="A362" s="89" t="s">
        <v>234</v>
      </c>
      <c r="B362" s="88">
        <v>3</v>
      </c>
      <c r="C362" s="121">
        <v>0</v>
      </c>
      <c r="D362" s="88" t="s">
        <v>724</v>
      </c>
      <c r="E362" s="88" t="b">
        <v>0</v>
      </c>
      <c r="F362" s="88" t="b">
        <v>0</v>
      </c>
      <c r="G362" s="88" t="b">
        <v>0</v>
      </c>
    </row>
    <row r="363" spans="1:7" ht="15">
      <c r="A363" s="89" t="s">
        <v>871</v>
      </c>
      <c r="B363" s="88">
        <v>3</v>
      </c>
      <c r="C363" s="121">
        <v>0</v>
      </c>
      <c r="D363" s="88" t="s">
        <v>724</v>
      </c>
      <c r="E363" s="88" t="b">
        <v>0</v>
      </c>
      <c r="F363" s="88" t="b">
        <v>0</v>
      </c>
      <c r="G363" s="88" t="b">
        <v>0</v>
      </c>
    </row>
    <row r="364" spans="1:7" ht="15">
      <c r="A364" s="89" t="s">
        <v>1169</v>
      </c>
      <c r="B364" s="88">
        <v>3</v>
      </c>
      <c r="C364" s="121">
        <v>0</v>
      </c>
      <c r="D364" s="88" t="s">
        <v>724</v>
      </c>
      <c r="E364" s="88" t="b">
        <v>0</v>
      </c>
      <c r="F364" s="88" t="b">
        <v>0</v>
      </c>
      <c r="G364" s="88" t="b">
        <v>0</v>
      </c>
    </row>
    <row r="365" spans="1:7" ht="15">
      <c r="A365" s="89" t="s">
        <v>932</v>
      </c>
      <c r="B365" s="88">
        <v>2</v>
      </c>
      <c r="C365" s="121">
        <v>0</v>
      </c>
      <c r="D365" s="88" t="s">
        <v>725</v>
      </c>
      <c r="E365" s="88" t="b">
        <v>0</v>
      </c>
      <c r="F365" s="88" t="b">
        <v>0</v>
      </c>
      <c r="G365" s="88" t="b">
        <v>0</v>
      </c>
    </row>
    <row r="366" spans="1:7" ht="15">
      <c r="A366" s="89" t="s">
        <v>873</v>
      </c>
      <c r="B366" s="88">
        <v>2</v>
      </c>
      <c r="C366" s="121">
        <v>0</v>
      </c>
      <c r="D366" s="88" t="s">
        <v>727</v>
      </c>
      <c r="E366" s="88" t="b">
        <v>0</v>
      </c>
      <c r="F366" s="88" t="b">
        <v>0</v>
      </c>
      <c r="G366" s="88" t="b">
        <v>0</v>
      </c>
    </row>
    <row r="367" spans="1:7" ht="15">
      <c r="A367" s="89" t="s">
        <v>850</v>
      </c>
      <c r="B367" s="88">
        <v>2</v>
      </c>
      <c r="C367" s="121">
        <v>0</v>
      </c>
      <c r="D367" s="88" t="s">
        <v>727</v>
      </c>
      <c r="E367" s="88" t="b">
        <v>0</v>
      </c>
      <c r="F367" s="88" t="b">
        <v>0</v>
      </c>
      <c r="G367" s="88" t="b">
        <v>0</v>
      </c>
    </row>
    <row r="368" spans="1:7" ht="15">
      <c r="A368" s="89" t="s">
        <v>935</v>
      </c>
      <c r="B368" s="88">
        <v>2</v>
      </c>
      <c r="C368" s="121">
        <v>0</v>
      </c>
      <c r="D368" s="88" t="s">
        <v>727</v>
      </c>
      <c r="E368" s="88" t="b">
        <v>0</v>
      </c>
      <c r="F368" s="88" t="b">
        <v>0</v>
      </c>
      <c r="G368" s="88" t="b">
        <v>0</v>
      </c>
    </row>
    <row r="369" spans="1:7" ht="15">
      <c r="A369" s="89" t="s">
        <v>871</v>
      </c>
      <c r="B369" s="88">
        <v>2</v>
      </c>
      <c r="C369" s="121">
        <v>0</v>
      </c>
      <c r="D369" s="88" t="s">
        <v>727</v>
      </c>
      <c r="E369" s="88" t="b">
        <v>0</v>
      </c>
      <c r="F369" s="88" t="b">
        <v>0</v>
      </c>
      <c r="G369" s="88" t="b">
        <v>0</v>
      </c>
    </row>
    <row r="370" spans="1:7" ht="15">
      <c r="A370" s="89" t="s">
        <v>936</v>
      </c>
      <c r="B370" s="88">
        <v>2</v>
      </c>
      <c r="C370" s="121">
        <v>0</v>
      </c>
      <c r="D370" s="88" t="s">
        <v>727</v>
      </c>
      <c r="E370" s="88" t="b">
        <v>0</v>
      </c>
      <c r="F370" s="88" t="b">
        <v>0</v>
      </c>
      <c r="G370" s="88" t="b">
        <v>0</v>
      </c>
    </row>
    <row r="371" spans="1:7" ht="15">
      <c r="A371" s="89" t="s">
        <v>937</v>
      </c>
      <c r="B371" s="88">
        <v>2</v>
      </c>
      <c r="C371" s="121">
        <v>0</v>
      </c>
      <c r="D371" s="88" t="s">
        <v>727</v>
      </c>
      <c r="E371" s="88" t="b">
        <v>0</v>
      </c>
      <c r="F371" s="88" t="b">
        <v>0</v>
      </c>
      <c r="G371" s="88" t="b">
        <v>0</v>
      </c>
    </row>
    <row r="372" spans="1:7" ht="15">
      <c r="A372" s="89" t="s">
        <v>1252</v>
      </c>
      <c r="B372" s="88">
        <v>2</v>
      </c>
      <c r="C372" s="121">
        <v>0</v>
      </c>
      <c r="D372" s="88" t="s">
        <v>728</v>
      </c>
      <c r="E372" s="88" t="b">
        <v>0</v>
      </c>
      <c r="F372" s="88" t="b">
        <v>0</v>
      </c>
      <c r="G372" s="88" t="b">
        <v>0</v>
      </c>
    </row>
    <row r="373" spans="1:7" ht="15">
      <c r="A373" s="89" t="s">
        <v>1253</v>
      </c>
      <c r="B373" s="88">
        <v>2</v>
      </c>
      <c r="C373" s="121">
        <v>0</v>
      </c>
      <c r="D373" s="88" t="s">
        <v>728</v>
      </c>
      <c r="E373" s="88" t="b">
        <v>0</v>
      </c>
      <c r="F373" s="88" t="b">
        <v>0</v>
      </c>
      <c r="G373" s="88" t="b">
        <v>0</v>
      </c>
    </row>
    <row r="374" spans="1:7" ht="15">
      <c r="A374" s="89" t="s">
        <v>1254</v>
      </c>
      <c r="B374" s="88">
        <v>2</v>
      </c>
      <c r="C374" s="121">
        <v>0</v>
      </c>
      <c r="D374" s="88" t="s">
        <v>728</v>
      </c>
      <c r="E374" s="88" t="b">
        <v>1</v>
      </c>
      <c r="F374" s="88" t="b">
        <v>0</v>
      </c>
      <c r="G374" s="88" t="b">
        <v>0</v>
      </c>
    </row>
    <row r="375" spans="1:7" ht="15">
      <c r="A375" s="89" t="s">
        <v>1255</v>
      </c>
      <c r="B375" s="88">
        <v>2</v>
      </c>
      <c r="C375" s="121">
        <v>0</v>
      </c>
      <c r="D375" s="88" t="s">
        <v>728</v>
      </c>
      <c r="E375" s="88" t="b">
        <v>0</v>
      </c>
      <c r="F375" s="88" t="b">
        <v>0</v>
      </c>
      <c r="G375" s="88" t="b">
        <v>0</v>
      </c>
    </row>
    <row r="376" spans="1:7" ht="15">
      <c r="A376" s="89" t="s">
        <v>1256</v>
      </c>
      <c r="B376" s="88">
        <v>2</v>
      </c>
      <c r="C376" s="121">
        <v>0</v>
      </c>
      <c r="D376" s="88" t="s">
        <v>728</v>
      </c>
      <c r="E376" s="88" t="b">
        <v>0</v>
      </c>
      <c r="F376" s="88" t="b">
        <v>0</v>
      </c>
      <c r="G376" s="88" t="b">
        <v>0</v>
      </c>
    </row>
    <row r="377" spans="1:7" ht="15">
      <c r="A377" s="89" t="s">
        <v>1257</v>
      </c>
      <c r="B377" s="88">
        <v>2</v>
      </c>
      <c r="C377" s="121">
        <v>0</v>
      </c>
      <c r="D377" s="88" t="s">
        <v>728</v>
      </c>
      <c r="E377" s="88" t="b">
        <v>0</v>
      </c>
      <c r="F377" s="88" t="b">
        <v>0</v>
      </c>
      <c r="G377" s="88" t="b">
        <v>0</v>
      </c>
    </row>
    <row r="378" spans="1:7" ht="15">
      <c r="A378" s="89" t="s">
        <v>1258</v>
      </c>
      <c r="B378" s="88">
        <v>2</v>
      </c>
      <c r="C378" s="121">
        <v>0</v>
      </c>
      <c r="D378" s="88" t="s">
        <v>728</v>
      </c>
      <c r="E378" s="88" t="b">
        <v>0</v>
      </c>
      <c r="F378" s="88" t="b">
        <v>0</v>
      </c>
      <c r="G378" s="88" t="b">
        <v>0</v>
      </c>
    </row>
    <row r="379" spans="1:7" ht="15">
      <c r="A379" s="89" t="s">
        <v>871</v>
      </c>
      <c r="B379" s="88">
        <v>2</v>
      </c>
      <c r="C379" s="121">
        <v>0</v>
      </c>
      <c r="D379" s="88" t="s">
        <v>728</v>
      </c>
      <c r="E379" s="88" t="b">
        <v>0</v>
      </c>
      <c r="F379" s="88" t="b">
        <v>0</v>
      </c>
      <c r="G379" s="88" t="b">
        <v>0</v>
      </c>
    </row>
    <row r="380" spans="1:7" ht="15">
      <c r="A380" s="89" t="s">
        <v>1259</v>
      </c>
      <c r="B380" s="88">
        <v>2</v>
      </c>
      <c r="C380" s="121">
        <v>0</v>
      </c>
      <c r="D380" s="88" t="s">
        <v>728</v>
      </c>
      <c r="E380" s="88" t="b">
        <v>0</v>
      </c>
      <c r="F380" s="88" t="b">
        <v>0</v>
      </c>
      <c r="G380" s="88" t="b">
        <v>0</v>
      </c>
    </row>
    <row r="381" spans="1:7" ht="15">
      <c r="A381" s="89" t="s">
        <v>1260</v>
      </c>
      <c r="B381" s="88">
        <v>2</v>
      </c>
      <c r="C381" s="121">
        <v>0</v>
      </c>
      <c r="D381" s="88" t="s">
        <v>728</v>
      </c>
      <c r="E381" s="88" t="b">
        <v>0</v>
      </c>
      <c r="F381" s="88" t="b">
        <v>0</v>
      </c>
      <c r="G381" s="88" t="b">
        <v>0</v>
      </c>
    </row>
    <row r="382" spans="1:7" ht="15">
      <c r="A382" s="89" t="s">
        <v>1261</v>
      </c>
      <c r="B382" s="88">
        <v>2</v>
      </c>
      <c r="C382" s="121">
        <v>0</v>
      </c>
      <c r="D382" s="88" t="s">
        <v>728</v>
      </c>
      <c r="E382" s="88" t="b">
        <v>0</v>
      </c>
      <c r="F382" s="88" t="b">
        <v>0</v>
      </c>
      <c r="G382" s="88" t="b">
        <v>0</v>
      </c>
    </row>
    <row r="383" spans="1:7" ht="15">
      <c r="A383" s="89" t="s">
        <v>1262</v>
      </c>
      <c r="B383" s="88">
        <v>2</v>
      </c>
      <c r="C383" s="121">
        <v>0</v>
      </c>
      <c r="D383" s="88" t="s">
        <v>728</v>
      </c>
      <c r="E383" s="88" t="b">
        <v>0</v>
      </c>
      <c r="F383" s="88" t="b">
        <v>0</v>
      </c>
      <c r="G383" s="88" t="b">
        <v>0</v>
      </c>
    </row>
    <row r="384" spans="1:7" ht="15">
      <c r="A384" s="89" t="s">
        <v>1263</v>
      </c>
      <c r="B384" s="88">
        <v>2</v>
      </c>
      <c r="C384" s="121">
        <v>0</v>
      </c>
      <c r="D384" s="88" t="s">
        <v>728</v>
      </c>
      <c r="E384" s="88" t="b">
        <v>0</v>
      </c>
      <c r="F384" s="88" t="b">
        <v>0</v>
      </c>
      <c r="G384" s="88" t="b">
        <v>0</v>
      </c>
    </row>
    <row r="385" spans="1:7" ht="15">
      <c r="A385" s="89" t="s">
        <v>1264</v>
      </c>
      <c r="B385" s="88">
        <v>2</v>
      </c>
      <c r="C385" s="121">
        <v>0</v>
      </c>
      <c r="D385" s="88" t="s">
        <v>728</v>
      </c>
      <c r="E385" s="88" t="b">
        <v>0</v>
      </c>
      <c r="F385" s="88" t="b">
        <v>0</v>
      </c>
      <c r="G385" s="88" t="b">
        <v>0</v>
      </c>
    </row>
    <row r="386" spans="1:7" ht="15">
      <c r="A386" s="89" t="s">
        <v>1265</v>
      </c>
      <c r="B386" s="88">
        <v>2</v>
      </c>
      <c r="C386" s="121">
        <v>0</v>
      </c>
      <c r="D386" s="88" t="s">
        <v>728</v>
      </c>
      <c r="E386" s="88" t="b">
        <v>0</v>
      </c>
      <c r="F386" s="88" t="b">
        <v>0</v>
      </c>
      <c r="G386" s="88" t="b">
        <v>0</v>
      </c>
    </row>
    <row r="387" spans="1:7" ht="15">
      <c r="A387" s="89" t="s">
        <v>1266</v>
      </c>
      <c r="B387" s="88">
        <v>2</v>
      </c>
      <c r="C387" s="121">
        <v>0</v>
      </c>
      <c r="D387" s="88" t="s">
        <v>728</v>
      </c>
      <c r="E387" s="88" t="b">
        <v>1</v>
      </c>
      <c r="F387" s="88" t="b">
        <v>0</v>
      </c>
      <c r="G387" s="88" t="b">
        <v>0</v>
      </c>
    </row>
    <row r="388" spans="1:7" ht="15">
      <c r="A388" s="89" t="s">
        <v>1267</v>
      </c>
      <c r="B388" s="88">
        <v>2</v>
      </c>
      <c r="C388" s="121">
        <v>0</v>
      </c>
      <c r="D388" s="88" t="s">
        <v>728</v>
      </c>
      <c r="E388" s="88" t="b">
        <v>0</v>
      </c>
      <c r="F388" s="88" t="b">
        <v>0</v>
      </c>
      <c r="G388" s="88" t="b">
        <v>0</v>
      </c>
    </row>
    <row r="389" spans="1:7" ht="15">
      <c r="A389" s="89" t="s">
        <v>1268</v>
      </c>
      <c r="B389" s="88">
        <v>2</v>
      </c>
      <c r="C389" s="121">
        <v>0</v>
      </c>
      <c r="D389" s="88" t="s">
        <v>728</v>
      </c>
      <c r="E389" s="88" t="b">
        <v>0</v>
      </c>
      <c r="F389" s="88" t="b">
        <v>0</v>
      </c>
      <c r="G389" s="88" t="b">
        <v>0</v>
      </c>
    </row>
    <row r="390" spans="1:7" ht="15">
      <c r="A390" s="89" t="s">
        <v>843</v>
      </c>
      <c r="B390" s="88">
        <v>2</v>
      </c>
      <c r="C390" s="121">
        <v>0</v>
      </c>
      <c r="D390" s="88" t="s">
        <v>728</v>
      </c>
      <c r="E390" s="88" t="b">
        <v>0</v>
      </c>
      <c r="F390" s="88" t="b">
        <v>0</v>
      </c>
      <c r="G390" s="88" t="b">
        <v>0</v>
      </c>
    </row>
    <row r="391" spans="1:7" ht="15">
      <c r="A391" s="89" t="s">
        <v>1269</v>
      </c>
      <c r="B391" s="88">
        <v>2</v>
      </c>
      <c r="C391" s="121">
        <v>0</v>
      </c>
      <c r="D391" s="88" t="s">
        <v>729</v>
      </c>
      <c r="E391" s="88" t="b">
        <v>0</v>
      </c>
      <c r="F391" s="88" t="b">
        <v>0</v>
      </c>
      <c r="G391" s="88" t="b">
        <v>0</v>
      </c>
    </row>
    <row r="392" spans="1:7" ht="15">
      <c r="A392" s="89" t="s">
        <v>877</v>
      </c>
      <c r="B392" s="88">
        <v>2</v>
      </c>
      <c r="C392" s="121">
        <v>0</v>
      </c>
      <c r="D392" s="88" t="s">
        <v>729</v>
      </c>
      <c r="E392" s="88" t="b">
        <v>0</v>
      </c>
      <c r="F392" s="88" t="b">
        <v>0</v>
      </c>
      <c r="G392" s="88" t="b">
        <v>0</v>
      </c>
    </row>
    <row r="393" spans="1:7" ht="15">
      <c r="A393" s="89" t="s">
        <v>1270</v>
      </c>
      <c r="B393" s="88">
        <v>2</v>
      </c>
      <c r="C393" s="121">
        <v>0</v>
      </c>
      <c r="D393" s="88" t="s">
        <v>729</v>
      </c>
      <c r="E393" s="88" t="b">
        <v>0</v>
      </c>
      <c r="F393" s="88" t="b">
        <v>0</v>
      </c>
      <c r="G393" s="88" t="b">
        <v>0</v>
      </c>
    </row>
    <row r="394" spans="1:7" ht="15">
      <c r="A394" s="89" t="s">
        <v>1271</v>
      </c>
      <c r="B394" s="88">
        <v>2</v>
      </c>
      <c r="C394" s="121">
        <v>0</v>
      </c>
      <c r="D394" s="88" t="s">
        <v>729</v>
      </c>
      <c r="E394" s="88" t="b">
        <v>0</v>
      </c>
      <c r="F394" s="88" t="b">
        <v>0</v>
      </c>
      <c r="G394" s="88" t="b">
        <v>0</v>
      </c>
    </row>
    <row r="395" spans="1:7" ht="15">
      <c r="A395" s="89" t="s">
        <v>873</v>
      </c>
      <c r="B395" s="88">
        <v>2</v>
      </c>
      <c r="C395" s="121">
        <v>0</v>
      </c>
      <c r="D395" s="88" t="s">
        <v>729</v>
      </c>
      <c r="E395" s="88" t="b">
        <v>0</v>
      </c>
      <c r="F395" s="88" t="b">
        <v>0</v>
      </c>
      <c r="G395" s="88" t="b">
        <v>0</v>
      </c>
    </row>
    <row r="396" spans="1:7" ht="15">
      <c r="A396" s="89" t="s">
        <v>850</v>
      </c>
      <c r="B396" s="88">
        <v>2</v>
      </c>
      <c r="C396" s="121">
        <v>0</v>
      </c>
      <c r="D396" s="88" t="s">
        <v>729</v>
      </c>
      <c r="E396" s="88" t="b">
        <v>0</v>
      </c>
      <c r="F396" s="88" t="b">
        <v>0</v>
      </c>
      <c r="G396" s="88" t="b">
        <v>0</v>
      </c>
    </row>
    <row r="397" spans="1:7" ht="15">
      <c r="A397" s="89" t="s">
        <v>1272</v>
      </c>
      <c r="B397" s="88">
        <v>2</v>
      </c>
      <c r="C397" s="121">
        <v>0</v>
      </c>
      <c r="D397" s="88" t="s">
        <v>729</v>
      </c>
      <c r="E397" s="88" t="b">
        <v>0</v>
      </c>
      <c r="F397" s="88" t="b">
        <v>0</v>
      </c>
      <c r="G397" s="88" t="b">
        <v>0</v>
      </c>
    </row>
    <row r="398" spans="1:7" ht="15">
      <c r="A398" s="89" t="s">
        <v>871</v>
      </c>
      <c r="B398" s="88">
        <v>2</v>
      </c>
      <c r="C398" s="121">
        <v>0</v>
      </c>
      <c r="D398" s="88" t="s">
        <v>729</v>
      </c>
      <c r="E398" s="88" t="b">
        <v>0</v>
      </c>
      <c r="F398" s="88" t="b">
        <v>0</v>
      </c>
      <c r="G398" s="88" t="b">
        <v>0</v>
      </c>
    </row>
    <row r="399" spans="1:7" ht="15">
      <c r="A399" s="89" t="s">
        <v>1168</v>
      </c>
      <c r="B399" s="88">
        <v>2</v>
      </c>
      <c r="C399" s="121">
        <v>0</v>
      </c>
      <c r="D399" s="88" t="s">
        <v>729</v>
      </c>
      <c r="E399" s="88" t="b">
        <v>0</v>
      </c>
      <c r="F399" s="88" t="b">
        <v>0</v>
      </c>
      <c r="G399" s="88" t="b">
        <v>0</v>
      </c>
    </row>
    <row r="400" spans="1:7" ht="15">
      <c r="A400" s="89" t="s">
        <v>1169</v>
      </c>
      <c r="B400" s="88">
        <v>2</v>
      </c>
      <c r="C400" s="121">
        <v>0</v>
      </c>
      <c r="D400" s="88" t="s">
        <v>729</v>
      </c>
      <c r="E400" s="88" t="b">
        <v>0</v>
      </c>
      <c r="F400" s="88" t="b">
        <v>0</v>
      </c>
      <c r="G400"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B98D3B2-3F0B-4CDB-8A2F-4199BAC697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2021-10-17T10:06:10Z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