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<sst xmlns="http://schemas.openxmlformats.org/spreadsheetml/2006/main" count="584" uniqueCount="327">
  <si>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</si>
  <si>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</si>
  <si>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</si>
  <si>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</si>
  <si>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</si>
  <si>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</si>
  <si>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</si>
  <si>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</si>
  <si>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</si>
  <si>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</si>
  <si>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</si>
  <si>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</si>
  <si>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</si>
  <si>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</si>
  <si>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</si>
  <si>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</si>
  <si>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</si>
  <si>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</si>
  <si>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</si>
  <si>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</si>
  <si>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</si>
  <si>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</si>
  <si>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</si>
  <si>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</si>
  <si>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</si>
  <si>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</si>
  <si>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</si>
  <si>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</si>
  <si>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</si>
  <si>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</si>
  <si>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</si>
  <si>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</si>
  <si>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</si>
  <si>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</si>
  <si>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</si>
  <si>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</si>
  <si>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</si>
  <si>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</si>
  <si>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</si>
  <si>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</si>
  <si>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</si>
  <si>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</si>
  <si>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</si>
  <si>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</si>
  <si>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</si>
  <si>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</si>
  <si>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</si>
  <si>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</si>
  <si>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</si>
  <si>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</si>
  <si>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</si>
  <si>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</si>
  <si>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</si>
  <si>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</si>
  <si>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</si>
  <si>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</si>
  <si>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</si>
  <si>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</si>
  <si>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</si>
  <si>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</si>
  <si>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</si>
  <si>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</si>
  <si>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</si>
  <si>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</si>
  <si>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</si>
  <si>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</si>
  <si>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</si>
  <si>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</si>
  <si>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</si>
  <si>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</si>
  <si>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</si>
  <si>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</si>
  <si>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</si>
  <si>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</si>
  <si>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</si>
  <si>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</si>
  <si>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</si>
  <si>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</si>
  <si>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</si>
  <si>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</si>
  <si>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</si>
  <si>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</si>
  <si>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</si>
  <si>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</si>
  <si>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</si>
  <si>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</si>
  <si>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</si>
  <si>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</si>
  <si>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</si>
  <si>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</si>
  <si>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</si>
  <si>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</si>
  <si>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</si>
  <si>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</si>
  <si>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</si>
  <si>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</si>
  <si>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</si>
  <si>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</si>
  <si>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</si>
  <si>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</si>
  <si>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</si>
  <si>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</si>
  <si>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</si>
  <si>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</si>
  <si>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</si>
  <si>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</si>
  <si>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</si>
  <si>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</si>
  <si>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</si>
  <si>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</si>
  <si>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</si>
  <si>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</si>
  <si>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</si>
  <si>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</si>
  <si>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</si>
  <si>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</si>
  <si>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</si>
  <si>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</si>
  <si>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</si>
  <si>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</si>
  <si>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</si>
  <si>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</si>
  <si>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</si>
  <si>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</si>
  <si>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</si>
  <si>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</si>
  <si>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</si>
  <si>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</si>
  <si>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</si>
  <si>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</si>
  <si>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</si>
  <si>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</si>
  <si>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</si>
  <si>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</si>
  <si>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</si>
  <si>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</si>
  <si>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</si>
  <si>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</si>
  <si>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</si>
  <si>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</si>
  <si>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</si>
  <si>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</si>
  <si>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</si>
  <si>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</si>
  <si>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</si>
  <si>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</si>
  <si>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</si>
  <si>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</si>
  <si>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</si>
  <si>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</si>
  <si>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</si>
  <si>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</si>
  <si>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</si>
  <si>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</si>
  <si>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</si>
  <si>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</si>
  <si>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</si>
  <si>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</si>
  <si>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</si>
  <si>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</si>
  <si>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</si>
  <si>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</si>
  <si>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</si>
  <si>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</si>
  <si>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</si>
  <si>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</si>
  <si>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</si>
  <si>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</si>
  <si>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</si>
  <si>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</si>
  <si>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</si>
  <si>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</si>
  <si>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</si>
  <si>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</si>
  <si>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</si>
  <si>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</si>
  <si>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</si>
  <si>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</si>
  <si>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</si>
  <si>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</si>
  <si>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</si>
  <si>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</si>
  <si>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</si>
  <si>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</si>
  <si>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</si>
  <si>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</si>
  <si>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</si>
  <si>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</si>
  <si>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</si>
  <si>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</si>
  <si>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</si>
  <si>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</si>
  <si>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</si>
  <si>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</si>
  <si>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</si>
  <si>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</si>
  <si>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</si>
  <si>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</si>
  <si>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</si>
  <si>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</si>
  <si>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</si>
  <si>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</si>
  <si>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</si>
  <si>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</si>
  <si>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</si>
  <si>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</si>
  <si>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</si>
  <si>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</si>
  <si>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</si>
  <si>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</si>
  <si>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</si>
  <si>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</si>
  <si>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</si>
  <si>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</si>
  <si>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dipikat90</t>
  </si>
  <si>
    <t>sureb2b</t>
  </si>
  <si>
    <t>lnttechservices</t>
  </si>
  <si>
    <t>MentionsInRetweet</t>
  </si>
  <si>
    <t>Retweet</t>
  </si>
  <si>
    <t>Mentions</t>
  </si>
  <si>
    <t>RT @sureb2b: Delighted to announce our latest sponsor @LnTTechservices .Proud to have such a progressive company partnering with us at Sust…</t>
  </si>
  <si>
    <t>Register for Sustainable Industry '21 to take your teams and boards on the journey to long term, sustainable growth, and profit. 
https://t.co/tIcbYuGydJ  
#ukmfg #sustainable #Strategy #SustainableIndustry #industrial https://t.co/BJIaJIPFjt</t>
  </si>
  <si>
    <t>Delighted to announce our latest sponsor @LnTTechservices .Proud to have such a progressive company partnering with us at Sustainable Industry '21.
#sustainableindustry #technology #transformation #ukfmg #manufacturing #LTTS #EngineeringTheChange #strategy 
#sustainableindustry21 https://t.co/qpdnK5zJNc</t>
  </si>
  <si>
    <t>co.uk</t>
  </si>
  <si>
    <t>ukmfg sustainable strategy sustainableindustry industrial</t>
  </si>
  <si>
    <t>sustainableindustry technology transformation ukfmg manufacturing ltts engineeringthechange strategy sustainableindustry21</t>
  </si>
  <si>
    <t>19:24:29</t>
  </si>
  <si>
    <t>07:30:48</t>
  </si>
  <si>
    <t>11:36:41</t>
  </si>
  <si>
    <t>1424813855897706497</t>
  </si>
  <si>
    <t>1422459924383215647</t>
  </si>
  <si>
    <t>1424696129220919297</t>
  </si>
  <si>
    <t/>
  </si>
  <si>
    <t>en</t>
  </si>
  <si>
    <t>Twitter for Android</t>
  </si>
  <si>
    <t>LaterMedia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</si>
  <si>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</si>
  <si>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</si>
  <si>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</si>
  <si>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</si>
  <si>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</si>
  <si>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</si>
  <si>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</si>
  <si>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</si>
  <si>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</si>
  <si>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</si>
  <si>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</si>
  <si>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</si>
  <si>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</si>
  <si>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</si>
  <si>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</si>
  <si>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</si>
  <si>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</si>
  <si>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</si>
  <si>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</si>
  <si>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</si>
  <si>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</si>
  <si>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</si>
  <si>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L&amp;T Technology Services (LTTS)</t>
  </si>
  <si>
    <t>Dipika Tripathi</t>
  </si>
  <si>
    <t>Sureb2b</t>
  </si>
  <si>
    <t>819186177639088128</t>
  </si>
  <si>
    <t>2814878498</t>
  </si>
  <si>
    <t>1324679614913011713</t>
  </si>
  <si>
    <t>We are a global leader in #Engineering and R&amp;D (ER&amp;D) services. Visit https://t.co/xJujVTiRZb for more information. #EngineeringTheChange</t>
  </si>
  <si>
    <t>Head of Sales and Marketing at @sureb2b 
#sustainability #Diversity #Leadership #innovation</t>
  </si>
  <si>
    <t>Is the leading events provider for the Manufacturing Sector. Offering bespoke roundtables and conferences across the globe _xD83C__xDF0D_ _xD83C__xDFED_ #ukmfg #manufacturing</t>
  </si>
  <si>
    <t>Bengaluru, India</t>
  </si>
  <si>
    <t>London, England</t>
  </si>
  <si>
    <t xml:space="preserve">Global </t>
  </si>
  <si>
    <t>Open Twitter Page for This Person</t>
  </si>
  <si>
    <t xml:space="preserve">lnttechservices
</t>
  </si>
  <si>
    <t>dipikat90
RT @sureb2b: Delighted to announce
our latest sponsor @LnTTechservices
.Proud to have such a progressive
company partnering with us at Sust…</t>
  </si>
  <si>
    <t>sureb2b
Delighted to announce our latest
sponsor @LnTTechservices .Proud
to have such a progressive company
partnering with us at Sustainable
Industry '21. #sustainableindustry
#technology #transformation #ukfmg
#manufacturing #LTTS #EngineeringTheChange #strategy
#sustainableindustry21 https://t.co/qpdnK5zJNc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</si>
  <si>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</si>
  <si>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</si>
  <si>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</si>
  <si>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</si>
  <si>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</si>
  <si>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</si>
  <si>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</si>
  <si>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</si>
  <si>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</si>
  <si>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</si>
  <si>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</si>
  <si>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</si>
  <si>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</si>
  <si>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</si>
  <si>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</si>
  <si>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</si>
  <si>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</si>
  <si>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</si>
  <si>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</si>
  <si>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</si>
  <si>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</si>
  <si>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</si>
  <si>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</si>
  <si>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</si>
  <si>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</si>
  <si>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</si>
  <si>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</si>
  <si>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</si>
  <si>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</si>
  <si>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</si>
  <si>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</si>
  <si>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</si>
  <si>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</si>
  <si>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</si>
  <si>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</si>
  <si>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</si>
  <si>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</si>
  <si>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</si>
  <si>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</si>
  <si>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</si>
  <si>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</si>
  <si>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</si>
  <si>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</si>
  <si>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Top URLs in Tweet</t>
  </si>
  <si>
    <t>https://www.eventbrite.co.uk/e/sustainable-industry-21-tickets-156649578105?aff=Twitter</t>
  </si>
  <si>
    <t>Count of Tweet Date (UTC)</t>
  </si>
  <si>
    <t>Row Labels</t>
  </si>
  <si>
    <t>Grand Total</t>
  </si>
  <si>
    <t>128, 128, 128</t>
  </si>
  <si>
    <t>Autofill Workbook Results</t>
  </si>
  <si>
    <t>Edge Weight▓1▓1▓0▓True▓Gray▓Red▓▓Edge Weight▓1▓1▓0▓3▓10▓False▓Edge Weight▓1▓1▓0▓35▓12▓False▓▓0▓0▓0▓True▓Black▓Black▓▓▓0▓0▓0▓0▓0▓False▓▓0▓0▓0▓0▓0▓False▓▓0▓0▓0▓0▓0▓False▓▓0▓0▓0▓0▓0▓False</t>
  </si>
  <si>
    <t>GraphSource░GraphServerTwitterSearch▓GraphTerm░#sustainableindustry▓ImportDescription░The graph represents a network of 3 Twitter users whose tweets in the requested range contained "#sustainableindustry", or who were replied to or mentioned in those tweets.  The network was obtained from the NodeXL Graph Server on Tuesday, 17 August 2021 at 01:56 UTC.
The requested start date was Tuesday, 17 August 2021 at 00:01 UTC and the maximum number of days (going backward) was 14.
The maximum number of tweets collected was 7,500.
The tweets in the network were tweeted over the 6-day, 4-hour, 5-minute period from Tuesday, 03 August 2021 at 07:30 UTC to Monday, 09 August 2021 at 11:36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</si>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</sst>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946365"/>
        <c:axId val="5972966"/>
      </c:barChart>
      <c:catAx>
        <c:axId val="379463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72966"/>
        <c:crosses val="autoZero"/>
        <c:auto val="1"/>
        <c:lblOffset val="100"/>
        <c:noMultiLvlLbl val="0"/>
      </c:catAx>
      <c:valAx>
        <c:axId val="5972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463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8/3/2021 7:30</c:v>
                </c:pt>
                <c:pt idx="1">
                  <c:v>8/9/2021 11:36</c:v>
                </c:pt>
                <c:pt idx="2">
                  <c:v>8/9/2021 19:24</c:v>
                </c:pt>
              </c:strCache>
            </c:strRef>
          </c:cat>
          <c:val>
            <c:numRef>
              <c:f>'Time Series'!$B$26:$B$29</c:f>
              <c:numCache>
                <c:formatCode>General</c:formatCode>
                <c:ptCount val="3"/>
                <c:pt idx="0">
                  <c:v>1</c:v>
                </c:pt>
                <c:pt idx="1">
                  <c:v>1</c:v>
                </c:pt>
                <c:pt idx="2">
                  <c:v>3</c:v>
                </c:pt>
              </c:numCache>
            </c:numRef>
          </c:val>
        </c:ser>
        <c:axId val="9119847"/>
        <c:axId val="14969760"/>
      </c:barChart>
      <c:catAx>
        <c:axId val="9119847"/>
        <c:scaling>
          <c:orientation val="minMax"/>
        </c:scaling>
        <c:axPos val="b"/>
        <c:delete val="0"/>
        <c:numFmt formatCode="General" sourceLinked="1"/>
        <c:majorTickMark val="out"/>
        <c:minorTickMark val="none"/>
        <c:tickLblPos val="nextTo"/>
        <c:crossAx val="14969760"/>
        <c:crosses val="autoZero"/>
        <c:auto val="1"/>
        <c:lblOffset val="100"/>
        <c:noMultiLvlLbl val="0"/>
      </c:catAx>
      <c:valAx>
        <c:axId val="14969760"/>
        <c:scaling>
          <c:orientation val="minMax"/>
        </c:scaling>
        <c:axPos val="l"/>
        <c:majorGridlines/>
        <c:delete val="0"/>
        <c:numFmt formatCode="General" sourceLinked="1"/>
        <c:majorTickMark val="out"/>
        <c:minorTickMark val="none"/>
        <c:tickLblPos val="nextTo"/>
        <c:crossAx val="911984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756695"/>
        <c:axId val="14048208"/>
      </c:barChart>
      <c:catAx>
        <c:axId val="537566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048208"/>
        <c:crosses val="autoZero"/>
        <c:auto val="1"/>
        <c:lblOffset val="100"/>
        <c:noMultiLvlLbl val="0"/>
      </c:catAx>
      <c:valAx>
        <c:axId val="140482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756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325009"/>
        <c:axId val="64163034"/>
      </c:barChart>
      <c:catAx>
        <c:axId val="593250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163034"/>
        <c:crosses val="autoZero"/>
        <c:auto val="1"/>
        <c:lblOffset val="100"/>
        <c:noMultiLvlLbl val="0"/>
      </c:catAx>
      <c:valAx>
        <c:axId val="641630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250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596395"/>
        <c:axId val="29823236"/>
      </c:barChart>
      <c:catAx>
        <c:axId val="405963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823236"/>
        <c:crosses val="autoZero"/>
        <c:auto val="1"/>
        <c:lblOffset val="100"/>
        <c:noMultiLvlLbl val="0"/>
      </c:catAx>
      <c:valAx>
        <c:axId val="29823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963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7082533"/>
        <c:axId val="66871886"/>
      </c:barChart>
      <c:catAx>
        <c:axId val="670825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871886"/>
        <c:crosses val="autoZero"/>
        <c:auto val="1"/>
        <c:lblOffset val="100"/>
        <c:noMultiLvlLbl val="0"/>
      </c:catAx>
      <c:valAx>
        <c:axId val="668718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82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976063"/>
        <c:axId val="47913656"/>
      </c:barChart>
      <c:catAx>
        <c:axId val="649760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913656"/>
        <c:crosses val="autoZero"/>
        <c:auto val="1"/>
        <c:lblOffset val="100"/>
        <c:noMultiLvlLbl val="0"/>
      </c:catAx>
      <c:valAx>
        <c:axId val="479136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76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569721"/>
        <c:axId val="55800898"/>
      </c:barChart>
      <c:catAx>
        <c:axId val="285697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800898"/>
        <c:crosses val="autoZero"/>
        <c:auto val="1"/>
        <c:lblOffset val="100"/>
        <c:noMultiLvlLbl val="0"/>
      </c:catAx>
      <c:valAx>
        <c:axId val="55800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697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446035"/>
        <c:axId val="23578860"/>
      </c:barChart>
      <c:catAx>
        <c:axId val="324460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578860"/>
        <c:crosses val="autoZero"/>
        <c:auto val="1"/>
        <c:lblOffset val="100"/>
        <c:noMultiLvlLbl val="0"/>
      </c:catAx>
      <c:valAx>
        <c:axId val="23578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46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883149"/>
        <c:axId val="30839478"/>
      </c:barChart>
      <c:catAx>
        <c:axId val="10883149"/>
        <c:scaling>
          <c:orientation val="minMax"/>
        </c:scaling>
        <c:axPos val="b"/>
        <c:delete val="1"/>
        <c:majorTickMark val="out"/>
        <c:minorTickMark val="none"/>
        <c:tickLblPos val="none"/>
        <c:crossAx val="30839478"/>
        <c:crosses val="autoZero"/>
        <c:auto val="1"/>
        <c:lblOffset val="100"/>
        <c:noMultiLvlLbl val="0"/>
      </c:catAx>
      <c:valAx>
        <c:axId val="30839478"/>
        <c:scaling>
          <c:orientation val="minMax"/>
        </c:scaling>
        <c:axPos val="l"/>
        <c:delete val="1"/>
        <c:majorTickMark val="out"/>
        <c:minorTickMark val="none"/>
        <c:tickLblPos val="none"/>
        <c:crossAx val="108831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E7"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s v="sustainableindustry technology transformation ukfmg manufacturing ltts engineeringthechange strategy sustainableindustry21"/>
        <m/>
        <s v="ukmfg sustainable strategy sustainableindustry industria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
        <d v="2021-08-09T11:36:41.000"/>
        <d v="2021-08-09T19:24:29.000"/>
        <d v="2021-08-03T07:30:4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sureb2b"/>
    <s v="lnttechservices"/>
    <m/>
    <m/>
    <m/>
    <m/>
    <m/>
    <m/>
    <m/>
    <m/>
    <s v="No"/>
    <n v="3"/>
    <m/>
    <m/>
    <x v="0"/>
    <d v="2021-08-09T11:36:41.000"/>
    <s v="Delighted to announce our latest sponsor @LnTTechservices .Proud to have such a progressive company partnering with us at Sustainable Industry '21._x000a_#sustainableindustry #technology #transformation #ukfmg #manufacturing #LTTS #EngineeringTheChange #strategy _x000a_#sustainableindustry21 https://t.co/qpdnK5zJNc"/>
    <m/>
    <m/>
    <x v="0"/>
    <s v="https://pbs.twimg.com/media/E8WJlFTWYAcOlss.jpg"/>
    <s v="https://pbs.twimg.com/media/E8WJlFTWYAcOlss.jpg"/>
    <x v="0"/>
    <d v="2021-08-09T00:00:00.000"/>
    <s v="11:36:41"/>
    <s v="https://twitter.com/#!/sureb2b/status/1424696129220919297"/>
    <m/>
    <m/>
    <s v="1424696129220919297"/>
    <m/>
    <b v="0"/>
    <n v="4"/>
    <s v=""/>
    <b v="0"/>
    <s v="en"/>
    <m/>
    <s v=""/>
    <b v="0"/>
    <n v="1"/>
    <s v=""/>
    <s v="Twitter for Android"/>
    <b v="0"/>
    <s v="1424696129220919297"/>
    <s v="Tweet"/>
    <n v="0"/>
    <n v="0"/>
    <m/>
    <m/>
    <m/>
    <m/>
    <m/>
    <m/>
    <m/>
    <m/>
    <n v="1"/>
    <s v="1"/>
    <s v="1"/>
  </r>
  <r>
    <s v="dipikat90"/>
    <s v="lnttechservices"/>
    <m/>
    <m/>
    <m/>
    <m/>
    <m/>
    <m/>
    <m/>
    <m/>
    <s v="No"/>
    <n v="4"/>
    <m/>
    <m/>
    <x v="1"/>
    <d v="2021-08-09T19:24:29.000"/>
    <s v="RT @sureb2b: Delighted to announce our latest sponsor @LnTTechservices .Proud to have such a progressive company partnering with us at Sust…"/>
    <m/>
    <m/>
    <x v="1"/>
    <m/>
    <s v="http://pbs.twimg.com/profile_images/975724535944306689/5KrinOPK_normal.jpg"/>
    <x v="1"/>
    <d v="2021-08-09T00:00:00.000"/>
    <s v="19:24:29"/>
    <s v="https://twitter.com/#!/dipikat90/status/1424813855897706497"/>
    <m/>
    <m/>
    <s v="1424813855897706497"/>
    <m/>
    <b v="0"/>
    <n v="0"/>
    <s v=""/>
    <b v="0"/>
    <s v="en"/>
    <m/>
    <s v=""/>
    <b v="0"/>
    <n v="1"/>
    <s v="1424696129220919297"/>
    <s v="Twitter for Android"/>
    <b v="0"/>
    <s v="1424696129220919297"/>
    <s v="Tweet"/>
    <n v="0"/>
    <n v="0"/>
    <m/>
    <m/>
    <m/>
    <m/>
    <m/>
    <m/>
    <m/>
    <m/>
    <n v="1"/>
    <s v="1"/>
    <s v="1"/>
  </r>
  <r>
    <s v="sureb2b"/>
    <s v="sureb2b"/>
    <m/>
    <m/>
    <m/>
    <m/>
    <m/>
    <m/>
    <m/>
    <m/>
    <s v="No"/>
    <n v="5"/>
    <m/>
    <m/>
    <x v="2"/>
    <d v="2021-08-03T07:30:48.000"/>
    <s v="Register for Sustainable Industry '21 to take your teams and boards on the journey to long term, sustainable growth, and profit. _x000a_https://t.co/tIcbYuGydJ  _x000a__x000a_#ukmfg #sustainable #Strategy #SustainableIndustry #industrial https://t.co/BJIaJIPFjt"/>
    <s v="https://www.eventbrite.co.uk/e/sustainable-industry-21-tickets-156649578105?aff=Twitter"/>
    <s v="co.uk"/>
    <x v="2"/>
    <s v="https://pbs.twimg.com/ext_tw_video_thumb/1422459758318137348/pu/img/5Gfe8Otuz7F3NEQS.jpg"/>
    <s v="https://pbs.twimg.com/ext_tw_video_thumb/1422459758318137348/pu/img/5Gfe8Otuz7F3NEQS.jpg"/>
    <x v="2"/>
    <d v="2021-08-03T00:00:00.000"/>
    <s v="07:30:48"/>
    <s v="https://twitter.com/#!/sureb2b/status/1422459924383215647"/>
    <m/>
    <m/>
    <s v="1422459924383215647"/>
    <m/>
    <b v="0"/>
    <n v="0"/>
    <s v=""/>
    <b v="0"/>
    <s v="en"/>
    <m/>
    <s v=""/>
    <b v="0"/>
    <n v="0"/>
    <s v=""/>
    <s v="LaterMedia"/>
    <b v="0"/>
    <s v="1422459924383215647"/>
    <s v="Tweet"/>
    <n v="0"/>
    <n v="0"/>
    <m/>
    <m/>
    <m/>
    <m/>
    <m/>
    <m/>
    <m/>
    <m/>
    <n v="1"/>
    <s v="1"/>
    <s v="1"/>
  </r>
  <r>
    <s v="dipikat90"/>
    <s v="sureb2b"/>
    <m/>
    <m/>
    <m/>
    <m/>
    <m/>
    <m/>
    <m/>
    <m/>
    <s v="No"/>
    <n v="6"/>
    <m/>
    <m/>
    <x v="1"/>
    <d v="2021-08-09T19:24:29.000"/>
    <s v="RT @sureb2b: Delighted to announce our latest sponsor @LnTTechservices .Proud to have such a progressive company partnering with us at Sust…"/>
    <m/>
    <m/>
    <x v="1"/>
    <m/>
    <s v="http://pbs.twimg.com/profile_images/975724535944306689/5KrinOPK_normal.jpg"/>
    <x v="1"/>
    <d v="2021-08-09T00:00:00.000"/>
    <s v="19:24:29"/>
    <s v="https://twitter.com/#!/dipikat90/status/1424813855897706497"/>
    <m/>
    <m/>
    <s v="1424813855897706497"/>
    <m/>
    <b v="0"/>
    <n v="0"/>
    <s v=""/>
    <b v="0"/>
    <s v="en"/>
    <m/>
    <s v=""/>
    <b v="0"/>
    <n v="1"/>
    <s v="1424696129220919297"/>
    <s v="Twitter for Android"/>
    <b v="0"/>
    <s v="1424696129220919297"/>
    <s v="Tweet"/>
    <n v="0"/>
    <n v="0"/>
    <m/>
    <m/>
    <m/>
    <m/>
    <m/>
    <m/>
    <m/>
    <m/>
    <n v="1"/>
    <s v="1"/>
    <s v="1"/>
  </r>
  <r>
    <s v="dipikat90"/>
    <s v="sureb2b"/>
    <m/>
    <m/>
    <m/>
    <m/>
    <m/>
    <m/>
    <m/>
    <m/>
    <s v="No"/>
    <n v="7"/>
    <m/>
    <m/>
    <x v="3"/>
    <d v="2021-08-09T19:24:29.000"/>
    <s v="RT @sureb2b: Delighted to announce our latest sponsor @LnTTechservices .Proud to have such a progressive company partnering with us at Sust…"/>
    <m/>
    <m/>
    <x v="1"/>
    <m/>
    <s v="http://pbs.twimg.com/profile_images/975724535944306689/5KrinOPK_normal.jpg"/>
    <x v="1"/>
    <d v="2021-08-09T00:00:00.000"/>
    <s v="19:24:29"/>
    <s v="https://twitter.com/#!/dipikat90/status/1424813855897706497"/>
    <m/>
    <m/>
    <s v="1424813855897706497"/>
    <m/>
    <b v="0"/>
    <n v="0"/>
    <s v=""/>
    <b v="0"/>
    <s v="en"/>
    <m/>
    <s v=""/>
    <b v="0"/>
    <n v="1"/>
    <s v="1424696129220919297"/>
    <s v="Twitter for Android"/>
    <b v="0"/>
    <s v="1424696129220919297"/>
    <s v="Tweet"/>
    <n v="0"/>
    <n v="0"/>
    <m/>
    <m/>
    <m/>
    <m/>
    <m/>
    <m/>
    <m/>
    <m/>
    <n v="1"/>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2"/>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3">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7" totalsRowShown="0" headerRowDxfId="220" dataDxfId="219">
  <autoFilter ref="A2:BE7"/>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5" totalsRowShown="0" headerRowDxfId="165" dataDxfId="164">
  <autoFilter ref="A2:BA5"/>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totalsRowShown="0" headerRowDxfId="112">
  <autoFilter ref="A2:Y3"/>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109" dataDxfId="108">
  <autoFilter ref="A1:C4"/>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7" totalsRowShown="0" headerRowDxfId="57" dataDxfId="56">
  <autoFilter ref="A2:BE7"/>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311</v>
      </c>
      <c r="BD2" s="13" t="s">
        <v>315</v>
      </c>
      <c r="BE2" s="13" t="s">
        <v>316</v>
      </c>
    </row>
    <row r="3" spans="1:57" ht="15" customHeight="1">
      <c r="A3" s="83" t="s">
        <v>215</v>
      </c>
      <c r="B3" s="83" t="s">
        <v>216</v>
      </c>
      <c r="C3" s="54" t="s">
        <v>322</v>
      </c>
      <c r="D3" s="55">
        <v>3</v>
      </c>
      <c r="E3" s="67" t="s">
        <v>132</v>
      </c>
      <c r="F3" s="56">
        <v>35</v>
      </c>
      <c r="G3" s="54"/>
      <c r="H3" s="58"/>
      <c r="I3" s="57"/>
      <c r="J3" s="57"/>
      <c r="K3" s="36" t="s">
        <v>65</v>
      </c>
      <c r="L3" s="63">
        <v>3</v>
      </c>
      <c r="M3" s="63"/>
      <c r="N3" s="64"/>
      <c r="O3" s="84" t="s">
        <v>219</v>
      </c>
      <c r="P3" s="86">
        <v>44417.48380787037</v>
      </c>
      <c r="Q3" s="84" t="s">
        <v>222</v>
      </c>
      <c r="R3" s="84"/>
      <c r="S3" s="84"/>
      <c r="T3" s="89" t="s">
        <v>225</v>
      </c>
      <c r="U3" s="91" t="str">
        <f>HYPERLINK("https://pbs.twimg.com/media/E8WJlFTWYAcOlss.jpg")</f>
        <v>https://pbs.twimg.com/media/E8WJlFTWYAcOlss.jpg</v>
      </c>
      <c r="V3" s="91" t="str">
        <f>HYPERLINK("https://pbs.twimg.com/media/E8WJlFTWYAcOlss.jpg")</f>
        <v>https://pbs.twimg.com/media/E8WJlFTWYAcOlss.jpg</v>
      </c>
      <c r="W3" s="86">
        <v>44417.48380787037</v>
      </c>
      <c r="X3" s="92">
        <v>44417</v>
      </c>
      <c r="Y3" s="89" t="s">
        <v>228</v>
      </c>
      <c r="Z3" s="91" t="str">
        <f>HYPERLINK("https://twitter.com/#!/sureb2b/status/1424696129220919297")</f>
        <v>https://twitter.com/#!/sureb2b/status/1424696129220919297</v>
      </c>
      <c r="AA3" s="84"/>
      <c r="AB3" s="84"/>
      <c r="AC3" s="89" t="s">
        <v>231</v>
      </c>
      <c r="AD3" s="84"/>
      <c r="AE3" s="84" t="b">
        <v>0</v>
      </c>
      <c r="AF3" s="84">
        <v>4</v>
      </c>
      <c r="AG3" s="89" t="s">
        <v>232</v>
      </c>
      <c r="AH3" s="84" t="b">
        <v>0</v>
      </c>
      <c r="AI3" s="84" t="s">
        <v>233</v>
      </c>
      <c r="AJ3" s="84"/>
      <c r="AK3" s="89" t="s">
        <v>232</v>
      </c>
      <c r="AL3" s="84" t="b">
        <v>0</v>
      </c>
      <c r="AM3" s="84">
        <v>1</v>
      </c>
      <c r="AN3" s="89" t="s">
        <v>232</v>
      </c>
      <c r="AO3" s="89" t="s">
        <v>234</v>
      </c>
      <c r="AP3" s="84" t="b">
        <v>0</v>
      </c>
      <c r="AQ3" s="89" t="s">
        <v>231</v>
      </c>
      <c r="AR3" s="84" t="s">
        <v>176</v>
      </c>
      <c r="AS3" s="84">
        <v>0</v>
      </c>
      <c r="AT3" s="84">
        <v>0</v>
      </c>
      <c r="AU3" s="84"/>
      <c r="AV3" s="84"/>
      <c r="AW3" s="84"/>
      <c r="AX3" s="84"/>
      <c r="AY3" s="84"/>
      <c r="AZ3" s="84"/>
      <c r="BA3" s="84"/>
      <c r="BB3" s="84"/>
      <c r="BC3">
        <v>1</v>
      </c>
      <c r="BD3" s="84" t="str">
        <f>REPLACE(INDEX(GroupVertices[Group],MATCH(Edges[[#This Row],[Vertex 1]],GroupVertices[Vertex],0)),1,1,"")</f>
        <v>1</v>
      </c>
      <c r="BE3" s="84" t="str">
        <f>REPLACE(INDEX(GroupVertices[Group],MATCH(Edges[[#This Row],[Vertex 2]],GroupVertices[Vertex],0)),1,1,"")</f>
        <v>1</v>
      </c>
    </row>
    <row r="4" spans="1:57" ht="15" customHeight="1">
      <c r="A4" s="83" t="s">
        <v>214</v>
      </c>
      <c r="B4" s="83" t="s">
        <v>216</v>
      </c>
      <c r="C4" s="54" t="s">
        <v>322</v>
      </c>
      <c r="D4" s="55">
        <v>3</v>
      </c>
      <c r="E4" s="67" t="s">
        <v>132</v>
      </c>
      <c r="F4" s="56">
        <v>35</v>
      </c>
      <c r="G4" s="54"/>
      <c r="H4" s="58"/>
      <c r="I4" s="57"/>
      <c r="J4" s="57"/>
      <c r="K4" s="36" t="s">
        <v>65</v>
      </c>
      <c r="L4" s="82">
        <v>4</v>
      </c>
      <c r="M4" s="82"/>
      <c r="N4" s="64"/>
      <c r="O4" s="85" t="s">
        <v>217</v>
      </c>
      <c r="P4" s="87">
        <v>44417.80866898148</v>
      </c>
      <c r="Q4" s="85" t="s">
        <v>220</v>
      </c>
      <c r="R4" s="85"/>
      <c r="S4" s="85"/>
      <c r="T4" s="85"/>
      <c r="U4" s="85"/>
      <c r="V4" s="88" t="str">
        <f>HYPERLINK("http://pbs.twimg.com/profile_images/975724535944306689/5KrinOPK_normal.jpg")</f>
        <v>http://pbs.twimg.com/profile_images/975724535944306689/5KrinOPK_normal.jpg</v>
      </c>
      <c r="W4" s="87">
        <v>44417.80866898148</v>
      </c>
      <c r="X4" s="93">
        <v>44417</v>
      </c>
      <c r="Y4" s="90" t="s">
        <v>226</v>
      </c>
      <c r="Z4" s="88" t="str">
        <f>HYPERLINK("https://twitter.com/#!/dipikat90/status/1424813855897706497")</f>
        <v>https://twitter.com/#!/dipikat90/status/1424813855897706497</v>
      </c>
      <c r="AA4" s="85"/>
      <c r="AB4" s="85"/>
      <c r="AC4" s="90" t="s">
        <v>229</v>
      </c>
      <c r="AD4" s="85"/>
      <c r="AE4" s="85" t="b">
        <v>0</v>
      </c>
      <c r="AF4" s="85">
        <v>0</v>
      </c>
      <c r="AG4" s="90" t="s">
        <v>232</v>
      </c>
      <c r="AH4" s="85" t="b">
        <v>0</v>
      </c>
      <c r="AI4" s="85" t="s">
        <v>233</v>
      </c>
      <c r="AJ4" s="85"/>
      <c r="AK4" s="90" t="s">
        <v>232</v>
      </c>
      <c r="AL4" s="85" t="b">
        <v>0</v>
      </c>
      <c r="AM4" s="85">
        <v>1</v>
      </c>
      <c r="AN4" s="90" t="s">
        <v>231</v>
      </c>
      <c r="AO4" s="90" t="s">
        <v>234</v>
      </c>
      <c r="AP4" s="85" t="b">
        <v>0</v>
      </c>
      <c r="AQ4" s="90" t="s">
        <v>231</v>
      </c>
      <c r="AR4" s="85" t="s">
        <v>176</v>
      </c>
      <c r="AS4" s="85">
        <v>0</v>
      </c>
      <c r="AT4" s="85">
        <v>0</v>
      </c>
      <c r="AU4" s="85"/>
      <c r="AV4" s="85"/>
      <c r="AW4" s="85"/>
      <c r="AX4" s="85"/>
      <c r="AY4" s="85"/>
      <c r="AZ4" s="85"/>
      <c r="BA4" s="85"/>
      <c r="BB4" s="85"/>
      <c r="BC4">
        <v>1</v>
      </c>
      <c r="BD4" s="84" t="str">
        <f>REPLACE(INDEX(GroupVertices[Group],MATCH(Edges[[#This Row],[Vertex 1]],GroupVertices[Vertex],0)),1,1,"")</f>
        <v>1</v>
      </c>
      <c r="BE4" s="84" t="str">
        <f>REPLACE(INDEX(GroupVertices[Group],MATCH(Edges[[#This Row],[Vertex 2]],GroupVertices[Vertex],0)),1,1,"")</f>
        <v>1</v>
      </c>
    </row>
    <row r="5" spans="1:57" ht="45">
      <c r="A5" s="83" t="s">
        <v>215</v>
      </c>
      <c r="B5" s="83" t="s">
        <v>215</v>
      </c>
      <c r="C5" s="54" t="s">
        <v>322</v>
      </c>
      <c r="D5" s="55">
        <v>3</v>
      </c>
      <c r="E5" s="67" t="s">
        <v>132</v>
      </c>
      <c r="F5" s="56">
        <v>35</v>
      </c>
      <c r="G5" s="54"/>
      <c r="H5" s="58"/>
      <c r="I5" s="57"/>
      <c r="J5" s="57"/>
      <c r="K5" s="36" t="s">
        <v>65</v>
      </c>
      <c r="L5" s="82">
        <v>5</v>
      </c>
      <c r="M5" s="82"/>
      <c r="N5" s="64"/>
      <c r="O5" s="85" t="s">
        <v>176</v>
      </c>
      <c r="P5" s="87">
        <v>44411.313055555554</v>
      </c>
      <c r="Q5" s="85" t="s">
        <v>221</v>
      </c>
      <c r="R5" s="88" t="str">
        <f>HYPERLINK("https://www.eventbrite.co.uk/e/sustainable-industry-21-tickets-156649578105?aff=Twitter")</f>
        <v>https://www.eventbrite.co.uk/e/sustainable-industry-21-tickets-156649578105?aff=Twitter</v>
      </c>
      <c r="S5" s="85" t="s">
        <v>223</v>
      </c>
      <c r="T5" s="90" t="s">
        <v>224</v>
      </c>
      <c r="U5" s="88" t="str">
        <f>HYPERLINK("https://pbs.twimg.com/ext_tw_video_thumb/1422459758318137348/pu/img/5Gfe8Otuz7F3NEQS.jpg")</f>
        <v>https://pbs.twimg.com/ext_tw_video_thumb/1422459758318137348/pu/img/5Gfe8Otuz7F3NEQS.jpg</v>
      </c>
      <c r="V5" s="88" t="str">
        <f>HYPERLINK("https://pbs.twimg.com/ext_tw_video_thumb/1422459758318137348/pu/img/5Gfe8Otuz7F3NEQS.jpg")</f>
        <v>https://pbs.twimg.com/ext_tw_video_thumb/1422459758318137348/pu/img/5Gfe8Otuz7F3NEQS.jpg</v>
      </c>
      <c r="W5" s="87">
        <v>44411.313055555554</v>
      </c>
      <c r="X5" s="93">
        <v>44411</v>
      </c>
      <c r="Y5" s="90" t="s">
        <v>227</v>
      </c>
      <c r="Z5" s="88" t="str">
        <f>HYPERLINK("https://twitter.com/#!/sureb2b/status/1422459924383215647")</f>
        <v>https://twitter.com/#!/sureb2b/status/1422459924383215647</v>
      </c>
      <c r="AA5" s="85"/>
      <c r="AB5" s="85"/>
      <c r="AC5" s="90" t="s">
        <v>230</v>
      </c>
      <c r="AD5" s="85"/>
      <c r="AE5" s="85" t="b">
        <v>0</v>
      </c>
      <c r="AF5" s="85">
        <v>0</v>
      </c>
      <c r="AG5" s="90" t="s">
        <v>232</v>
      </c>
      <c r="AH5" s="85" t="b">
        <v>0</v>
      </c>
      <c r="AI5" s="85" t="s">
        <v>233</v>
      </c>
      <c r="AJ5" s="85"/>
      <c r="AK5" s="90" t="s">
        <v>232</v>
      </c>
      <c r="AL5" s="85" t="b">
        <v>0</v>
      </c>
      <c r="AM5" s="85">
        <v>0</v>
      </c>
      <c r="AN5" s="90" t="s">
        <v>232</v>
      </c>
      <c r="AO5" s="90" t="s">
        <v>235</v>
      </c>
      <c r="AP5" s="85" t="b">
        <v>0</v>
      </c>
      <c r="AQ5" s="90" t="s">
        <v>230</v>
      </c>
      <c r="AR5" s="85" t="s">
        <v>176</v>
      </c>
      <c r="AS5" s="85">
        <v>0</v>
      </c>
      <c r="AT5" s="85">
        <v>0</v>
      </c>
      <c r="AU5" s="85"/>
      <c r="AV5" s="85"/>
      <c r="AW5" s="85"/>
      <c r="AX5" s="85"/>
      <c r="AY5" s="85"/>
      <c r="AZ5" s="85"/>
      <c r="BA5" s="85"/>
      <c r="BB5" s="85"/>
      <c r="BC5">
        <v>1</v>
      </c>
      <c r="BD5" s="84" t="str">
        <f>REPLACE(INDEX(GroupVertices[Group],MATCH(Edges[[#This Row],[Vertex 1]],GroupVertices[Vertex],0)),1,1,"")</f>
        <v>1</v>
      </c>
      <c r="BE5" s="84" t="str">
        <f>REPLACE(INDEX(GroupVertices[Group],MATCH(Edges[[#This Row],[Vertex 2]],GroupVertices[Vertex],0)),1,1,"")</f>
        <v>1</v>
      </c>
    </row>
    <row r="6" spans="1:57" ht="45">
      <c r="A6" s="83" t="s">
        <v>214</v>
      </c>
      <c r="B6" s="83" t="s">
        <v>215</v>
      </c>
      <c r="C6" s="54" t="s">
        <v>322</v>
      </c>
      <c r="D6" s="55">
        <v>3</v>
      </c>
      <c r="E6" s="67" t="s">
        <v>132</v>
      </c>
      <c r="F6" s="56">
        <v>35</v>
      </c>
      <c r="G6" s="54"/>
      <c r="H6" s="58"/>
      <c r="I6" s="57"/>
      <c r="J6" s="57"/>
      <c r="K6" s="36" t="s">
        <v>65</v>
      </c>
      <c r="L6" s="82">
        <v>6</v>
      </c>
      <c r="M6" s="82"/>
      <c r="N6" s="64"/>
      <c r="O6" s="85" t="s">
        <v>217</v>
      </c>
      <c r="P6" s="87">
        <v>44417.80866898148</v>
      </c>
      <c r="Q6" s="85" t="s">
        <v>220</v>
      </c>
      <c r="R6" s="85"/>
      <c r="S6" s="85"/>
      <c r="T6" s="85"/>
      <c r="U6" s="85"/>
      <c r="V6" s="88" t="str">
        <f>HYPERLINK("http://pbs.twimg.com/profile_images/975724535944306689/5KrinOPK_normal.jpg")</f>
        <v>http://pbs.twimg.com/profile_images/975724535944306689/5KrinOPK_normal.jpg</v>
      </c>
      <c r="W6" s="87">
        <v>44417.80866898148</v>
      </c>
      <c r="X6" s="93">
        <v>44417</v>
      </c>
      <c r="Y6" s="90" t="s">
        <v>226</v>
      </c>
      <c r="Z6" s="88" t="str">
        <f>HYPERLINK("https://twitter.com/#!/dipikat90/status/1424813855897706497")</f>
        <v>https://twitter.com/#!/dipikat90/status/1424813855897706497</v>
      </c>
      <c r="AA6" s="85"/>
      <c r="AB6" s="85"/>
      <c r="AC6" s="90" t="s">
        <v>229</v>
      </c>
      <c r="AD6" s="85"/>
      <c r="AE6" s="85" t="b">
        <v>0</v>
      </c>
      <c r="AF6" s="85">
        <v>0</v>
      </c>
      <c r="AG6" s="90" t="s">
        <v>232</v>
      </c>
      <c r="AH6" s="85" t="b">
        <v>0</v>
      </c>
      <c r="AI6" s="85" t="s">
        <v>233</v>
      </c>
      <c r="AJ6" s="85"/>
      <c r="AK6" s="90" t="s">
        <v>232</v>
      </c>
      <c r="AL6" s="85" t="b">
        <v>0</v>
      </c>
      <c r="AM6" s="85">
        <v>1</v>
      </c>
      <c r="AN6" s="90" t="s">
        <v>231</v>
      </c>
      <c r="AO6" s="90" t="s">
        <v>234</v>
      </c>
      <c r="AP6" s="85" t="b">
        <v>0</v>
      </c>
      <c r="AQ6" s="90" t="s">
        <v>231</v>
      </c>
      <c r="AR6" s="85" t="s">
        <v>176</v>
      </c>
      <c r="AS6" s="85">
        <v>0</v>
      </c>
      <c r="AT6" s="85">
        <v>0</v>
      </c>
      <c r="AU6" s="85"/>
      <c r="AV6" s="85"/>
      <c r="AW6" s="85"/>
      <c r="AX6" s="85"/>
      <c r="AY6" s="85"/>
      <c r="AZ6" s="85"/>
      <c r="BA6" s="85"/>
      <c r="BB6" s="85"/>
      <c r="BC6">
        <v>1</v>
      </c>
      <c r="BD6" s="84" t="str">
        <f>REPLACE(INDEX(GroupVertices[Group],MATCH(Edges[[#This Row],[Vertex 1]],GroupVertices[Vertex],0)),1,1,"")</f>
        <v>1</v>
      </c>
      <c r="BE6" s="84" t="str">
        <f>REPLACE(INDEX(GroupVertices[Group],MATCH(Edges[[#This Row],[Vertex 2]],GroupVertices[Vertex],0)),1,1,"")</f>
        <v>1</v>
      </c>
    </row>
    <row r="7" spans="1:57" ht="45">
      <c r="A7" s="83" t="s">
        <v>214</v>
      </c>
      <c r="B7" s="83" t="s">
        <v>215</v>
      </c>
      <c r="C7" s="54" t="s">
        <v>322</v>
      </c>
      <c r="D7" s="55">
        <v>3</v>
      </c>
      <c r="E7" s="67" t="s">
        <v>132</v>
      </c>
      <c r="F7" s="56">
        <v>35</v>
      </c>
      <c r="G7" s="54"/>
      <c r="H7" s="58"/>
      <c r="I7" s="57"/>
      <c r="J7" s="57"/>
      <c r="K7" s="36" t="s">
        <v>65</v>
      </c>
      <c r="L7" s="82">
        <v>7</v>
      </c>
      <c r="M7" s="82"/>
      <c r="N7" s="64"/>
      <c r="O7" s="85" t="s">
        <v>218</v>
      </c>
      <c r="P7" s="87">
        <v>44417.80866898148</v>
      </c>
      <c r="Q7" s="85" t="s">
        <v>220</v>
      </c>
      <c r="R7" s="85"/>
      <c r="S7" s="85"/>
      <c r="T7" s="85"/>
      <c r="U7" s="85"/>
      <c r="V7" s="88" t="str">
        <f>HYPERLINK("http://pbs.twimg.com/profile_images/975724535944306689/5KrinOPK_normal.jpg")</f>
        <v>http://pbs.twimg.com/profile_images/975724535944306689/5KrinOPK_normal.jpg</v>
      </c>
      <c r="W7" s="87">
        <v>44417.80866898148</v>
      </c>
      <c r="X7" s="93">
        <v>44417</v>
      </c>
      <c r="Y7" s="90" t="s">
        <v>226</v>
      </c>
      <c r="Z7" s="88" t="str">
        <f>HYPERLINK("https://twitter.com/#!/dipikat90/status/1424813855897706497")</f>
        <v>https://twitter.com/#!/dipikat90/status/1424813855897706497</v>
      </c>
      <c r="AA7" s="85"/>
      <c r="AB7" s="85"/>
      <c r="AC7" s="90" t="s">
        <v>229</v>
      </c>
      <c r="AD7" s="85"/>
      <c r="AE7" s="85" t="b">
        <v>0</v>
      </c>
      <c r="AF7" s="85">
        <v>0</v>
      </c>
      <c r="AG7" s="90" t="s">
        <v>232</v>
      </c>
      <c r="AH7" s="85" t="b">
        <v>0</v>
      </c>
      <c r="AI7" s="85" t="s">
        <v>233</v>
      </c>
      <c r="AJ7" s="85"/>
      <c r="AK7" s="90" t="s">
        <v>232</v>
      </c>
      <c r="AL7" s="85" t="b">
        <v>0</v>
      </c>
      <c r="AM7" s="85">
        <v>1</v>
      </c>
      <c r="AN7" s="90" t="s">
        <v>231</v>
      </c>
      <c r="AO7" s="90" t="s">
        <v>234</v>
      </c>
      <c r="AP7" s="85" t="b">
        <v>0</v>
      </c>
      <c r="AQ7" s="90" t="s">
        <v>231</v>
      </c>
      <c r="AR7" s="85" t="s">
        <v>176</v>
      </c>
      <c r="AS7" s="85">
        <v>0</v>
      </c>
      <c r="AT7" s="85">
        <v>0</v>
      </c>
      <c r="AU7" s="85"/>
      <c r="AV7" s="85"/>
      <c r="AW7" s="85"/>
      <c r="AX7" s="85"/>
      <c r="AY7" s="85"/>
      <c r="AZ7" s="85"/>
      <c r="BA7" s="85"/>
      <c r="BB7" s="85"/>
      <c r="BC7">
        <v>1</v>
      </c>
      <c r="BD7" s="84" t="str">
        <f>REPLACE(INDEX(GroupVertices[Group],MATCH(Edges[[#This Row],[Vertex 1]],GroupVertices[Vertex],0)),1,1,"")</f>
        <v>1</v>
      </c>
      <c r="BE7" s="84" t="str">
        <f>REPLACE(INDEX(GroupVertices[Group],MATCH(Edges[[#This Row],[Vertex 2]],GroupVertices[Vertex],0)),1,1,"")</f>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236</v>
      </c>
      <c r="AE2" s="13" t="s">
        <v>237</v>
      </c>
      <c r="AF2" s="13" t="s">
        <v>238</v>
      </c>
      <c r="AG2" s="13" t="s">
        <v>239</v>
      </c>
      <c r="AH2" s="13" t="s">
        <v>240</v>
      </c>
      <c r="AI2" s="13" t="s">
        <v>241</v>
      </c>
      <c r="AJ2" s="13" t="s">
        <v>242</v>
      </c>
      <c r="AK2" s="13" t="s">
        <v>243</v>
      </c>
      <c r="AL2" s="13" t="s">
        <v>244</v>
      </c>
      <c r="AM2" s="13" t="s">
        <v>245</v>
      </c>
      <c r="AN2" s="13" t="s">
        <v>246</v>
      </c>
      <c r="AO2" s="13" t="s">
        <v>247</v>
      </c>
      <c r="AP2" s="13" t="s">
        <v>248</v>
      </c>
      <c r="AQ2" s="13" t="s">
        <v>249</v>
      </c>
      <c r="AR2" s="13" t="s">
        <v>250</v>
      </c>
      <c r="AS2" s="13" t="s">
        <v>251</v>
      </c>
      <c r="AT2" s="13" t="s">
        <v>194</v>
      </c>
      <c r="AU2" s="13" t="s">
        <v>252</v>
      </c>
      <c r="AV2" s="13" t="s">
        <v>253</v>
      </c>
      <c r="AW2" s="13" t="s">
        <v>254</v>
      </c>
      <c r="AX2" s="13" t="s">
        <v>255</v>
      </c>
      <c r="AY2" s="13" t="s">
        <v>256</v>
      </c>
      <c r="AZ2" s="13" t="s">
        <v>257</v>
      </c>
      <c r="BA2" s="13" t="s">
        <v>314</v>
      </c>
      <c r="BB2" s="3"/>
      <c r="BC2" s="3"/>
    </row>
    <row r="3" spans="1:55" ht="15" customHeight="1">
      <c r="A3" s="50" t="s">
        <v>215</v>
      </c>
      <c r="B3" s="54"/>
      <c r="C3" s="54"/>
      <c r="D3" s="55"/>
      <c r="E3" s="56"/>
      <c r="F3" s="115" t="str">
        <f>HYPERLINK("http://pbs.twimg.com/profile_images/1324679738951086083/JhThRoDS_normal.jpg")</f>
        <v>http://pbs.twimg.com/profile_images/1324679738951086083/JhThRoDS_normal.jpg</v>
      </c>
      <c r="G3" s="54"/>
      <c r="H3" s="58" t="s">
        <v>215</v>
      </c>
      <c r="I3" s="57"/>
      <c r="J3" s="57"/>
      <c r="K3" s="117" t="s">
        <v>273</v>
      </c>
      <c r="L3" s="60"/>
      <c r="M3" s="61">
        <v>115.86326599121094</v>
      </c>
      <c r="N3" s="61">
        <v>164.4572296142578</v>
      </c>
      <c r="O3" s="59"/>
      <c r="P3" s="62"/>
      <c r="Q3" s="62"/>
      <c r="R3" s="51"/>
      <c r="S3" s="51"/>
      <c r="T3" s="51"/>
      <c r="U3" s="51"/>
      <c r="V3" s="52"/>
      <c r="W3" s="52"/>
      <c r="X3" s="53"/>
      <c r="Y3" s="52"/>
      <c r="Z3" s="52"/>
      <c r="AA3" s="63">
        <v>3</v>
      </c>
      <c r="AB3" s="63"/>
      <c r="AC3" s="64"/>
      <c r="AD3" s="84" t="s">
        <v>260</v>
      </c>
      <c r="AE3" s="89" t="s">
        <v>263</v>
      </c>
      <c r="AF3" s="84">
        <v>241</v>
      </c>
      <c r="AG3" s="84">
        <v>52</v>
      </c>
      <c r="AH3" s="84">
        <v>18</v>
      </c>
      <c r="AI3" s="84">
        <v>10</v>
      </c>
      <c r="AJ3" s="84"/>
      <c r="AK3" s="84" t="s">
        <v>266</v>
      </c>
      <c r="AL3" s="84" t="s">
        <v>269</v>
      </c>
      <c r="AM3" s="91" t="str">
        <f>HYPERLINK("https://t.co/Ovl13Bmp0Y")</f>
        <v>https://t.co/Ovl13Bmp0Y</v>
      </c>
      <c r="AN3" s="84"/>
      <c r="AO3" s="86">
        <v>44141.49097222222</v>
      </c>
      <c r="AP3" s="91" t="str">
        <f>HYPERLINK("https://pbs.twimg.com/profile_banners/1324679614913011713/1625050087")</f>
        <v>https://pbs.twimg.com/profile_banners/1324679614913011713/1625050087</v>
      </c>
      <c r="AQ3" s="84" t="b">
        <v>1</v>
      </c>
      <c r="AR3" s="84" t="b">
        <v>0</v>
      </c>
      <c r="AS3" s="84" t="b">
        <v>0</v>
      </c>
      <c r="AT3" s="84"/>
      <c r="AU3" s="84">
        <v>0</v>
      </c>
      <c r="AV3" s="84"/>
      <c r="AW3" s="84" t="b">
        <v>0</v>
      </c>
      <c r="AX3" s="84" t="s">
        <v>270</v>
      </c>
      <c r="AY3" s="91" t="str">
        <f>HYPERLINK("https://twitter.com/sureb2b")</f>
        <v>https://twitter.com/sureb2b</v>
      </c>
      <c r="AZ3" s="84" t="s">
        <v>66</v>
      </c>
      <c r="BA3" s="84" t="str">
        <f>REPLACE(INDEX(GroupVertices[Group],MATCH(Vertices[[#This Row],[Vertex]],GroupVertices[Vertex],0)),1,1,"")</f>
        <v>1</v>
      </c>
      <c r="BB3" s="3"/>
      <c r="BC3" s="3"/>
    </row>
    <row r="4" spans="1:58" ht="15">
      <c r="A4" s="14" t="s">
        <v>216</v>
      </c>
      <c r="B4" s="15"/>
      <c r="C4" s="15"/>
      <c r="D4" s="94"/>
      <c r="E4" s="80"/>
      <c r="F4" s="115" t="str">
        <f>HYPERLINK("http://pbs.twimg.com/profile_images/876671037563224064/y_k1sOqV_normal.jpg")</f>
        <v>http://pbs.twimg.com/profile_images/876671037563224064/y_k1sOqV_normal.jpg</v>
      </c>
      <c r="G4" s="15"/>
      <c r="H4" s="16" t="s">
        <v>216</v>
      </c>
      <c r="I4" s="68"/>
      <c r="J4" s="68"/>
      <c r="K4" s="117" t="s">
        <v>271</v>
      </c>
      <c r="L4" s="95"/>
      <c r="M4" s="96">
        <v>4999.5</v>
      </c>
      <c r="N4" s="96">
        <v>4999.5</v>
      </c>
      <c r="O4" s="78"/>
      <c r="P4" s="97"/>
      <c r="Q4" s="97"/>
      <c r="R4" s="98"/>
      <c r="S4" s="98"/>
      <c r="T4" s="98"/>
      <c r="U4" s="98"/>
      <c r="V4" s="53"/>
      <c r="W4" s="53"/>
      <c r="X4" s="53"/>
      <c r="Y4" s="53"/>
      <c r="Z4" s="52"/>
      <c r="AA4" s="81">
        <v>4</v>
      </c>
      <c r="AB4" s="81"/>
      <c r="AC4" s="99"/>
      <c r="AD4" s="84" t="s">
        <v>258</v>
      </c>
      <c r="AE4" s="89" t="s">
        <v>261</v>
      </c>
      <c r="AF4" s="84">
        <v>2261</v>
      </c>
      <c r="AG4" s="84">
        <v>4947</v>
      </c>
      <c r="AH4" s="84">
        <v>11274</v>
      </c>
      <c r="AI4" s="84">
        <v>330</v>
      </c>
      <c r="AJ4" s="84"/>
      <c r="AK4" s="84" t="s">
        <v>264</v>
      </c>
      <c r="AL4" s="84" t="s">
        <v>267</v>
      </c>
      <c r="AM4" s="91" t="str">
        <f>HYPERLINK("https://t.co/xJujVTiRZb")</f>
        <v>https://t.co/xJujVTiRZb</v>
      </c>
      <c r="AN4" s="84"/>
      <c r="AO4" s="86">
        <v>42746.594664351855</v>
      </c>
      <c r="AP4" s="91" t="str">
        <f>HYPERLINK("https://pbs.twimg.com/profile_banners/819186177639088128/1560955714")</f>
        <v>https://pbs.twimg.com/profile_banners/819186177639088128/1560955714</v>
      </c>
      <c r="AQ4" s="84" t="b">
        <v>0</v>
      </c>
      <c r="AR4" s="84" t="b">
        <v>0</v>
      </c>
      <c r="AS4" s="84" t="b">
        <v>0</v>
      </c>
      <c r="AT4" s="84"/>
      <c r="AU4" s="84">
        <v>37</v>
      </c>
      <c r="AV4" s="91" t="str">
        <f>HYPERLINK("http://abs.twimg.com/images/themes/theme1/bg.png")</f>
        <v>http://abs.twimg.com/images/themes/theme1/bg.png</v>
      </c>
      <c r="AW4" s="84" t="b">
        <v>0</v>
      </c>
      <c r="AX4" s="84" t="s">
        <v>270</v>
      </c>
      <c r="AY4" s="91" t="str">
        <f>HYPERLINK("https://twitter.com/lnttechservices")</f>
        <v>https://twitter.com/lnttechservices</v>
      </c>
      <c r="AZ4" s="84" t="s">
        <v>65</v>
      </c>
      <c r="BA4" s="84" t="str">
        <f>REPLACE(INDEX(GroupVertices[Group],MATCH(Vertices[[#This Row],[Vertex]],GroupVertices[Vertex],0)),1,1,"")</f>
        <v>1</v>
      </c>
      <c r="BB4" s="2"/>
      <c r="BC4" s="3"/>
      <c r="BD4" s="3"/>
      <c r="BE4" s="3"/>
      <c r="BF4" s="3"/>
    </row>
    <row r="5" spans="1:58" ht="15">
      <c r="A5" s="100" t="s">
        <v>214</v>
      </c>
      <c r="B5" s="101"/>
      <c r="C5" s="101"/>
      <c r="D5" s="102"/>
      <c r="E5" s="103"/>
      <c r="F5" s="116" t="str">
        <f>HYPERLINK("http://pbs.twimg.com/profile_images/975724535944306689/5KrinOPK_normal.jpg")</f>
        <v>http://pbs.twimg.com/profile_images/975724535944306689/5KrinOPK_normal.jpg</v>
      </c>
      <c r="G5" s="101"/>
      <c r="H5" s="104" t="s">
        <v>214</v>
      </c>
      <c r="I5" s="105"/>
      <c r="J5" s="105"/>
      <c r="K5" s="118" t="s">
        <v>272</v>
      </c>
      <c r="L5" s="106"/>
      <c r="M5" s="107">
        <v>9883.13671875</v>
      </c>
      <c r="N5" s="107">
        <v>9834.54296875</v>
      </c>
      <c r="O5" s="108"/>
      <c r="P5" s="109"/>
      <c r="Q5" s="109"/>
      <c r="R5" s="110"/>
      <c r="S5" s="110"/>
      <c r="T5" s="110"/>
      <c r="U5" s="110"/>
      <c r="V5" s="111"/>
      <c r="W5" s="111"/>
      <c r="X5" s="111"/>
      <c r="Y5" s="111"/>
      <c r="Z5" s="112"/>
      <c r="AA5" s="113">
        <v>5</v>
      </c>
      <c r="AB5" s="113"/>
      <c r="AC5" s="114"/>
      <c r="AD5" s="84" t="s">
        <v>259</v>
      </c>
      <c r="AE5" s="89" t="s">
        <v>262</v>
      </c>
      <c r="AF5" s="84">
        <v>239</v>
      </c>
      <c r="AG5" s="84">
        <v>1288</v>
      </c>
      <c r="AH5" s="84">
        <v>1613</v>
      </c>
      <c r="AI5" s="84">
        <v>716</v>
      </c>
      <c r="AJ5" s="84"/>
      <c r="AK5" s="84" t="s">
        <v>265</v>
      </c>
      <c r="AL5" s="84" t="s">
        <v>268</v>
      </c>
      <c r="AM5" s="91" t="str">
        <f>HYPERLINK("https://t.co/BE53dTgsuo")</f>
        <v>https://t.co/BE53dTgsuo</v>
      </c>
      <c r="AN5" s="84"/>
      <c r="AO5" s="86">
        <v>41899.530636574076</v>
      </c>
      <c r="AP5" s="91" t="str">
        <f>HYPERLINK("https://pbs.twimg.com/profile_banners/2814878498/1625050195")</f>
        <v>https://pbs.twimg.com/profile_banners/2814878498/1625050195</v>
      </c>
      <c r="AQ5" s="84" t="b">
        <v>0</v>
      </c>
      <c r="AR5" s="84" t="b">
        <v>0</v>
      </c>
      <c r="AS5" s="84" t="b">
        <v>1</v>
      </c>
      <c r="AT5" s="84"/>
      <c r="AU5" s="84">
        <v>42</v>
      </c>
      <c r="AV5" s="91" t="str">
        <f>HYPERLINK("http://abs.twimg.com/images/themes/theme16/bg.gif")</f>
        <v>http://abs.twimg.com/images/themes/theme16/bg.gif</v>
      </c>
      <c r="AW5" s="84" t="b">
        <v>0</v>
      </c>
      <c r="AX5" s="84" t="s">
        <v>270</v>
      </c>
      <c r="AY5" s="91" t="str">
        <f>HYPERLINK("https://twitter.com/dipikat90")</f>
        <v>https://twitter.com/dipikat90</v>
      </c>
      <c r="AZ5" s="84" t="s">
        <v>66</v>
      </c>
      <c r="BA5" s="84" t="str">
        <f>REPLACE(INDEX(GroupVertices[Group],MATCH(Vertices[[#This Row],[Vertex]],GroupVertices[Vertex],0)),1,1,"")</f>
        <v>1</v>
      </c>
      <c r="BB5" s="2"/>
      <c r="BC5" s="3"/>
      <c r="BD5" s="3"/>
      <c r="BE5" s="3"/>
      <c r="BF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9" t="s">
        <v>39</v>
      </c>
      <c r="C1" s="70"/>
      <c r="D1" s="70"/>
      <c r="E1" s="71"/>
      <c r="F1" s="68" t="s">
        <v>43</v>
      </c>
      <c r="G1" s="72" t="s">
        <v>44</v>
      </c>
      <c r="H1" s="73"/>
      <c r="I1" s="74" t="s">
        <v>40</v>
      </c>
      <c r="J1" s="75"/>
      <c r="K1" s="76" t="s">
        <v>42</v>
      </c>
      <c r="L1" s="77"/>
      <c r="M1" s="77"/>
      <c r="N1" s="77"/>
      <c r="O1" s="77"/>
      <c r="P1" s="77"/>
      <c r="Q1" s="77"/>
      <c r="R1" s="77"/>
      <c r="S1" s="77"/>
      <c r="T1" s="77"/>
      <c r="U1" s="77"/>
      <c r="V1" s="77"/>
      <c r="W1" s="77"/>
      <c r="X1" s="77"/>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317</v>
      </c>
    </row>
    <row r="3" spans="1:25" ht="15">
      <c r="A3" s="83" t="s">
        <v>312</v>
      </c>
      <c r="B3" s="119" t="s">
        <v>313</v>
      </c>
      <c r="C3" s="119" t="s">
        <v>56</v>
      </c>
      <c r="D3" s="15"/>
      <c r="E3" s="15"/>
      <c r="F3" s="16" t="s">
        <v>312</v>
      </c>
      <c r="G3" s="78"/>
      <c r="H3" s="78"/>
      <c r="I3" s="65">
        <v>3</v>
      </c>
      <c r="J3" s="65"/>
      <c r="K3" s="51">
        <v>3</v>
      </c>
      <c r="L3" s="51">
        <v>3</v>
      </c>
      <c r="M3" s="51">
        <v>2</v>
      </c>
      <c r="N3" s="51">
        <v>5</v>
      </c>
      <c r="O3" s="51">
        <v>1</v>
      </c>
      <c r="P3" s="52">
        <v>0</v>
      </c>
      <c r="Q3" s="52">
        <v>0</v>
      </c>
      <c r="R3" s="51">
        <v>1</v>
      </c>
      <c r="S3" s="51">
        <v>0</v>
      </c>
      <c r="T3" s="51">
        <v>3</v>
      </c>
      <c r="U3" s="51">
        <v>5</v>
      </c>
      <c r="V3" s="51">
        <v>1</v>
      </c>
      <c r="W3" s="52">
        <v>0.666667</v>
      </c>
      <c r="X3" s="52">
        <v>0.5</v>
      </c>
      <c r="Y3" s="84" t="s">
        <v>318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4" t="s">
        <v>312</v>
      </c>
      <c r="B2" s="89" t="s">
        <v>214</v>
      </c>
      <c r="C2" s="84">
        <f>VLOOKUP(GroupVertices[[#This Row],[Vertex]],Vertices[],MATCH("ID",Vertices[[#Headers],[Vertex]:[Vertex Group]],0),FALSE)</f>
        <v>5</v>
      </c>
    </row>
    <row r="3" spans="1:3" ht="15">
      <c r="A3" s="85" t="s">
        <v>312</v>
      </c>
      <c r="B3" s="89" t="s">
        <v>215</v>
      </c>
      <c r="C3" s="84">
        <f>VLOOKUP(GroupVertices[[#This Row],[Vertex]],Vertices[],MATCH("ID",Vertices[[#Headers],[Vertex]:[Vertex Group]],0),FALSE)</f>
        <v>3</v>
      </c>
    </row>
    <row r="4" spans="1:3" ht="15">
      <c r="A4" s="85" t="s">
        <v>312</v>
      </c>
      <c r="B4" s="89" t="s">
        <v>216</v>
      </c>
      <c r="C4" s="84">
        <f>VLOOKUP(GroupVertices[[#This Row],[Vertex]],Vertices[],MATCH("ID",Vertices[[#Headers],[Vertex]:[Vertex Group]],0),FALSE)</f>
        <v>4</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36"/>
      <c r="B3" s="36"/>
      <c r="D3" s="34">
        <f aca="true" t="shared" si="1" ref="D3:D35">D2+($D$36-$D$2)/BinDivisor</f>
        <v>0</v>
      </c>
      <c r="E3" s="3">
        <f>COUNTIF(Vertices[Degree],"&gt;= "&amp;D3)-COUNTIF(Vertices[Degree],"&gt;="&amp;D4)</f>
        <v>0</v>
      </c>
      <c r="F3" s="41">
        <f aca="true" t="shared" si="2" ref="F3:F35">F2+($F$36-$F$2)/BinDivisor</f>
        <v>0</v>
      </c>
      <c r="G3" s="42">
        <f>COUNTIF(Vertices[In-Degree],"&gt;= "&amp;F3)-COUNTIF(Vertices[In-Degree],"&gt;="&amp;F4)</f>
        <v>0</v>
      </c>
      <c r="H3" s="41">
        <f aca="true" t="shared" si="3" ref="H3:H35">H2+($H$36-$H$2)/BinDivisor</f>
        <v>0</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v>
      </c>
      <c r="O3" s="42">
        <f>COUNTIF(Vertices[Eigenvector Centrality],"&gt;= "&amp;N3)-COUNTIF(Vertices[Eigenvector Centrality],"&gt;="&amp;N4)</f>
        <v>0</v>
      </c>
      <c r="P3" s="41">
        <f aca="true" t="shared" si="7" ref="P3:P35">P2+($P$36-$P$2)/BinDivisor</f>
        <v>0</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c r="B4" s="36"/>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79"/>
      <c r="B27" s="79"/>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c r="B28" s="36"/>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c r="B29" s="36"/>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c r="B30" s="36"/>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c r="B31" s="36"/>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c r="B32" s="36"/>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79"/>
      <c r="B33" s="79"/>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c r="B34" s="36"/>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c r="B35" s="36"/>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c r="B36" s="36"/>
      <c r="D36" s="34">
        <f>MAX(Vertices[Degree])</f>
        <v>0</v>
      </c>
      <c r="E36" s="3">
        <f>COUNTIF(Vertices[Degree],"&gt;= "&amp;D36)-COUNTIF(Vertices[Degree],"&gt;="&amp;#REF!)</f>
        <v>0</v>
      </c>
      <c r="F36" s="43">
        <f>MAX(Vertices[In-Degree])</f>
        <v>0</v>
      </c>
      <c r="G36" s="44">
        <f>COUNTIF(Vertices[In-Degree],"&gt;= "&amp;F36)-COUNTIF(Vertices[In-Degree],"&gt;="&amp;#REF!)</f>
        <v>0</v>
      </c>
      <c r="H36" s="43">
        <f>MAX(Vertices[Out-Degree])</f>
        <v>0</v>
      </c>
      <c r="I36" s="44">
        <f>COUNTIF(Vertices[Out-Degree],"&gt;= "&amp;H36)-COUNTIF(Vertices[Out-Degree],"&gt;="&amp;#REF!)</f>
        <v>0</v>
      </c>
      <c r="J36" s="43">
        <f>MAX(Vertices[Betweenness Centrality])</f>
        <v>0</v>
      </c>
      <c r="K36" s="44">
        <f>COUNTIF(Vertices[Betweenness Centrality],"&gt;= "&amp;J36)-COUNTIF(Vertices[Betweenness Centrality],"&gt;="&amp;#REF!)</f>
        <v>0</v>
      </c>
      <c r="L36" s="43">
        <f>MAX(Vertices[Closeness Centrality])</f>
        <v>0</v>
      </c>
      <c r="M36" s="44">
        <f>COUNTIF(Vertices[Closeness Centrality],"&gt;= "&amp;L36)-COUNTIF(Vertices[Closeness Centrality],"&gt;="&amp;#REF!)</f>
        <v>0</v>
      </c>
      <c r="N36" s="43">
        <f>MAX(Vertices[Eigenvector Centrality])</f>
        <v>0</v>
      </c>
      <c r="O36" s="44">
        <f>COUNTIF(Vertices[Eigenvector Centrality],"&gt;= "&amp;N36)-COUNTIF(Vertices[Eigenvector Centrality],"&gt;="&amp;#REF!)</f>
        <v>0</v>
      </c>
      <c r="P36" s="43">
        <f>MAX(Vertices[PageRank])</f>
        <v>0</v>
      </c>
      <c r="Q36" s="44">
        <f>COUNTIF(Vertices[PageRank],"&gt;= "&amp;P36)-COUNTIF(Vertices[PageRank],"&gt;="&amp;#REF!)</f>
        <v>0</v>
      </c>
      <c r="R36" s="43">
        <f>MAX(Vertices[Clustering Coefficient])</f>
        <v>0</v>
      </c>
      <c r="S36" s="47">
        <f>COUNTIF(Vertices[Clustering Coefficient],"&gt;= "&amp;R36)-COUNTIF(Vertices[Clustering Coefficient],"&gt;="&amp;#REF!)</f>
        <v>0</v>
      </c>
      <c r="T36" s="43" t="e">
        <f ca="1">MAX(INDIRECT(DynamicFilterSourceColumnRange))</f>
        <v>#REF!</v>
      </c>
      <c r="U36" s="44" t="e">
        <f ca="1">COUNTIF(INDIRECT(DynamicFilterSourceColumnRange),"&gt;= "&amp;T36)-COUNTIF(INDIRECT(DynamicFilterSourceColumnRange),"&gt;="&amp;#REF!)</f>
        <v>#REF!</v>
      </c>
    </row>
    <row r="37" spans="1:2" ht="15">
      <c r="A37" s="79"/>
      <c r="B37" s="79"/>
    </row>
    <row r="38" spans="1:2" ht="15">
      <c r="A38" s="79"/>
      <c r="B38" s="79"/>
    </row>
    <row r="39" spans="1:2" ht="15">
      <c r="A39" s="79"/>
      <c r="B39" s="79"/>
    </row>
    <row r="40" spans="1:2" ht="15">
      <c r="A40" s="79"/>
      <c r="B40" s="79"/>
    </row>
    <row r="41" spans="1:2" ht="15">
      <c r="A41" s="79"/>
      <c r="B41" s="79"/>
    </row>
    <row r="42" spans="1:2" ht="15">
      <c r="A42" s="36"/>
      <c r="B42" s="36"/>
    </row>
    <row r="43" spans="1:2" ht="15">
      <c r="A43" s="36"/>
      <c r="B43" s="36"/>
    </row>
    <row r="44" spans="1:2" ht="15">
      <c r="A44" s="36"/>
      <c r="B44" s="36"/>
    </row>
    <row r="45" spans="1:2" ht="15">
      <c r="A45" s="36"/>
      <c r="B45" s="36"/>
    </row>
    <row r="46" spans="1:2" ht="15">
      <c r="A46" s="36"/>
      <c r="B46" s="36"/>
    </row>
    <row r="47" spans="1:2" ht="15">
      <c r="A47" s="36"/>
      <c r="B47" s="36"/>
    </row>
    <row r="48" spans="1:2" ht="15">
      <c r="A48" s="36"/>
      <c r="B48" s="36"/>
    </row>
    <row r="49" spans="1:2" ht="15">
      <c r="A49" s="36"/>
      <c r="B49" s="36"/>
    </row>
    <row r="50" spans="1:2" ht="15">
      <c r="A50" s="79"/>
      <c r="B50" s="79"/>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t="str">
        <f>IF(COUNT(Vertices[In-Degree])&gt;0,F2,NoMetricMessage)</f>
        <v>Not Available</v>
      </c>
    </row>
    <row r="82" spans="1:2" ht="15">
      <c r="A82" s="35" t="s">
        <v>89</v>
      </c>
      <c r="B82" s="48" t="str">
        <f>IF(COUNT(Vertices[In-Degree])&gt;0,F36,NoMetricMessage)</f>
        <v>Not Available</v>
      </c>
    </row>
    <row r="83" spans="1:2" ht="15">
      <c r="A83" s="35" t="s">
        <v>90</v>
      </c>
      <c r="B83" s="49" t="str">
        <f>_xlfn.IFERROR(AVERAGE(Vertices[In-Degree]),NoMetricMessage)</f>
        <v>Not Available</v>
      </c>
    </row>
    <row r="84" spans="1:2" ht="15">
      <c r="A84" s="35" t="s">
        <v>91</v>
      </c>
      <c r="B84" s="49" t="str">
        <f>_xlfn.IFERROR(MEDIAN(Vertices[In-Degree]),NoMetricMessage)</f>
        <v>Not Available</v>
      </c>
    </row>
    <row r="95" spans="1:2" ht="15">
      <c r="A95" s="35" t="s">
        <v>94</v>
      </c>
      <c r="B95" s="48" t="str">
        <f>IF(COUNT(Vertices[Out-Degree])&gt;0,H2,NoMetricMessage)</f>
        <v>Not Available</v>
      </c>
    </row>
    <row r="96" spans="1:2" ht="15">
      <c r="A96" s="35" t="s">
        <v>95</v>
      </c>
      <c r="B96" s="48" t="str">
        <f>IF(COUNT(Vertices[Out-Degree])&gt;0,H36,NoMetricMessage)</f>
        <v>Not Available</v>
      </c>
    </row>
    <row r="97" spans="1:2" ht="15">
      <c r="A97" s="35" t="s">
        <v>96</v>
      </c>
      <c r="B97" s="49" t="str">
        <f>_xlfn.IFERROR(AVERAGE(Vertices[Out-Degree]),NoMetricMessage)</f>
        <v>Not Available</v>
      </c>
    </row>
    <row r="98" spans="1:2" ht="15">
      <c r="A98" s="35" t="s">
        <v>97</v>
      </c>
      <c r="B98" s="49" t="str">
        <f>_xlfn.IFERROR(MEDIAN(Vertices[Out-Degree]),NoMetricMessage)</f>
        <v>Not Available</v>
      </c>
    </row>
    <row r="109" spans="1:2" ht="15">
      <c r="A109" s="35" t="s">
        <v>100</v>
      </c>
      <c r="B109" s="49" t="str">
        <f>IF(COUNT(Vertices[Betweenness Centrality])&gt;0,J2,NoMetricMessage)</f>
        <v>Not Available</v>
      </c>
    </row>
    <row r="110" spans="1:2" ht="15">
      <c r="A110" s="35" t="s">
        <v>101</v>
      </c>
      <c r="B110" s="49" t="str">
        <f>IF(COUNT(Vertices[Betweenness Centrality])&gt;0,J36,NoMetricMessage)</f>
        <v>Not Available</v>
      </c>
    </row>
    <row r="111" spans="1:2" ht="15">
      <c r="A111" s="35" t="s">
        <v>102</v>
      </c>
      <c r="B111" s="49" t="str">
        <f>_xlfn.IFERROR(AVERAGE(Vertices[Betweenness Centrality]),NoMetricMessage)</f>
        <v>Not Available</v>
      </c>
    </row>
    <row r="112" spans="1:2" ht="15">
      <c r="A112" s="35" t="s">
        <v>103</v>
      </c>
      <c r="B112" s="49" t="str">
        <f>_xlfn.IFERROR(MEDIAN(Vertices[Betweenness Centrality]),NoMetricMessage)</f>
        <v>Not Available</v>
      </c>
    </row>
    <row r="123" spans="1:2" ht="15">
      <c r="A123" s="35" t="s">
        <v>106</v>
      </c>
      <c r="B123" s="49" t="str">
        <f>IF(COUNT(Vertices[Closeness Centrality])&gt;0,L2,NoMetricMessage)</f>
        <v>Not Available</v>
      </c>
    </row>
    <row r="124" spans="1:2" ht="15">
      <c r="A124" s="35" t="s">
        <v>107</v>
      </c>
      <c r="B124" s="49" t="str">
        <f>IF(COUNT(Vertices[Closeness Centrality])&gt;0,L36,NoMetricMessage)</f>
        <v>Not Available</v>
      </c>
    </row>
    <row r="125" spans="1:2" ht="15">
      <c r="A125" s="35" t="s">
        <v>108</v>
      </c>
      <c r="B125" s="49" t="str">
        <f>_xlfn.IFERROR(AVERAGE(Vertices[Closeness Centrality]),NoMetricMessage)</f>
        <v>Not Available</v>
      </c>
    </row>
    <row r="126" spans="1:2" ht="15">
      <c r="A126" s="35" t="s">
        <v>109</v>
      </c>
      <c r="B126" s="49" t="str">
        <f>_xlfn.IFERROR(MEDIAN(Vertices[Closeness Centrality]),NoMetricMessage)</f>
        <v>Not Available</v>
      </c>
    </row>
    <row r="137" spans="1:2" ht="15">
      <c r="A137" s="35" t="s">
        <v>112</v>
      </c>
      <c r="B137" s="49" t="str">
        <f>IF(COUNT(Vertices[Eigenvector Centrality])&gt;0,N2,NoMetricMessage)</f>
        <v>Not Available</v>
      </c>
    </row>
    <row r="138" spans="1:2" ht="15">
      <c r="A138" s="35" t="s">
        <v>113</v>
      </c>
      <c r="B138" s="49" t="str">
        <f>IF(COUNT(Vertices[Eigenvector Centrality])&gt;0,N36,NoMetricMessage)</f>
        <v>Not Available</v>
      </c>
    </row>
    <row r="139" spans="1:2" ht="15">
      <c r="A139" s="35" t="s">
        <v>114</v>
      </c>
      <c r="B139" s="49" t="str">
        <f>_xlfn.IFERROR(AVERAGE(Vertices[Eigenvector Centrality]),NoMetricMessage)</f>
        <v>Not Available</v>
      </c>
    </row>
    <row r="140" spans="1:2" ht="15">
      <c r="A140" s="35" t="s">
        <v>115</v>
      </c>
      <c r="B140" s="49" t="str">
        <f>_xlfn.IFERROR(MEDIAN(Vertices[Eigenvector Centrality]),NoMetricMessage)</f>
        <v>Not Available</v>
      </c>
    </row>
    <row r="151" spans="1:2" ht="15">
      <c r="A151" s="35" t="s">
        <v>140</v>
      </c>
      <c r="B151" s="49" t="str">
        <f>IF(COUNT(Vertices[PageRank])&gt;0,P2,NoMetricMessage)</f>
        <v>Not Available</v>
      </c>
    </row>
    <row r="152" spans="1:2" ht="15">
      <c r="A152" s="35" t="s">
        <v>141</v>
      </c>
      <c r="B152" s="49" t="str">
        <f>IF(COUNT(Vertices[PageRank])&gt;0,P36,NoMetricMessage)</f>
        <v>Not Available</v>
      </c>
    </row>
    <row r="153" spans="1:2" ht="15">
      <c r="A153" s="35" t="s">
        <v>142</v>
      </c>
      <c r="B153" s="49" t="str">
        <f>_xlfn.IFERROR(AVERAGE(Vertices[PageRank]),NoMetricMessage)</f>
        <v>Not Available</v>
      </c>
    </row>
    <row r="154" spans="1:2" ht="15">
      <c r="A154" s="35" t="s">
        <v>143</v>
      </c>
      <c r="B154" s="49" t="str">
        <f>_xlfn.IFERROR(MEDIAN(Vertices[PageRank]),NoMetricMessage)</f>
        <v>Not Available</v>
      </c>
    </row>
    <row r="165" spans="1:2" ht="15">
      <c r="A165" s="35" t="s">
        <v>118</v>
      </c>
      <c r="B165" s="49" t="str">
        <f>IF(COUNT(Vertices[Clustering Coefficient])&gt;0,R2,NoMetricMessage)</f>
        <v>Not Available</v>
      </c>
    </row>
    <row r="166" spans="1:2" ht="15">
      <c r="A166" s="35" t="s">
        <v>119</v>
      </c>
      <c r="B166" s="49" t="str">
        <f>IF(COUNT(Vertices[Clustering Coefficient])&gt;0,R36,NoMetricMessage)</f>
        <v>Not Available</v>
      </c>
    </row>
    <row r="167" spans="1:2" ht="15">
      <c r="A167" s="35" t="s">
        <v>120</v>
      </c>
      <c r="B167" s="49" t="str">
        <f>_xlfn.IFERROR(AVERAGE(Vertices[Clustering Coefficient]),NoMetricMessage)</f>
        <v>Not Available</v>
      </c>
    </row>
    <row r="168" spans="1:2" ht="15">
      <c r="A168" s="35" t="s">
        <v>121</v>
      </c>
      <c r="B168"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311</v>
      </c>
      <c r="BD2" s="13" t="s">
        <v>315</v>
      </c>
      <c r="BE2" s="13" t="s">
        <v>316</v>
      </c>
    </row>
    <row r="3" spans="1:57" ht="15" customHeight="1">
      <c r="A3" s="83" t="s">
        <v>215</v>
      </c>
      <c r="B3" s="83" t="s">
        <v>216</v>
      </c>
      <c r="C3" s="54"/>
      <c r="D3" s="55"/>
      <c r="E3" s="67"/>
      <c r="F3" s="56"/>
      <c r="G3" s="54"/>
      <c r="H3" s="58"/>
      <c r="I3" s="57"/>
      <c r="J3" s="57"/>
      <c r="K3" s="36" t="s">
        <v>65</v>
      </c>
      <c r="L3" s="63">
        <v>3</v>
      </c>
      <c r="M3" s="63"/>
      <c r="N3" s="64"/>
      <c r="O3" s="84" t="s">
        <v>219</v>
      </c>
      <c r="P3" s="86">
        <v>44417.48380787037</v>
      </c>
      <c r="Q3" s="84" t="s">
        <v>222</v>
      </c>
      <c r="R3" s="84"/>
      <c r="S3" s="84"/>
      <c r="T3" s="89" t="s">
        <v>225</v>
      </c>
      <c r="U3" s="91" t="str">
        <f>HYPERLINK("https://pbs.twimg.com/media/E8WJlFTWYAcOlss.jpg")</f>
        <v>https://pbs.twimg.com/media/E8WJlFTWYAcOlss.jpg</v>
      </c>
      <c r="V3" s="91" t="str">
        <f>HYPERLINK("https://pbs.twimg.com/media/E8WJlFTWYAcOlss.jpg")</f>
        <v>https://pbs.twimg.com/media/E8WJlFTWYAcOlss.jpg</v>
      </c>
      <c r="W3" s="86">
        <v>44417.48380787037</v>
      </c>
      <c r="X3" s="92">
        <v>44417</v>
      </c>
      <c r="Y3" s="89" t="s">
        <v>228</v>
      </c>
      <c r="Z3" s="91" t="str">
        <f>HYPERLINK("https://twitter.com/#!/sureb2b/status/1424696129220919297")</f>
        <v>https://twitter.com/#!/sureb2b/status/1424696129220919297</v>
      </c>
      <c r="AA3" s="84"/>
      <c r="AB3" s="84"/>
      <c r="AC3" s="89" t="s">
        <v>231</v>
      </c>
      <c r="AD3" s="84"/>
      <c r="AE3" s="84" t="b">
        <v>0</v>
      </c>
      <c r="AF3" s="84">
        <v>4</v>
      </c>
      <c r="AG3" s="89" t="s">
        <v>232</v>
      </c>
      <c r="AH3" s="84" t="b">
        <v>0</v>
      </c>
      <c r="AI3" s="84" t="s">
        <v>233</v>
      </c>
      <c r="AJ3" s="84"/>
      <c r="AK3" s="89" t="s">
        <v>232</v>
      </c>
      <c r="AL3" s="84" t="b">
        <v>0</v>
      </c>
      <c r="AM3" s="84">
        <v>1</v>
      </c>
      <c r="AN3" s="89" t="s">
        <v>232</v>
      </c>
      <c r="AO3" s="89" t="s">
        <v>234</v>
      </c>
      <c r="AP3" s="84" t="b">
        <v>0</v>
      </c>
      <c r="AQ3" s="89" t="s">
        <v>231</v>
      </c>
      <c r="AR3" s="84" t="s">
        <v>176</v>
      </c>
      <c r="AS3" s="84">
        <v>0</v>
      </c>
      <c r="AT3" s="84">
        <v>0</v>
      </c>
      <c r="AU3" s="84"/>
      <c r="AV3" s="84"/>
      <c r="AW3" s="84"/>
      <c r="AX3" s="84"/>
      <c r="AY3" s="84"/>
      <c r="AZ3" s="84"/>
      <c r="BA3" s="84"/>
      <c r="BB3" s="84"/>
      <c r="BC3">
        <v>1</v>
      </c>
      <c r="BD3" s="84" t="str">
        <f>REPLACE(INDEX(GroupVertices[Group],MATCH(Edges11[[#This Row],[Vertex 1]],GroupVertices[Vertex],0)),1,1,"")</f>
        <v>1</v>
      </c>
      <c r="BE3" s="84" t="str">
        <f>REPLACE(INDEX(GroupVertices[Group],MATCH(Edges11[[#This Row],[Vertex 2]],GroupVertices[Vertex],0)),1,1,"")</f>
        <v>1</v>
      </c>
    </row>
    <row r="4" spans="1:57" ht="15" customHeight="1">
      <c r="A4" s="83" t="s">
        <v>214</v>
      </c>
      <c r="B4" s="83" t="s">
        <v>216</v>
      </c>
      <c r="C4" s="54"/>
      <c r="D4" s="55"/>
      <c r="E4" s="67"/>
      <c r="F4" s="56"/>
      <c r="G4" s="54"/>
      <c r="H4" s="58"/>
      <c r="I4" s="57"/>
      <c r="J4" s="57"/>
      <c r="K4" s="36" t="s">
        <v>65</v>
      </c>
      <c r="L4" s="82">
        <v>4</v>
      </c>
      <c r="M4" s="82"/>
      <c r="N4" s="64"/>
      <c r="O4" s="85" t="s">
        <v>217</v>
      </c>
      <c r="P4" s="87">
        <v>44417.80866898148</v>
      </c>
      <c r="Q4" s="85" t="s">
        <v>220</v>
      </c>
      <c r="R4" s="85"/>
      <c r="S4" s="85"/>
      <c r="T4" s="85"/>
      <c r="U4" s="85"/>
      <c r="V4" s="88" t="str">
        <f>HYPERLINK("http://pbs.twimg.com/profile_images/975724535944306689/5KrinOPK_normal.jpg")</f>
        <v>http://pbs.twimg.com/profile_images/975724535944306689/5KrinOPK_normal.jpg</v>
      </c>
      <c r="W4" s="87">
        <v>44417.80866898148</v>
      </c>
      <c r="X4" s="93">
        <v>44417</v>
      </c>
      <c r="Y4" s="90" t="s">
        <v>226</v>
      </c>
      <c r="Z4" s="88" t="str">
        <f>HYPERLINK("https://twitter.com/#!/dipikat90/status/1424813855897706497")</f>
        <v>https://twitter.com/#!/dipikat90/status/1424813855897706497</v>
      </c>
      <c r="AA4" s="85"/>
      <c r="AB4" s="85"/>
      <c r="AC4" s="90" t="s">
        <v>229</v>
      </c>
      <c r="AD4" s="85"/>
      <c r="AE4" s="85" t="b">
        <v>0</v>
      </c>
      <c r="AF4" s="85">
        <v>0</v>
      </c>
      <c r="AG4" s="90" t="s">
        <v>232</v>
      </c>
      <c r="AH4" s="85" t="b">
        <v>0</v>
      </c>
      <c r="AI4" s="85" t="s">
        <v>233</v>
      </c>
      <c r="AJ4" s="85"/>
      <c r="AK4" s="90" t="s">
        <v>232</v>
      </c>
      <c r="AL4" s="85" t="b">
        <v>0</v>
      </c>
      <c r="AM4" s="85">
        <v>1</v>
      </c>
      <c r="AN4" s="90" t="s">
        <v>231</v>
      </c>
      <c r="AO4" s="90" t="s">
        <v>234</v>
      </c>
      <c r="AP4" s="85" t="b">
        <v>0</v>
      </c>
      <c r="AQ4" s="90" t="s">
        <v>231</v>
      </c>
      <c r="AR4" s="85" t="s">
        <v>176</v>
      </c>
      <c r="AS4" s="85">
        <v>0</v>
      </c>
      <c r="AT4" s="85">
        <v>0</v>
      </c>
      <c r="AU4" s="85"/>
      <c r="AV4" s="85"/>
      <c r="AW4" s="85"/>
      <c r="AX4" s="85"/>
      <c r="AY4" s="85"/>
      <c r="AZ4" s="85"/>
      <c r="BA4" s="85"/>
      <c r="BB4" s="85"/>
      <c r="BC4">
        <v>1</v>
      </c>
      <c r="BD4" s="84" t="str">
        <f>REPLACE(INDEX(GroupVertices[Group],MATCH(Edges11[[#This Row],[Vertex 1]],GroupVertices[Vertex],0)),1,1,"")</f>
        <v>1</v>
      </c>
      <c r="BE4" s="84" t="str">
        <f>REPLACE(INDEX(GroupVertices[Group],MATCH(Edges11[[#This Row],[Vertex 2]],GroupVertices[Vertex],0)),1,1,"")</f>
        <v>1</v>
      </c>
    </row>
    <row r="5" spans="1:57" ht="15">
      <c r="A5" s="83" t="s">
        <v>215</v>
      </c>
      <c r="B5" s="83" t="s">
        <v>215</v>
      </c>
      <c r="C5" s="54"/>
      <c r="D5" s="55"/>
      <c r="E5" s="67"/>
      <c r="F5" s="56"/>
      <c r="G5" s="54"/>
      <c r="H5" s="58"/>
      <c r="I5" s="57"/>
      <c r="J5" s="57"/>
      <c r="K5" s="36" t="s">
        <v>65</v>
      </c>
      <c r="L5" s="82">
        <v>5</v>
      </c>
      <c r="M5" s="82"/>
      <c r="N5" s="64"/>
      <c r="O5" s="85" t="s">
        <v>176</v>
      </c>
      <c r="P5" s="87">
        <v>44411.313055555554</v>
      </c>
      <c r="Q5" s="85" t="s">
        <v>221</v>
      </c>
      <c r="R5" s="88" t="str">
        <f>HYPERLINK("https://www.eventbrite.co.uk/e/sustainable-industry-21-tickets-156649578105?aff=Twitter")</f>
        <v>https://www.eventbrite.co.uk/e/sustainable-industry-21-tickets-156649578105?aff=Twitter</v>
      </c>
      <c r="S5" s="85" t="s">
        <v>223</v>
      </c>
      <c r="T5" s="90" t="s">
        <v>224</v>
      </c>
      <c r="U5" s="88" t="str">
        <f>HYPERLINK("https://pbs.twimg.com/ext_tw_video_thumb/1422459758318137348/pu/img/5Gfe8Otuz7F3NEQS.jpg")</f>
        <v>https://pbs.twimg.com/ext_tw_video_thumb/1422459758318137348/pu/img/5Gfe8Otuz7F3NEQS.jpg</v>
      </c>
      <c r="V5" s="88" t="str">
        <f>HYPERLINK("https://pbs.twimg.com/ext_tw_video_thumb/1422459758318137348/pu/img/5Gfe8Otuz7F3NEQS.jpg")</f>
        <v>https://pbs.twimg.com/ext_tw_video_thumb/1422459758318137348/pu/img/5Gfe8Otuz7F3NEQS.jpg</v>
      </c>
      <c r="W5" s="87">
        <v>44411.313055555554</v>
      </c>
      <c r="X5" s="93">
        <v>44411</v>
      </c>
      <c r="Y5" s="90" t="s">
        <v>227</v>
      </c>
      <c r="Z5" s="88" t="str">
        <f>HYPERLINK("https://twitter.com/#!/sureb2b/status/1422459924383215647")</f>
        <v>https://twitter.com/#!/sureb2b/status/1422459924383215647</v>
      </c>
      <c r="AA5" s="85"/>
      <c r="AB5" s="85"/>
      <c r="AC5" s="90" t="s">
        <v>230</v>
      </c>
      <c r="AD5" s="85"/>
      <c r="AE5" s="85" t="b">
        <v>0</v>
      </c>
      <c r="AF5" s="85">
        <v>0</v>
      </c>
      <c r="AG5" s="90" t="s">
        <v>232</v>
      </c>
      <c r="AH5" s="85" t="b">
        <v>0</v>
      </c>
      <c r="AI5" s="85" t="s">
        <v>233</v>
      </c>
      <c r="AJ5" s="85"/>
      <c r="AK5" s="90" t="s">
        <v>232</v>
      </c>
      <c r="AL5" s="85" t="b">
        <v>0</v>
      </c>
      <c r="AM5" s="85">
        <v>0</v>
      </c>
      <c r="AN5" s="90" t="s">
        <v>232</v>
      </c>
      <c r="AO5" s="90" t="s">
        <v>235</v>
      </c>
      <c r="AP5" s="85" t="b">
        <v>0</v>
      </c>
      <c r="AQ5" s="90" t="s">
        <v>230</v>
      </c>
      <c r="AR5" s="85" t="s">
        <v>176</v>
      </c>
      <c r="AS5" s="85">
        <v>0</v>
      </c>
      <c r="AT5" s="85">
        <v>0</v>
      </c>
      <c r="AU5" s="85"/>
      <c r="AV5" s="85"/>
      <c r="AW5" s="85"/>
      <c r="AX5" s="85"/>
      <c r="AY5" s="85"/>
      <c r="AZ5" s="85"/>
      <c r="BA5" s="85"/>
      <c r="BB5" s="85"/>
      <c r="BC5">
        <v>1</v>
      </c>
      <c r="BD5" s="84" t="str">
        <f>REPLACE(INDEX(GroupVertices[Group],MATCH(Edges11[[#This Row],[Vertex 1]],GroupVertices[Vertex],0)),1,1,"")</f>
        <v>1</v>
      </c>
      <c r="BE5" s="84" t="str">
        <f>REPLACE(INDEX(GroupVertices[Group],MATCH(Edges11[[#This Row],[Vertex 2]],GroupVertices[Vertex],0)),1,1,"")</f>
        <v>1</v>
      </c>
    </row>
    <row r="6" spans="1:57" ht="15">
      <c r="A6" s="83" t="s">
        <v>214</v>
      </c>
      <c r="B6" s="83" t="s">
        <v>215</v>
      </c>
      <c r="C6" s="54"/>
      <c r="D6" s="55"/>
      <c r="E6" s="67"/>
      <c r="F6" s="56"/>
      <c r="G6" s="54"/>
      <c r="H6" s="58"/>
      <c r="I6" s="57"/>
      <c r="J6" s="57"/>
      <c r="K6" s="36" t="s">
        <v>65</v>
      </c>
      <c r="L6" s="82">
        <v>6</v>
      </c>
      <c r="M6" s="82"/>
      <c r="N6" s="64"/>
      <c r="O6" s="85" t="s">
        <v>217</v>
      </c>
      <c r="P6" s="87">
        <v>44417.80866898148</v>
      </c>
      <c r="Q6" s="85" t="s">
        <v>220</v>
      </c>
      <c r="R6" s="85"/>
      <c r="S6" s="85"/>
      <c r="T6" s="85"/>
      <c r="U6" s="85"/>
      <c r="V6" s="88" t="str">
        <f>HYPERLINK("http://pbs.twimg.com/profile_images/975724535944306689/5KrinOPK_normal.jpg")</f>
        <v>http://pbs.twimg.com/profile_images/975724535944306689/5KrinOPK_normal.jpg</v>
      </c>
      <c r="W6" s="87">
        <v>44417.80866898148</v>
      </c>
      <c r="X6" s="93">
        <v>44417</v>
      </c>
      <c r="Y6" s="90" t="s">
        <v>226</v>
      </c>
      <c r="Z6" s="88" t="str">
        <f>HYPERLINK("https://twitter.com/#!/dipikat90/status/1424813855897706497")</f>
        <v>https://twitter.com/#!/dipikat90/status/1424813855897706497</v>
      </c>
      <c r="AA6" s="85"/>
      <c r="AB6" s="85"/>
      <c r="AC6" s="90" t="s">
        <v>229</v>
      </c>
      <c r="AD6" s="85"/>
      <c r="AE6" s="85" t="b">
        <v>0</v>
      </c>
      <c r="AF6" s="85">
        <v>0</v>
      </c>
      <c r="AG6" s="90" t="s">
        <v>232</v>
      </c>
      <c r="AH6" s="85" t="b">
        <v>0</v>
      </c>
      <c r="AI6" s="85" t="s">
        <v>233</v>
      </c>
      <c r="AJ6" s="85"/>
      <c r="AK6" s="90" t="s">
        <v>232</v>
      </c>
      <c r="AL6" s="85" t="b">
        <v>0</v>
      </c>
      <c r="AM6" s="85">
        <v>1</v>
      </c>
      <c r="AN6" s="90" t="s">
        <v>231</v>
      </c>
      <c r="AO6" s="90" t="s">
        <v>234</v>
      </c>
      <c r="AP6" s="85" t="b">
        <v>0</v>
      </c>
      <c r="AQ6" s="90" t="s">
        <v>231</v>
      </c>
      <c r="AR6" s="85" t="s">
        <v>176</v>
      </c>
      <c r="AS6" s="85">
        <v>0</v>
      </c>
      <c r="AT6" s="85">
        <v>0</v>
      </c>
      <c r="AU6" s="85"/>
      <c r="AV6" s="85"/>
      <c r="AW6" s="85"/>
      <c r="AX6" s="85"/>
      <c r="AY6" s="85"/>
      <c r="AZ6" s="85"/>
      <c r="BA6" s="85"/>
      <c r="BB6" s="85"/>
      <c r="BC6">
        <v>1</v>
      </c>
      <c r="BD6" s="84" t="str">
        <f>REPLACE(INDEX(GroupVertices[Group],MATCH(Edges11[[#This Row],[Vertex 1]],GroupVertices[Vertex],0)),1,1,"")</f>
        <v>1</v>
      </c>
      <c r="BE6" s="84" t="str">
        <f>REPLACE(INDEX(GroupVertices[Group],MATCH(Edges11[[#This Row],[Vertex 2]],GroupVertices[Vertex],0)),1,1,"")</f>
        <v>1</v>
      </c>
    </row>
    <row r="7" spans="1:57" ht="15">
      <c r="A7" s="83" t="s">
        <v>214</v>
      </c>
      <c r="B7" s="83" t="s">
        <v>215</v>
      </c>
      <c r="C7" s="54"/>
      <c r="D7" s="55"/>
      <c r="E7" s="67"/>
      <c r="F7" s="56"/>
      <c r="G7" s="54"/>
      <c r="H7" s="58"/>
      <c r="I7" s="57"/>
      <c r="J7" s="57"/>
      <c r="K7" s="36" t="s">
        <v>65</v>
      </c>
      <c r="L7" s="82">
        <v>7</v>
      </c>
      <c r="M7" s="82"/>
      <c r="N7" s="64"/>
      <c r="O7" s="85" t="s">
        <v>218</v>
      </c>
      <c r="P7" s="87">
        <v>44417.80866898148</v>
      </c>
      <c r="Q7" s="85" t="s">
        <v>220</v>
      </c>
      <c r="R7" s="85"/>
      <c r="S7" s="85"/>
      <c r="T7" s="85"/>
      <c r="U7" s="85"/>
      <c r="V7" s="88" t="str">
        <f>HYPERLINK("http://pbs.twimg.com/profile_images/975724535944306689/5KrinOPK_normal.jpg")</f>
        <v>http://pbs.twimg.com/profile_images/975724535944306689/5KrinOPK_normal.jpg</v>
      </c>
      <c r="W7" s="87">
        <v>44417.80866898148</v>
      </c>
      <c r="X7" s="93">
        <v>44417</v>
      </c>
      <c r="Y7" s="90" t="s">
        <v>226</v>
      </c>
      <c r="Z7" s="88" t="str">
        <f>HYPERLINK("https://twitter.com/#!/dipikat90/status/1424813855897706497")</f>
        <v>https://twitter.com/#!/dipikat90/status/1424813855897706497</v>
      </c>
      <c r="AA7" s="85"/>
      <c r="AB7" s="85"/>
      <c r="AC7" s="90" t="s">
        <v>229</v>
      </c>
      <c r="AD7" s="85"/>
      <c r="AE7" s="85" t="b">
        <v>0</v>
      </c>
      <c r="AF7" s="85">
        <v>0</v>
      </c>
      <c r="AG7" s="90" t="s">
        <v>232</v>
      </c>
      <c r="AH7" s="85" t="b">
        <v>0</v>
      </c>
      <c r="AI7" s="85" t="s">
        <v>233</v>
      </c>
      <c r="AJ7" s="85"/>
      <c r="AK7" s="90" t="s">
        <v>232</v>
      </c>
      <c r="AL7" s="85" t="b">
        <v>0</v>
      </c>
      <c r="AM7" s="85">
        <v>1</v>
      </c>
      <c r="AN7" s="90" t="s">
        <v>231</v>
      </c>
      <c r="AO7" s="90" t="s">
        <v>234</v>
      </c>
      <c r="AP7" s="85" t="b">
        <v>0</v>
      </c>
      <c r="AQ7" s="90" t="s">
        <v>231</v>
      </c>
      <c r="AR7" s="85" t="s">
        <v>176</v>
      </c>
      <c r="AS7" s="85">
        <v>0</v>
      </c>
      <c r="AT7" s="85">
        <v>0</v>
      </c>
      <c r="AU7" s="85"/>
      <c r="AV7" s="85"/>
      <c r="AW7" s="85"/>
      <c r="AX7" s="85"/>
      <c r="AY7" s="85"/>
      <c r="AZ7" s="85"/>
      <c r="BA7" s="85"/>
      <c r="BB7" s="85"/>
      <c r="BC7">
        <v>1</v>
      </c>
      <c r="BD7" s="84" t="str">
        <f>REPLACE(INDEX(GroupVertices[Group],MATCH(Edges11[[#This Row],[Vertex 1]],GroupVertices[Vertex],0)),1,1,"")</f>
        <v>1</v>
      </c>
      <c r="BE7" s="84" t="str">
        <f>REPLACE(INDEX(GroupVertices[Group],MATCH(Edges11[[#This Row],[Vertex 2]],GroupVertices[Vertex],0)),1,1,"")</f>
        <v>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276</v>
      </c>
      <c r="K7" s="13" t="s">
        <v>277</v>
      </c>
    </row>
    <row r="8" spans="1:11" ht="409.5">
      <c r="A8"/>
      <c r="B8">
        <v>2</v>
      </c>
      <c r="C8">
        <v>2</v>
      </c>
      <c r="D8" t="s">
        <v>61</v>
      </c>
      <c r="E8" t="s">
        <v>61</v>
      </c>
      <c r="H8" t="s">
        <v>73</v>
      </c>
      <c r="J8" t="s">
        <v>278</v>
      </c>
      <c r="K8" s="13" t="s">
        <v>279</v>
      </c>
    </row>
    <row r="9" spans="1:11" ht="409.5">
      <c r="A9"/>
      <c r="B9">
        <v>3</v>
      </c>
      <c r="C9">
        <v>4</v>
      </c>
      <c r="D9" t="s">
        <v>62</v>
      </c>
      <c r="E9" t="s">
        <v>62</v>
      </c>
      <c r="H9" t="s">
        <v>74</v>
      </c>
      <c r="J9" t="s">
        <v>280</v>
      </c>
      <c r="K9" s="13" t="s">
        <v>281</v>
      </c>
    </row>
    <row r="10" spans="1:11" ht="409.5">
      <c r="A10"/>
      <c r="B10">
        <v>4</v>
      </c>
      <c r="D10" t="s">
        <v>63</v>
      </c>
      <c r="E10" t="s">
        <v>63</v>
      </c>
      <c r="H10" t="s">
        <v>75</v>
      </c>
      <c r="J10" t="s">
        <v>282</v>
      </c>
      <c r="K10" s="13" t="s">
        <v>283</v>
      </c>
    </row>
    <row r="11" spans="1:11" ht="15">
      <c r="A11"/>
      <c r="B11">
        <v>5</v>
      </c>
      <c r="D11" t="s">
        <v>46</v>
      </c>
      <c r="E11">
        <v>1</v>
      </c>
      <c r="H11" t="s">
        <v>76</v>
      </c>
      <c r="J11" t="s">
        <v>284</v>
      </c>
      <c r="K11" t="s">
        <v>285</v>
      </c>
    </row>
    <row r="12" spans="1:11" ht="15">
      <c r="A12"/>
      <c r="B12"/>
      <c r="D12" t="s">
        <v>64</v>
      </c>
      <c r="E12">
        <v>2</v>
      </c>
      <c r="H12">
        <v>0</v>
      </c>
      <c r="J12" t="s">
        <v>286</v>
      </c>
      <c r="K12" t="s">
        <v>287</v>
      </c>
    </row>
    <row r="13" spans="1:11" ht="15">
      <c r="A13"/>
      <c r="B13"/>
      <c r="D13">
        <v>1</v>
      </c>
      <c r="E13">
        <v>3</v>
      </c>
      <c r="H13">
        <v>1</v>
      </c>
      <c r="J13" t="s">
        <v>288</v>
      </c>
      <c r="K13" t="s">
        <v>289</v>
      </c>
    </row>
    <row r="14" spans="4:11" ht="15">
      <c r="D14">
        <v>2</v>
      </c>
      <c r="E14">
        <v>4</v>
      </c>
      <c r="H14">
        <v>2</v>
      </c>
      <c r="J14" t="s">
        <v>290</v>
      </c>
      <c r="K14" t="s">
        <v>291</v>
      </c>
    </row>
    <row r="15" spans="4:11" ht="15">
      <c r="D15">
        <v>3</v>
      </c>
      <c r="E15">
        <v>5</v>
      </c>
      <c r="H15">
        <v>3</v>
      </c>
      <c r="J15" t="s">
        <v>292</v>
      </c>
      <c r="K15" t="s">
        <v>293</v>
      </c>
    </row>
    <row r="16" spans="4:11" ht="15">
      <c r="D16">
        <v>4</v>
      </c>
      <c r="E16">
        <v>6</v>
      </c>
      <c r="H16">
        <v>4</v>
      </c>
      <c r="J16" t="s">
        <v>294</v>
      </c>
      <c r="K16" t="s">
        <v>295</v>
      </c>
    </row>
    <row r="17" spans="4:11" ht="15">
      <c r="D17">
        <v>5</v>
      </c>
      <c r="E17">
        <v>7</v>
      </c>
      <c r="H17">
        <v>5</v>
      </c>
      <c r="J17" t="s">
        <v>296</v>
      </c>
      <c r="K17" t="s">
        <v>297</v>
      </c>
    </row>
    <row r="18" spans="4:11" ht="15">
      <c r="D18">
        <v>6</v>
      </c>
      <c r="E18">
        <v>8</v>
      </c>
      <c r="H18">
        <v>6</v>
      </c>
      <c r="J18" t="s">
        <v>298</v>
      </c>
      <c r="K18" t="s">
        <v>299</v>
      </c>
    </row>
    <row r="19" spans="4:11" ht="15">
      <c r="D19">
        <v>7</v>
      </c>
      <c r="E19">
        <v>9</v>
      </c>
      <c r="H19">
        <v>7</v>
      </c>
      <c r="J19" t="s">
        <v>300</v>
      </c>
      <c r="K19" t="s">
        <v>301</v>
      </c>
    </row>
    <row r="20" spans="4:11" ht="15">
      <c r="D20">
        <v>8</v>
      </c>
      <c r="H20">
        <v>8</v>
      </c>
      <c r="J20" t="s">
        <v>302</v>
      </c>
      <c r="K20" t="s">
        <v>303</v>
      </c>
    </row>
    <row r="21" spans="4:11" ht="409.5">
      <c r="D21">
        <v>9</v>
      </c>
      <c r="H21">
        <v>9</v>
      </c>
      <c r="J21" t="s">
        <v>304</v>
      </c>
      <c r="K21" s="13" t="s">
        <v>305</v>
      </c>
    </row>
    <row r="22" spans="4:11" ht="409.5">
      <c r="D22">
        <v>10</v>
      </c>
      <c r="J22" t="s">
        <v>306</v>
      </c>
      <c r="K22" s="13" t="s">
        <v>307</v>
      </c>
    </row>
    <row r="23" spans="4:11" ht="409.5">
      <c r="D23">
        <v>11</v>
      </c>
      <c r="J23" t="s">
        <v>308</v>
      </c>
      <c r="K23" s="13" t="s">
        <v>326</v>
      </c>
    </row>
    <row r="24" spans="10:11" ht="409.5">
      <c r="J24" t="s">
        <v>309</v>
      </c>
      <c r="K24" s="13" t="s">
        <v>325</v>
      </c>
    </row>
    <row r="25" spans="10:11" ht="15">
      <c r="J25" t="s">
        <v>310</v>
      </c>
      <c r="K25" t="b">
        <v>0</v>
      </c>
    </row>
    <row r="26" spans="10:11" ht="15">
      <c r="J26" t="s">
        <v>323</v>
      </c>
      <c r="K26" t="s">
        <v>324</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320</v>
      </c>
      <c r="B25" t="s">
        <v>319</v>
      </c>
    </row>
    <row r="26" spans="1:2" ht="15">
      <c r="A26" s="121">
        <v>44411.313055555554</v>
      </c>
      <c r="B26" s="3">
        <v>1</v>
      </c>
    </row>
    <row r="27" spans="1:2" ht="15">
      <c r="A27" s="121">
        <v>44417.48380787037</v>
      </c>
      <c r="B27" s="3">
        <v>1</v>
      </c>
    </row>
    <row r="28" spans="1:2" ht="15">
      <c r="A28" s="121">
        <v>44417.80866898148</v>
      </c>
      <c r="B28" s="3">
        <v>3</v>
      </c>
    </row>
    <row r="29" spans="1:2" ht="15">
      <c r="A29" s="121" t="s">
        <v>321</v>
      </c>
      <c r="B29"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2021-08-17T04:08:12Z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