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<sst xmlns="http://schemas.openxmlformats.org/spreadsheetml/2006/main" count="23775" uniqueCount="5377">
  <si>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</si>
  <si>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</si>
  <si>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</si>
  <si>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</si>
  <si>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</si>
  <si>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</si>
  <si>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</si>
  <si>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</si>
  <si>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</si>
  <si>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</si>
  <si>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</si>
  <si>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</si>
  <si>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</si>
  <si>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</si>
  <si>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</si>
  <si>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</si>
  <si>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</si>
  <si>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</si>
  <si>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</si>
  <si>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</si>
  <si>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</si>
  <si>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</si>
  <si>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</si>
  <si>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</si>
  <si>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</si>
  <si>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</si>
  <si>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</si>
  <si>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</si>
  <si>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</si>
  <si>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</si>
  <si>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</si>
  <si>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</si>
  <si>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</si>
  <si>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</si>
  <si>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</si>
  <si>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</si>
  <si>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</si>
  <si>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</si>
  <si>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</si>
  <si>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</si>
  <si>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</si>
  <si>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</si>
  <si>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</si>
  <si>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</si>
  <si>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</si>
  <si>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</si>
  <si>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</si>
  <si>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</si>
  <si>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</si>
  <si>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</si>
  <si>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</si>
  <si>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</si>
  <si>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</si>
  <si>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</si>
  <si>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</si>
  <si>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</si>
  <si>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</si>
  <si>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</si>
  <si>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</si>
  <si>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</si>
  <si>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</si>
  <si>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</si>
  <si>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</si>
  <si>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</si>
  <si>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</si>
  <si>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</si>
  <si>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</si>
  <si>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</si>
  <si>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</si>
  <si>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</si>
  <si>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</si>
  <si>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</si>
  <si>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</si>
  <si>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</si>
  <si>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</si>
  <si>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</si>
  <si>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</si>
  <si>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</si>
  <si>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</si>
  <si>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</si>
  <si>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</si>
  <si>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</si>
  <si>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</si>
  <si>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</si>
  <si>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</si>
  <si>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</si>
  <si>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</si>
  <si>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</si>
  <si>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</si>
  <si>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</si>
  <si>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</si>
  <si>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</si>
  <si>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</si>
  <si>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</si>
  <si>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</si>
  <si>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</si>
  <si>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</si>
  <si>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</si>
  <si>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</si>
  <si>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</si>
  <si>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</si>
  <si>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</si>
  <si>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</si>
  <si>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</si>
  <si>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</si>
  <si>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</si>
  <si>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</si>
  <si>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</si>
  <si>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</si>
  <si>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</si>
  <si>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</si>
  <si>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</si>
  <si>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</si>
  <si>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</si>
  <si>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</si>
  <si>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</si>
  <si>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</si>
  <si>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</si>
  <si>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</si>
  <si>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</si>
  <si>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</si>
  <si>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</si>
  <si>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</si>
  <si>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</si>
  <si>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</si>
  <si>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</si>
  <si>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</si>
  <si>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</si>
  <si>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</si>
  <si>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</si>
  <si>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</si>
  <si>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</si>
  <si>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</si>
  <si>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</si>
  <si>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</si>
  <si>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</si>
  <si>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</si>
  <si>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</si>
  <si>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</si>
  <si>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</si>
  <si>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</si>
  <si>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</si>
  <si>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</si>
  <si>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</si>
  <si>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</si>
  <si>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</si>
  <si>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</si>
  <si>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</si>
  <si>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</si>
  <si>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</si>
  <si>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</si>
  <si>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</si>
  <si>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</si>
  <si>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</si>
  <si>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</si>
  <si>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</si>
  <si>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</si>
  <si>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</si>
  <si>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</si>
  <si>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</si>
  <si>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</si>
  <si>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</si>
  <si>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</si>
  <si>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</si>
  <si>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</si>
  <si>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</si>
  <si>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</si>
  <si>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</si>
  <si>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</si>
  <si>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</si>
  <si>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</si>
  <si>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</si>
  <si>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</si>
  <si>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</si>
  <si>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</si>
  <si>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</si>
  <si>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</si>
  <si>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</si>
  <si>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</si>
  <si>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</si>
  <si>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</si>
  <si>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</si>
  <si>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</si>
  <si>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</si>
  <si>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</si>
  <si>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</si>
  <si>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</si>
  <si>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</si>
  <si>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</si>
  <si>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</si>
  <si>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</si>
  <si>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</si>
  <si>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</si>
  <si>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t>
  </si>
  <si>
    <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t>
  </si>
  <si>
    <t xml:space="preserve">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t>
  </si>
  <si>
    <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t>
  </si>
  <si>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t>
  </si>
  <si>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t>
  </si>
  <si>
    <t xml:space="preserve">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t>
  </si>
  <si>
    <t>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t>
  </si>
  <si>
    <t>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t>
  </si>
  <si>
    <t>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t>
  </si>
  <si>
    <t>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t>
  </si>
  <si>
    <t>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t>
  </si>
  <si>
    <t xml:space="preserve">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t>
  </si>
  <si>
    <t xml:space="preserve">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t>
  </si>
  <si>
    <t>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t>
  </si>
  <si>
    <t>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t>
  </si>
  <si>
    <t>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t>
  </si>
  <si>
    <t>&gt;GreaterThan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</si>
  <si>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</si>
  <si>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</si>
  <si>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</si>
  <si>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</si>
  <si>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</si>
  <si>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</si>
  <si>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</si>
  <si>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</si>
  <si>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</si>
  <si>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</si>
  <si>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</si>
  <si>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</si>
  <si>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</si>
  <si>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</si>
  <si>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</si>
  <si>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</si>
  <si>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</si>
  <si>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</si>
  <si>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UCWHsCW7mURDlrfTO_LyitwQ</t>
  </si>
  <si>
    <t>UCbbx7msYKamwOeRUkaqCTAQ</t>
  </si>
  <si>
    <t>UCS4mJk0uW_RNzpuPcDTyD_g</t>
  </si>
  <si>
    <t>UC-8ZIiAhTcqRp-3qg0-lc5w</t>
  </si>
  <si>
    <t>UCuH63tK9Tl4UmYP5Spj8Ltw</t>
  </si>
  <si>
    <t>UC04EJMixTu9-xpNfxLeEpYg</t>
  </si>
  <si>
    <t>UCjPlQsuslEAH_4AxlYT0eKQ</t>
  </si>
  <si>
    <t>UCVdMMs0ti6ZLsVs4cP6PNZw</t>
  </si>
  <si>
    <t>UCBkPK8xL9jUW1ooL7xow8fA</t>
  </si>
  <si>
    <t>UCbMLD5oAyYT9leb5m4Hpmyw</t>
  </si>
  <si>
    <t>UCc1NLScmSAY5A8YZKLG23_g</t>
  </si>
  <si>
    <t>UC5chbfKQNkEOJmms2XockTg</t>
  </si>
  <si>
    <t>UCoExLMApVon6EJ8ESt1WgeQ</t>
  </si>
  <si>
    <t>UCvVhBidV5kG4G58AVemMDsw</t>
  </si>
  <si>
    <t>UC5dbPaVx1F_hyrstYlPIBDw</t>
  </si>
  <si>
    <t>UCWHMmYJfAwLnajyyUDJsyjw</t>
  </si>
  <si>
    <t>UCUdKpfoeqOhuCLZ7iZSopnw</t>
  </si>
  <si>
    <t>UCNDgFfJaEdGb5X1xgKIVmmg</t>
  </si>
  <si>
    <t>UCnwsJfmM3LAMLY5fdTSf-BA</t>
  </si>
  <si>
    <t>UCK4aieEbRXehxvhd-VGlcMw</t>
  </si>
  <si>
    <t>UCeFHMi__WiI_7gyId_i-aqA</t>
  </si>
  <si>
    <t>UCQrnl3v9mkozB6Z_zmBWpLw</t>
  </si>
  <si>
    <t>UCqGR1yHFjMSHR9E1QzUCxqw</t>
  </si>
  <si>
    <t>UCyZuq5NWGmh7BHWnJGYRDOQ</t>
  </si>
  <si>
    <t>UC3_NdvYLH1v1GIizqDyZXBA</t>
  </si>
  <si>
    <t>UC2OvqiRiMkKPGnLPVB8aNsA</t>
  </si>
  <si>
    <t>UC3iId8RgPvwX7niHr37YjKg</t>
  </si>
  <si>
    <t>UC9l0mKCZRMJCZ-UFwDgrUjw</t>
  </si>
  <si>
    <t>UCBmO0Hh8zz65VRXSivmwa_g</t>
  </si>
  <si>
    <t>UCHzffwyraaIKEiXh2uM53mg</t>
  </si>
  <si>
    <t>UC-BOduiGsy8dugfxbjqmiLA</t>
  </si>
  <si>
    <t>UCTskx5wmO9GGLSspJ6Dor0w</t>
  </si>
  <si>
    <t>UCK9-5YJLaH4YqD56tfTMM-A</t>
  </si>
  <si>
    <t>UC9qBZOMmYw13MbQaLLzijnw</t>
  </si>
  <si>
    <t>UCfXJQRQGWnOmmAzI-jgSPYw</t>
  </si>
  <si>
    <t>UCg7R0p9UWwq2MHr3ZKVfPXA</t>
  </si>
  <si>
    <t>UCfyM7s57TublMr79wTEsyNQ</t>
  </si>
  <si>
    <t>UCNJwFhmayWXA2d8_NQFr6sw</t>
  </si>
  <si>
    <t>UC6jL00JL-Y4PTXFkQa0YtXw</t>
  </si>
  <si>
    <t>UCSsxCzEeuuL06aJ6VVde8eA</t>
  </si>
  <si>
    <t>UC231SAu_r4ieV7M177NEedg</t>
  </si>
  <si>
    <t>UCra_RTJ8-u_qg7FEsTc3v_A</t>
  </si>
  <si>
    <t>UCAgfa5wms3giPz-TJlvrupg</t>
  </si>
  <si>
    <t>UCVca94o9ajc4K5O4TVzbgGg</t>
  </si>
  <si>
    <t>UCBHiZ2I6P89WK8fMBnMcajw</t>
  </si>
  <si>
    <t>UCB2xDM90FsYLtQZa8iben6w</t>
  </si>
  <si>
    <t>UCtYUcIQ1g4KU-es2VAz7JtQ</t>
  </si>
  <si>
    <t>UC_PZn0aPVrcSJ9upkA3kDXQ</t>
  </si>
  <si>
    <t>UCZEUK7gTOg3jEw96Wj1YiyQ</t>
  </si>
  <si>
    <t>UC0g1YwKNzgOxNo75tTXolYA</t>
  </si>
  <si>
    <t>UCy4vchV8fH1y73tBFK6MeSw</t>
  </si>
  <si>
    <t>UCR8erYjzdFG6pUs12wdE0Eg</t>
  </si>
  <si>
    <t>UCpDXbt0pPAzy_Aoj-Ee873w</t>
  </si>
  <si>
    <t>UCMtOd4deYchj5X-2d7hh0Eg</t>
  </si>
  <si>
    <t>UC_sK7dhnDJWilumRU19D7NA</t>
  </si>
  <si>
    <t>UChc7BnM-97wf6UKkeckiQlg</t>
  </si>
  <si>
    <t>UCK3EGVMfelUkWMnyAvmmipg</t>
  </si>
  <si>
    <t>UCasRFL3j50VabkCHFMDrGyw</t>
  </si>
  <si>
    <t>UCbUhO-tut97b5IQhZ3i7TMA</t>
  </si>
  <si>
    <t>UCDeZ6HE0SS-Z-_otfYJds9w</t>
  </si>
  <si>
    <t>UCvWr2Az6LRelFYRHgwdRf9w</t>
  </si>
  <si>
    <t>UCSporYyxSsMznLmirvplwJw</t>
  </si>
  <si>
    <t>UCwOvzEJx5_czsWd7pHE1J9Q</t>
  </si>
  <si>
    <t>UCRBXqBiHg9FGZXG119_L6Lg</t>
  </si>
  <si>
    <t>UCBoeMYCVCwfFftwIOrzdY7g</t>
  </si>
  <si>
    <t>UC6FGmrJo8QpYHQnhGiboVrA</t>
  </si>
  <si>
    <t>UCVenFdtes09KGZXQWlt1dhg</t>
  </si>
  <si>
    <t>UCvtyaiU7OgNdyAaMOfmzF0w</t>
  </si>
  <si>
    <t>UC4bD2x-P1Ytc8GW3ud1_zCQ</t>
  </si>
  <si>
    <t>UCgzeJtnw7ZrCBCMKSKJtDYA</t>
  </si>
  <si>
    <t>UCOLOVs7HBYRbMIMiD7L3FpA</t>
  </si>
  <si>
    <t>UCqvZ6Vaa888e_GpL6fpxl3Q</t>
  </si>
  <si>
    <t>UCnwulj1jIA909cJ3VVg3o1A</t>
  </si>
  <si>
    <t>UCkefMmtdrJyP-C7Ad6NrLFg</t>
  </si>
  <si>
    <t>UCLRGTuXc8ciIjEdKBIDhubw</t>
  </si>
  <si>
    <t>UCFbSWcllroKXQnzTpSOakvw</t>
  </si>
  <si>
    <t>UCO-JgfhMmVsLNl0Sa_MByyw</t>
  </si>
  <si>
    <t>UCXNtFWiCBAQ5otAp0xj-ulw</t>
  </si>
  <si>
    <t>UCIE4eUMkEJAK3QS6GaRIHmQ</t>
  </si>
  <si>
    <t>UCk6d5gH6fxBQioxom4botkg</t>
  </si>
  <si>
    <t>UC-Od6L4roEo7XHz7QqNCoGQ</t>
  </si>
  <si>
    <t>UCaZU_VNXJa9GSxkI8zfF_bQ</t>
  </si>
  <si>
    <t>UCL1ld4KXrnzFjPbvrtKIaLA</t>
  </si>
  <si>
    <t>UCTg0ECFaM5xh7Tmcp3z19UQ</t>
  </si>
  <si>
    <t>UCVfLDbf46CUW-zrx5yQrjgA</t>
  </si>
  <si>
    <t>UCIjIs0UtwQhHsD7o--IW0RA</t>
  </si>
  <si>
    <t>UCN0dKbQrLtK1-HCyQJAt0Mg</t>
  </si>
  <si>
    <t>UCMbrctS0F7b4wcKJ2vjkBxw</t>
  </si>
  <si>
    <t>UCIMxSMWfV-JKLLOyclBmrPQ</t>
  </si>
  <si>
    <t>UCX0jdsd691BolSCl3uCd2rA</t>
  </si>
  <si>
    <t>UCRVdRLrGnsbmgmDN6N5xBYw</t>
  </si>
  <si>
    <t>UCVWo8kvTSDWSICFECknClxQ</t>
  </si>
  <si>
    <t>UCKLYhAdMd8BrHelG05-fxMw</t>
  </si>
  <si>
    <t>UCKBQWlRCDdhVhVgngdupSXg</t>
  </si>
  <si>
    <t>UCnExUyxVK5ZUmul18inqnsA</t>
  </si>
  <si>
    <t>UCifnwNQdEJ-UlqVWRqQ5aEg</t>
  </si>
  <si>
    <t>UCnJ52lHH73iTys_MTWjLRUQ</t>
  </si>
  <si>
    <t>UCLUgOZKSmgg64XBVzuCMgbw</t>
  </si>
  <si>
    <t>UC9IalNJ4G6skslmu1wtD-3Q</t>
  </si>
  <si>
    <t>UCTaBfCRefmBOpPYSkeX1Wrg</t>
  </si>
  <si>
    <t>UCV1aB7zve3ENDC9jsKR9qBQ</t>
  </si>
  <si>
    <t>UCt6mVizjtgC0naHMNZdzlXQ</t>
  </si>
  <si>
    <t>UCaQrVRWCK80RV6MvW1_IqQg</t>
  </si>
  <si>
    <t>UChyp90H8k8phe8NyHICga7A</t>
  </si>
  <si>
    <t>UCutUbh2IWWUOfCQo8ItFYzA</t>
  </si>
  <si>
    <t>UCiPCWIXHW33J978AkHlI4CA</t>
  </si>
  <si>
    <t>UCAB5EVEnYdjH3uHp_F5sCzA</t>
  </si>
  <si>
    <t>UCqUWRyjAHrd05fGUEDn9f9Q</t>
  </si>
  <si>
    <t>UC5rwdwwTgbjkIbUuHzNG8Jg</t>
  </si>
  <si>
    <t>UCuWOnyHYdImx-991vy9fJgA</t>
  </si>
  <si>
    <t>UCXGDofo79BwPkpIbl3cRmQw</t>
  </si>
  <si>
    <t>UCN65cpvF729KocfXYsi_mVg</t>
  </si>
  <si>
    <t>UCoRdQ_Kel_HD4gtBQlrWPCw</t>
  </si>
  <si>
    <t>UC8SNsXZlLVmlSoihrS71aPA</t>
  </si>
  <si>
    <t>UCoOeq6tszRGSiEO_8vkoutQ</t>
  </si>
  <si>
    <t>UCuEqaAu_SjfAY4-RMJq4rGQ</t>
  </si>
  <si>
    <t>UCIYnQZAI433GJKJqhdr_6Mw</t>
  </si>
  <si>
    <t>UC3YBngwt4LQe-upUMrs7-qA</t>
  </si>
  <si>
    <t>UC-m58WoB59jbQ7eCLqdwMDA</t>
  </si>
  <si>
    <t>UC3QAEUb-78-9WR5oRjzK6LQ</t>
  </si>
  <si>
    <t>UCexPcgS5YwEpk9tGUQFuQbg</t>
  </si>
  <si>
    <t>UC1E9RN8uVLv22LJu2HovsNQ</t>
  </si>
  <si>
    <t>UCt33zV2vZmhZJUWgLEMjx6w</t>
  </si>
  <si>
    <t>UCTbFzUA5kbLE-JO7xhNpAbA</t>
  </si>
  <si>
    <t>UCVvZhdlLqApr-IaFZn-PmCw</t>
  </si>
  <si>
    <t>UCRWVRshFnDKbA4qpoFdOGiw</t>
  </si>
  <si>
    <t>UC7bgOwCD0IJGIWpOJCPtAbQ</t>
  </si>
  <si>
    <t>UCgZeHhFlTwp92lwf6MMPb3A</t>
  </si>
  <si>
    <t>UC7ho2K2f3M4xbOVqSAKPmMQ</t>
  </si>
  <si>
    <t>UCwIzw2Vt5qz1Tz8FgDhSuhw</t>
  </si>
  <si>
    <t>UCrW7iZNB1JWfjaIbHwFcr8w</t>
  </si>
  <si>
    <t>UCWDYHHAXGht21SY23VjkGkA</t>
  </si>
  <si>
    <t>UCzjAxoGGrW5N2D3L-znZs8g</t>
  </si>
  <si>
    <t>UCp5Kag4sWxCTN_eARh8QKLw</t>
  </si>
  <si>
    <t>UC341eEWmNYqF24Gzvlc4fkA</t>
  </si>
  <si>
    <t>UCO0IBwnxH5xOXKwBn-kV5xg</t>
  </si>
  <si>
    <t>UCc5qSD99fsedz_bPujJzZMQ</t>
  </si>
  <si>
    <t>UCtJhSmj-ROvwOTPQWkFAWDA</t>
  </si>
  <si>
    <t>UCSKt8QeRDca9r-7vuo_DAzA</t>
  </si>
  <si>
    <t>UCz2qV_1MldBmv5SjKib7dOQ</t>
  </si>
  <si>
    <t>UCU2lp9qQZQ_Pc1gxOKmGr3w</t>
  </si>
  <si>
    <t>UCdQf4jE-n-sNoMO5h4GeEiA</t>
  </si>
  <si>
    <t>UChTbuHXKgkoM-TTUIXk_TUQ</t>
  </si>
  <si>
    <t>UCtHjq0NaBsADlvSVS8GhW8g</t>
  </si>
  <si>
    <t>UC2HVaXfIcE8UnoQ-jRy9TFQ</t>
  </si>
  <si>
    <t>UCFhtQ0tFevJqQEeOuOMAOsw</t>
  </si>
  <si>
    <t>UCVn2V_pYYlCd6CqJkqyaaLQ</t>
  </si>
  <si>
    <t>UC_oviaw9ahW727hLmffGXlQ</t>
  </si>
  <si>
    <t>UC3kfqm6Vm5uMvY0VHBIKEfA</t>
  </si>
  <si>
    <t>UCLJytBq-KA6g_dX8bdxIlXg</t>
  </si>
  <si>
    <t>UCdNIJJdRr6E2v3AB4Q2bWug</t>
  </si>
  <si>
    <t>UCV-utTCw1S6-VHQP8lmyk2A</t>
  </si>
  <si>
    <t>UCEYHBM1qWwP5Pi-r1dWyQWw</t>
  </si>
  <si>
    <t>UCKumGTtkau9hmTf2VZDD6Iw</t>
  </si>
  <si>
    <t>UCobpsc_hSlCbNJr4FCBfuRw</t>
  </si>
  <si>
    <t>UCtET7CbkrvUSjYF5jAzXZFg</t>
  </si>
  <si>
    <t>UC-QTPk_pUbp__wG6aw-Z40g</t>
  </si>
  <si>
    <t>UCEig_3HhFVw-cFgABX1AP8Q</t>
  </si>
  <si>
    <t>UCyaAYT6sffU8Z4o4ADkSadA</t>
  </si>
  <si>
    <t>UCF6USIs0g35mtnmdSlfeBgw</t>
  </si>
  <si>
    <t>UCcFd9I2HYUSYVnquX0vG_ew</t>
  </si>
  <si>
    <t>UCk2jTZx_6EYAq9RqZuwe-8g</t>
  </si>
  <si>
    <t>UC2x7dMM9VJRnK8Raixibi-g</t>
  </si>
  <si>
    <t>UCOGV31ex45w5pPqimC19FRQ</t>
  </si>
  <si>
    <t>UCuvdLbHHa8fkjnGnNskRR-g</t>
  </si>
  <si>
    <t>UC0FGMT9-z6z5VpnolP6Iu4A</t>
  </si>
  <si>
    <t>UCh0VGauCghebPXCxT2p8HYw</t>
  </si>
  <si>
    <t>UCe4qQgOK8eDYeJC4xSfKocg</t>
  </si>
  <si>
    <t>UChLhOc-pRi5xxIT9Nt2pA3Q</t>
  </si>
  <si>
    <t>UCbdgG3KDHsSRSDbI-4zR-eQ</t>
  </si>
  <si>
    <t>UCpC_rJRy9KIHkIqB-KuOIHA</t>
  </si>
  <si>
    <t>UC3novV_JXrsNhBjA8lF8rlQ</t>
  </si>
  <si>
    <t>UCw7KE_bnWCU7Ax0rglxmTYw</t>
  </si>
  <si>
    <t>UCuEDulggvlV91U-c0w9pCzg</t>
  </si>
  <si>
    <t>UCQE1mw-rq5UI9dyIB6klLtg</t>
  </si>
  <si>
    <t>UC6KdutTO5KbpvRWwbYKg7Ag</t>
  </si>
  <si>
    <t>UCYjfdF0L_mjxIK_zIQdurhA</t>
  </si>
  <si>
    <t>UCuBQNGcpjZ71xJP-0E5Sx0g</t>
  </si>
  <si>
    <t>UCXEkJLv-N3HPqDf7IRuD2Bw</t>
  </si>
  <si>
    <t>UC6_Uo8QjKzEpLF_JYX_vtQA</t>
  </si>
  <si>
    <t>UC_jZHGrm8gs-ZyUKcEG4o-w</t>
  </si>
  <si>
    <t>UCeYgGyfOAbHNFRlWAvI6SWg</t>
  </si>
  <si>
    <t>UC3hqX3Q46tFKo5aQX3JhBDw</t>
  </si>
  <si>
    <t>UCw0MJZLkswfPRPeJAQzt7Wg</t>
  </si>
  <si>
    <t>UChib_9Y23CKeur7sLMZxQgA</t>
  </si>
  <si>
    <t>UCY5Jm-GIiyVMQCnZqMaB6Hw</t>
  </si>
  <si>
    <t>UCGpYX63VUgJswqgDiB1QDGw</t>
  </si>
  <si>
    <t>UC6XBJ-9A_b-3_zxuX17sbIQ</t>
  </si>
  <si>
    <t>UChI-cTok8fJePnryAd0mTvQ</t>
  </si>
  <si>
    <t>UC0GVapQzfTeJ67hf2-y1_0g</t>
  </si>
  <si>
    <t>UC-V27PAFkljYNHVsWz4a8Mw</t>
  </si>
  <si>
    <t>UCGZQ0gB3nM3CLYiDahlMKjA</t>
  </si>
  <si>
    <t>UCW4JMrzXnCzdNw2B37IcOFA</t>
  </si>
  <si>
    <t>UC4TTpP-AWKZAFdkVT1_bPgw</t>
  </si>
  <si>
    <t>UCdAAVvZcpM_6oW16Eh2Jpgg</t>
  </si>
  <si>
    <t>UC9zezKVUM8gUGYQNJZQz4PQ</t>
  </si>
  <si>
    <t>UCj-XJ0Br72D9LCQGjWJpfCQ</t>
  </si>
  <si>
    <t>UCKO5k9-UdH6bjVafQWC6_pA</t>
  </si>
  <si>
    <t>UC74JtQ2kUOGNYk2CKC6ICDw</t>
  </si>
  <si>
    <t>UCMavrp4EnHaop5NsO49PSWQ</t>
  </si>
  <si>
    <t>UCXcl157VymrO9vRNg1nDMfQ</t>
  </si>
  <si>
    <t>UCNeUHjjDcVrn3-JbArGhNwg</t>
  </si>
  <si>
    <t>UC6LaBZ_TUJkyYifcxZ1hTcw</t>
  </si>
  <si>
    <t>UCKrWCbIKAdCU2KifXPioi0g</t>
  </si>
  <si>
    <t>UCg8gJerTFALveG4XDXHw-QQ</t>
  </si>
  <si>
    <t>UC-t7W0TO210XGhyZdTcUEZw</t>
  </si>
  <si>
    <t>UCTMI-Ibj-RffeLY6xdTkgWA</t>
  </si>
  <si>
    <t>UCITip3VvBZWu8_PlXbYT_FQ</t>
  </si>
  <si>
    <t>UC_8NfH_wP6quvlyspts1r5g</t>
  </si>
  <si>
    <t>UCBOXk97g9e7s1c8BCKJB9Dw</t>
  </si>
  <si>
    <t>UCc4LJ1SpCAiSwgWLW6q5wQQ</t>
  </si>
  <si>
    <t>UCOXY5z_dylCePULXreqnayw</t>
  </si>
  <si>
    <t>UC9YfOfWjjwGjFdtkEO_dDZA</t>
  </si>
  <si>
    <t>UCie6mkyR-OwL_Dta8C8C4tA</t>
  </si>
  <si>
    <t>UCwbeXhIuQcw0x_2ciSHffvg</t>
  </si>
  <si>
    <t>UCKs0kpPRJzJN6-51UZIr99Q</t>
  </si>
  <si>
    <t>UCEHb8tvFjA0pUXCEDXuntvA</t>
  </si>
  <si>
    <t>UCCV1EKfwQz_fQxhdV24brOg</t>
  </si>
  <si>
    <t>UCKN54OahwwhsC4xBTsQ43nA</t>
  </si>
  <si>
    <t>UCeUT7kK3p2Hr5yF54feUmMQ</t>
  </si>
  <si>
    <t>UCgVOtYfjX191hZ_2brCXTqg</t>
  </si>
  <si>
    <t>UCobOGMv5B48aFldlU_DuKtw</t>
  </si>
  <si>
    <t>UClnyhAF3jx8wP1b4vUB1VKw</t>
  </si>
  <si>
    <t>UCOvlIAKZAkZiIcx_FH99u-g</t>
  </si>
  <si>
    <t>UCZwIyhTg6Rv6LpsAuLQsxEg</t>
  </si>
  <si>
    <t>UCGC0LRO29Pl3QgzQwkLqIIg</t>
  </si>
  <si>
    <t>UCWgPxK9Ku1E8XMqrYJErutQ</t>
  </si>
  <si>
    <t>UCjof3SIQuiUyMWY-J_sqdaQ</t>
  </si>
  <si>
    <t>UCdPAbvhCW7vHSvUtN9_Kd3g</t>
  </si>
  <si>
    <t>UCX9oRY8OjlzVjQfx98TvZ0g</t>
  </si>
  <si>
    <t>UCrtIh-s_or9ND_qGxMA3uFA</t>
  </si>
  <si>
    <t>UC1P9bd9bB4zhpXUnrdRNK8A</t>
  </si>
  <si>
    <t>UCSz5lUKM8Jp96XOgK656krg</t>
  </si>
  <si>
    <t>UC85xVGPQ85WjcdYrihWL-Ig</t>
  </si>
  <si>
    <t>UCcE-JknRjqBO8qHhDoparhg</t>
  </si>
  <si>
    <t>UCxfWedwukITiorRl7cCz3lw</t>
  </si>
  <si>
    <t>UCIDayX8LE21U6poqP1Ipf6Q</t>
  </si>
  <si>
    <t>UCUDWzsyamgNaQLBtCA8snUw</t>
  </si>
  <si>
    <t>UCgnm8eOSP2muRSWY3JJqZ6Q</t>
  </si>
  <si>
    <t>UC5BNlWKYh5VCnPNxK16NfTQ</t>
  </si>
  <si>
    <t>UCjJC-AYgE01N7cgK18k2u4g</t>
  </si>
  <si>
    <t>UCzXs1IS5XDX9HJHgP4Ru94A</t>
  </si>
  <si>
    <t>UCkV9GnyBhEBzSoxH3eLKSjA</t>
  </si>
  <si>
    <t>UCvgU7w2LYXQAHxlgdEa9D6w</t>
  </si>
  <si>
    <t>UC-QudR4SxVYXGzb1G4qupjA</t>
  </si>
  <si>
    <t>UCZDFCXZ8ou1HRP-tcn2ymcQ</t>
  </si>
  <si>
    <t>UCItNUirJgbPLArlRlEisHqg</t>
  </si>
  <si>
    <t>UCRALVaMU0mFkY-m_EmKWuoA</t>
  </si>
  <si>
    <t>UCnsvfe2AkgbxY9gNkfpGsBA</t>
  </si>
  <si>
    <t>UCRc6CAHsarCiye-2ckZ2Jzg</t>
  </si>
  <si>
    <t>UCqaw8Ft16rAr8OESBpF_4Dg</t>
  </si>
  <si>
    <t>UCNJnrAsipP1-DQsCeO9U4SA</t>
  </si>
  <si>
    <t>UCGZJXZa-S_f5CZgkGMDpU6Q</t>
  </si>
  <si>
    <t>UCUg8hBVHY4N2X2f859AA-5Q</t>
  </si>
  <si>
    <t>UCXFP5f4JprzOQrvzciTAuGw</t>
  </si>
  <si>
    <t>UCZxOj1AIgTdqXkAESHgBxHQ</t>
  </si>
  <si>
    <t>UCaIn892iPqdSFSzgkJR95sA</t>
  </si>
  <si>
    <t>UCIAvm6sRGrMs_VAleaUaAGA</t>
  </si>
  <si>
    <t>UCxh7z3TW1pLMmTZZDrhHIYg</t>
  </si>
  <si>
    <t>UCYfvr_CkCmi4HwFkAAQU10w</t>
  </si>
  <si>
    <t>UCrisv1bev37OgRi0XO-F_rQ</t>
  </si>
  <si>
    <t>UCP_MxwcX7WrV4KMPUk8E7RQ</t>
  </si>
  <si>
    <t>UCA0hntGYUqnUbs8CsyYiu2Q</t>
  </si>
  <si>
    <t>UCenSUdXxawgdpTksQvH5d4A</t>
  </si>
  <si>
    <t>UCmTHNck_QjDOp-u4jxohPmQ</t>
  </si>
  <si>
    <t>UCXUUZx5-qkFC7FT1HY57vVA</t>
  </si>
  <si>
    <t>UCEgTYCufJRBb3RUzQG8kzcQ</t>
  </si>
  <si>
    <t>UCYapclnqWCYdJ9UA0MBCXeQ</t>
  </si>
  <si>
    <t>UCoY9fSo-VCbx-X5IALS-KRg</t>
  </si>
  <si>
    <t>UCUGYNSGc5NL6y1g8jvaZ8Ig</t>
  </si>
  <si>
    <t>UCb1CDQZ1SMWhRdNPBpjqk_A</t>
  </si>
  <si>
    <t>UCC7sJIpRIAYS5Ve_iqzMwHA</t>
  </si>
  <si>
    <t>UC4V_OcROgwAITFs46GdU0Hw</t>
  </si>
  <si>
    <t>UCJKBWpRL_vVj9nNbVGa9t7g</t>
  </si>
  <si>
    <t>UCibEJyV5uJFMXGFqdk3sV2w</t>
  </si>
  <si>
    <t>UCzI_ZR5-_HfCNwfMC7YQnsw</t>
  </si>
  <si>
    <t>UCKxZWXwLzbbcdYQCEiDEgjg</t>
  </si>
  <si>
    <t>UCAYthKrlL2P6lIbcFwm4a-g</t>
  </si>
  <si>
    <t>UCB17WVp6uTPzs45LXvQb2qQ</t>
  </si>
  <si>
    <t>UCzyr4fDlXYgfKzLSmfpOwiw</t>
  </si>
  <si>
    <t>UCgRYrZYHz9U_iYHnKVpN6Gw</t>
  </si>
  <si>
    <t>UCjJ5-gw41air_5B1eap2l4g</t>
  </si>
  <si>
    <t>UCvH-bUIk7u6SoBYf7TnPkmQ</t>
  </si>
  <si>
    <t>UCirfi9jAYhqMpCrr_Kv_6Yg</t>
  </si>
  <si>
    <t>UCMIqkaTTTpG9oAj7Qhhviiw</t>
  </si>
  <si>
    <t>UCgCxFRbrO7_02dw8AYIhDLA</t>
  </si>
  <si>
    <t>UCTOvm9hk4-V6VQz6yjz_FwQ</t>
  </si>
  <si>
    <t>UCndW331cxijeCaLHlD6VK-A</t>
  </si>
  <si>
    <t>UCJZTjBlrnDHYmf0F-eYXA3Q</t>
  </si>
  <si>
    <t>UCe0Ty-ARgAtRKadl946iuag</t>
  </si>
  <si>
    <t>UCzYiZ_5SKTQ7VXZEk0QMqaQ</t>
  </si>
  <si>
    <t>UC-8wnkkf2mXWP8yGB7QZn6A</t>
  </si>
  <si>
    <t>UCjwpjQ7SQwHjFPJrUWxke8g</t>
  </si>
  <si>
    <t>UCuDR6nNA17-9XDUzNi_eKbQ</t>
  </si>
  <si>
    <t>UCW1pskv_gh6_dklLSDOjZ2Q</t>
  </si>
  <si>
    <t>UCh5UsiQKf33b7BuvGekeV7g</t>
  </si>
  <si>
    <t>UCsNKpmWElGQ0BCSsprqifPg</t>
  </si>
  <si>
    <t>UCTm2yZtoKoWY2pmWLIQvYYw</t>
  </si>
  <si>
    <t>UCRBuEfQGWPw3WcZQCAx9pYg</t>
  </si>
  <si>
    <t>UCWjwxCbCACOzNWQ3D0gVIdQ</t>
  </si>
  <si>
    <t>UC52E-_l374iWas_sJuvIE_Q</t>
  </si>
  <si>
    <t>UCOpwQats0DH44HbN18LEPVg</t>
  </si>
  <si>
    <t>UCj7vVNR6ffIvD_zIw_Kmu_Q</t>
  </si>
  <si>
    <t>UCrw7oHPo_TyKCcjUXMRFydw</t>
  </si>
  <si>
    <t>UC-655aPa9Tl-s1KASoDFgag</t>
  </si>
  <si>
    <t>UCpcjHjZ0Ze0gmN76tB589Qw</t>
  </si>
  <si>
    <t>UC84ZAth85YC_BwanW1n7iAA</t>
  </si>
  <si>
    <t>UCVLvhHp2LkwO6DUJaOUWteg</t>
  </si>
  <si>
    <t>UC0np3SSFZX5c9A2brBjo2qw</t>
  </si>
  <si>
    <t>UCFQx-P2hEP2wtx0A14yxVqw</t>
  </si>
  <si>
    <t>UCI03x_WOLF2A9FxZvbVhyeQ</t>
  </si>
  <si>
    <t>UC3b_jSCronDEy_TzLEu9x0g</t>
  </si>
  <si>
    <t>UCfgifN_wt4-ZJooY-sc8wZg</t>
  </si>
  <si>
    <t>UCnejURxElXLOH_33qOEpdSg</t>
  </si>
  <si>
    <t>UC-ejuCbXGVMW2qbkXTsq6Ww</t>
  </si>
  <si>
    <t>UCunJeWziKeN41EqEHoJfzDA</t>
  </si>
  <si>
    <t>UC7x6JEqbu7yC94l8CgQht2Q</t>
  </si>
  <si>
    <t>UCus7Qsw_s3QZiin1qap7hkA</t>
  </si>
  <si>
    <t>UCrpWTj_O0oLZilvnDaLqElw</t>
  </si>
  <si>
    <t>UCs1ElqArfXMBAZkL7uf-VRA</t>
  </si>
  <si>
    <t>UCc_nF3pqsaYZX1WyuEtRR8g</t>
  </si>
  <si>
    <t>UCELkcGDNb8yFIv8chh7rbrA</t>
  </si>
  <si>
    <t>UC-Bl3iHE4ca98Rj34dJoLDg</t>
  </si>
  <si>
    <t>UC7phUdHV-oWsx3unENvfE7w</t>
  </si>
  <si>
    <t>UCMa6AvC7v4YADEIuUYlIySA</t>
  </si>
  <si>
    <t>UCvhBBb_zdAkKujxzDV1QEhg</t>
  </si>
  <si>
    <t>UCqdmEYHY8jVTeT-ZYeLlJ1g</t>
  </si>
  <si>
    <t>UC8ZYmCweKD2x-wy8PDEiFog</t>
  </si>
  <si>
    <t>UCQbKCj0tXqqo5TddHr9kjwQ</t>
  </si>
  <si>
    <t>UCvEYcFUhkCOl5HwBKT5djPg</t>
  </si>
  <si>
    <t>UC6KcefKj7mvfC2wb3ED-lCQ</t>
  </si>
  <si>
    <t>UCvVyk2M6jS9pNkmrVg2dNjQ</t>
  </si>
  <si>
    <t>UCMWyaByhnJ1XZCCZxzjRkiQ</t>
  </si>
  <si>
    <t>UCQjOVgcoZvC6-EK0xgankpQ</t>
  </si>
  <si>
    <t>UC64LMJKuGBKbltUKBvtTqPA</t>
  </si>
  <si>
    <t>UC6nnQTTY1abLpeRJN9VvodA</t>
  </si>
  <si>
    <t>UClkFIeTulL4elxNZ41mOtFw</t>
  </si>
  <si>
    <t>UCAlFuhgD5n4M33Y8Im4K0ww</t>
  </si>
  <si>
    <t>UCc7JKptikbvO72PtnoqIKNA</t>
  </si>
  <si>
    <t>UC2baYwyZp8GSx7Ib5g17mDg</t>
  </si>
  <si>
    <t>UC6ubianhK30BlEa-EP8dwjQ</t>
  </si>
  <si>
    <t>UC819Rf3geYRy4604wK3i2ZQ</t>
  </si>
  <si>
    <t>UCUqc_eczlo9lTgkq90F8wUw</t>
  </si>
  <si>
    <t>UCi0fIYNdbzwQONlngaf4R1g</t>
  </si>
  <si>
    <t>UC1rXwCS4owLa3J6U_hIYqvQ</t>
  </si>
  <si>
    <t>UCr3sO1VgTWPhTNTBuRPZc4w</t>
  </si>
  <si>
    <t>UCyQWSZRDX6UkSsnAHKTZYug</t>
  </si>
  <si>
    <t>UCflxwelBW5KihRIvH-lVYDA</t>
  </si>
  <si>
    <t>UCwtir0D7FKA3RStNlwKy7zA</t>
  </si>
  <si>
    <t>UC5uu70k-9sI1kMcBv48iO3w</t>
  </si>
  <si>
    <t>UCxMvIYmAyDLUBhGJINU9OMg</t>
  </si>
  <si>
    <t>UCG_nXoruS3tVuW52bO0_isw</t>
  </si>
  <si>
    <t>UCMiyV_Q72o8acn2-LR21hJw</t>
  </si>
  <si>
    <t>UCdg26mi464Al2R0YgQwvGww</t>
  </si>
  <si>
    <t>UCYQ_SiM9OrCp3yaK5vo7Wpw</t>
  </si>
  <si>
    <t>UCAvulQxkV4merY0uaNG8AkQ</t>
  </si>
  <si>
    <t>UCy_sFlgN167vfSzISY_Y_WA</t>
  </si>
  <si>
    <t>UCv1wQ9RJHUCscxrNZHVBcSA</t>
  </si>
  <si>
    <t>UCfPUyyUwzaGWf0XlauvHtiQ</t>
  </si>
  <si>
    <t>UCDyw55lLfmxDhVdv6ek1OmA</t>
  </si>
  <si>
    <t>UChDk3571Jo-A1SjrnDleTqA</t>
  </si>
  <si>
    <t>UCEocRNWPqmsUDNmiqJqkDWw</t>
  </si>
  <si>
    <t>UCmA3Us6wQVig9X0N3atZnIA</t>
  </si>
  <si>
    <t>UCDcQJ4BUxHni8Famng8EG8w</t>
  </si>
  <si>
    <t>UCB0EfpgE24o6_K-O9T-SRdQ</t>
  </si>
  <si>
    <t>UCnWPKDhYdj8AZfYUdrOiS1Q</t>
  </si>
  <si>
    <t>UCf1BiqlVYG876JqvDkv7isg</t>
  </si>
  <si>
    <t>UCCw4uYL3ln_OigghAAjMMCg</t>
  </si>
  <si>
    <t>UCAKPH_3harNrzAiKrNEFWIw</t>
  </si>
  <si>
    <t>UCd-BO4rHgpgVt-z0BSzVqMg</t>
  </si>
  <si>
    <t>UCKidRg7VCOkCWuALair2Q6A</t>
  </si>
  <si>
    <t>UCgRUUd0ZW-npzTNP4SadDng</t>
  </si>
  <si>
    <t>UCR2w5d-fT7ft2VOMZZY9KQA</t>
  </si>
  <si>
    <t>UCOJWlLG3zW9KTx_ctVXL9xw</t>
  </si>
  <si>
    <t>UC_gDZk0R3Pt2hUc0zAIqCWA</t>
  </si>
  <si>
    <t>UCnJ9SRiMlFp8Dxy7RDs4Z-g</t>
  </si>
  <si>
    <t>UCtwQDg4rXfyYezi6PEk6IlQ</t>
  </si>
  <si>
    <t>UC4pzPMhXszpN8yBq9BtJRFg</t>
  </si>
  <si>
    <t>UCU29V2Jl2unpcOxm1kPDqmw</t>
  </si>
  <si>
    <t>UCeRGeymjMqtEP54ltDnyHjg</t>
  </si>
  <si>
    <t>UCx8-g0ntcsj12vZ9eHA2qYQ</t>
  </si>
  <si>
    <t>UCvW5HZMqEQoN6JOz7h611Hg</t>
  </si>
  <si>
    <t>UCza8Jbus7GND3s3oCDVTJhA</t>
  </si>
  <si>
    <t>UC_z4oJziNx-b_14cMN4j5SQ</t>
  </si>
  <si>
    <t>UC0-2AlkyVVIDIl20zMFzWXw</t>
  </si>
  <si>
    <t>UCpGstId4PMmF5RGEavbz95A</t>
  </si>
  <si>
    <t>UC9aYwZBu_tBNxOMz2UKTOrw</t>
  </si>
  <si>
    <t>UCAp5XEq385osuzaIt6UNPkQ</t>
  </si>
  <si>
    <t>UCEIFtzIuCgX9eaBh1mcf0uw</t>
  </si>
  <si>
    <t>UCAjXxpardFUDo42i7VFrDew</t>
  </si>
  <si>
    <t>UCsfazTT7oD8it_nvwSmxI1w</t>
  </si>
  <si>
    <t>UCUxKLrOoCtzXeIrj26RBhRg</t>
  </si>
  <si>
    <t>UCkV5aB0866koPMXuqWaUK5A</t>
  </si>
  <si>
    <t>UCF0lvofNehz94_Ve-leaFOg</t>
  </si>
  <si>
    <t>UC2n4MvLJDH2-GWzjJrC58Zw</t>
  </si>
  <si>
    <t>UCwWgsffHym9QQvqk9Okygfg</t>
  </si>
  <si>
    <t>UCAFg786w2v991zsc8BNQagA</t>
  </si>
  <si>
    <t>UCX8SRjJqk4N5n_8bjR3cPTA</t>
  </si>
  <si>
    <t>UCUkIaf_z6ea1ajCOi6u5Xpw</t>
  </si>
  <si>
    <t>UCYwdQkLEUnQ_bEoPdA5vYuQ</t>
  </si>
  <si>
    <t>UC7W2nvuM1ObIBI5jW0TWYhw</t>
  </si>
  <si>
    <t>UC7hrfW1H_cIIvcg_IeCK2iA</t>
  </si>
  <si>
    <t>UCXK84B42lKBOwSQz4uBPy6A</t>
  </si>
  <si>
    <t>UCDSNPbJEtk6sci5Rn0TY1LA</t>
  </si>
  <si>
    <t>UCuX1jvSOxY9Gn6bAj1R77Xw</t>
  </si>
  <si>
    <t>UCVc8LVaK5eBW8Qpk6mzzieA</t>
  </si>
  <si>
    <t>UC5y07HNM6EZyTiXkfQSucaw</t>
  </si>
  <si>
    <t>UCgdFUdO62xb3WG9XyV2ZBwg</t>
  </si>
  <si>
    <t>UCgc2N28KF6Ki_PrCYn0jn3g</t>
  </si>
  <si>
    <t>UCSVjmvqok0dVmxwHSCm7_Cw</t>
  </si>
  <si>
    <t>UCMlsfl4oyCqqH6MX6QSlASA</t>
  </si>
  <si>
    <t>UCGaSc49MG1nYsZa3UeoPFDw</t>
  </si>
  <si>
    <t>UCowefZ8fcgBpj1keCDAw6mw</t>
  </si>
  <si>
    <t>UCxjSI-_0ihVq3fmHh3m9HYw</t>
  </si>
  <si>
    <t>UCTYIArFir6lVRAAleqVoeRQ</t>
  </si>
  <si>
    <t>UCrnFva61tPAlG3PNeTF9acQ</t>
  </si>
  <si>
    <t>UCUDEjKDVvLgSBD6vgc50gXw</t>
  </si>
  <si>
    <t>UCuWMrvoF3OosJnlhmLV9ZVg</t>
  </si>
  <si>
    <t>UCSq4Im1vFNOVF1R4Q0iZvmw</t>
  </si>
  <si>
    <t>UCZ9uwWHcFPq0X0kLK6rnEgQ</t>
  </si>
  <si>
    <t>UCSYMV5ebJmRbv2r9e2-rc6w</t>
  </si>
  <si>
    <t>UC_RwyrxC63yOTY42eQaJ-9g</t>
  </si>
  <si>
    <t>UCcZS64S5payPuqr38_1BCFg</t>
  </si>
  <si>
    <t>UCoPPC9D1NnQDCtKSJKTjYOw</t>
  </si>
  <si>
    <t>UCDbDnHE8fwWNgRNK7c8Nwog</t>
  </si>
  <si>
    <t>UChr2W5ZUUxJGwGuwyXPjGRw</t>
  </si>
  <si>
    <t>UCdNaLUj1g121JiHM_z0CUlg</t>
  </si>
  <si>
    <t>UCtqb24bCSdxnEkcQQLR2pMA</t>
  </si>
  <si>
    <t>UCFMHocMbkfmF0YiiyozVYZA</t>
  </si>
  <si>
    <t>UCroL4lQdZE0O3aZuklwBheA</t>
  </si>
  <si>
    <t>UCsoD8hpsvu01rtHhlgqKIOw</t>
  </si>
  <si>
    <t>UCbqFE9BJW8BhDn4gRxo3iKw</t>
  </si>
  <si>
    <t>UCkW_9O022ywlyfy-5SGRW1Q</t>
  </si>
  <si>
    <t>UCkRsNZVbMS_0Wr2B-cxCCIQ</t>
  </si>
  <si>
    <t>UCavg-qvmdkYDGwdNU_ZzU_Q</t>
  </si>
  <si>
    <t>UCGCA-4ya4S2u1DL-T9HqzjA</t>
  </si>
  <si>
    <t>UCJHXYwTuPLT9JFb5xoHZbVg</t>
  </si>
  <si>
    <t>UCvCQlpJFjnnhl3JjtEU1ARw</t>
  </si>
  <si>
    <t>UCnWnhN-9oKU3jRE-M7WsjwA</t>
  </si>
  <si>
    <t>UCqUQtnm8XzvKqaiSFYgztaw</t>
  </si>
  <si>
    <t>UCf2vOAqfiP6Cnf3zDUPIF6g</t>
  </si>
  <si>
    <t>UCkeAucrTycuWwkJMQ6yMHIg</t>
  </si>
  <si>
    <t>UCO8wnd7l7D83prtjHV_wiyA</t>
  </si>
  <si>
    <t>UCJAsDqyUYYar1fo71XRvIXw</t>
  </si>
  <si>
    <t>UC9lyUdwosxq_OxC1uggjUPA</t>
  </si>
  <si>
    <t>UCppyzV1-pGYK2ZBeDekNw6g</t>
  </si>
  <si>
    <t>UCHKKr8QSIW8l560WdeSw-Fw</t>
  </si>
  <si>
    <t>UCUmkdKGjFVeTr3lScUidE8A</t>
  </si>
  <si>
    <t>UCha_5G6T3039lCb38VtkDIQ</t>
  </si>
  <si>
    <t>UCt0pc4cGojE6o-lNJSZvCfA</t>
  </si>
  <si>
    <t>UCSNotlkaQzaA1x41XyDEnUQ</t>
  </si>
  <si>
    <t>UCzBRTGLhzuaB2An2otGPEzA</t>
  </si>
  <si>
    <t>UCt9_kJMwRziGaAUjifzys-Q</t>
  </si>
  <si>
    <t>UCT-qa7_fRJMIsq4D1XotTrg</t>
  </si>
  <si>
    <t>UC6V6onFxAmp8XRofFkRKnNw</t>
  </si>
  <si>
    <t>UC0YOJ-_2bsDOXJ7lC7h_opw</t>
  </si>
  <si>
    <t>UCdOO6yFY-o6DMJoLqDke5Jw</t>
  </si>
  <si>
    <t>UCIvJ7jMMPaFGOZEvpgGrCSg</t>
  </si>
  <si>
    <t>UCMR_8qEieZ8CMqmphUSqiPg</t>
  </si>
  <si>
    <t>UCher9JyWJFRd5X3UrUYfmQQ</t>
  </si>
  <si>
    <t>UCGkozyEjUc_w8RpzsqsleUg</t>
  </si>
  <si>
    <t>UCcFE3tvK7gzDEaZsGLlUAzg</t>
  </si>
  <si>
    <t>UCp7C06qiG6_fhDsvuqgmnYw</t>
  </si>
  <si>
    <t>UC_ssXPpFCubgiNe2sNVmbgA</t>
  </si>
  <si>
    <t>UCtJqZ6cw2RjcEMLQhUx8c7A</t>
  </si>
  <si>
    <t>UCnPQib0Kk0VCIRF6wl_JHTA</t>
  </si>
  <si>
    <t>UCprhtJatma3ldWWViKaMDSQ</t>
  </si>
  <si>
    <t>UCTvPnYPcmyQ5qkv9Sp8QLgQ</t>
  </si>
  <si>
    <t>UCoGFC5t3WEgQ28VKiIsVimw</t>
  </si>
  <si>
    <t>UCXuaGae3oCzPTaSp0gdBJJQ</t>
  </si>
  <si>
    <t>UCpmP1HYDUxOdw7omF5Dztyw</t>
  </si>
  <si>
    <t>UCBq4yo8cH6tY3klFlLldmmQ</t>
  </si>
  <si>
    <t>UC9Td1TpXDp_w8s7zyX2dJTA</t>
  </si>
  <si>
    <t>UCdNO3SSyxVGqW-xKmIVv9pQ</t>
  </si>
  <si>
    <t>UCMh0ZdReKP6-QF7-DpuyeiA</t>
  </si>
  <si>
    <t>UC0OnbMLow17AdDG-WSvDpxg</t>
  </si>
  <si>
    <t>UC1-JSnAwpM5UVxddNIK0bsQ</t>
  </si>
  <si>
    <t>UCJ5RQc_IezXrN-RkNnYBbDw</t>
  </si>
  <si>
    <t>UCwI6bvoIYtPRh7Vgl7In0Sw</t>
  </si>
  <si>
    <t>UCUMzXoG3zYGxL9zLS9ohBgg</t>
  </si>
  <si>
    <t>UCe_keHGR4qOcBanKbYy1f1w</t>
  </si>
  <si>
    <t>UCgnaHdju6k0N0Ee7rwnXMJg</t>
  </si>
  <si>
    <t>UC_mzz_JnzArhhpGUy8KdGwg</t>
  </si>
  <si>
    <t>UCEwcfuw3xlPdi5v1FdONZ2w</t>
  </si>
  <si>
    <t>UCd5tGuyf50rswHW6ysms79Q</t>
  </si>
  <si>
    <t>UC5ZcPA6-X0whhYP1npEwe4Q</t>
  </si>
  <si>
    <t>UCEviggN0WxNwHiufusRgv_A</t>
  </si>
  <si>
    <t>UCjf8R1DW406K8XAXDLi-kOA</t>
  </si>
  <si>
    <t>UCVCfdXYA9VBy89Rrc1NsOkA</t>
  </si>
  <si>
    <t>UCdqC1ybp2Mbv2xR608Wboqg</t>
  </si>
  <si>
    <t>UC83yBpdeTa_AkuuvKbtTACQ</t>
  </si>
  <si>
    <t>UCira_mhcRZQgqIjC-KtGPRQ</t>
  </si>
  <si>
    <t>UCM_vSQzPcjN_L-1EMslIjow</t>
  </si>
  <si>
    <t>UC3suJoT2zJUqzYE1Y5-8dhg</t>
  </si>
  <si>
    <t>UCWk8qaRj7jShI_2tBUK7APw</t>
  </si>
  <si>
    <t>UCQdDgvr7KJSbiSMQuKef7_g</t>
  </si>
  <si>
    <t>UC9eAx4k9U2-MfIgrk6Lprgg</t>
  </si>
  <si>
    <t>UC-lMDmalvYSq1BI7zNiTDaw</t>
  </si>
  <si>
    <t>UC-hDebHnHerDnjqU_Wz5owQ</t>
  </si>
  <si>
    <t>UCs9MJ-TmN0-CLY2eNBHAltw</t>
  </si>
  <si>
    <t>UCeLqxe2Fyy1zpvb36shuJGw</t>
  </si>
  <si>
    <t>UCyOnDaKILlNWEmejJMiuKGg</t>
  </si>
  <si>
    <t>UCdQ9iOrNVbO94hDax02BryA</t>
  </si>
  <si>
    <t>UCBBX3hvZHXUnGPnFCoEobwA</t>
  </si>
  <si>
    <t>UCvUJkGPWzj100gTHN2AJopA</t>
  </si>
  <si>
    <t>UCn2YnnD2g33upkbSMkQK-Bw</t>
  </si>
  <si>
    <t>UCKCmUCH4vlzGIpc59vWVf7Q</t>
  </si>
  <si>
    <t>UCBenSqtEDQHj7oh518x-87A</t>
  </si>
  <si>
    <t>UCgIhMfk4dHm-1QFKcaewNQA</t>
  </si>
  <si>
    <t>UChhFIzikRU9cBMh-WPw0_qg</t>
  </si>
  <si>
    <t>UCeiPyrjvfb7XFCTDwJsIl6Q</t>
  </si>
  <si>
    <t>UCSex7PTBn_MKaACHgYcfI0w</t>
  </si>
  <si>
    <t>UCqQqwKmKnjNRWBPBbk0SYfQ</t>
  </si>
  <si>
    <t>UCBkcw8h7epT_bK0QzuY2Bmg</t>
  </si>
  <si>
    <t>UCnR8hz3lcn1_f1Ie5w3SUCg</t>
  </si>
  <si>
    <t>UCAnqw5P2xCAzOIovoVzZl3Q</t>
  </si>
  <si>
    <t>UCFPjsVOFZYYm_c2FwVjbHKw</t>
  </si>
  <si>
    <t>UCDyYwvC2cbJb44iqWLPz5pQ</t>
  </si>
  <si>
    <t>UCblMkBEHgD7uaLC0lBFebGQ</t>
  </si>
  <si>
    <t>UC7DURVLcH2NBsmLGwSVOP4Q</t>
  </si>
  <si>
    <t>UCDyFrFVz6c1UPBCY5ivsQXg</t>
  </si>
  <si>
    <t>UChCX4aOq9WdweUQFSkZEONw</t>
  </si>
  <si>
    <t>UC95j9mAz4GoXln_4lriXTUg</t>
  </si>
  <si>
    <t>UCTtfpY4KcPLREJMMn06CR6w</t>
  </si>
  <si>
    <t>UCPqCByYpHD66ebkhDfDvHcw</t>
  </si>
  <si>
    <t>UCU8eIap08OaLUFa2sD2UgOQ</t>
  </si>
  <si>
    <t>UC7KnUtEo6OY38KDBP-XWWRg</t>
  </si>
  <si>
    <t>UCLP2J3yzHO9rZDyzie5Y5Og</t>
  </si>
  <si>
    <t>UCLi0tnnxNwrs2dpMT0s07Mw</t>
  </si>
  <si>
    <t>UCKl4op14Jkruaa8pTw1eSVA</t>
  </si>
  <si>
    <t>UCqsmoRPc38_nFPoZWDxeQjw</t>
  </si>
  <si>
    <t>Commented Video</t>
  </si>
  <si>
    <t>Replied Comment</t>
  </si>
  <si>
    <t>Posted Video</t>
  </si>
  <si>
    <t>Reply</t>
  </si>
  <si>
    <t>Lovely video, I&amp;#39;m homesick now lol, thanks for sharing #1 like</t>
  </si>
  <si>
    <t>Thanks for watching!</t>
  </si>
  <si>
    <t>Molto bello   Tres belle Beautiful   بسیار خوب   πολύ ωραίο 真的很不錯   Очень приятно   とても素敵な  Sehr Schon</t>
  </si>
  <si>
    <t>Thank you so much _xD83D__xDC4D_</t>
  </si>
  <si>
    <t>Good morning, beautiful and very very best city and channel, congratulations thanks _xD83D__xDC4D__xD83D__xDCAF__xD83D__xDC48__xD83C__xDD97__xD83D__xDC4C__xD83E__xDD17_</t>
  </si>
  <si>
    <t>Thanks!</t>
  </si>
  <si>
    <t>likes this video</t>
  </si>
  <si>
    <t>Yes.  Please I got this in before the lock down.  Cant wait to see the place again and see what flowers have bloomed, plus to see the awesome sights of the city :)</t>
  </si>
  <si>
    <t>Nicely captured, looks like you almost had the whole roof to yourself! I&amp;#39;m guessing you were one of the last visitors before the shutdown then?</t>
  </si>
  <si>
    <t>Such a nice place to chill out ! Thanks for sharing with us</t>
  </si>
  <si>
    <t>Things are calming down. Hope to be back filming more of London sights _xD83D__xDE4F_</t>
  </si>
  <si>
    <t>How is london from covid19?&lt;br&gt;Please stay safe</t>
  </si>
  <si>
    <t>Thanks for your support!</t>
  </si>
  <si>
    <t>Like 17.subscribed.please stay connected. Iam new YouTuber</t>
  </si>
  <si>
    <t>The view of the city from the top of the building is excellent. Thank you for the great video.~_xD83D__xDE04_</t>
  </si>
  <si>
    <t>Thanks for your comment and support _xD83D__xDC4D_</t>
  </si>
  <si>
    <t>So beautiful, new experience for me !!!&lt;br&gt;Very nice walking tour, thoroughly enjoyed_xD83D__xDC4D_ new friend subscribed : ) &lt;br&gt;Stay connected !!!</t>
  </si>
  <si>
    <t>Nice video. &lt;br&gt;Hope we can be friends and support each other _xD83D__xDE0D_</t>
  </si>
  <si>
    <t>wonderful view,thank you</t>
  </si>
  <si>
    <t>Thanks for your comment _xD83D__xDC4D_</t>
  </si>
  <si>
    <t>Like the video, keep it up! _xD83D__xDD25__xD83D__xDCA5__xD83D__xDD25_</t>
  </si>
  <si>
    <t>I enjoyed this video and the lovely view!  And the garden.</t>
  </si>
  <si>
    <t>Great walk with nice views of London!</t>
  </si>
  <si>
    <t>Thanks for watching</t>
  </si>
  <si>
    <t>The view of the city from the top of the building is excellent. Thank you for the great video._xD83D__xDE0A__xD83D__xDC4D_</t>
  </si>
  <si>
    <t>Thanks for your support :)</t>
  </si>
  <si>
    <t>Like new frnd joined stay connected</t>
  </si>
  <si>
    <t>Didnt manage to go into the restaurant but hoping to when lock down has been lifted and to revisit the rooftop garden to see all the beautiful flowers and plants in bloom :)</t>
  </si>
  <si>
    <t>Hello Geek&lt;br&gt;&lt;br&gt; Loved the video, takes us back to our trip there last April and was a nice warm day. It is a great place and it is free. I see the restaurant is now open. Did you go in?  Thanks Chris and Sandra from Canada.</t>
  </si>
  <si>
    <t>Thanks gor you comment</t>
  </si>
  <si>
    <t>Amazing walkthrough, stay safe my friend Have a good day!</t>
  </si>
  <si>
    <t>Thanks for the awesome comment!.  Had a look at your channel and clicked on the sub button.  Great vlog on building your own swing :) Stat connected :)</t>
  </si>
  <si>
    <t>Greetings, +1 red button  pushed ❤️, and +1 Like, hope you can return the favor,  wow that place looks super nice, can’t wait to see more cool places</t>
  </si>
  <si>
    <t>Awesome _xD83D__xDC4D_</t>
  </si>
  <si>
    <t>Thanks for your comment much appreciated _xD83D__xDC4D_</t>
  </si>
  <si>
    <t>great footage_xD83D__xDE0A_I subscribed_xD83D__xDE0D_</t>
  </si>
  <si>
    <t>Thanks for watching _xD83D__xDE0A_</t>
  </si>
  <si>
    <t>Beautiful. I love this video a lot. So nice to travel the world with you. Thank you! : )</t>
  </si>
  <si>
    <t>It was really cold day when we were ultgere, but the views were amazing. Hoping to ho back when it is safer to seethe difference in the summer _xD83D__xDE4F_</t>
  </si>
  <si>
    <t>I kind of like cloudy weather of London, It&amp;#39;s quite comfortable especially for walk..!</t>
  </si>
  <si>
    <t>Thanks for watching :)</t>
  </si>
  <si>
    <t>Lovely tour of London!&lt;br&gt;Thank you!</t>
  </si>
  <si>
    <t>Thanks for watching and your comment, much appreciated! Glad you enjoyed it :)</t>
  </si>
  <si>
    <t>Ah what beauty the world holds, thanks for sharing it with me in theses times we can&amp;#39;t travel. Beautifully clean and steady footage. All the best to you fellow walker.</t>
  </si>
  <si>
    <t>Yes, it&amp;#39;s heart warming to see how people get on with making a little oasis in the most built-up places.</t>
  </si>
  <si>
    <t>Very interesting. Gosh there are some clever people in this world &amp;amp; wow the volunteers do a fabulous job!</t>
  </si>
  <si>
    <t>That&amp;#39;s good to hear, thank you.</t>
  </si>
  <si>
    <t>I thoroughly enjoyed this _xD83E__xDD70__xD83C__xDF39__xD83C__xDF3F_</t>
  </si>
  <si>
    <t>A pleasure - thank you!</t>
  </si>
  <si>
    <t>Very good video - well done!   Excellent and very interesting.  Thank you.</t>
  </si>
  <si>
    <t>Thank you!</t>
  </si>
  <si>
    <t>Lovely! Thanks for sharing - something different to do in London.</t>
  </si>
  <si>
    <t>Thank you. It had such amazing views too.</t>
  </si>
  <si>
    <t>I can imagine! Almost makes me wish to be a London lawyer. Today I planted some sun coleus I rooted from cuttings. Coleus are best en masse. Have a great day! _xD83C__xDF3F_</t>
  </si>
  <si>
    <t>Excellent use for very different urban spaces. I really liked the second garden—the rooftop garden with the beehive and pollinator plants. A workplace nature oasis. _xD83C__xDF3F__xD83C__xDF3C_</t>
  </si>
  <si>
    <t>Thank you for sharing that great information.</t>
  </si>
  <si>
    <t>Amazing! Thank you for sharing _xD83D__xDC1D__xD83C__xDF38_</t>
  </si>
  <si>
    <t>We couldn&amp;#39;t think what to do about the fly buzzing in front of the camera. It was determined to photo bomb me. Skip Garden great, I agree.</t>
  </si>
  <si>
    <t>Clearly the fairies directed this video but you should tell them to stay out of your close ups, so bossy, it looks like the insects are coaching your dialogue. Love the Skip garden concept.</t>
  </si>
  <si>
    <t>That last garden was so inspiring. I’ve stolen some plant combinations from that. Great to see some shade gardens, as it can be difficult to find options. As a gardener with a north-facing plot, I love to see how other people manage.</t>
  </si>
  <si>
    <t>I&amp;#39;ve been feeling the same this past week. Kind of up and down but mostly don&amp;#39;t feel like doing anything the past few days. When you mentioned you&amp;#39;ve had an up and down week I felt better knowing I&amp;#39;m not the only one ❤_xD83D__xDC9A__xD83D__xDC9C__xD83D__xDC99__xD83D__xDC9B_</t>
  </si>
  <si>
    <t>Great vid as always _xD83D__xDC4D_ but sorry to hear you&amp;#39;ve been feeling a bit discombobulated (excellent word) and exhausted. In  these times it&amp;#39;s not so unusual as long as it passes so really take care of yourself and do take more time off if you need it- you&amp;#39;ve been keeping us consistently entertained all through this Mr C and it&amp;#39;s very much appreciated  _xD83D__xDC4D_☺️_xD83D__xDC4F__xD83D__xDE01_</t>
  </si>
  <si>
    <t>love the video ewan, hope you are well take care. x</t>
  </si>
  <si>
    <t>Enjoyed watching your vlog on Saturday evening in Durban, South Africa. We have fab sunshine days even though it is winter. You are right about the emotional roller coaster but as you say it is important to remain positive and kind.</t>
  </si>
  <si>
    <t>It&amp;#39;s lovely to hear the birds so much clearer these days without the planes flying around and the air smells so much fresher fab vlog love your roof garden  I always watch to the end too x love Simon is a brilliant film</t>
  </si>
  <si>
    <t>I call it coronacoster up and down one minute crying the next happy sad exhausted  sort of vibe God I need a Gin _xD83D__xDE09_ yes please keep your Lidl haul going x</t>
  </si>
  <si>
    <t>OMG the Footage on this Vlog was so unbelievable. I really enjoyed this one with all the nature and bird song and what you get upto in a day . You are looking great in Lockdown atm _xD83E__xDD23__xD83D__xDC4D_. Can you do more of these types of Vlogs PLEASE ? All the flowers around your walk were beautiful as well .</t>
  </si>
  <si>
    <t>so jealous of your home garden you have given me alot of new ideas thank you</t>
  </si>
  <si>
    <t>I watched til the end. Looking forward to the pallet DIY. Another great video</t>
  </si>
  <si>
    <t>_xD83D__xDC4D__xD83D__xDC96__xD83D__xDC4C_of course, I got to the end, who wouldn&amp;#39;t, this was really lovely_xD83E__xDD70_</t>
  </si>
  <si>
    <t>Your gardens looking lovely! My geraniums haven&amp;#39;t bloomed yet just still green leaves?! Gardening has been my life saver during lockdown! Even started growing some fruit &amp;amp; veg! _xD83D__xDE42__xD83D__xDE42__xD83D__xDE42_</t>
  </si>
  <si>
    <t>Your roof garden is looking so lush. You really do have green fingers. I like how you treat yourself to flowers each week. When I went to an exhibition of Norman Rockwell paintings in Dulwich I saw a fox fast asleep on a trampoline. Some lovely houses around there.</t>
  </si>
  <si>
    <t>I always watch til the end _xD83E__xDD17_. I loved this video, such beautiful scenes and entertaining commentary from you, as always. I had a crappy start to the week, but I&amp;#39;ve pulled myself back to good spirits in the last few days. I&amp;#39;m worried about the knock-on effect that the eased restrictions will have on the number of cases over the next few weeks, so I&amp;#39;m personally still very much in isolation (which is taking a toll mentally). But we&amp;#39;ll get through this, it&amp;#39;s a bit of a rollercoaster like you said _xD83D__xDC9C_.</t>
  </si>
  <si>
    <t>I have felt really tired. Feel I am working more hours while im working from home. 10 oclock at night, Ill just have a look at my e-mails and get roped into putting stuff on their social media.&lt;br&gt;Plus I find it all quite stressful with whats going on right now. Your videos really help to calm and relax me. Thanks for all your hard work.</t>
  </si>
  <si>
    <t>I like your video ht s good to watching your YouTube video ht s cool _xD83D__xDE0E_ to watching your YouTube video ht s cool _xD83D__xDE0E_ for your mr c from Nikki Thomson _xD83D__xDE18_ _xD83D__xDE18_</t>
  </si>
  <si>
    <t>I me ok _xD83D__xDC4C_ and I watching YouTube video r your ok too I watching your to the end from Nikki Thomson _xD83D__xDE18_ _xD83D__xDE18_</t>
  </si>
  <si>
    <t>Thank you so much for sharing the beautiful English countryside and flowers.</t>
  </si>
  <si>
    <t>It&amp;#39;s been a rather tortureous week for America this past week. Cities are burning and soldiers are on many of our city streets: a policeman killed an African American man for no reason. Thousands are protesting in our cities. I&amp;#39;m trying to understand this horrifying epidemic of the virus and the ongoing killing our black citizens have been experiencing.  Listening to your blogs give me hope and lifts my spirits. Thank you for sharing your good sense and companionship with all of us followers.</t>
  </si>
  <si>
    <t>Such beautiful houses love the blue shutters I was thinking that it looks like Dulwich even though I&amp;#39;ve never been but thats just how I imagined it would look then I saw the notice board with Dulwich on it haha made me giggle.  Lived away from London for so long it&amp;#39;s nice to do a virtual visit _xD83D__xDE00_ thank you for uplifting the mood again _xD83D__xDE0A_ _xD83D__xDC4D_</t>
  </si>
  <si>
    <t>Hi,have you ever tried Uk  brand faith in nature?</t>
  </si>
  <si>
    <t>Watched to the end as always _xD83D__xDC4F__xD83C__xDFFB_ really enjoy watching your vlogs _xD83D__xDE0A_&lt;br&gt;Isobel Celine</t>
  </si>
  <si>
    <t>Keep up the Lidl hauls - wish we had one in Canada!  It seems like you are getting some great bargains! Nice to see you use Hasfit too!</t>
  </si>
  <si>
    <t>I am so lucky to be on bedroom floor with Mr Carrington. LOL.</t>
  </si>
  <si>
    <t>Poundstretcher! I don&amp;#39;t see why not :)</t>
  </si>
  <si>
    <t>@Mr Carrington Thanks</t>
  </si>
  <si>
    <t>I LOVE cherries, where did you get yours Iwan and can it stay in the pot, as I don&amp;#39;t have room for a full tree?  I am feeling rather guilty, as I am quite enjoying the lock-down, as nothing much is expected of me and my time!  I am finding it pretty relaxing!  I&amp;#39;m aware that I am lucky and that many people are suffering during forced time at home, and feel bad for them (hence the guilt).   Love the vlog, a great idea!  TFS, keep safe and stay well!  _xD83D__xDC4D_❤</t>
  </si>
  <si>
    <t>Just catching up on this lovely Monday morning. Wishing you a wonderful week xx</t>
  </si>
  <si>
    <t>Got to the end. Nice legs. U got a like &amp;amp; subscribe.</t>
  </si>
  <si>
    <t>This is so nice tagging along with your in your neighborhood. I love Foxes, Roses and Rhododendrons so this is right up my street! Wine and a facial is a happy ending.</t>
  </si>
  <si>
    <t>I live in another big UK city and one of the positives of the last few months has been that I have discovered all the small green spaces nearby that in the past years I have driven past and not noticed. I&amp;#39;ve also discovered your channel and love your calm, positive vibes.</t>
  </si>
  <si>
    <t>How many jobs do u have whats ur main profession x</t>
  </si>
  <si>
    <t>You’ve done so well with your garden! I agree, the Poundland bulbs have been fantastic! Xx</t>
  </si>
  <si>
    <t>Great to actually see you go outside again, a nice calming vlog, really enjoyed this .</t>
  </si>
  <si>
    <t>Sending much Love my Dear Friend , You have worked so hard over this strange time in Keeping our Spirits up . You need to relax a little rest and enjoy some time to yourself with your Loved One . Thank you for Helping us in Brightening our days , You are a Precious Gem . Keep safe much Love _xD83D__xDC99__xD83C__xDF3B__xD83D__xDC99_</t>
  </si>
  <si>
    <t>I see others note the voice,a national treasure. That fox! You can see the difference with fox and the birds. The times they are a changing. Thank you.</t>
  </si>
  <si>
    <t>I watch all of them as they keep me entertained and really amused so thank you ☺☺</t>
  </si>
  <si>
    <t>This is totally unrelated &lt;br&gt;But this is such a lovely you tube vlog&lt;br&gt;So felt a lovely story should be shared on here &lt;br&gt;I was watching Jeremy Vine just before and one of the news items was of a woman who saw a guy hatch chickens from supermarket eggs (free range obvs) and thought she would have a go &lt;br&gt;She bought six dick eggs from Waitrose and low and behold a few weeks later she hatched 3 of the six!!!!!&lt;br&gt;Wow what a lovely story _xD83D__xDC95_</t>
  </si>
  <si>
    <t>_xD83D__xDE02_ that’s ok!</t>
  </si>
  <si>
    <t>I’m so sorry mr carrington &lt;br&gt;God knows what happened &lt;br&gt;To my last message &lt;br&gt;It. Was totally spoiled &lt;br&gt;I meant DUCK EGGS &lt;br&gt;I’m so sorry &lt;br&gt;X</t>
  </si>
  <si>
    <t>Oh my gosh you have cherry trees!! I live in San Diego Calif, I don&amp;#39;t know anyone who has cherry trees. I to have a balchony, mine is tiny and you inspired me to freshen it up and it&amp;#39;s beautiful_xD83D__xDE0A_ thank you.</t>
  </si>
  <si>
    <t>I remember as a child hearing the birds and they where really noisy but sadly now they are alot less to hear how I wish for the maddening noise of the birds again</t>
  </si>
  <si>
    <t>What was the beard cover ?</t>
  </si>
  <si>
    <t>&lt;a href="https://www.youtube.com/watch?v=xZPSNornzmk&amp;amp;t=2m14s"&gt;2:14&lt;/a&gt; me too_xD83D__xDE02_</t>
  </si>
  <si>
    <t>It is July 4 when I am watching this from Arizona. It is really hot and really scary here!</t>
  </si>
  <si>
    <t>The beauty of nature, trees grass sun ocean wind and rain  birds singing, animals - beautiful fox by the way,  enjoying their environment and freedom is grounding. Lovely vlog Mr C, looking forward to  cosy autumn and winter videos/vlogs too</t>
  </si>
  <si>
    <t>Mr C....do you know how to change the color of your hydrangea to blue? Here is a link in case you are interested in having several pots of them in different colors: &lt;a href="https://www.gardeners.com/how-to/growing-blue-hydrangeas/8609.html"&gt;https://www.gardeners.com/how-to/growing-blue-hydrangeas/8609.html&lt;/a&gt;</t>
  </si>
  <si>
    <t>Is that Cherry</t>
  </si>
  <si>
    <t>You hit the nail on the head with this covid situation . It has been extremely difficult and I&amp;#39;m commenting a year later .</t>
  </si>
  <si>
    <t>I did . You remind me of a bit of the very handsome George Micheal .</t>
  </si>
  <si>
    <t>Hi, are you sure your in the uk? I have not seen houses like that! Lol I’m in the south East. Not many videos I find from SE London.  Wow love the cherries</t>
  </si>
  <si>
    <t>অসাধারণ একটি ভিডিও</t>
  </si>
  <si>
    <t>বাহ্ অসাধারণ জায়গা অনেক ভালো লাগলো পরিবেশ টা মনোরম পরিবেশ</t>
  </si>
  <si>
    <t>Wow! Very fantastic place...</t>
  </si>
  <si>
    <t>Amazing video beautiful place</t>
  </si>
  <si>
    <t>wow nice place &lt;br&gt;Awesome views</t>
  </si>
  <si>
    <t>Darun tu garden ti .</t>
  </si>
  <si>
    <t>Mashaallah apu kub shundor garden amader shate share korar jonno thank you jokon london jabo oboshoi deke ashbo</t>
  </si>
  <si>
    <t>Lk10 wow onek bar jete cheyesi jaoai holo onek shundor jayega thanks dosto for sharing _xD83D__xDE0D_</t>
  </si>
  <si>
    <t>খুব সুন্দর, খোলা মেলা জায়গায় টি।ভালো লাগলো আপু।</t>
  </si>
  <si>
    <t>_xD83D__xDC93__xD83D__xDC93__xD83D__xDC4C_</t>
  </si>
  <si>
    <t>Beautiful place apu</t>
  </si>
  <si>
    <t>খুবই ভালো লাগলো আপু</t>
  </si>
  <si>
    <t>Breach ta khub shundor refreshing place</t>
  </si>
  <si>
    <t>Onek  sundor jaygata apu</t>
  </si>
  <si>
    <t>Very nice place I went there</t>
  </si>
  <si>
    <t>মাশাআল্লাহ অসাধারণ সৌন্দর্য অনেক ভালো লাগলো আপু❤️_xD83D__xDC4D__xD83D__xDC4C_</t>
  </si>
  <si>
    <t>lovely view from the roof garden</t>
  </si>
  <si>
    <t>:)</t>
  </si>
  <si>
    <t>Salam Apu, beautiful roof garden, thansk for sharing this with us.</t>
  </si>
  <si>
    <t>Ma Sha Allah beautiful</t>
  </si>
  <si>
    <t>Beautiful sharing app I</t>
  </si>
  <si>
    <t>Nice</t>
  </si>
  <si>
    <t>❤️</t>
  </si>
  <si>
    <t>Beautiful</t>
  </si>
  <si>
    <t>_xD83D__xDD92__xD83D__xDC96_</t>
  </si>
  <si>
    <t>_xD83D__xDC96__xD83D__xDC4C_</t>
  </si>
  <si>
    <t>_xD83D__xDC96_</t>
  </si>
  <si>
    <t>MashAllah beautiful park _xD83D__xDC4D_</t>
  </si>
  <si>
    <t>Nice sharing apu</t>
  </si>
  <si>
    <t>_xD83C__xDF3A__xD83C__xDF73_</t>
  </si>
  <si>
    <t>_xD83D__xDC4D_☘</t>
  </si>
  <si>
    <t>_xD83D__xDC90__xD83D__xDC4D_</t>
  </si>
  <si>
    <t>_xD83D__xDC90__xD83D__xDC90_</t>
  </si>
  <si>
    <t>nice sharing</t>
  </si>
  <si>
    <t>Mashallah  beautiful HW</t>
  </si>
  <si>
    <t>Mashallah beautiful HW</t>
  </si>
  <si>
    <t>Beautiful HW</t>
  </si>
  <si>
    <t>Very nice</t>
  </si>
  <si>
    <t>Mashallah very nice sharing</t>
  </si>
  <si>
    <t>Beautiful sharing</t>
  </si>
  <si>
    <t>_xD83D__xDC4C__xD83D__xDE0D_</t>
  </si>
  <si>
    <t>_xD83D__xDC96__xD83D__xDC96_</t>
  </si>
  <si>
    <t>MashaAllah beautiful sharing apu _xD83D__xDE0D__xD83D__xDC4C_</t>
  </si>
  <si>
    <t>MashaAllah beautiful sharing ❤ _xD83D__xDE0D_</t>
  </si>
  <si>
    <t>Wow beautiful sharing _xD83D__xDC93_</t>
  </si>
  <si>
    <t>Wow beautiful sharing</t>
  </si>
  <si>
    <t>Wow beautiful place</t>
  </si>
  <si>
    <t>Wow beautiful sharing thanks</t>
  </si>
  <si>
    <t>Awesome ❤️❤️❤️</t>
  </si>
  <si>
    <t>Wow</t>
  </si>
  <si>
    <t>_xD83D__xDC4C__xD83D__xDC4C__xD83D__xDC4C_</t>
  </si>
  <si>
    <t>Wow _xD83D__xDE0D__xD83D__xDE0D__xD83D__xDE0D_</t>
  </si>
  <si>
    <t>Nice place thanks for sharing ❤️❤️❤️</t>
  </si>
  <si>
    <t>Mashallah s</t>
  </si>
  <si>
    <t>MashaAllah s</t>
  </si>
  <si>
    <t>MashaAllah</t>
  </si>
  <si>
    <t>Wow nice</t>
  </si>
  <si>
    <t>Fab!</t>
  </si>
  <si>
    <t>Lovely! Too sad about the quality :o(
Oh my, wasn&amp;#39;t that Anita?</t>
  </si>
  <si>
    <t>BWAAAAH!!!!
Great!</t>
  </si>
  <si>
    <t>Totally agree. That was so deep and nice said by you.</t>
  </si>
  <si>
    <t>where are brian, roger and john? didn&amp;#39;t they attend their own parties? where are they?!</t>
  </si>
  <si>
    <t>Please, who were the pedaphiles?</t>
  </si>
  <si>
    <t>that was interesting but Gary Glitter spoilt it at the end down with child molesting paidaphiles.</t>
  </si>
  <si>
    <t>haha street-porter</t>
  </si>
  <si>
    <t>Is that Kash Freddie´s sister? LOL She looks like her...</t>
  </si>
  <si>
    <t>So, PLEASE, WHO IS SAMANTHA FOX?</t>
  </si>
  <si>
    <t>@She&amp;#39;aShaunna Egling a page 3 model for the sun newspaper aka get ya tits out type !! lol</t>
  </si>
  <si>
    <t>@Mark Brydon-Taylor Oh, thanks.</t>
  </si>
  <si>
    <t>Samantha Fox
OMFG!!!!!</t>
  </si>
  <si>
    <t>@queenofhunter93 they were late
lol</t>
  </si>
  <si>
    <t>If you are NOT kidding, I say: LUCKY YOU!!!</t>
  </si>
  <si>
    <t>Thanks for the memory - I was there - remember it well.</t>
  </si>
  <si>
    <t>How pervy was that reporter lol!</t>
  </si>
  <si>
    <t>gary glitter is i agree!!!</t>
  </si>
  <si>
    <t>Disgusting</t>
  </si>
  <si>
    <t>Samantha Fox was shitfaced!! _xD83D__xDE02__xD83D__xDE02_</t>
  </si>
  <si>
    <t>Wish the quality&lt;br&gt;of the pictures were better. 8/2019</t>
  </si>
  <si>
    <t>Thanks Julie! :)</t>
  </si>
  <si>
    <t>It&amp;#39;s starting to look very smart up there x</t>
  </si>
  <si>
    <t>Thanks Jane, that&amp;#39;s made my day! :)</t>
  </si>
  <si>
    <t>Jane Rea me too .</t>
  </si>
  <si>
    <t>Recently found your channel and subscribed, really enjoying your videos. Liking the look you are creating in roof garden.</t>
  </si>
  <si>
    <t>Absolutely! I&amp;#39;m so pleased with how its turned out! :)</t>
  </si>
  <si>
    <t>It&amp;#39;s amazing how changing the colours can make such a big difference, loving the look cant wait till part 2.</t>
  </si>
  <si>
    <t>I&amp;#39;m so pleased! Thank you so much! :)</t>
  </si>
  <si>
    <t>I&amp;#39;ve really enjoyed this. Great video</t>
  </si>
  <si>
    <t>Thanks so much Mary! I&amp;#39;m so excited for phase 2!! :)</t>
  </si>
  <si>
    <t>Hi u did a real good job painting the roof terrace I love it. Can’t wait to see the rest of it _xD83D__xDC96_ Mary</t>
  </si>
  <si>
    <t>Ps. Loved the bloopers at the end _xD83D__xDE06_</t>
  </si>
  <si>
    <t>Thanks so much! I wasn&amp;#39;t sure about the black but really pleased with how it turned out! :)</t>
  </si>
  <si>
    <t>Can’t wait to see the final outcome! It’s already looking so lush! I wasn’t sure about the black stain, as the original/natural colour of the wood looked so delicate, but it’s turned out so nicely and looks even better than before!! Which part of London do you live in if you don’t mind me asking? X</t>
  </si>
  <si>
    <t>Thank you so much! I&amp;#39;m so excited for the next phase. Going to Ikea next week!! :)</t>
  </si>
  <si>
    <t>This is amazing! I can’t wait for part 2</t>
  </si>
  <si>
    <t>Thank you so much lovely! I&amp;#39;m so excited for the next phase :)</t>
  </si>
  <si>
    <t>Yes!!! Love this series - looking good. Can’t wait to see the next part and finished result ❤️</t>
  </si>
  <si>
    <t>Me too! And that&amp;#39;s happened to me before! Got loads left in both tins :)</t>
  </si>
  <si>
    <t>Thought the paint would no way complete the job</t>
  </si>
  <si>
    <t>Thanks so much! Update will be up in the next couple of weeks :)</t>
  </si>
  <si>
    <t>Looking good x can&amp;#39;t wait to see it finished x_xD83D__xDC4D__xD83D__xDC4D_❤</t>
  </si>
  <si>
    <t>I&amp;#39;m going to do that tomorrow! :)</t>
  </si>
  <si>
    <t>_xD83E__xDD17_, &lt;br&gt;The deck looks fantastic!!! Great job!  Did you also use thr black deck stain on the top of the bench as well?  Love to see the next videos.</t>
  </si>
  <si>
    <t>haha hopefully the update will be coming in the next couple of weeks! :)</t>
  </si>
  <si>
    <t>Haha at the bloopers at the end! I can’t wait to see the balcony make over result _xD83D__xDC95_</t>
  </si>
  <si>
    <t>Thank you!! :)</t>
  </si>
  <si>
    <t>i loveeeeeeeeeeeeeee</t>
  </si>
  <si>
    <t>Thanks for the tip! I&amp;#39;m so pleased with how they&amp;#39;ve turned out :)</t>
  </si>
  <si>
    <t>Oh hun, you should have used a roll-on to have an even and faster paint job! But well done on colour choices!</t>
  </si>
  <si>
    <t>It was a challenge. I&amp;#39;m so pleased with it. Update coming soon :)</t>
  </si>
  <si>
    <t>loved the way the deck turned out.. it’s not easy doin it all by yourself.. can’t wait to see the end result..</t>
  </si>
  <si>
    <t>Thanks so much! :)</t>
  </si>
  <si>
    <t>Beautiful well done you .</t>
  </si>
  <si>
    <t>Super cool! I like _xD83D__xDC4D_</t>
  </si>
  <si>
    <t>Thanks so much! I&amp;#39;m so pleased with how they turned out :)</t>
  </si>
  <si>
    <t>Mr Carrington can’t wait to see the end results</t>
  </si>
  <si>
    <t>i love the color choices it looks really nice..</t>
  </si>
  <si>
    <t>Thanks so much, can&amp;#39;t wait! :)</t>
  </si>
  <si>
    <t>Going to be fab when it’s finished ...</t>
  </si>
  <si>
    <t>haha it&amp;#39;s a game changer! :)</t>
  </si>
  <si>
    <t>Omg an outside hoover. I&amp;#39;m in heaven_xD83D__xDE07_</t>
  </si>
  <si>
    <t>Thank you so much - update coming in the next couple of weeks! :)</t>
  </si>
  <si>
    <t>Looks so good already!</t>
  </si>
  <si>
    <t>Thank you so much! It was a long day :)</t>
  </si>
  <si>
    <t>Looks beautiful! You should be proud</t>
  </si>
  <si>
    <t>Wow this looks great, just found your channel and loving all the plant and outdoor tips! I&amp;#39;ve just moved into my own place with a little decking area and looking to create a container garden so this is great inspiration!</t>
  </si>
  <si>
    <t>Thanks, I&amp;#39;m so pleased with it! :)</t>
  </si>
  <si>
    <t>This was so relaxing the decking looked fab x</t>
  </si>
  <si>
    <t>Well done for all your hard work I can’t wait for part 2 it’s all so lovely . Love this new video nice to meet you mr Carrington .</t>
  </si>
  <si>
    <t>Thanks so much Farhat! Great to have you here :)</t>
  </si>
  <si>
    <t>Grand job Mr Carrington!_xD83D__xDE03_ Can’t wait to see the end result . I popped over from Kate’s channel yesterday and decided to subscribe here too. &lt;br&gt;_xD83D__xDE0A_</t>
  </si>
  <si>
    <t>_xD83D__xDC4F__xD83C__xDFFB_ Que gran trabajo te quedo estupendo _xD83D__xDC4C__xD83C__xDFFB_ valió la pena tanto esfuerzo .</t>
  </si>
  <si>
    <t>Pobrecito _xD83D__xDE14_ cómo sufriste con tantos ruidos pero me encanto cuando decidiste ir por un trago _xD83C__xDF77__xD83E__xDD23__xD83D__xDC4C__xD83C__xDFFB_.</t>
  </si>
  <si>
    <t>I know I’m a bit late but I haven’t seen your black deck floor yet but I got excited when I heard you mention it because my mother saw a black front porch floor in a magazine.  She bought a shitty fixer upper and she painted the floor in her study black!  It was gorgeous!! And to address a question fro a previous video I have no qualms about admitting I went Skipping or dumpster diving and scored a pair of posh curtain hooks from an online store called Restoraton Hardware. I really want to go again because I’ve been seeing videos by ladies who gave found Mulberry and Louis Vuitton bags!!</t>
  </si>
  <si>
    <t>Looks great I used the black ash but in the cuprinol &amp;quot;ducksback&amp;quot;  for my fencing around the house and it really comes up lovely   . Great job !, love that private  space you have here .. _xD83D__xDC4D_❤️_xD83C__xDF35_</t>
  </si>
  <si>
    <t>Thank you Sue! :)</t>
  </si>
  <si>
    <t>Loved the colours of the roof decking and fence xxx &lt;br&gt;Giggle at the outtakes _xD83D__xDE02__xD83D__xDE02__xD83D__xDE02_</t>
  </si>
  <si>
    <t>So creative ❤️u inspired me me with my terrace, can’t wait to see more</t>
  </si>
  <si>
    <t>So nice!! It inspired me for my rooftop garder too!</t>
  </si>
  <si>
    <t>i have to say i like this place better now for views only...but the sky garden is a place you can really hang out and eat and see the garden area etc -</t>
  </si>
  <si>
    <t>Sky Garden is much better for views 360 and is free</t>
  </si>
  <si>
    <t>@Lifestyle Hal hahaha he a hater. Nice video bro</t>
  </si>
  <si>
    <t>@Lifestyle Hal thank you for plugging the location though man. Will definitely go when it reopens</t>
  </si>
  <si>
    <t>nah</t>
  </si>
  <si>
    <t>@Abdi Hassan  i dont worry over those fools</t>
  </si>
  <si>
    <t>Too much talking and your face too much time. You should show more about what you are talking about</t>
  </si>
  <si>
    <t>Thanks for a nice vodeo.</t>
  </si>
  <si>
    <t>Thank you! :)</t>
  </si>
  <si>
    <t>Good job..!</t>
  </si>
  <si>
    <t>_xD83D__xDC4D__xD83D__xDC4D__xD83D__xDC4D__xD83D__xDC4D__xD83D__xDC4D__xD83D__xDC4D__xD83D__xDC4D__xD83D__xDC4D__xD83D__xDC69__xD83D__xDC69__xD83D__xDE01__xD83D__xDE01__xD83D__xDE01_</t>
  </si>
  <si>
    <t>Love the video. Followed you on IG. ☺</t>
  </si>
  <si>
    <t>Great videos. _xD83D__xDC8E__xD83D__xDC8E__xD83D__xDC8E_</t>
  </si>
  <si>
    <t>Good job!</t>
  </si>
  <si>
    <t>Love all the lighting especially the Lidl bulb lights and the palm tree</t>
  </si>
  <si>
    <t>Hey friend I love this channel.,Beautiful design support my channel.</t>
  </si>
  <si>
    <t>Oh wow! Sounds like a busy garden haha :)</t>
  </si>
  <si>
    <t>Oh wow!  I just love how your roof terrace turned out, it&amp;#39;s gorgeous!  I could live on it!  I need to move to a cooler climate.  Here in Florida there are so many bugs, frogs, lizards and snakes who take up residence in our outdoor plants....yuck!   In the meantime, I&amp;#39;ll live vicariously through your pest free garden!</t>
  </si>
  <si>
    <t>haha thanks Kate! Now I&amp;#39;ve cleared some space maybe I should get a hot tub like you!? :)</t>
  </si>
  <si>
    <t>Hello! It looks great! Loved the bloopers bit at the end _xD83D__xDE02__xD83C__xDF66_</t>
  </si>
  <si>
    <t>Ahh thank you! It was a killer :)</t>
  </si>
  <si>
    <t>It looks amazing! You are so clever! _xD83D__xDE01__xD83C__xDF35_❤️</t>
  </si>
  <si>
    <t>thank you so much :)</t>
  </si>
  <si>
    <t>This was a long time coming and you did a great job! The terrace seems like a relaxing place to wind down and enjoy a drink at the end of a long day, or who am I kidding, any ole time is a good time for a drink. LOL The best part is that you did it using so little money.  I love that you&amp;#39;re a bargain shopper and love your videos overall.</t>
  </si>
  <si>
    <t>Loving your roof terrace at night beautifully lit up...I&amp;#39;d sit out there with a nice coffee or a glass of wine and some soothing music...great job!!</t>
  </si>
  <si>
    <t>Thank you so much! Welcome Mandy :)</t>
  </si>
  <si>
    <t>just joined your channel love the roof garden it looks amazing well done.</t>
  </si>
  <si>
    <t>Ahh thanks Laura! :)</t>
  </si>
  <si>
    <t>Oh my God, You are SO BEAUTIFUL. I realise that’s not the norm to say to a man but you’re so lovely. Gorgeous decoration by the way. Very &lt;a href="http://stylish.xxx/"&gt;stylish.xxx&lt;/a&gt;</t>
  </si>
  <si>
    <t>Thank you Julia! :)</t>
  </si>
  <si>
    <t>I only just started watching your video&amp;#39;s and I love them and your roof garden is beautiful really enjoy watching you xxx</t>
  </si>
  <si>
    <t>love it</t>
  </si>
  <si>
    <t>Wow looks amazing xxx</t>
  </si>
  <si>
    <t>Thank you Leeza :)</t>
  </si>
  <si>
    <t>INSPIRATIONAL _xD83D__xDC95__xD83D__xDC95__xD83D__xDC95__xD83D__xDC95_</t>
  </si>
  <si>
    <t>I&amp;#39;m from Shropshire but I&amp;#39;ve lived in London for over 10 years now :)</t>
  </si>
  <si>
    <t>What part of England is your accent from? It&amp;#39;s nice.</t>
  </si>
  <si>
    <t>Very  interesting and smart lighting  ideas...</t>
  </si>
  <si>
    <t>_xD83D__xDC9D_ All</t>
  </si>
  <si>
    <t>This is amazing! X</t>
  </si>
  <si>
    <t>Thank you :)</t>
  </si>
  <si>
    <t>Hello there. Your roof terrace is so stylish _xD83D__xDC4D_</t>
  </si>
  <si>
    <t>I loved your pop of light accents throughout your terrace. Everything is so chic in a manly way_xD83D__xDE1C_I love your pots, mirrors and decorations. You have an eye for creating vignettes. Please make another video after your baby plants have matured and you have more greenery._xD83C__xDF33__xD83D__xDC95__xD83C__xDF33__xD83D__xDC95_</t>
  </si>
  <si>
    <t>Totally love your roof top garden, My favourite items are all the lights, love the £5 lantern, and the bar.. i thought wow what a great bar item and then you said it, You have inspired me to go and sort ours out when the sun goes down as its too hot where we live ..thanks for sharing great idea&amp;#39;s :-)</t>
  </si>
  <si>
    <t>Absolutely stunning</t>
  </si>
  <si>
    <t>It was a gamble but I love it now :)</t>
  </si>
  <si>
    <t>Too funny at the end. Was not sure about the black stain but it does look good.</t>
  </si>
  <si>
    <t>It is fantastic. That black stain is amazing. Loving all the lights.  The morror is genious</t>
  </si>
  <si>
    <t>Extremely rude of your neighbour to not discuss the wall with you before construction started. &lt;br&gt;But you turned an unpleasant situation into an awesome makeover! Well done!</t>
  </si>
  <si>
    <t>Be so relaxing during the day, sitting there. At night, it&amp;#39;s a mix between romantic &amp;amp; magical. You did an amazing job! Love it so much!</t>
  </si>
  <si>
    <t>Wow that black ash is awesome with the Flint grey. Now you can add colours with rugs</t>
  </si>
  <si>
    <t>You have done such an amazing job I adore all the lights and mirrors . I am a great fan of lights wrapped around the plants</t>
  </si>
  <si>
    <t>What&amp;#39;s not to love?  I love it all but I think the most useful thing for me would be the storage bench on casters.  I am going to make one for my area!  Thanks for the idea.</t>
  </si>
  <si>
    <t>looks fab. Well done!!</t>
  </si>
  <si>
    <t>Loved this video what great ideas for a small space.  I have a patio area that will be transformed with your ideas, thank you for sharing xxxxxx</t>
  </si>
  <si>
    <t>Looking beautiful......!! _xD83C__xDF37__xD83C__xDF3F__xD83C__xDF35_☘_xD83C__xDF39__xD83C__xDF41__xD83E__xDD40__xD83C__xDF3A__xD83C__xDF3B__xD83C__xDF3C__xD83D__xDE0A__xD83D__xDE0A__xD83D__xDE0A__xD83D__xDE0A_❤❤❤.</t>
  </si>
  <si>
    <t>You are very creative, &amp;amp; it turned out very nice. Greetings from Ohio!</t>
  </si>
  <si>
    <t>Suzanne here, love your terrace at nite, awesome</t>
  </si>
  <si>
    <t>The roof top garden looks lovely! Really like your storage on wheels,great idea _xD83D__xDE0A_</t>
  </si>
  <si>
    <t>I just recently discovered your channel (after moving to London from Australia) and have been binging quite a few of your video. I really like your friendly and calm personality, it&amp;#39;s refreshing to see youtubers who are not over the top. I have been taking notes on your tips for places to go for good but cheap buys :)&lt;br&gt;&lt;br&gt;&lt;br&gt;Love how your terrace has turned out, it&amp;#39;s such a cozy and rustic piece of oasis. Funny that you mentioned squirrels, have you had any trouble with them eating your plants? I planted some fleshy succulents out on my terrace and they keep getting eaten. Would love some tips if you&amp;#39;ve had similar problems.</t>
  </si>
  <si>
    <t>Alright Mr. Carrington, I see you!&lt;br&gt;Love your terrace makeover and your choice of music. Yep, you be jammin!!!</t>
  </si>
  <si>
    <t>_xD83D__xDC90_❤️_xD83D__xDC90_. Love all of it its amazing</t>
  </si>
  <si>
    <t>Your roof garden looks wonderful--those cherries! And where did you find that pony! I hear you about the emotional see-saw; I agree it can be helpful to do without our phones and laptops for a bit of a break. I hope you&amp;#39;re doing okay.  Enjoy the weekend and we&amp;#39;ll see you next time. Who doesn&amp;#39;t watch til the end?? You&amp;#39;re refreshing.</t>
  </si>
  <si>
    <t>A lot of hard work and it&amp;#39;s paid off beautifully.  Well done.</t>
  </si>
  <si>
    <t>You look damn good..</t>
  </si>
  <si>
    <t>Looks very good Mr. Carrington! Also I love the way you speak. Great content on your channel!</t>
  </si>
  <si>
    <t>Lovely to see how it all started _xD83D__xDC4D__xD83C__xDFFC_</t>
  </si>
  <si>
    <t>I am so jealous of your rooftop garden.&lt;br&gt;Ive seen the 2020 version, but its nice to go back and see how it started. Good job!!</t>
  </si>
  <si>
    <t>That turned out just stunning. So relaxing. Watching the sun go down, having a glass of white wine amongst the plants. My reading nook.</t>
  </si>
  <si>
    <t>Thank you so much for this video.  I&amp;#39;ve not seen any help on challenging tiny spaces before and this is just the perfect inspiration for my own itsy bitsy courtyard.  I love how you have gone &amp;#39;up&amp;#39; with your make over, adding lights at height and proportionate accessories.  You are also so smiley...I like that. xxx</t>
  </si>
  <si>
    <t>Flying tiger but it was a long time ago I’m afraid!</t>
  </si>
  <si>
    <t>@Mr Carrington Wow thanks for answering! I know you have a lot of vids and therefore probably a lot of comments, so it means a lot. You&amp;#39;ve earned a subscriber :)</t>
  </si>
  <si>
    <t>Where did you get the bar from? I think you said &amp;quot;Tiger&amp;quot; but I&amp;#39;m not entirely sure and couldn&amp;#39;t find anything on google. Thanks!</t>
  </si>
  <si>
    <t>_xD83D__xDC4D_</t>
  </si>
  <si>
    <t>I agree. This is a stunning part of London</t>
  </si>
  <si>
    <t>very nice, i see some spot interesting for architecture photography</t>
  </si>
  <si>
    <t>Would like to do this route, pity it cuts off a few times so you can&amp;#39;t follow directions too good.</t>
  </si>
  <si>
    <t>Will be so fun :)</t>
  </si>
  <si>
    <t>Hi ya it look lovely can’t wait to see you and Kate car booting together</t>
  </si>
  <si>
    <t>Ahh remember these? Noooooo Mr.C dont do it ( just knew that nettle would jump up and bite you) also I tried to remove that bit of fluff from your hair _xD83E__xDD23__xD83E__xDD23_ when you had your brown? Sweatshirt on b4 the lovely  walk, wasn&amp;#39;t sure if I&amp;#39;d got a crumb stuck on my tablet ??  Just love your outdoorsey nature vids , the birdsong is beautiful isn&amp;#39;t it, I walk an hour every day with my dog and think well that&amp;#39;s a truly positive from the awful covid , take care Mr.C</t>
  </si>
  <si>
    <t>haha :)</t>
  </si>
  <si>
    <t>My hubby would luv your roof garden he&amp;#39;s a mad plane follower! ( problem being he would announce every model and it&amp;#39;s destination! Really annoying ) ;-) I would suggest we would just chill out with a mohito ,Or two ? And look at the twinkling lights and lovely greenery, it&amp;#39;s fab Mr.C !</t>
  </si>
  <si>
    <t>I LOVE IT!!!!!!!!!! And your shirt TOO!!!!!!!</t>
  </si>
  <si>
    <t>Love that idea :) Thank you!</t>
  </si>
  <si>
    <t>Awww it looks amazing... been following your roof top terrace makeover and think you have done so well... I can imagine sitting in the sun with a cool drink and admiring all your hard work is very rewarding... How about a water feature that recycles the water? It would definitely add to the ambiance!!! I think the wall looks perfect white... very clean and fresh and shows off all your lovely plants (I think you pronounce hebe... hee bees... at least that&amp;#39;s what my Mum calls them... she&amp;#39;s a keen gardener and worked in a garden centre when I was little!!) I love all your videos... your enthusiasm shines through (even when you do get annoying planes over head!!! _xD83D__xDE09_) Well done Mr C... You should be very proud of yourself xx</t>
  </si>
  <si>
    <t>Amazing Roof Makeover Video &lt;a href="http://www.youtube.com/results?search_query=%23MrCarrington"&gt;#MrCarrington&lt;/a&gt; _xD83D__xDC4D__xD83D__xDC4D__xD83D__xDC4D__xD83D__xDC4D_⭐️⭐️⭐️⭐️⭐️_xD83E__xDD29__xD83E__xDD29__xD83E__xDD29__xD83D__xDCAF__xD83D__xDCAF__xD83D__xDCAF__xD83D__xDCAF__xD83C__xDFC6__xD83D__xDCF1_</t>
  </si>
  <si>
    <t>Mr.Carrington, all you need is to plan a  party...M♡M of 5</t>
  </si>
  <si>
    <t>_xD83D__xDE0D__xD83D__xDE0D_</t>
  </si>
  <si>
    <t>Ahh yes, I swear they only fly over when I&amp;quot;m filming haha :)</t>
  </si>
  <si>
    <t>@Mr Carrington hahaha, yes, it seems like when you reach the all important moment, over comes a 747 or worse one of the whales that is in the form of an airbus.  I mean how dose something that size even get of the grown without NASA behind it. ☺</t>
  </si>
  <si>
    <t>It&amp;#39;s looking beautiful.&lt;br&gt;The downfall of living in a London flightpath area. ✈ ✈ ✈ ✈ ✈ We (my children and I) live on the top floor of a tower lock. We have stunning views and an amazing cricket green and Park with lake right outside. But the flight path is right over our block and being on the top floor, it can be very loud as they fly over especially when it&amp;#39;s low cloud as they come in lower. After 20+ years we&amp;#39;re kind of use to it ☺.&lt;br&gt;You have some lovely things on the rooftop, it&amp;#39;s pulled together really well and the lights look warm and remind me of that coastal summer look. A little piece of calm in a busy city, just what everyone needs. _xD83D__xDC4D_</t>
  </si>
  <si>
    <t>Nice idea Kavita :)</t>
  </si>
  <si>
    <t>A detailed beautiful garden. Would you consider adding in a small water feature?_xD83E__xDD14_</t>
  </si>
  <si>
    <t>Thank you Katy! :)</t>
  </si>
  <si>
    <t>That is such an amazing space. I really need to give my garden patio a bit of a makeover. I may have to pinch the bar idea.</t>
  </si>
  <si>
    <t>Thank you Sandra :)</t>
  </si>
  <si>
    <t>Great vlog! Love the look! Very stylish and done on a shoe string! Bravo!</t>
  </si>
  <si>
    <t>Love that idea Ashley! :)</t>
  </si>
  <si>
    <t>Your terrace looks fantastic! love it, love the plants, the seating, the lights, love the airplanes (they give you a sense of travelling and the high skies). You should get some poufs up there too</t>
  </si>
  <si>
    <t>It all looks lovely! You can get some copper tape to put around the tops of pots to keep slugs away.  My mum swears by it.</t>
  </si>
  <si>
    <t>Love your space! It is very nice! I enjoy seeing what you have done with your plants and how cozy you have made your space! Thanks for sharing!</t>
  </si>
  <si>
    <t>Beautiful and tasteful , very well done xx</t>
  </si>
  <si>
    <t>Thanks Brian! :)</t>
  </si>
  <si>
    <t>The deck looks fantastic! I would keep the wall white.</t>
  </si>
  <si>
    <t>Thanks so much :)</t>
  </si>
  <si>
    <t>I have so much inspo from this video ! Good job on creating such a beautiful and serene space in a busy south London. Love as always xxx</t>
  </si>
  <si>
    <t>Just goes to prove, you don’t have to spend a fortune to make a small space look stylish. Well done!_xD83D__xDC4D__xD83C__xDFFB_</t>
  </si>
  <si>
    <t>LIKE it!! :)</t>
  </si>
  <si>
    <t>Thank you so much :)</t>
  </si>
  <si>
    <t>Who needs designer shops when you can style your entire house with bargain and charity shop items~&lt;br&gt;Such a gorgeous roof top</t>
  </si>
  <si>
    <t>Welcome Josipa :)</t>
  </si>
  <si>
    <t>You did an awesome job. I&amp;#39;m binge watching your videos today. Loving them so far. &lt;a href="http://www.youtube.com/results?search_query=%23newsubscriber"&gt;#newsubscriber&lt;/a&gt;</t>
  </si>
  <si>
    <t>Thank you so much! it is indeed Kate McCabe! :)</t>
  </si>
  <si>
    <t>Glad to have found u! I have been a fan of vlogs &amp;amp; bargains show and tell for a long time! I always wondered why not men do their videos?? There are so many female shoppers who do video clips. Anyway, i fell in love with ur channel - i love good bargains, plants, flowers, cosy little spaces, ur shirt and ur talk! Unfortunately we are so far away from each other as i live in oz, missed the great time we had in the uk... Everything! When u mentioned Kate and a meetup with her, i wonder if its the kate youtuber/bargainer/radio presenter/singer? Shes beautful, nice personality and fun to watch :) keep on sharing more pls! Xx</t>
  </si>
  <si>
    <t>Mama Beth thank you! :)</t>
  </si>
  <si>
    <t>Bravo!</t>
  </si>
  <si>
    <t>There aren&amp;#39;t many things in life that compare to the feeling of completing a task. Bravo! _xD83D__xDE06_</t>
  </si>
  <si>
    <t>Looks great! My fav thing is the lights wrapped around the Yucca _xD83D__xDE0A_</t>
  </si>
  <si>
    <t>I love aeroplanes! ✈_xD83D__xDEE9_✈ I have a terrace which from I can watch them too. Your terrace looking absolutely great. Love the black deck and just the look of it all the greenery! You are always so positive and uplifting to watch. Have a great new week! &lt;br&gt;&lt;br&gt;❤Paula</t>
  </si>
  <si>
    <t>Love your voice, very manly :)</t>
  </si>
  <si>
    <t>Thank you Maria! :)</t>
  </si>
  <si>
    <t>It looks soooo lovely. Hats off and enjoy _xD83D__xDE0A__xD83C__xDF89_</t>
  </si>
  <si>
    <t>Hi just came across your channel. love what you have done with the Terrence . How do you manage with weather change. Do you bring in everything when it rains.  Looking to transform my large roof space. At the moment it&amp;#39;s not maximised. New subscriber. Thanks.</t>
  </si>
  <si>
    <t>A few things like the mini bar but most of it can stay outside! Thanks for subscribing! :)</t>
  </si>
  <si>
    <t>Stunning</t>
  </si>
  <si>
    <t>This looks fantastic, I don&amp;#39;t think you need to add anything else ( on the walls) it looks so lovely .</t>
  </si>
  <si>
    <t>Love it! The only think I&amp;#39;m a bid dubious about is that rug. Not sure if it&amp;#39;s cos it&amp;#39;s small and looks a bit lost or because it&amp;#39;s white and looks a bit new and stark.</t>
  </si>
  <si>
    <t>Wow, you did an awesome job Mr C, my only two comments are, maybe some nice outdoor pillows 4 the Ikea chairs and Man, you make me feel really ashamed of my deck!_xD83D__xDE2C_</t>
  </si>
  <si>
    <t>So  comfortable . !!! creative</t>
  </si>
  <si>
    <t>Just so beautiful , so welcoming, and cute.</t>
  </si>
  <si>
    <t>Such a lovely space. I&amp;#39;m binge watching all your previous videos _xD83D__xDE02_</t>
  </si>
  <si>
    <t>Kerry Tyrer thank you so much _xD83D__xDE00_</t>
  </si>
  <si>
    <t>What a lovely space you&amp;#39;ve made!  Found your video whilst browsing YouTube for inspiration for our roof terrace in Spain, and really like what you&amp;#39;ve done.  I&amp;#39;m a real fan of making things beautiful on a budget, and we have Primark and IKEA here so lots of inspiration for me, thanks!</t>
  </si>
  <si>
    <t>Rightly said.</t>
  </si>
  <si>
    <t>Its classy roof top garden respect &lt;br&gt;_xD83D__xDC4D__xD83C__xDFFB_ simran from India❤</t>
  </si>
  <si>
    <t>Very attractive roof-top.nice decoration.</t>
  </si>
  <si>
    <t>Your roof garden is amazing.....such great ideas you have x</t>
  </si>
  <si>
    <t>Nice plane spotting area that you&amp;#39;ve got there! No but seriously, I absolutely love your rooftop garden, so stylish and cozy! :)</t>
  </si>
  <si>
    <t>Hi.  Just seen your video and would like to say that your roof terrace looks gorgeous. Well done. It must be lovely in the summer evenings. Looks good xx xx</t>
  </si>
  <si>
    <t>Love it</t>
  </si>
  <si>
    <t>beautiful</t>
  </si>
  <si>
    <t>You’ve done a fantastic job of the roof garden</t>
  </si>
  <si>
    <t>Lovely</t>
  </si>
  <si>
    <t>What a wonderful rooftop garden. Love the lights, I have the same, but I didnt know how to hang them, thanks for the tip!</t>
  </si>
  <si>
    <t>Nice place to relax_xD83D__xDE0A__xD83D__xDE09_</t>
  </si>
  <si>
    <t>Hi Ravi, I&amp;#39;m from London.</t>
  </si>
  <si>
    <t>Where are you from</t>
  </si>
  <si>
    <t>Hi bro, unfortunately I pay for my travel.</t>
  </si>
  <si>
    <t>@Travel addict family rich _xD83D__xDE06_</t>
  </si>
  <si>
    <t>Bro do you travel from your own money or from company side?_xD83D__xDD25__xD83D__xDD25_</t>
  </si>
  <si>
    <t>I think every top level of a highrise should have some sort of garden where possible. I&amp;#39;d like to go further and promote highrise food gardening where a building top can be utilised to supplement the produce required for the residences or businesses within. Good video!  Cheers :)</t>
  </si>
  <si>
    <t>Wow...that is a beautiful place.  Thank you for the quick tour.  Just lovely!</t>
  </si>
  <si>
    <t>Thanks for the tour of the Roof  Garden,very nice indeed!</t>
  </si>
  <si>
    <t>How the other half live !&lt;br&gt;very interesting Sean.</t>
  </si>
  <si>
    <t>That is amazing! A whole different world on the roof! Thanks for sharing.</t>
  </si>
  <si>
    <t>Its hard to believe thats all on a roof, it brings new meaning to the words roof garden nice one.</t>
  </si>
  <si>
    <t>Absolutely INCREDIBLE Sean, thats amazing that this incredible garden is on top of a roof in the middle of London :-) so AMAZING, thanks a million for sharing this Sean and sending you heaps of love and tons of happy growing from Ireland for a FAB Friday ahead XXXXXX &amp;lt;3</t>
  </si>
  <si>
    <t>+Foodie Laura oh watched it all now, will check out the website!</t>
  </si>
  <si>
    <t>What a surprise for that to be on a roof top. When you mentioned the flamingos I thought it seemed familiar. I think there was a Tanya Burr make up launch there. Is it just used for events like that or is it open to the public too? What a great place!</t>
  </si>
  <si>
    <t>What a truly incredible place Sean.  I am sending a link to my horticulturist/flautist brother-in-law who lives in Hayes.  Thank you for sharing.</t>
  </si>
  <si>
    <t>Wow this looks amazing Sean ... it&amp;#39;s like a secret garden _xD83D__xDE0A__xD83D__xDC95_ ... loved the flamingos</t>
  </si>
  <si>
    <t>Awesome update thank you for sharing and taking the time to film have a blessed day</t>
  </si>
  <si>
    <t>Wow! That&amp;#39;s beautiful! And it always amazes me how much weight a roof can handle :)</t>
  </si>
  <si>
    <t>Wow, I would have never guessed that garden was on a rooftop if you hadn&amp;#39;t told us. I am amazed at the weight it can hold, the size of the trees and the pond. It really is a lovely space and is very inspiring. Thanks so much for the tour of it Sean.</t>
  </si>
  <si>
    <t>I am having a hard time believing this is a roof top garden. It is so beautiful.</t>
  </si>
  <si>
    <t>ABSOLUTELY GORGEOUS and amazing.  Thank you for the tour.</t>
  </si>
  <si>
    <t>An amazing roof garden Sean. TfS</t>
  </si>
  <si>
    <t>It&amp;#39;s a truly amazing space.....</t>
  </si>
  <si>
    <t>thats a brilliant place,  who would have thought that was on top of there, when showing this vid to my husband he wondered about the weight of it, but we assume it was in the planning stage and not an afterthought.  I /we loved it.</t>
  </si>
  <si>
    <t>Well good luck for whatever your next project is.</t>
  </si>
  <si>
    <t>What an amazing place.... Who would have known.... have to put it on my to do list for a visit.... Thankyou for the &amp;#39;heads up&amp;#39;.. I thought you were still doing the column for the Daily Mail.. Have you moved on now?</t>
  </si>
  <si>
    <t>Fabulous retreat.  Thanks for showing it to us.  Love the flamigos.</t>
  </si>
  <si>
    <t>thanks for the tour. If you can grow things like that on the roof you can grow anywhere. Pity there were no vegetables and fruit trees :) nice one</t>
  </si>
  <si>
    <t>So very lovely. One would never dream that was atop a roof.</t>
  </si>
  <si>
    <t>Like it!!</t>
  </si>
  <si>
    <t>Oh no, not lucky day for me? Why is it?</t>
  </si>
  <si>
    <t>How much was the fee</t>
  </si>
  <si>
    <t>Amazing experience</t>
  </si>
  <si>
    <t>I have traveled to London, and will go back.  It is good to know these spots whenever I am there.</t>
  </si>
  <si>
    <t>I live in London. And feel like I need to do some exploring. Thanks for sharing</t>
  </si>
  <si>
    <t>Thank you for this video. It was great to see London again.</t>
  </si>
  <si>
    <t>I&amp;#39;m partial to the South Bank myself!</t>
  </si>
  <si>
    <t>Good stuff all throughout this vid!</t>
  </si>
  <si>
    <t>Me too!</t>
  </si>
  <si>
    <t>I hope the roof top bars will open soon!</t>
  </si>
  <si>
    <t>Nice! Wrote some of these places down as we&amp;#39;re planning on going to Europe as our first trip after the whole lockdown thing is over!</t>
  </si>
  <si>
    <t>Awesome. Definitely going to check some of these places out the next time I go to London.</t>
  </si>
  <si>
    <t>Glad you likes it!</t>
  </si>
  <si>
    <t>Ok this video was made for me! _xD83D__xDE0D_</t>
  </si>
  <si>
    <t>Great suggestions. I will have to check those out next time in London.</t>
  </si>
  <si>
    <t>These rooftop bars look amazing!</t>
  </si>
  <si>
    <t>There are so many wonderful spots.</t>
  </si>
  <si>
    <t>Very cool rooftop bars!!</t>
  </si>
  <si>
    <t>Thanks for sharing! Never been to London, but it&amp;#39;s definitely on my bucket list</t>
  </si>
  <si>
    <t>One of my favorite things to do. Thank you :-)</t>
  </si>
  <si>
    <t>They are such great spaces.</t>
  </si>
  <si>
    <t>This is awesome! You make me want to visit London pronto. Love rooftop bar vibes.</t>
  </si>
  <si>
    <t>Thanks for sharing this! I love rooftop bars, there’s one in the US that is fabulous.</t>
  </si>
  <si>
    <t>Many thanks!</t>
  </si>
  <si>
    <t>Amazing views! Great idea for a video. Two thumbs up!</t>
  </si>
  <si>
    <t>Thanks so much for watching!</t>
  </si>
  <si>
    <t>Your videos are always full of such beautiful pictures.  I will probably never get to London so I enjoy these videos very much.  Thank you!</t>
  </si>
  <si>
    <t>They may be the way forward especially now.</t>
  </si>
  <si>
    <t>I love rooftop bars!</t>
  </si>
  <si>
    <t>All of these spots seem really cool to have a good time in! Thanks for sharing!</t>
  </si>
  <si>
    <t>please respond very important</t>
  </si>
  <si>
    <t>will Lou like it ?</t>
  </si>
  <si>
    <t>Thank very much, all you need to know about rooftop bars in London in one video, thank you!_xD83D__xDC4D__xD83C__xDFFB_</t>
  </si>
  <si>
    <t>hello Ugo, thanks for sharing this;  from Lima Peru Skyline facebook:  @&lt;a href="http://skyline.pe/"&gt;skyline.pe&lt;/a&gt;</t>
  </si>
  <si>
    <t>Hey Ugo! Your Video is really cool, how you have only this view? Anyway You forget the ROOF EAST in Stratford, is something different, probably more sporty and casual but really cool! You can find the video in My channel! BTW I am following you from now! ;)</t>
  </si>
  <si>
    <t>ROOF EAST ;)</t>
  </si>
  <si>
    <t>Love Sky Bar by Doubletree - now called Savage Gardens</t>
  </si>
  <si>
    <t>I&amp;#39;m so annoyed, all that happened over night! Thanks for the tip! :)</t>
  </si>
  <si>
    <t>Do you have your Instagram account</t>
  </si>
  <si>
    <t>Inzamamulhaq Haq @mistercarrington _xD83D__xDC4D__xD83C__xDF31_</t>
  </si>
  <si>
    <t>I just followed you &lt;br&gt;Wow your profile of  insta is awesome</t>
  </si>
  <si>
    <t>Mr Carrington this is&lt;br&gt;The first year I’ve been able to save mine from being eaten, I have no problem with pellets, I just didn’t have any so had the idea of the shells, I think sharp stones work too. _xD83D__xDE0A_</t>
  </si>
  <si>
    <t>I have a plant like the one that’s been eaten by snails, I managed to catch it before they ate too many leaves, I used broken egg shells around it, they don’t like crawling over them, give that a go. _xD83D__xDE0A_</t>
  </si>
  <si>
    <t>Agave americana variegata _xD83D__xDE03_</t>
  </si>
  <si>
    <t>I&amp;#39;m so pleased with it! :)</t>
  </si>
  <si>
    <t>The black stain is great</t>
  </si>
  <si>
    <t>Ahh thanks for letting me know :)</t>
  </si>
  <si>
    <t>It not an aloe but it&amp;#39;s agave don&amp;#39;t know the Variety</t>
  </si>
  <si>
    <t>Thank you so much!! :)</t>
  </si>
  <si>
    <t>And the vedio was amazing</t>
  </si>
  <si>
    <t>Do you mean a garden video? :)</t>
  </si>
  <si>
    <t>Mr Carrington Yes _xD83D__xDE0A_</t>
  </si>
  <si>
    <t>Thinking about trying something like this soon</t>
  </si>
  <si>
    <t>Hannah haha definitely - see the positives _xD83D__xDE4C__xD83C__xDF31_</t>
  </si>
  <si>
    <t>I was thinking &amp;#39;what a special plant with the holes in it, kind of like a swiss cheese vine&amp;#39; but it&amp;#39;s a snail haha still looks cool</t>
  </si>
  <si>
    <t>Mandy the beer traps and the egg shells work brilliantly.</t>
  </si>
  <si>
    <t>Discovered your videos today and love your ideas. FYI, I know you wanted to finish-up before the rain came; but I was just wondering why you didn&amp;#39;t paint your sticks, to hold the hanging lights, first on a flat surface and then screw them into the fence? You would not have to use blue tape or paint at strange angles-I guess you could have painted while you waited for the planes to stop flying over! :) Debbie</t>
  </si>
  <si>
    <t>Egg shells on top of soil in containers keeps the snails away from the plants!</t>
  </si>
  <si>
    <t>Thank you, I&amp;#39;m so pleased Mandy! haha it&amp;#39;s always a struggle filming outside! :)</t>
  </si>
  <si>
    <t>I can’t believe how great it looks already! I’m so looking forward to seeing the progress as you go. I also really enjoy the outtakes at the end of your vlogs. All of those noise interruptions were hilarious xo</t>
  </si>
  <si>
    <t>Mandy Jane thanks for the tips Mandy! Going to give this a try _xD83D__xDC4D_</t>
  </si>
  <si>
    <t>I make beer traps in the gardens and put crushed egg shells at the bottom of my plants to keep the snails away. Haven’t had problems in ages. Great video. Looking forward to terrace makeover! Still love your out-takes lol</t>
  </si>
  <si>
    <t>Loulou&amp;#39;s Corner thanks so much, I’m so excited for the makeover _xD83D__xDE4C_ thank you for the tip _xD83D__xDC4D_</t>
  </si>
  <si>
    <t>Your terras is beautiful!! Can&amp;#39;t wait to see what you do to it. As for snails..... You can try leaving dishes or pots filled with salt, preferably ones with covers and entrance holes so it won&amp;#39;t get flooded when it rains. Scatter them around and the snails will crawl into them.</t>
  </si>
  <si>
    <t>Thank you so much Will! I&amp;#39;m so pleased with how it&amp;#39;s looking :)</t>
  </si>
  <si>
    <t>It turned out really well so far! Well done Iwan! :D</t>
  </si>
  <si>
    <t>Will William fingers crossed! Thanks Will, you too _xD83D__xDE4C_</t>
  </si>
  <si>
    <t>Those Clematis blooms are so beautiful! That poor Hosta got attacked by snails, hopefully they will bounce back soon! Good luck. Have a nice weekend Iwan! :D</t>
  </si>
  <si>
    <t>I can’t believe someone threw out that beautiful yucca plant! It looks so relaxing out there. All the lights are magical! _xD83D__xDE00__xD83D__xDC4D_</t>
  </si>
  <si>
    <t>Don&amp;#39;t worry I like kind methods too! :)</t>
  </si>
  <si>
    <t>I like kind methods of pest control. I suggest you drive them out to the country. You know you want to go anyway! Or you could give them names and keep them in a terrarium. Don’t salt them, what a terrible death they’d have.</t>
  </si>
  <si>
    <t>Hooray! I&amp;#39;m so pleased with the colours, was a risk worth taking! :)</t>
  </si>
  <si>
    <t>I LOVE the patio films!&lt;br&gt;I love those colours!</t>
  </si>
  <si>
    <t>Looks like a grape vine.</t>
  </si>
  <si>
    <t>The green/yellow is an Agave.</t>
  </si>
  <si>
    <t>haha thanks, that&amp;#39;s good to hear! :)</t>
  </si>
  <si>
    <t>You found out it was not that bad for us at all. The only time I even thought about it was when you would stop all exasperated @ them. No worries. It was good.</t>
  </si>
  <si>
    <t>I found 8 snails on it this evening! Taken it inside for now!! :)</t>
  </si>
  <si>
    <t>8 wow...they do love Hostas, i have a few and use slug pellets and they are growing lovely, i learnt the hard way haha.</t>
  </si>
  <si>
    <t>Slugs love Hostas, you need some slug pellets.</t>
  </si>
  <si>
    <t>It will hurt me to pour beer onto soil but if that&amp;#39;s what it takes! :-D</t>
  </si>
  <si>
    <t>I started pouring beer around and on my hostas I even have a bowl of beer near them it seems to be working to keep the slugs from eating them</t>
  </si>
  <si>
    <t>It&amp;#39;s a deal! :)</t>
  </si>
  <si>
    <t>Lol I drink some of it first</t>
  </si>
  <si>
    <t>Nice! thank you :)</t>
  </si>
  <si>
    <t>Just gorgeous. I agree with Aggie, Moroccan style tiles / stencil on the wall would look stunning.... I know Topps Tiles do some lovely ones and they have some on sale right now :) .... the plant is pronounced &amp;#39;he-bee&amp;#39; ....love your bar area _xD83C__xDF7B_</t>
  </si>
  <si>
    <t>Thank you for the tip! :)</t>
  </si>
  <si>
    <t>Sprinkle some epsom salts around the stems of your plants..that should take care of the little devils!! _xD83D__xDE09_</t>
  </si>
  <si>
    <t>Love everything about your rooftop. Thanks for sharing.</t>
  </si>
  <si>
    <t>haha thanks Kathy! :)</t>
  </si>
  <si>
    <t>Lovely flowers. Love your comedy at the end of your videos.</t>
  </si>
  <si>
    <t>Thank you! Update will be coming soon :)</t>
  </si>
  <si>
    <t>Wow. I really liked how it turned out.</t>
  </si>
  <si>
    <t>Thanks so much! It is when the builders are quiet ;) I&amp;#39;ve got an update coming in the next couple of weeks! :)</t>
  </si>
  <si>
    <t>I like your roof garden...it’s so relaxing!  Hope you can make more vids of it :)</t>
  </si>
  <si>
    <t>thanks for exposing this!</t>
  </si>
  <si>
    <t>Thank you so much that&amp;#39;s really kind! :)</t>
  </si>
  <si>
    <t>I think you are very talented! I enjoy every single vlog. &lt;br&gt;Between, Your hair style is always so lovely.</t>
  </si>
  <si>
    <t>lol the noises. I feel you hehe.</t>
  </si>
  <si>
    <t>It&amp;#39;s only Me hi! Thanks so much I’m glad you are enjoying them! How did you find my channel? Haha _xD83D__xDC0C_</t>
  </si>
  <si>
    <t>Mr Carrington  you came up in my feed, probably after I googled I killed my aloe vera_xD83D__xDE33_, don&amp;#39;t panic though it&amp;#39;s recovering well the orchid isn&amp;#39;t though so any help with that poor thing would be great _xD83D__xDE0A_</t>
  </si>
  <si>
    <t>I&amp;#39;m not great with Orchids haha. I know the roots like light and I think it&amp;#39;s best to let them dry out between waterings! :)</t>
  </si>
  <si>
    <t>Hello, _xD83D__xDE0A_ &lt;br&gt;Just found your channel and have subscribed and am currently binge watching your vids, have enjoyed every single one of them so far, you are very enjoyable to watch glad I found you.&lt;br&gt;Sorry no idea what to do about the _xD83D__xDC0C_ unless you want to try eating them _xD83D__xDE33_</t>
  </si>
  <si>
    <t>Ahh that makes sense thanks Jan. It actually smelt like a geranium. I&amp;#39;ve dug them up since but I&amp;#39;m sure more will probably pop up :)</t>
  </si>
  <si>
    <t>The weed with the small pink flowers are wild geraniums and the bees love it! Beware though as it will seed itself everywhere- however it pulls out really easily it it ends up somewhere that you don&amp;#39;t want it!</t>
  </si>
  <si>
    <t>Ahh thank you :)</t>
  </si>
  <si>
    <t>You can actually eat the chickweed btw your garden looks amazing.</t>
  </si>
  <si>
    <t>Thank you for the tip :)</t>
  </si>
  <si>
    <t>get some copper plumbers tape and wrap a strip around each pot to keep snails and slugs out</t>
  </si>
  <si>
    <t>_xD83D__xDD92_</t>
  </si>
  <si>
    <t>Me gustan las plantas lo verde natural t felicito x tus gustoss amigo</t>
  </si>
  <si>
    <t>Good</t>
  </si>
  <si>
    <t>Nice little garden area</t>
  </si>
  <si>
    <t>Nice to sit down at night</t>
  </si>
  <si>
    <t>Out</t>
  </si>
  <si>
    <t>Nice colour of rose</t>
  </si>
  <si>
    <t>I like your contained garden</t>
  </si>
  <si>
    <t>It was snowing in edinburgh today it’s gone now 2019</t>
  </si>
  <si>
    <t>So nice vlog _xD83D__xDE0D__xD83D__xDC4D__xD83D__xDE42__xD83D__xDE18__xD83D__xDE18_</t>
  </si>
  <si>
    <t>I very like your roof garden _xD83D__xDC4D__xD83C__xDF31__xD83C__xDF31__xD83C__xDF35__xD83D__xDE18__xD83D__xDE18_</t>
  </si>
  <si>
    <t>I took the apt. tour ride have you ever seen BBC sit com Coupling?&lt;br&gt;If so you now what l going text if not please see the episode Steve who is dating Susan  she needs a answer on a subject matter that _xD83E__xDD2A_baffles the mens _xD83E__xDD2F_to where Steve has to at there Bar ask the gus what think when all tag along to the yes furniture store even the sales Man baffle why these on this piece furniture for when aman sits goes to remove objects to fit on furniture  yet afraid to teel girlfriend soon to be wife if she can handle the tense out burst over this she asked him to give his true option on .this. Hope insane page yet not. But not think be stressed out over it crazy funny .&lt;br&gt;I speaking of the many pillows you have on your couch .&lt;br&gt;Most men no bed ,couch  , desk chairs  how do you do it ?Better yet as many plants, candles, cups now pillow are adding up.lol_xD83D__xDE09_&lt;br&gt;Rock On _xD83D__xDC4D__xD83D__xDE37__xD83E__xDD12__xD83E__xDD15__xD83E__xDD2A__xD83D__xDE25__xD83D__xDE24__xD83E__xDD13_.</t>
  </si>
  <si>
    <t>Greetings from Poland &lt;a href="http://dachyzielone.net/"&gt;http://dachyzielone.net/&lt;/a&gt;</t>
  </si>
  <si>
    <t>@Nova Verse and bad new and ugly news?</t>
  </si>
  <si>
    <t>There´s good news and optimistic news and realistic news and fake news.</t>
  </si>
  <si>
    <t>@Mo Kassabian Svendsen Sure ;)</t>
  </si>
  <si>
    <t>I don&amp;#39;t believe in good news.</t>
  </si>
  <si>
    <t>Capital idea! I hope the crusty old NIMBYs don&amp;#39;t try to derail it.</t>
  </si>
  <si>
    <t>Hello. I am interested in talking to the person who wrote / spoke on this video. I have famous clients in London and we want to work towards these plans.</t>
  </si>
  <si>
    <t>Great idea</t>
  </si>
  <si>
    <t>Werner Herzog vibes from the voice over =D</t>
  </si>
  <si>
    <t>It would. But doing the job properly would be even better.</t>
  </si>
  <si>
    <t>Even just putting a few maintained garden beds on the roofs would be a huge improvement</t>
  </si>
  <si>
    <t>Thanks for the video. I like Canary Wharf and looks pretty at night.</t>
  </si>
  <si>
    <t>So nice</t>
  </si>
  <si>
    <t>Beautiful video</t>
  </si>
  <si>
    <t>yes the are the roof is open in large parts.</t>
  </si>
  <si>
    <t>_xD83D__xDC36_</t>
  </si>
  <si>
    <t>Those plants will  never be caressed by the wind .._xD83D__xDE22__xD83C__xDF43__xD83C__xDF34__xD83C__xDF43__xD83C__xDF43__xD83C__xDF33__xD83C__xDF43__xD83D__xDC4F__xD83D__xDC4F__xD83D__xDC4D__xD83E__xDD17_</t>
  </si>
  <si>
    <t>Glad you enjoyed it</t>
  </si>
  <si>
    <t>I am from the Canary Islands, I did not know that in England there is a Canarian garden, it&amp;#39;s great, thanks for sharing it on YouTube</t>
  </si>
  <si>
    <t>nice one my friend</t>
  </si>
  <si>
    <t>I love  Canary wharf  as I  work there.</t>
  </si>
  <si>
    <t>Wow very nice.</t>
  </si>
  <si>
    <t>Yes it was!</t>
  </si>
  <si>
    <t>What a nice.</t>
  </si>
  <si>
    <t>Thank you too</t>
  </si>
  <si>
    <t>Beautiful video thanks for &lt;br&gt;sharing</t>
  </si>
  <si>
    <t>Ohh definitely i will go during the winter lights :) Thanks for the tip !</t>
  </si>
  <si>
    <t>@LADmob - UNSEEN walks You&amp;#39;re welcome! You&amp;#39;ll love it _xD83D__xDE42_</t>
  </si>
  <si>
    <t>Thanks for this. I fell in love with the place last year when I stayed there for a month. The roof garden is just amazing.  You should go back for the winter lights they have there.</t>
  </si>
  <si>
    <t>Another lovely day to walk with you._xD83C__xDF7A__xD83D__xDC51_</t>
  </si>
  <si>
    <t>@Geek Street Travels you&amp;#39;re welcome</t>
  </si>
  <si>
    <t>wow very beautiful roof top garden and the view is really fantastic!. have a nice day</t>
  </si>
  <si>
    <t>Thank you! You too!</t>
  </si>
  <si>
    <t>impressive view, thank you for this wonderful video. have a nice day</t>
  </si>
  <si>
    <t>That is awesome!</t>
  </si>
  <si>
    <t>Thanks for sharing! My new apartment will be at 10 George Street, and my new corporate offices on the 34th floor of One Canada Square :-)</t>
  </si>
  <si>
    <t>Youre lucky to see every day this beautiful landscape :)</t>
  </si>
  <si>
    <t>I live here and it’s gorgeous</t>
  </si>
  <si>
    <t>Thank you for sharing _xD83D__xDC82__xD83C__xDFFB_‍♂️_xD83D__xDC4D__xD83C__xDFFB_</t>
  </si>
  <si>
    <t>I&amp;#39;ll drink with you _xD83C__xDF77__xD83E__xDD43_</t>
  </si>
  <si>
    <t>Lol!</t>
  </si>
  <si>
    <t>All these summer videos are convincing my wife that summer would be a good time to visit!  Way to go Jess! :)</t>
  </si>
  <si>
    <t>I learn more about London after being there thanks to you</t>
  </si>
  <si>
    <t>Hi, Jess, a fun and interesting video. That looked really hard work having to visit all those rooftop bars and have a drink in each. Looking forward to your next video soon.</t>
  </si>
  <si>
    <t>Yup there is! A rooftop cinema.</t>
  </si>
  <si>
    <t>I just came back from London after doing a Shakespeare study abroad. Stayed in Stratford and stumbled upon Roof East. Definitely a place to check out and party. I believe there is a theater up there as well.</t>
  </si>
  <si>
    <t>It rains a lot</t>
  </si>
  <si>
    <t>Enjoying this channel! Didn’t know about 2 of these quirky bars.</t>
  </si>
  <si>
    <t>Ha, i grew up in London, don&amp;#39;t worry that&amp;#39;s normal weather_xD83D__xDE01_...that&amp;#39;s why i headed to Spain..</t>
  </si>
  <si>
    <t>Rob España88 I just got here. _xD83D__xDEEB_✈️_xD83D__xDEEC_ I just came here from Phoenix, so I’m not used to seeing rain. _xD83E__xDD23_</t>
  </si>
  <si>
    <t>You&amp;#39;ve only been here for a bit!</t>
  </si>
  <si>
    <t>Love and London I’ve been here for almost six months now.</t>
  </si>
  <si>
    <t>It’s my first summer in London, but it’s been raining _xD83C__xDF27_ the whole time. _xD83D__xDE15_</t>
  </si>
  <si>
    <t>Haha at least this video is a little more warranted ;)</t>
  </si>
  <si>
    <t>Your going to get accused of being an alcoholic again ;-)</t>
  </si>
  <si>
    <t>Thank you</t>
  </si>
  <si>
    <t>Loved, your videos are always the best :D</t>
  </si>
  <si>
    <t>Simply not true.</t>
  </si>
  <si>
    <t>You are invited to invite me next time :)</t>
  </si>
  <si>
    <t>I can&amp;#39;t say. Here&amp;#39;s my video about how to figure out the weather for your trip: &lt;a href="https://www.youtube.com/watch?v=MKuAmGPXS5A"&gt;https://www.youtube.com/watch?v=MKuAmGPXS5A&lt;/a&gt;</t>
  </si>
  <si>
    <t>@Love and London Thank you. I will definitely watch.</t>
  </si>
  <si>
    <t>I&amp;#39;ll be visiting London late September ( My first visit) what&amp;#39;s the weather situation in London  in September? Are roof top bars an option during that time or are the weather temperatures cooler during the month?</t>
  </si>
  <si>
    <t>Doesn&amp;#39;t matter</t>
  </si>
  <si>
    <t>another question...being an american visiting London. Is it ok for me to say &amp;quot;CHEERS&amp;quot;? Or is that too cliche&amp;#39; for me to do - not being from that country?</t>
  </si>
  <si>
    <t>Rosie Cotton lol _xD83D__xDE02_</t>
  </si>
  <si>
    <t>Day drinking by yourself. . ._xD83E__xDDD0__xD83E__xDD2D__xD83D__xDE09_</t>
  </si>
  <si>
    <t>I haven&amp;#39;t counted recently _xD83D__xDE02_</t>
  </si>
  <si>
    <t>Just a quick question. How many sunny days do you get? Most of the time it seems like Britain, like N.W. U.S. is usually damp.</t>
  </si>
  <si>
    <t>I just got back from London and loved it! I plan to come visit again. New subscriber and love your videos and tips.</t>
  </si>
  <si>
    <t>Christina cool _xD83D__xDE0E_</t>
  </si>
  <si>
    <t>I AM SO HYPE! LMFAO I will be talking to myself at one of these bars too!</t>
  </si>
  <si>
    <t>Skygarden in the city isnt quite an open rooftop bar but offers great views of the city. Also the oxo tower on the southbank has a cocktail bar with a terrace looking back towards st pauls cathedral and the financial district, stunning at night time. Maybe it was a blessing you didnt have a drinking pal, youd be wobbling with the number of choices you have in London! Great content again.</t>
  </si>
  <si>
    <t>I love Roof East. I&amp;#39;ll come with you next time you want to do one of these filmings ;)</t>
  </si>
  <si>
    <t>Haha you can be my rooftop bar guest anytime, filming or not :D</t>
  </si>
  <si>
    <t>Cool _xD83D__xDE0E_</t>
  </si>
  <si>
    <t>Please can I start guesting on these??? _xD83D__xDE02__xD83D__xDE02_ I would have LOVED to have a cocktail with you xxxxx</t>
  </si>
  <si>
    <t>Thanks my love!</t>
  </si>
  <si>
    <t>Love the sound of Aqua Kyoto! Thanks Jess xxx</t>
  </si>
  <si>
    <t>Great locations and it&amp;#39;s really strange you didn&amp;#39;t find anyone to join you :D</t>
  </si>
  <si>
    <t>Woow amazing rooftops. Great video, love it!!.</t>
  </si>
  <si>
    <t>Don&amp;#39;t! No cars!</t>
  </si>
  <si>
    <t>Hi,me and me boyfriend planning to come in London with car.Any advices?_xD83D__xDE42_</t>
  </si>
  <si>
    <t>Thanks Dana</t>
  </si>
  <si>
    <t>You have 110K subscribers that would love to have a drink with you. Keep making these great videos. We really enjoy them.</t>
  </si>
  <si>
    <t>My husband and I were one of the first people to be invited into The Culpeper when they opened in 2014... we were staying above the bar when they were renovating it and had 2 rooms up on Air BnB...</t>
  </si>
  <si>
    <t>thanks for the tips. I‘m in London at the moment and i‘m really sad, cause i can‘t do everything. Great job_xD83D__xDE4F_</t>
  </si>
  <si>
    <t>Lol nope</t>
  </si>
  <si>
    <t>Are you also an actress?  I could swear I just saw you in an episode if Jack Ryan.</t>
  </si>
  <si>
    <t>Yes I have hundreds! Lol. Thanks for watching!</t>
  </si>
  <si>
    <t>I didnt realize you had  so many videos on London LOL. IM From the states.  I discovered a few of your moving to London videos about a month ago. I might fly to Amsterdam next summer to meet my mom and sister after their cruise, and hoping to tourist London. Now I want to live there for a little bit LOL, or outskirts of London. Im hoping to become a Lactation consultant (IBCLC) and find a program in the UK.</t>
  </si>
  <si>
    <t>_xD83D__xDE0E_</t>
  </si>
  <si>
    <t>Thanks Chris</t>
  </si>
  <si>
    <t>Hope you had a great Birthday, Jess! XOXO</t>
  </si>
  <si>
    <t>Don&amp;#39;t do a day trip to Paris, that&amp;#39;s my helpful info :) Thanks for watching!</t>
  </si>
  <si>
    <t>THANK YOU  for all the great info on London you have been a huge help in our decision to go to London anniversary next spring . We have a question for you. Do you have any helpful info on the euro star to Paris for like a day trip?  Have you done it and is it worth it? Keep up the great work on the videos   they are awesome and very informative ! Job well  done</t>
  </si>
  <si>
    <t>You really remind me of Monica Geller from Friends. Btw I&amp;#39;m going to London tomorrow for the first time and your videos are super helpful!</t>
  </si>
  <si>
    <t>Any advice for a student spending the semester in London? I love your videos :)</t>
  </si>
  <si>
    <t>Skylight Tobacco Dock _xD83D__xDC4D_</t>
  </si>
  <si>
    <t>I think one of those rooftops is open to ice skating in the winter.  Well, a roof somewhere in London had heavy drinking and ice  skating.</t>
  </si>
  <si>
    <t>The hotel? Nope wasn&amp;#39;t me!</t>
  </si>
  <si>
    <t>Dear Jess, i think i saw you in the morning today around grovernors, is that you?</t>
  </si>
  <si>
    <t>I&amp;#39;ve already got one, and then a new one will be coming end of Sept!</t>
  </si>
  <si>
    <t>@Love and London I believe I&amp;#39;ve watched the video you&amp;#39;re talking about. If you feel like doing a neighborhood one anytime soon, we&amp;#39;re staying in fitzrovia. Love your channel!</t>
  </si>
  <si>
    <t>Can you do a &amp;quot;fall in london&amp;quot; video soon? I&amp;#39;ll be there in Oct-november..</t>
  </si>
  <si>
    <t>Lovely video _xD83D__xDE0A_</t>
  </si>
  <si>
    <t>thanks for your videos, they are very useful. and I like them a lot. :-)  best regards</t>
  </si>
  <si>
    <t>There are tons of great pubs and it totally depends on where you&amp;#39;ll be. No need to travel far to &amp;quot;the best&amp;quot;</t>
  </si>
  <si>
    <t>I enjoy he videos I&amp;#39;ve seen...wondering if you have one on the best pubs in London?</t>
  </si>
  <si>
    <t>Some of them are winterised. Check their websites!</t>
  </si>
  <si>
    <t>Would this be too cold to do in late February</t>
  </si>
  <si>
    <t>Who&amp;#39;s here reminiscing about the good old days before..COVID!!</t>
  </si>
  <si>
    <t>These vids are my new going out.. LOL!</t>
  </si>
  <si>
    <t>Me tooooooo Carl _xD83C__xDF78_</t>
  </si>
  <si>
    <t>Love and London. Cool. _xD83D__xDC4D__xD83D__xDE0E__xD83C__xDF7A_</t>
  </si>
  <si>
    <t>I’m really looking forward to the bars opening again in England! I’m going to visit loads of the places that are being recommended on this channel.</t>
  </si>
  <si>
    <t>yup! Thanks for watching Richard.</t>
  </si>
  <si>
    <t>@Love and London Just had a thought, I recently joined this group called Meetup, who put on social events across London, and I was thinking it would be cool for you guys to possibly collaborate on show casing venues frequented by their members. Could potentially give you even greater exposure. Anyhow,  good luck with the videos, and continue to enjoy London.</t>
  </si>
  <si>
    <t>Nice video. Just wondered, as far as London rooftop bars are concerned, have you been to Radio Rooftop, or Madison Rooftop in St. Pauls? If not, definitley worth checking out. As is Jinbow Law in Aldgate, come to think of it.</t>
  </si>
  <si>
    <t>Wow ❤️❤️❤️❤️</t>
  </si>
  <si>
    <t>I visited Jin Bo Law last weekend with my girlfriends and had a fabulous time. There was a great vibe, good music, and the cocktails were delicious. The view is sensational too!</t>
  </si>
  <si>
    <t>I visited Jin Bo Law Sky Bar last weekend with my girlfriends and had a fabulous time. There was a great vibe, good music, and the cocktails were delicious. The view is sensational too! If you are thinking about going, check out my vlog where you can see it all!</t>
  </si>
  <si>
    <t>Aw thank you so much Laurie, glad you&amp;#39;re enjoying the videos ;)</t>
  </si>
  <si>
    <t>I&amp;#39;ve just discovered your channel and love this video! I can&amp;#39;t believe you&amp;#39;re doing YouTube  in London better than TimeOut, Secret London, etc. _xD83D__xDC4F__xD83C__xDFFB_</t>
  </si>
  <si>
    <t>The only way to do it!</t>
  </si>
  <si>
    <t>@Love and London yeah it&amp;#39;s the only way to taste the flavours.</t>
  </si>
  <si>
    <t>Jess it&amp;#39;s sipping out every cocktail._xD83E__xDD23__xD83E__xDD23__xD83E__xDD23_</t>
  </si>
  <si>
    <t>You&amp;#39;re very welcome! Thanks for watching Nima.</t>
  </si>
  <si>
    <t>Thank you for this!</t>
  </si>
  <si>
    <t>I remember going here when I was a child ,nice to see it again.</t>
  </si>
  <si>
    <t>Amazing views, wish this had been open when I visited last year. &lt;br&gt;Love your videos _xD83D__xDC4D__xD83D__xDC4D_</t>
  </si>
  <si>
    <t>Amazing view!_xD83D__xDE0D__xD83D__xDE0D__xD83D__xDE0D_ Really really well done!</t>
  </si>
  <si>
    <t>Thank you for showing me this beautiful rooftop! _xD83D__xDE0A_</t>
  </si>
  <si>
    <t>Great Video, thank you! Will visit this :)</t>
  </si>
  <si>
    <t>Mate this turned out amazing!! _xD83E__xDD29__xD83E__xDD29__xD83D__xDC4C__xD83C__xDFFC__xD83D__xDC4C__xD83C__xDFFC_</t>
  </si>
  <si>
    <t>I’m in London this week. Must visit this place!</t>
  </si>
  <si>
    <t>Cool stuff, I think I’ll visit when it’s next sunny</t>
  </si>
  <si>
    <t>Epic video mate</t>
  </si>
  <si>
    <t>@London Viewpoints  thank you, I&amp;#39;ll look for it</t>
  </si>
  <si>
    <t>hello nice video can you tell me where to buy the black box that you put on the anti-reflection glass that you see in the video?</t>
  </si>
  <si>
    <t>677th subscriber. Way to go mate. _xD83D__xDC4A__xD83C__xDFFC_</t>
  </si>
  <si>
    <t>Fantastic Video as Always  Michael. _xD83D__xDC4C__xD83C__xDFFC_ Managed to get up There Sunday Morning @ opening Time, Fantastic Sunny Weather, And a Great Bunch of Pictures Gathered.. Can see this one Being a popular New Venue.  Stunning 360 Views as you say. _xD83D__xDCF7__xD83D__xDE4F__xD83C__xDFFB_</t>
  </si>
  <si>
    <t>Adding it to my list for whenever I get a return trip to London</t>
  </si>
  <si>
    <t>Liking the video clip and you have done a remarkable job on the edit! If you have time let me know what you think of my latest video just need some feedback! _xD83D__xDE03_</t>
  </si>
  <si>
    <t>Hi Michael, What was that device that your fellow photographer put on the glass at the Garden 120.  Looked like some type of shade.  Thank you.</t>
  </si>
  <si>
    <t>No - i think all of these rooftops dont allow tripods so just leave it in your bag and just say you wanna take pictures hand held -  have fun !!</t>
  </si>
  <si>
    <t>Thanks for the video!! We didn&amp;#39;t know this viewpoint and look amazing!&lt;br&gt;Are you allowed to use tripod?</t>
  </si>
  <si>
    <t>Not tripods yet? Oooooh :(</t>
  </si>
  <si>
    <t>See him today! In selfie factory! Bluewater..</t>
  </si>
  <si>
    <t>Very nice video</t>
  </si>
  <si>
    <t>So beautiful place _xD83D__xDE0D__xD83D__xDE0D_</t>
  </si>
  <si>
    <t>Great sharing dear ❤️</t>
  </si>
  <si>
    <t>অনেক সুন্দর হয়েছে বিডিও টা খুব ভাল লাগল</t>
  </si>
  <si>
    <t>Wow so beautiful _xD83D__xDE0D__xD83D__xDE0D_</t>
  </si>
  <si>
    <t>wow didi wonderful  place</t>
  </si>
  <si>
    <t>Wow wonder full video _xD83D__xDE0D__xD83D__xDE0D_</t>
  </si>
  <si>
    <t>_xD83D__xDE0D__xD83D__xDE18_❤️</t>
  </si>
  <si>
    <t>Amazing place looks beautiful tnx for sharing this video</t>
  </si>
  <si>
    <t>oh, that is a hard pour.. it is just raining everywhere.. take care.. thanks for sharing the lovely garden</t>
  </si>
  <si>
    <t>Amazing _xD83D__xDC4D_</t>
  </si>
  <si>
    <t>ManOnTheMoon it&amp;#39;s not glass...it&amp;#39;s etfe_xD83D__xDE06_</t>
  </si>
  <si>
    <t>feel sorry for the window cleaner!</t>
  </si>
  <si>
    <t>Thank you :-)</t>
  </si>
  <si>
    <t>cool man, your best walkabout so far.. other countries dont seem so far away now with these vids.. thanx for sharing.</t>
  </si>
  <si>
    <t>нет слов, одни эмоции )))</t>
  </si>
  <si>
    <t>that looks amazing!coming to London this weekend definitely would like to see this!</t>
  </si>
  <si>
    <t>A beautiful oasis.</t>
  </si>
  <si>
    <t>We love it! Thank you for capturing our project so beautifully! _xD83D__xDC4F__xD83C__xDFFC_</t>
  </si>
  <si>
    <t>Txx for making this video! I shaw the documentry about the making prosess of this bilding but not any this part.</t>
  </si>
  <si>
    <t>watching this on day 17 of quarantine. anyone else remember outdoors?</t>
  </si>
  <si>
    <t>Like if you love his videos_xD83D__xDCAF__xD83D__xDD25_</t>
  </si>
  <si>
    <t>A nice relaxing Sunday - thanks for watching Dee :)</t>
  </si>
  <si>
    <t>Oh man just yesterday I had a full day in bed, just watching your videos! Thank you so much ♥ You make London accessible to the whole world :)</t>
  </si>
  <si>
    <t>Awesome view _xD83D__xDE0D__xD83D__xDE0D_</t>
  </si>
  <si>
    <t>Love your vedioS for London..... Man&lt;br&gt;❤❤</t>
  </si>
  <si>
    <t>Great video! Looks far better than the sky garden</t>
  </si>
  <si>
    <t>What a view!!</t>
  </si>
  <si>
    <t>Philip, there’s the Shard but it’s not free to enter. There’s also Primrose Hill with good views.</t>
  </si>
  <si>
    <t>Hi Again Just watched This Vlog The Garden 120 Awesome once again ! was just wondering you of any other places with great views of London !</t>
  </si>
  <si>
    <t>I appear in several of my videos if you look carefully! :)</t>
  </si>
  <si>
    <t>&lt;a href="https://www.youtube.com/watch?v=tS9IXHSdzJs&amp;amp;t=4m35s"&gt;4:35&lt;/a&gt; we know how you look</t>
  </si>
  <si>
    <t>Details in description :)</t>
  </si>
  <si>
    <t>Where is this building ?</t>
  </si>
  <si>
    <t>Thank you! It&amp;#39;s a lovely space, hopefully it won&amp;#39;t get too busy as more people discover it.</t>
  </si>
  <si>
    <t>@Watched Walker Is it ok if i help advertise your channel on mine ?</t>
  </si>
  <si>
    <t>Drop me an email with details.</t>
  </si>
  <si>
    <t>@Watched Walker i added your channel to my featured channels , i hope its ok? By the way is this building open everyday to the public or only at weekends ?</t>
  </si>
  <si>
    <t>How did u create your youtube channel art , because i want to create one for my channel</t>
  </si>
  <si>
    <t>I believe it’s everyday, check online for the times though.</t>
  </si>
  <si>
    <t>I made the channel art in Photoshop, though there’s probably free software you can use or online templates.</t>
  </si>
  <si>
    <t>@Watched Walker i have been looking and none are good</t>
  </si>
  <si>
    <t>When i get my Samsung Galaxy S10 Plus this week i will visit this building , great video by the way and i find your videos great to watch and they also help me plan my visits when i am in the city.</t>
  </si>
  <si>
    <t>You&amp;#39;re welcome Dana!</t>
  </si>
  <si>
    <t>Thanks for the nice video _xD83D__xDC4C__xD83C__xDFFB_;-);-);-)</t>
  </si>
  <si>
    <t>Cheers Houda - thanks for watching!</t>
  </si>
  <si>
    <t>@Watched Walker you are very welcome man! İ just go into you when i want to travel as simple as that , thanks again you makes things so easy for the rest of the world</t>
  </si>
  <si>
    <t>Man i visited most of the world towns by your chanel , you are just amazing</t>
  </si>
  <si>
    <t>Genial!</t>
  </si>
  <si>
    <t>Cheers Kathy, I really appreciate your kind words - greetings to Tampa!</t>
  </si>
  <si>
    <t>Hello from Tampa, Florida...we love, love,  love your work. And a big thank you for including so much info in the filming and in the  description area. Keep up the GREAT work!!!</t>
  </si>
  <si>
    <t>It sure will Michael - it’s already a great space, it’ll look incredible when matured.</t>
  </si>
  <si>
    <t>This will be magical when the plants have grown over the tops of the frames and the schrubs have matured.</t>
  </si>
  <si>
    <t>Thanks Lynne, I’m not sure about the modelling - best I stay behind the lens ;)</t>
  </si>
  <si>
    <t>A lot of photo shoots going on, they should ask you to model or show them how it&amp;#39;s done!!! Thanks for the beautiful video.</t>
  </si>
  <si>
    <t>Yes it’s definitely worth a visit, I loved my time in this garden and it’s only gonna get better when the plants mature - that’s unless they add a bar and music and ruin the atmosphere.</t>
  </si>
  <si>
    <t>Great view from up there! I&amp;#39;m gonna have to check this out next time I&amp;#39;m in London! :)</t>
  </si>
  <si>
    <t>Stunning skyline, and I really appreciate all your hard work. Another to add on the list to see, when we are down in London at some point.</t>
  </si>
  <si>
    <t>Love London _xD83C__xDDEC__xD83C__xDDE7_❤️</t>
  </si>
  <si>
    <t>This building is amazing. Beautiful roof garden with stunning view. _xD83D__xDC4D__xD83C__xDFFB_</t>
  </si>
  <si>
    <t>Love all your videos!!</t>
  </si>
  <si>
    <t>That’s a long old flight! If you do visit again, hopefully you can time it for when we have good weather - it would be so annoying to get here during a rainy week!</t>
  </si>
  <si>
    <t>That GoPro sure captures the whole picture........LOVE IT!!!!!!!!!!!!!!!!!!!!!!!!!! Image quality is superb. Your videos make me want to do the 22 hour flight from Australia for a week in London again.</t>
  </si>
  <si>
    <t>love your vedieos</t>
  </si>
  <si>
    <t>Great video! It&amp;#39;s always a wonderful experience. Please walk with me when you have time! Let&amp;#39;s help each other! Thank you! : )</t>
  </si>
  <si>
    <t>Nice!</t>
  </si>
  <si>
    <t>Cool video</t>
  </si>
  <si>
    <t>Adam, I prefer the atmosphere there too, especially being open air and more tranquil.</t>
  </si>
  <si>
    <t>Marvellous ! I think I prefer this to the Sky Garden.... I see it&amp;#39;s a Mecca for posers taking their Instagram snaps!! _xD83D__xDE09_</t>
  </si>
  <si>
    <t>That’s really nice. Thanks!))</t>
  </si>
  <si>
    <t>You&amp;#39;re welcome Judith - though I&amp;#39;m surprised you managed to watch it, so well done!</t>
  </si>
  <si>
    <t>My vertigo made itself quite a pest just watching the video! That bloke leaning backwards against the glass wall - AARGH!  Thanks for showing WW. You are a hero.</t>
  </si>
  <si>
    <t>Seems like a pretty underutilized space.</t>
  </si>
  <si>
    <t>Be fair Peter, there’s a water feature and some creepers too! ;)</t>
  </si>
  <si>
    <t>@Watched Walker still not quite constitutes a garden.</t>
  </si>
  <si>
    <t>I don&amp;#39;t think a few bushes counts as a garden.. unless it&amp;#39;s a garden of skyscrapers</t>
  </si>
  <si>
    <t>View from the Shard cost £32.00, wow! it is free and feeling lucky by watching your video. Thanks.</t>
  </si>
  <si>
    <t>Yes, it&amp;#39;s free to enter and unlike the Sky Garden, you don’t need to book in advance (not yet anyway).</t>
  </si>
  <si>
    <t>Is it free to go up there?</t>
  </si>
  <si>
    <t>I have simply NO words to describe the amazingness of your breath-taking videos.... such minute details _xD83D__xDC4C_AND the BEST thing is you EVEN show beautiful girls_xD83D__xDE09_ or people passing by to have an idea of general people. &lt;br&gt;I can ONLY wish if you could cover Sydney, Melbourne, Adelaide and rest of Australia in same way... we badly need a ‘Watched Walker’ in Australia as well _xD83D__xDE1E_coz i am going to immigrate to Melbourne within a year with my permanent residency INSHALLAH.&lt;br&gt;p.s i was there in UK _xD83C__xDDEC__xD83C__xDDE7_ from 2011-2013 for my master degree( MBA HRM) from GLyndwr university, &lt;a href="http://wales.uk/"&gt;wales.UK&lt;/a&gt;&lt;br&gt;Hasan&lt;br&gt;Lahore, Pakistan</t>
  </si>
  <si>
    <t>Thanks pal!</t>
  </si>
  <si>
    <t>Wow, such an incredible view! Amazing quality.</t>
  </si>
  <si>
    <t>I use a fluffy wind muffler over the mic, but it doesn&amp;#39;t cut out all wind noise.</t>
  </si>
  <si>
    <t>what do you use to eliminate wind noise?</t>
  </si>
  <si>
    <t>Pagla, I made the most of a lovely day to get up there and film. Currently there is no ticketing or time limits, just turn up and enjoy! I&amp;#39;ve been a couple of times already and not even had to queue - just a quick trip through security to scan bags.</t>
  </si>
  <si>
    <t>You picked the ideal Feb. Day for this video. Beautiful sunshine and no wind. The roof area is huge. Is there a time limit of stay. Ticket ? The video projection of the garden in the ground floor is so life like. Thanks for showing us this marvel of London.</t>
  </si>
  <si>
    <t>Thank you so much! It’s a great new space in the city, so was cool to film.</t>
  </si>
  <si>
    <t>This is by far my favourite walk from your most recent clutch of videos. There&amp;#39;s a real cinematic quality and skill to it. The city is on show. Moreover, the views over London are of a city which would&amp;#39;ve been unrecognisable 10 years ago. Good stuff!_xD83D__xDC4D_</t>
  </si>
  <si>
    <t>beautiful _xD83D__xDE0A__xD83D__xDC4D_❤</t>
  </si>
  <si>
    <t>Yes, it&amp;#39;s free entry.</t>
  </si>
  <si>
    <t>Is this free to visit?</t>
  </si>
  <si>
    <t>Gracias!! Excelente video...en estos momentos en que no se puede viajar, nos hace sentir que estamos allí</t>
  </si>
  <si>
    <t>Very interesting and inspiring. Shame the west hasn&amp;#39;t the courage to govern tall building regulations. Once they&amp;#39;re there light cannot reach plants, trees, animals and humans. Cold winds/draughts are very auspicious.</t>
  </si>
  <si>
    <t>Like Stefano&amp;#39;s green ideas</t>
  </si>
  <si>
    <t>I love this guy.</t>
  </si>
  <si>
    <t>Sorry, should have said not very auspicious when mentioning draughts and cold</t>
  </si>
  <si>
    <t>✅ Don&amp;#39;t Forget to like_xD83D__xDC4D_ comment✍and subscribe▶ to my channel!&lt;br&gt;✅ We have weekly uploads showing our travels around the world _xD83C__xDF0E_✈_xD83D__xDC59__xD83C__xDF34_☀_xD83C__xDF1E__xD83D__xDEC4_&lt;br&gt;☕ If you enjoy my channel, you could support it by leaving a tip via my Ko-fi page it helps us continue making these videos!&lt;br&gt;&lt;a href="http://ko-fi.com/geekstreettravels"&gt;http://ko-fi.com/geekstreettravels&lt;/a&gt;</t>
  </si>
  <si>
    <t>PLEASE DON&amp;#39;T FORGET TO LIKE, COMMENT, SHARE AND SUBSCRIBE IN ORDER TO SUPPORT THIS CHANNEL.&lt;br&gt;&lt;br&gt;THANKS FOR WATCHING.</t>
  </si>
  <si>
    <t>What is your favourite outdoor spot to visit to enjoy a cocktail?</t>
  </si>
  <si>
    <t>Love this video. Can I ask what camera you used to shoot it?</t>
  </si>
  <si>
    <t>_xD83D__xDCF2_ BOOK YOUR GUESTLIST / VIP TABLE NOW:  WHATSAPP +44 752 352 8885&lt;br&gt;_xD83D__xDECE_️ BOOK ONLINE: &lt;a href="https://www.londonnightguide.com/roof-gardens-table-booking/"&gt;https://www.londonnightguide.com/roof-gardens-table-booking/&lt;/a&gt;&lt;br&gt;_xD83D__xDCF8_ FOLLOW US ON IG: &lt;a href="https://www.instagram.com/londonnightguide/"&gt;https://www.instagram.com/londonnightguide/&lt;/a&gt;</t>
  </si>
  <si>
    <t>&lt;b&gt;WANNA SUPPORT THIS CHANNEL?&lt;/b&gt; --&amp;gt; &lt;a href="https://www.ko-fi.com/watchedwalker"&gt;https://www.ko-fi.com/watchedwalker&lt;/a&gt;&lt;br&gt;&lt;br&gt;FILMED: February 2019 (Weekend Afternoon) with GoPro Hero 7 Black&lt;br&gt;WATCHED WALKER’S GEAR LIST: &lt;a href="https://www.amazon.com/shop/watchedwalker"&gt;https://www.amazon.com/shop/watchedwalker&lt;/a&gt; (US) &lt;a href="https://www.amazon.co.uk/shop/watchedwalker"&gt;https://www.amazon.co.uk/shop/watchedwalker&lt;/a&gt; (UK)&lt;br&gt;&lt;br&gt;LOCATION MAP*: &lt;a href="https://goo.gl/maps/dH15NwZTWkR2"&gt;https://goo.gl/maps/dH15NwZTWkR2&lt;/a&gt;  &lt;br&gt;&lt;br&gt;SIGHTS TIMESTAMPS:&lt;br&gt;&lt;a href="https://www.youtube.com/watch?v=tS9IXHSdzJs&amp;amp;t=00m10s"&gt;00:10&lt;/a&gt;, &lt;a href="https://www.youtube.com/watch?v=tS9IXHSdzJs&amp;amp;t=06m09s"&gt;06:09&lt;/a&gt;, &lt;a href="https://www.youtube.com/watch?v=tS9IXHSdzJs&amp;amp;t=10m30s"&gt;10:30&lt;/a&gt;, &lt;a href="https://www.youtube.com/watch?v=tS9IXHSdzJs&amp;amp;t=13m52s"&gt;13:52&lt;/a&gt; Walkie Talkie building&lt;br&gt;&lt;a href="https://www.youtube.com/watch?v=tS9IXHSdzJs&amp;amp;t=00m53s"&gt;00:53&lt;/a&gt; Exterior of One Fen Court building at 120 Fenchurch Street &lt;br&gt;&lt;a href="https://www.youtube.com/watch?v=tS9IXHSdzJs&amp;amp;t=02m29s"&gt;02:29&lt;/a&gt; Entrance to The Garden at 120 with a video art installation on the ceiling by Vong Phaophanit and Claire Oboussier, showing trees and sky as if looking up at the garden 15 floors above.&lt;br&gt;&lt;a href="https://www.youtube.com/watch?v=tS9IXHSdzJs&amp;amp;t=03m38s"&gt;03:38&lt;/a&gt; Inside The Garden at 120 rooftop garden &lt;br&gt;&lt;a href="https://www.youtube.com/watch?v=tS9IXHSdzJs&amp;amp;t=03m56s"&gt;03:56&lt;/a&gt;, &lt;a href="https://www.youtube.com/watch?v=tS9IXHSdzJs&amp;amp;t=09m27s"&gt;09:27&lt;/a&gt;, &lt;a href="https://www.youtube.com/watch?v=tS9IXHSdzJs&amp;amp;t=18m22s"&gt;18:22&lt;/a&gt; Fashion shoot taking place &lt;br&gt;&lt;a href="https://www.youtube.com/watch?v=tS9IXHSdzJs&amp;amp;t=04m01s"&gt;04:01&lt;/a&gt;, &lt;a href="https://www.youtube.com/watch?v=tS9IXHSdzJs&amp;amp;t=13m56s"&gt;13:56&lt;/a&gt;, &lt;a href="https://www.youtube.com/watch?v=tS9IXHSdzJs&amp;amp;t=20m20s"&gt;20:20&lt;/a&gt; Sculptured hedges and wisteria covered pergolas within roof garden&lt;br&gt;&lt;a href="https://www.youtube.com/watch?v=tS9IXHSdzJs&amp;amp;t=04m35s"&gt;04:35&lt;/a&gt; The Gherkin and other City of London Buildings &lt;br&gt;&lt;a href="https://www.youtube.com/watch?v=tS9IXHSdzJs&amp;amp;t=08m57s"&gt;08:57&lt;/a&gt;, &lt;a href="https://www.youtube.com/watch?v=tS9IXHSdzJs&amp;amp;t=13m54s"&gt;13:54&lt;/a&gt; The Shard building&lt;br&gt;&lt;a href="https://www.youtube.com/watch?v=tS9IXHSdzJs&amp;amp;t=08m58s"&gt;08:58&lt;/a&gt;, &lt;a href="https://www.youtube.com/watch?v=tS9IXHSdzJs&amp;amp;t=11m25s"&gt;11:25&lt;/a&gt;, &lt;a href="https://www.youtube.com/watch?v=tS9IXHSdzJs&amp;amp;t=12m40s"&gt;12:40&lt;/a&gt;, &lt;a href="https://www.youtube.com/watch?v=tS9IXHSdzJs&amp;amp;t=20m55s"&gt;20:55&lt;/a&gt; Geometric water feature on roof garden&lt;br&gt;&lt;a href="https://www.youtube.com/watch?v=tS9IXHSdzJs&amp;amp;t=11m42s"&gt;11:42&lt;/a&gt; View towards Tower of London and Tower Bridge &lt;br&gt;&lt;a href="https://www.youtube.com/watch?v=tS9IXHSdzJs&amp;amp;t=15m48s"&gt;15:48&lt;/a&gt; View towards Canary Wharf &lt;br&gt;&lt;br&gt;&lt;b&gt;*&lt;/b&gt; Spot the WATCHED WALKER Logo &lt;b&gt;*&lt;/b&gt;&lt;br&gt;In this video I’ve hidden ONE (1) Watched Walker logo - they could be on buildings, vehicles or anything else, so keep an eye out for them! &lt;br&gt;&lt;br&gt;…</t>
  </si>
  <si>
    <t>RJinspire</t>
  </si>
  <si>
    <t>Geek Street Travels</t>
  </si>
  <si>
    <t>ILARIO SCHANZER</t>
  </si>
  <si>
    <t>Tom</t>
  </si>
  <si>
    <t>Danial Show</t>
  </si>
  <si>
    <t>4K Explorer</t>
  </si>
  <si>
    <t>Chill &amp; Explore</t>
  </si>
  <si>
    <t>PIG TOUR</t>
  </si>
  <si>
    <t>Dhansiraksha Pop Fun</t>
  </si>
  <si>
    <t>Nook &amp; Cranny Korea 구석구석 코리아</t>
  </si>
  <si>
    <t>BAIRES WALKER</t>
  </si>
  <si>
    <t>Monstrous Act</t>
  </si>
  <si>
    <t>d'EXPLORER</t>
  </si>
  <si>
    <t>Tech for Techs</t>
  </si>
  <si>
    <t>Anne-Lise Eika Hansen</t>
  </si>
  <si>
    <t>Gran Canaria Walk</t>
  </si>
  <si>
    <t>JAPAN SAPPORO WALK</t>
  </si>
  <si>
    <t>Marzia's Little world</t>
  </si>
  <si>
    <t>Chris Smith</t>
  </si>
  <si>
    <t>Lost in Bali with Senja Aldee</t>
  </si>
  <si>
    <t>The R Vlogs</t>
  </si>
  <si>
    <t>HD Walking Adventures</t>
  </si>
  <si>
    <t>TRIP LOVERS</t>
  </si>
  <si>
    <t>KOREA WALK</t>
  </si>
  <si>
    <t>Wanderers Archive</t>
  </si>
  <si>
    <t>World Travel Rafhat</t>
  </si>
  <si>
    <t>Living Walks</t>
  </si>
  <si>
    <t>The Middle-Sized Garden</t>
  </si>
  <si>
    <t>Heather Stephens</t>
  </si>
  <si>
    <t>Linda Reynolds</t>
  </si>
  <si>
    <t>FlowerGrower Smith</t>
  </si>
  <si>
    <t>kiwiken</t>
  </si>
  <si>
    <t>Botanical Treasures</t>
  </si>
  <si>
    <t>Martha Figueroa</t>
  </si>
  <si>
    <t>Ogrodowe Pasje</t>
  </si>
  <si>
    <t>oneof theninetynine</t>
  </si>
  <si>
    <t>DailyDiveFix</t>
  </si>
  <si>
    <t>Cathleen Weaver</t>
  </si>
  <si>
    <t>Ol' Bird</t>
  </si>
  <si>
    <t>annemarie gracie</t>
  </si>
  <si>
    <t>Diane James</t>
  </si>
  <si>
    <t>Belinda Neave</t>
  </si>
  <si>
    <t>Jennifer Sherwood</t>
  </si>
  <si>
    <t>Heidi Avera</t>
  </si>
  <si>
    <t>Paula Hennell</t>
  </si>
  <si>
    <t>Rose Mary</t>
  </si>
  <si>
    <t>Nina 123</t>
  </si>
  <si>
    <t>Shirley Dunn</t>
  </si>
  <si>
    <t>Kat Fangtastic</t>
  </si>
  <si>
    <t>lovecara1</t>
  </si>
  <si>
    <t>Nikki Thomson</t>
  </si>
  <si>
    <t>Caroline Miles</t>
  </si>
  <si>
    <t>Cheryl Gaynor</t>
  </si>
  <si>
    <t>merlinman44</t>
  </si>
  <si>
    <t>Pinella Franich</t>
  </si>
  <si>
    <t>Isobel Celine</t>
  </si>
  <si>
    <t>Violet Gem</t>
  </si>
  <si>
    <t>AuntyM66</t>
  </si>
  <si>
    <t>Mr Carrington</t>
  </si>
  <si>
    <t>Hazel Kinvig-Paul</t>
  </si>
  <si>
    <t>Life with Lisa</t>
  </si>
  <si>
    <t>David Hargreaves</t>
  </si>
  <si>
    <t>Gloria Stroedecke</t>
  </si>
  <si>
    <t>City Desk452</t>
  </si>
  <si>
    <t>Ayesha F x</t>
  </si>
  <si>
    <t>5am Jack</t>
  </si>
  <si>
    <t>Ann Bartlett</t>
  </si>
  <si>
    <t>Scottish Heather</t>
  </si>
  <si>
    <t>Nancy Anne Berg</t>
  </si>
  <si>
    <t>susan m</t>
  </si>
  <si>
    <t>Natasha Jo</t>
  </si>
  <si>
    <t>Jules Adams</t>
  </si>
  <si>
    <t>louise lill</t>
  </si>
  <si>
    <t>Robert T</t>
  </si>
  <si>
    <t>NITHA PHILIP</t>
  </si>
  <si>
    <t>Shirley Breslow</t>
  </si>
  <si>
    <t>Karen Tipping</t>
  </si>
  <si>
    <t>vlmason</t>
  </si>
  <si>
    <t>Gayle Sherman</t>
  </si>
  <si>
    <t>pinkshaz197</t>
  </si>
  <si>
    <t>Pauline Mcleggan</t>
  </si>
  <si>
    <t>SmBillalOfficial</t>
  </si>
  <si>
    <t>SK ALAM VLOGS</t>
  </si>
  <si>
    <t>Rabbir Halk</t>
  </si>
  <si>
    <t>Zaiqe Lahore De</t>
  </si>
  <si>
    <t>sk Alam news</t>
  </si>
  <si>
    <t>lika akter</t>
  </si>
  <si>
    <t>Events of my life</t>
  </si>
  <si>
    <t>Koly’s Lifestyle UK</t>
  </si>
  <si>
    <t>Sadia Deepa</t>
  </si>
  <si>
    <t>Mohua's Spice Kitchen &amp; Vlogs</t>
  </si>
  <si>
    <t>Anowar280</t>
  </si>
  <si>
    <t>HM MEDIA PB</t>
  </si>
  <si>
    <t>Bangladeshi swedish mum</t>
  </si>
  <si>
    <t>Rikta's Lifestyle Austria</t>
  </si>
  <si>
    <t>Holy's Vlogs UK</t>
  </si>
  <si>
    <t>Bablu sumi Vlogs</t>
  </si>
  <si>
    <t>Fahmina's creation 4</t>
  </si>
  <si>
    <t>Fahmina's Creation 3</t>
  </si>
  <si>
    <t>fahmina's Creation 5</t>
  </si>
  <si>
    <t>Fahmina's Creation 2</t>
  </si>
  <si>
    <t>fahmina's Creation 1</t>
  </si>
  <si>
    <t>Viral XShorifa</t>
  </si>
  <si>
    <t>Xshorifa’s Uk vlog</t>
  </si>
  <si>
    <t>Shorifa Here</t>
  </si>
  <si>
    <t>Shorifa Hussain Support</t>
  </si>
  <si>
    <t>I’m Shorifa Hussain</t>
  </si>
  <si>
    <t>Shipa Begum</t>
  </si>
  <si>
    <t>Iqra Akther 3</t>
  </si>
  <si>
    <t>Tania Akther</t>
  </si>
  <si>
    <t>iqra 2</t>
  </si>
  <si>
    <t>Iqra Vlogs Uk</t>
  </si>
  <si>
    <t>R Recipes</t>
  </si>
  <si>
    <t>Fahid vlog uk World</t>
  </si>
  <si>
    <t>Raisa Chowdhury</t>
  </si>
  <si>
    <t>Farjana Chowdhury</t>
  </si>
  <si>
    <t>Ruhul islam 1</t>
  </si>
  <si>
    <t>Raina's Mini world</t>
  </si>
  <si>
    <t>raju miah</t>
  </si>
  <si>
    <t>Aayan Chaudhury</t>
  </si>
  <si>
    <t>Mr vlogger</t>
  </si>
  <si>
    <t>HamzaShipa Chaudhury</t>
  </si>
  <si>
    <t>Hamza's World</t>
  </si>
  <si>
    <t>R Recipes3</t>
  </si>
  <si>
    <t>R Recipes4</t>
  </si>
  <si>
    <t>R Recipes5</t>
  </si>
  <si>
    <t>R Recipes &amp; Vlogs</t>
  </si>
  <si>
    <t>Aklima's Cooking &amp; Vlogs UK</t>
  </si>
  <si>
    <t>Aklima's cooking</t>
  </si>
  <si>
    <t>Ziha C</t>
  </si>
  <si>
    <t>Nasima Begum</t>
  </si>
  <si>
    <t>Tanni 1</t>
  </si>
  <si>
    <t>Rainbow Lobstar</t>
  </si>
  <si>
    <t>Tasnim Chowdhury</t>
  </si>
  <si>
    <t>Ami bd Traditional</t>
  </si>
  <si>
    <t>তাসনিম ১</t>
  </si>
  <si>
    <t>Bd Traditional cuisine</t>
  </si>
  <si>
    <t>safa jannat</t>
  </si>
  <si>
    <t>Ayham Ayham</t>
  </si>
  <si>
    <t>Shova’s Life in London</t>
  </si>
  <si>
    <t>SAIMA'S Recipe</t>
  </si>
  <si>
    <t>Hugo Izarra</t>
  </si>
  <si>
    <t>Bissen</t>
  </si>
  <si>
    <t>Spiccatoarco</t>
  </si>
  <si>
    <t>possibletrees</t>
  </si>
  <si>
    <t>Marina Savira</t>
  </si>
  <si>
    <t>She'aShaunna Egling</t>
  </si>
  <si>
    <t>Anna Gianneli</t>
  </si>
  <si>
    <t>cheekyegg</t>
  </si>
  <si>
    <t>K T</t>
  </si>
  <si>
    <t>Mark Brydon-Taylor</t>
  </si>
  <si>
    <t>John Garcia</t>
  </si>
  <si>
    <t>Navigator Systems Ltd</t>
  </si>
  <si>
    <t>JAS BARN</t>
  </si>
  <si>
    <t>deborah Rogers</t>
  </si>
  <si>
    <t>Lucy Potter</t>
  </si>
  <si>
    <t>Julia Nuttall</t>
  </si>
  <si>
    <t>gratitude</t>
  </si>
  <si>
    <t>Jane Elizabeth</t>
  </si>
  <si>
    <t>DebbieAS68</t>
  </si>
  <si>
    <t>Adrian A</t>
  </si>
  <si>
    <t>Mary Connelly</t>
  </si>
  <si>
    <t>G</t>
  </si>
  <si>
    <t>Ryan and Aiden</t>
  </si>
  <si>
    <t>My Model Mummy VLog</t>
  </si>
  <si>
    <t>Colleen</t>
  </si>
  <si>
    <t>Toni Nesbeth</t>
  </si>
  <si>
    <t>Crystal Frager</t>
  </si>
  <si>
    <t>cathyloves</t>
  </si>
  <si>
    <t>Maxine So Bless</t>
  </si>
  <si>
    <t>rayzorhead</t>
  </si>
  <si>
    <t>SD Bella</t>
  </si>
  <si>
    <t>Treasures of Plantz</t>
  </si>
  <si>
    <t>Nadia</t>
  </si>
  <si>
    <t>carol ann phillips</t>
  </si>
  <si>
    <t>Lyndsey Williams</t>
  </si>
  <si>
    <t>Bonnie C</t>
  </si>
  <si>
    <t>Lara Muria</t>
  </si>
  <si>
    <t>Rachel C</t>
  </si>
  <si>
    <t>Caroline Mumzie</t>
  </si>
  <si>
    <t>Julie Davies</t>
  </si>
  <si>
    <t>Farhat Choudhry</t>
  </si>
  <si>
    <t>Hilda G</t>
  </si>
  <si>
    <t>M O N K E Y - T R I A L . . .</t>
  </si>
  <si>
    <t>Sandra Mullen</t>
  </si>
  <si>
    <t>Sue Thomas</t>
  </si>
  <si>
    <t>Sally Odeh</t>
  </si>
  <si>
    <t>Nadia S</t>
  </si>
  <si>
    <t>Lifestyle Hal</t>
  </si>
  <si>
    <t>Acreative A</t>
  </si>
  <si>
    <t>Abdi Hassan</t>
  </si>
  <si>
    <t>jgmaio</t>
  </si>
  <si>
    <t>MR Craft dotcom</t>
  </si>
  <si>
    <t>SN Happy lands.</t>
  </si>
  <si>
    <t>Lewis W</t>
  </si>
  <si>
    <t>Bobby Rudman</t>
  </si>
  <si>
    <t>Cynthia Lenz</t>
  </si>
  <si>
    <t>Alison Sargeant</t>
  </si>
  <si>
    <t>Jik mik daily life</t>
  </si>
  <si>
    <t>Jeanne Walter</t>
  </si>
  <si>
    <t>Kate McCabe</t>
  </si>
  <si>
    <t>C</t>
  </si>
  <si>
    <t>DebsLuvsMusic</t>
  </si>
  <si>
    <t>countrybobbins</t>
  </si>
  <si>
    <t>Laura Filby</t>
  </si>
  <si>
    <t>julia arthur</t>
  </si>
  <si>
    <t>diane randell</t>
  </si>
  <si>
    <t>Lorna Harkin</t>
  </si>
  <si>
    <t>Leeza Sims</t>
  </si>
  <si>
    <t>Deborah McLean</t>
  </si>
  <si>
    <t>Jo Dhavi</t>
  </si>
  <si>
    <t>Petra Zapata</t>
  </si>
  <si>
    <t>vmajavestergaard</t>
  </si>
  <si>
    <t>Orchid</t>
  </si>
  <si>
    <t>Mar Garcia</t>
  </si>
  <si>
    <t>Carrie D</t>
  </si>
  <si>
    <t>Ruban S</t>
  </si>
  <si>
    <t>Karen Roberton</t>
  </si>
  <si>
    <t>Catherine P</t>
  </si>
  <si>
    <t>Christine Matias</t>
  </si>
  <si>
    <t>faerianne</t>
  </si>
  <si>
    <t>Jessica April</t>
  </si>
  <si>
    <t>Nikola Bailey</t>
  </si>
  <si>
    <t>pixy Roy</t>
  </si>
  <si>
    <t>Amazing Grace Empowerment Ministries, Inc.</t>
  </si>
  <si>
    <t>anthony lewis</t>
  </si>
  <si>
    <t>Terri Oakley</t>
  </si>
  <si>
    <t>shufify</t>
  </si>
  <si>
    <t>cc31952</t>
  </si>
  <si>
    <t>Nan Ov4</t>
  </si>
  <si>
    <t>Sue Cox</t>
  </si>
  <si>
    <t>JAYANTA</t>
  </si>
  <si>
    <t>S Sri</t>
  </si>
  <si>
    <t>Roxane Meunier</t>
  </si>
  <si>
    <t>Little Dotti</t>
  </si>
  <si>
    <t>Angie Lowe</t>
  </si>
  <si>
    <t>trashlen</t>
  </si>
  <si>
    <t>Zara R</t>
  </si>
  <si>
    <t>In Search of Ambience</t>
  </si>
  <si>
    <t>EarthCirconference By OB</t>
  </si>
  <si>
    <t>patdevine59</t>
  </si>
  <si>
    <t>Susan Smith</t>
  </si>
  <si>
    <t>K. B</t>
  </si>
  <si>
    <t>Rey Jaramillo</t>
  </si>
  <si>
    <t>Jacquie Mortimer</t>
  </si>
  <si>
    <t>Dwight Slemmons</t>
  </si>
  <si>
    <t>Teresa Baltazar</t>
  </si>
  <si>
    <t>Harpreet Kaur</t>
  </si>
  <si>
    <t>Samantha Johnson</t>
  </si>
  <si>
    <t>Kavita Babla</t>
  </si>
  <si>
    <t>Katy Standen</t>
  </si>
  <si>
    <t>Sandra Ashcroft</t>
  </si>
  <si>
    <t>Ashley Wellington</t>
  </si>
  <si>
    <t>Liz Smith</t>
  </si>
  <si>
    <t>Deborah Bavas</t>
  </si>
  <si>
    <t>Linda Hunter</t>
  </si>
  <si>
    <t>brian gleason</t>
  </si>
  <si>
    <t>Time For T</t>
  </si>
  <si>
    <t>Paul B</t>
  </si>
  <si>
    <t>Daniel Hsu 丹尼爾</t>
  </si>
  <si>
    <t>animeducky9</t>
  </si>
  <si>
    <t>Josipa O.</t>
  </si>
  <si>
    <t>yyysboy1</t>
  </si>
  <si>
    <t>SimpLee Beth</t>
  </si>
  <si>
    <t>Piuza P</t>
  </si>
  <si>
    <t>Vonnie Channel</t>
  </si>
  <si>
    <t>maria de jucilene</t>
  </si>
  <si>
    <t>Rebranding Me</t>
  </si>
  <si>
    <t>Rosie</t>
  </si>
  <si>
    <t>Louise Aljaradat</t>
  </si>
  <si>
    <t>Alice Honey</t>
  </si>
  <si>
    <t>Cliff Swann</t>
  </si>
  <si>
    <t>Jenny</t>
  </si>
  <si>
    <t>Debbie Vidal</t>
  </si>
  <si>
    <t>Kerry Tyrer</t>
  </si>
  <si>
    <t>Geeta and Rajeev</t>
  </si>
  <si>
    <t>My Little Garden</t>
  </si>
  <si>
    <t>Jane Cross</t>
  </si>
  <si>
    <t>Denise W.</t>
  </si>
  <si>
    <t>Lyn Chalk</t>
  </si>
  <si>
    <t>Crystals and Chimes</t>
  </si>
  <si>
    <t>3stanity (Stanly L)</t>
  </si>
  <si>
    <t>Lynn Gronnow</t>
  </si>
  <si>
    <t>Ibislife</t>
  </si>
  <si>
    <t>jdcm school</t>
  </si>
  <si>
    <t>Travel addict family</t>
  </si>
  <si>
    <t>ravi dutt suman</t>
  </si>
  <si>
    <t>Lemon Rhode</t>
  </si>
  <si>
    <t>Self Sufficient Me</t>
  </si>
  <si>
    <t>Molly Smith</t>
  </si>
  <si>
    <t>Elsie Theobald</t>
  </si>
  <si>
    <t>Andy Macdonald</t>
  </si>
  <si>
    <t>Tomato Geeks</t>
  </si>
  <si>
    <t>pongopom</t>
  </si>
  <si>
    <t>Desert Plants of Avalon</t>
  </si>
  <si>
    <t>Foodie Laura</t>
  </si>
  <si>
    <t>Malcolm Brown</t>
  </si>
  <si>
    <t>Kate Banfield</t>
  </si>
  <si>
    <t>Linda Penney</t>
  </si>
  <si>
    <t>The Dutch Homesteader</t>
  </si>
  <si>
    <t>Gardening With Spirit</t>
  </si>
  <si>
    <t>Ssupermom12000</t>
  </si>
  <si>
    <t>LARK'S GARDENS</t>
  </si>
  <si>
    <t>Patrick Meehan</t>
  </si>
  <si>
    <t>The Allotment Bubble</t>
  </si>
  <si>
    <t>Sandra Carter</t>
  </si>
  <si>
    <t>grumpy poo</t>
  </si>
  <si>
    <t>Elaine's plots</t>
  </si>
  <si>
    <t>RD Kitchen Garden</t>
  </si>
  <si>
    <t>Lois Campbell</t>
  </si>
  <si>
    <t>Mick Poultney</t>
  </si>
  <si>
    <t>Azizul Hakeem</t>
  </si>
  <si>
    <t>Антон Вітюк</t>
  </si>
  <si>
    <t>Sketch By Krishan</t>
  </si>
  <si>
    <t xml:space="preserve">Serena D Alexander </t>
  </si>
  <si>
    <t>Rawsomehealthy</t>
  </si>
  <si>
    <t>Stephen Woolston Coach and Trainer</t>
  </si>
  <si>
    <t>Jenny Bellido</t>
  </si>
  <si>
    <t>Ugo Arinzeh</t>
  </si>
  <si>
    <t>Carol Mould - Project Leadership Coach</t>
  </si>
  <si>
    <t>Geoffrey Setiawan</t>
  </si>
  <si>
    <t>Dr. Jon Tam - Career Clarity Coach</t>
  </si>
  <si>
    <t>Tanya Paulin</t>
  </si>
  <si>
    <t>Daryl Ballard</t>
  </si>
  <si>
    <t>Social Confidence Mastery</t>
  </si>
  <si>
    <t>Intentional Marriages - Danielle &amp; Russ West</t>
  </si>
  <si>
    <t>Kimo Craft</t>
  </si>
  <si>
    <t>Epic Real Estate Investing</t>
  </si>
  <si>
    <t>Debbie Thompson</t>
  </si>
  <si>
    <t>Anastasia Hill</t>
  </si>
  <si>
    <t>Raymond Fernandez Realtor</t>
  </si>
  <si>
    <t>Dr Sno</t>
  </si>
  <si>
    <t>The Florida Agents</t>
  </si>
  <si>
    <t>Coach Viva</t>
  </si>
  <si>
    <t>senad khalfa</t>
  </si>
  <si>
    <t>Kris Kazlauskaite</t>
  </si>
  <si>
    <t>Mario Cavagnaro</t>
  </si>
  <si>
    <t>MARIO D.</t>
  </si>
  <si>
    <t>RolandAndOkola</t>
  </si>
  <si>
    <t>Inzamamulhaq Haq</t>
  </si>
  <si>
    <t>Hellsbells *</t>
  </si>
  <si>
    <t>Mari Bootz</t>
  </si>
  <si>
    <t>Nemanja Filipović</t>
  </si>
  <si>
    <t>Hannah De Coster</t>
  </si>
  <si>
    <t>Carolanne Titmus</t>
  </si>
  <si>
    <t>Mandy Jane</t>
  </si>
  <si>
    <t>Loulou's Corner</t>
  </si>
  <si>
    <t>Will William</t>
  </si>
  <si>
    <t>Pleasant Prickles</t>
  </si>
  <si>
    <t>Tammy Finch</t>
  </si>
  <si>
    <t>Shell Belle</t>
  </si>
  <si>
    <t>soniabebbington</t>
  </si>
  <si>
    <t>Viv'sALittleBitCrafty</t>
  </si>
  <si>
    <t>Kathy Gilbreath</t>
  </si>
  <si>
    <t>dexterelementfighter</t>
  </si>
  <si>
    <t>Barbara Jones</t>
  </si>
  <si>
    <t>K O</t>
  </si>
  <si>
    <t>Given To Grow</t>
  </si>
  <si>
    <t>Sunny Days</t>
  </si>
  <si>
    <t>Jan Enderwitz</t>
  </si>
  <si>
    <t>Hermit Hill Farm</t>
  </si>
  <si>
    <t>s a r a . r</t>
  </si>
  <si>
    <t>Uriel muy bonitas ideas lo q se puede aser Gonzalez</t>
  </si>
  <si>
    <t>Indian Terrace Gardening Art</t>
  </si>
  <si>
    <t>Caroline Gray</t>
  </si>
  <si>
    <t>Anzelika Vasiljeviene</t>
  </si>
  <si>
    <t>Kirsten Cook</t>
  </si>
  <si>
    <t>APK Dachy Zielone</t>
  </si>
  <si>
    <t>Mo Kassabian Svendsen</t>
  </si>
  <si>
    <t>Nova Verse</t>
  </si>
  <si>
    <t>applecom1de</t>
  </si>
  <si>
    <t>Flash FM</t>
  </si>
  <si>
    <t>Paul Y</t>
  </si>
  <si>
    <t>W Ya</t>
  </si>
  <si>
    <t>Houba Hop</t>
  </si>
  <si>
    <t>Gardenvisit.com</t>
  </si>
  <si>
    <t>Emily Glover</t>
  </si>
  <si>
    <t>LADmob - UNSEEN walks</t>
  </si>
  <si>
    <t>KC T</t>
  </si>
  <si>
    <t>Sammy B.</t>
  </si>
  <si>
    <t>lesleyuk</t>
  </si>
  <si>
    <t>annarita nardella</t>
  </si>
  <si>
    <t>CONY PEMO</t>
  </si>
  <si>
    <t>Santakumari Chunduri</t>
  </si>
  <si>
    <t>Imran Zazai</t>
  </si>
  <si>
    <t>Sharifa's Lifestyle &amp; Cooking</t>
  </si>
  <si>
    <t>En Harmony</t>
  </si>
  <si>
    <t>SHOEWALKER - FreeTour</t>
  </si>
  <si>
    <t>jecris channel</t>
  </si>
  <si>
    <t>Gary English</t>
  </si>
  <si>
    <t>Violin Star</t>
  </si>
  <si>
    <t>Pablo Amat Gómez</t>
  </si>
  <si>
    <t>Timinenfield</t>
  </si>
  <si>
    <t>Love and London</t>
  </si>
  <si>
    <t>DrBrazell</t>
  </si>
  <si>
    <t>Lennart Beat</t>
  </si>
  <si>
    <t>Stephen Parker</t>
  </si>
  <si>
    <t>Beefstu808</t>
  </si>
  <si>
    <t>jacob harris</t>
  </si>
  <si>
    <t>Mark Monroe</t>
  </si>
  <si>
    <t>OjosAzules 88</t>
  </si>
  <si>
    <t>Marin Angelov</t>
  </si>
  <si>
    <t>Arthur Gatward</t>
  </si>
  <si>
    <t>Arturo SM</t>
  </si>
  <si>
    <t>Red Squirrel</t>
  </si>
  <si>
    <t>Oded Gvaram</t>
  </si>
  <si>
    <t>Napoleon Santos</t>
  </si>
  <si>
    <t>Vio Uk</t>
  </si>
  <si>
    <t>Rosie Cotton</t>
  </si>
  <si>
    <t>John F</t>
  </si>
  <si>
    <t>Jerome Lim</t>
  </si>
  <si>
    <t>Christina</t>
  </si>
  <si>
    <t>Castlelad</t>
  </si>
  <si>
    <t>Roaming Required</t>
  </si>
  <si>
    <t>Lia Hatzakis</t>
  </si>
  <si>
    <t>juozas kasiulis</t>
  </si>
  <si>
    <t>Pablo Federico Fidel Améndola</t>
  </si>
  <si>
    <t>SA GS</t>
  </si>
  <si>
    <t>Dana Kreft</t>
  </si>
  <si>
    <t>Audrey Schoolcraft</t>
  </si>
  <si>
    <t>Paul Schröder</t>
  </si>
  <si>
    <t>Lori Deatherage</t>
  </si>
  <si>
    <t>Kayla Schregardus</t>
  </si>
  <si>
    <t>Baba Ramdev COOL _xD83C__xDFC4_ LIFE</t>
  </si>
  <si>
    <t>Chris Peters</t>
  </si>
  <si>
    <t>John Baker</t>
  </si>
  <si>
    <t>Dude!</t>
  </si>
  <si>
    <t>Sophie</t>
  </si>
  <si>
    <t>Todd Boothbee</t>
  </si>
  <si>
    <t>namakurinda</t>
  </si>
  <si>
    <t>WITCH TITZ</t>
  </si>
  <si>
    <t>santi</t>
  </si>
  <si>
    <t>Lisa Schlotthauer</t>
  </si>
  <si>
    <t>no po</t>
  </si>
  <si>
    <t>fran mellor</t>
  </si>
  <si>
    <t>Carl T</t>
  </si>
  <si>
    <t>Richard Moore</t>
  </si>
  <si>
    <t>Paul Robinson</t>
  </si>
  <si>
    <t>Racqs Real</t>
  </si>
  <si>
    <t>L C</t>
  </si>
  <si>
    <t>Ulises Lira</t>
  </si>
  <si>
    <t>Nima Green</t>
  </si>
  <si>
    <t>Wendy Mitchell</t>
  </si>
  <si>
    <t>Photo Genius</t>
  </si>
  <si>
    <t>Jason Yu</t>
  </si>
  <si>
    <t>Katarzyna Karpierz</t>
  </si>
  <si>
    <t>schmomu</t>
  </si>
  <si>
    <t>meletispix</t>
  </si>
  <si>
    <t>Stewart Carter</t>
  </si>
  <si>
    <t>Henry Young</t>
  </si>
  <si>
    <t>Dom Ashoka</t>
  </si>
  <si>
    <t>Marco Russo Travel Photography</t>
  </si>
  <si>
    <t>Vicky Shukla</t>
  </si>
  <si>
    <t>ShortiesPhotography1970 .Bryan.</t>
  </si>
  <si>
    <t>Stephen Ratke</t>
  </si>
  <si>
    <t>Eros Vellucci Vlogs</t>
  </si>
  <si>
    <t>David Hutchison</t>
  </si>
  <si>
    <t>SeguirViajando</t>
  </si>
  <si>
    <t>Lucie Newman</t>
  </si>
  <si>
    <t>Nasa Space</t>
  </si>
  <si>
    <t>Sandeep and Samprit's World</t>
  </si>
  <si>
    <t>Shika Bardhan</t>
  </si>
  <si>
    <t>Puja Dey</t>
  </si>
  <si>
    <t>Ruma Dey</t>
  </si>
  <si>
    <t>Cooking Corner By Kamelia</t>
  </si>
  <si>
    <t>Sandeep Dey</t>
  </si>
  <si>
    <t>Anusri Chowdhury</t>
  </si>
  <si>
    <t>Ripa khan</t>
  </si>
  <si>
    <t>Succulent Social</t>
  </si>
  <si>
    <t>ARTY IDEAS WITH PREETI</t>
  </si>
  <si>
    <t>Daniel Berende</t>
  </si>
  <si>
    <t>ManOnTheMoon</t>
  </si>
  <si>
    <t>settime2588</t>
  </si>
  <si>
    <t>David</t>
  </si>
  <si>
    <t>Dima Nemcov cz</t>
  </si>
  <si>
    <t>Magdalena Olszyk</t>
  </si>
  <si>
    <t>By the Numbers</t>
  </si>
  <si>
    <t>WIEHAG Timber Construction</t>
  </si>
  <si>
    <t>Jens Aukema</t>
  </si>
  <si>
    <t>bbohemi s</t>
  </si>
  <si>
    <t>antonias life</t>
  </si>
  <si>
    <t>Watched Walker</t>
  </si>
  <si>
    <t>Dee</t>
  </si>
  <si>
    <t>Shubham Choudhary</t>
  </si>
  <si>
    <t>Pasha Khan</t>
  </si>
  <si>
    <t>A Bertolucci</t>
  </si>
  <si>
    <t>ColeinOne</t>
  </si>
  <si>
    <t>Philip Hay</t>
  </si>
  <si>
    <t>Владимир Кожин</t>
  </si>
  <si>
    <t>London0701</t>
  </si>
  <si>
    <t>dana brichtova</t>
  </si>
  <si>
    <t>Houda Belala</t>
  </si>
  <si>
    <t>Belen Fernandez Prieto</t>
  </si>
  <si>
    <t>Kathy Davis</t>
  </si>
  <si>
    <t>msee</t>
  </si>
  <si>
    <t>Lynne Morris</t>
  </si>
  <si>
    <t>evancortez2</t>
  </si>
  <si>
    <t>TalsVids</t>
  </si>
  <si>
    <t>Wanna Walk</t>
  </si>
  <si>
    <t>More Locations</t>
  </si>
  <si>
    <t>Patty at Rumdycreations</t>
  </si>
  <si>
    <t>Distant Light Productions</t>
  </si>
  <si>
    <t>abishe prince</t>
  </si>
  <si>
    <t>Ambient Walking</t>
  </si>
  <si>
    <t>Walking Tours</t>
  </si>
  <si>
    <t>ADAM</t>
  </si>
  <si>
    <t>Наталия Натали</t>
  </si>
  <si>
    <t>Judith Bateson</t>
  </si>
  <si>
    <t>Space Gleam Fiction</t>
  </si>
  <si>
    <t>Delhi Walker</t>
  </si>
  <si>
    <t>ioanamartin</t>
  </si>
  <si>
    <t>Hasan Khan</t>
  </si>
  <si>
    <t>ActionKid</t>
  </si>
  <si>
    <t>ait Chichar</t>
  </si>
  <si>
    <t>Pagla Ghora</t>
  </si>
  <si>
    <t>titussoul64</t>
  </si>
  <si>
    <t>Arnel A</t>
  </si>
  <si>
    <t>LouHarv</t>
  </si>
  <si>
    <t>Carina Amoroso</t>
  </si>
  <si>
    <t>Epic Ellen</t>
  </si>
  <si>
    <t>London Night Guide</t>
  </si>
  <si>
    <t>UgydaH-DtRpsYuBse814AaABAg</t>
  </si>
  <si>
    <t>Ugwyyc803y8MKQvxtwF4AaABAg</t>
  </si>
  <si>
    <t>UgyMbj53tG7751y-w414AaABAg</t>
  </si>
  <si>
    <t>UgwlHNTOM7eSZxRioiN4AaABAg</t>
  </si>
  <si>
    <t>UgwuvDRG3-w7RvtHF1B4AaABAg</t>
  </si>
  <si>
    <t>UgxZOa6bWLYgE0Z1HcF4AaABAg</t>
  </si>
  <si>
    <t>UgxubH-w67NXzlXiLZJ4AaABAg</t>
  </si>
  <si>
    <t>Ugy8oEFdHzFmtt_2V-54AaABAg</t>
  </si>
  <si>
    <t>UgwEUSPeIpY8gQeK-5d4AaABAg</t>
  </si>
  <si>
    <t>UgybQDqd2A0J5MO-8CR4AaABAg</t>
  </si>
  <si>
    <t>Ugwl1kwHKPqrXKxEv2d4AaABAg</t>
  </si>
  <si>
    <t>UgylsrI0HBKcfbeB3At4AaABAg</t>
  </si>
  <si>
    <t>UgxqfU_2H6N6SOcZ13l4AaABAg</t>
  </si>
  <si>
    <t>UgyKAKoDKdfOqxteIhF4AaABAg</t>
  </si>
  <si>
    <t>UgxrAEcFq3URVy9WMWd4AaABAg</t>
  </si>
  <si>
    <t>Ugzyvs44xHZnq795FVB4AaABAg</t>
  </si>
  <si>
    <t>Ugy7xif2no17baedhdl4AaABAg</t>
  </si>
  <si>
    <t>UgysNOmRz1Vlm-73RAx4AaABAg</t>
  </si>
  <si>
    <t>UgyR1JKmbP48I9vaRQt4AaABAg</t>
  </si>
  <si>
    <t>Ugz22pkeKpxgjuUncLx4AaABAg</t>
  </si>
  <si>
    <t>Ugy4g4j_dnVExjLVVn94AaABAg</t>
  </si>
  <si>
    <t>UgyM8SyxFgQkMO_29ZZ4AaABAg</t>
  </si>
  <si>
    <t>Ugz6UR-AgwcwBklqS9Z4AaABAg</t>
  </si>
  <si>
    <t>Ugx7L_yyL5mtgpaBpdh4AaABAg</t>
  </si>
  <si>
    <t>Ugxga_HMuUEjdzaIk5l4AaABAg</t>
  </si>
  <si>
    <t>UgyE1nAUih7FNvg_CiV4AaABAg</t>
  </si>
  <si>
    <t>Ugxesz4UGVFB5e-Ok2p4AaABAg</t>
  </si>
  <si>
    <t>UgzqchurHdqOkIFtCSB4AaABAg</t>
  </si>
  <si>
    <t>UgzXYMAa3wQ3mrV-LHF4AaABAg</t>
  </si>
  <si>
    <t>Ugw3fdy0y-OcRL6FDtF4AaABAg</t>
  </si>
  <si>
    <t>UgxZId6dqtsJIdMUkNR4AaABAg</t>
  </si>
  <si>
    <t>UgwBldw_DXGgQCuTerZ4AaABAg</t>
  </si>
  <si>
    <t>Ugwtkr7Bowq9oewowqB4AaABAg</t>
  </si>
  <si>
    <t>Ugw43NVHgGylN7ByedZ4AaABAg</t>
  </si>
  <si>
    <t>UgxGnJb3wZy-l5HoKzR4AaABAg</t>
  </si>
  <si>
    <t>UgzmXQnqlkls-vY2EgN4AaABAg</t>
  </si>
  <si>
    <t>UgzBoQBHNphQOIOTWo94AaABAg</t>
  </si>
  <si>
    <t>UgznjzYqWDgcWEWb68J4AaABAg</t>
  </si>
  <si>
    <t>UgyzgE5woA7J2pcGcsB4AaABAg</t>
  </si>
  <si>
    <t>UgxqEWDooqubKuymd4p4AaABAg</t>
  </si>
  <si>
    <t>Ugxv_AHI6yegY2-8V6N4AaABAg</t>
  </si>
  <si>
    <t>UgwB5w4BZZRInAF12Jl4AaABAg</t>
  </si>
  <si>
    <t>Ugx5DVa66wrVe1hl4Ix4AaABAg</t>
  </si>
  <si>
    <t>UgwBrVcVNrVo-LTcC6V4AaABAg</t>
  </si>
  <si>
    <t>UgwAJC2CEN5BLTgBUQF4AaABAg</t>
  </si>
  <si>
    <t>UgyrOmlEH2L_DYSO0F14AaABAg</t>
  </si>
  <si>
    <t>UgzUTPGn3JU8qVdUcep4AaABAg</t>
  </si>
  <si>
    <t>UgygnqH8rmno-CWbLSN4AaABAg</t>
  </si>
  <si>
    <t>UgzEC1cGx5Lpqdz7ukV4AaABAg</t>
  </si>
  <si>
    <t>UgwaJtW3pDHIbBW-YSx4AaABAg</t>
  </si>
  <si>
    <t>Ugx5Ru2knQHtGgCDfB54AaABAg</t>
  </si>
  <si>
    <t>UgytkhC6FujsnMsqC_d4AaABAg</t>
  </si>
  <si>
    <t>UgxBJpnzj9YSbET9Nd14AaABAg</t>
  </si>
  <si>
    <t>UgyIxTwVQXlL-yeApol4AaABAg</t>
  </si>
  <si>
    <t>UgxWNYyNp6MFIPPQjqd4AaABAg</t>
  </si>
  <si>
    <t>UgzpLhmQCQ0xbiBPWNp4AaABAg</t>
  </si>
  <si>
    <t>UgwVxqQg9GM7S-xnX1N4AaABAg</t>
  </si>
  <si>
    <t>UgybQexTXtVrG6BJg0p4AaABAg</t>
  </si>
  <si>
    <t>UgwLovBVNjaUAlDxHiN4AaABAg</t>
  </si>
  <si>
    <t>UgzwkbGWEtGi40Jjgr54AaABAg</t>
  </si>
  <si>
    <t>UgyxcpAPZ0upEsCvAJp4AaABAg</t>
  </si>
  <si>
    <t>UgxOU8eJd3-rYE8G8oJ4AaABAg</t>
  </si>
  <si>
    <t>UgxGqyhS6R67gkBrWlR4AaABAg</t>
  </si>
  <si>
    <t>Ugz-7wzo0gv0f4icSeR4AaABAg</t>
  </si>
  <si>
    <t>Ugy_uSConYrHTezzrTJ4AaABAg</t>
  </si>
  <si>
    <t>UgzRZn9SoYWBEMXvgwd4AaABAg</t>
  </si>
  <si>
    <t>UgwHQrGqqFx_v33WWB94AaABAg</t>
  </si>
  <si>
    <t>UgxDLNr_R9elJgRKNtp4AaABAg</t>
  </si>
  <si>
    <t>UgwJrnyHPD7Ige29KrF4AaABAg</t>
  </si>
  <si>
    <t>UgwPD8X74-Obbk0S7HZ4AaABAg</t>
  </si>
  <si>
    <t>Ugy6_t44CIaDXvuG2iR4AaABAg</t>
  </si>
  <si>
    <t>UgwlOiN-qrqJ6OKcxaZ4AaABAg</t>
  </si>
  <si>
    <t>UgytbzyH5G4RJQJvMCB4AaABAg</t>
  </si>
  <si>
    <t>UgxcdaZcIkrdJqdPpbJ4AaABAg</t>
  </si>
  <si>
    <t>UgwfbQpWx37tRpt-qHV4AaABAg</t>
  </si>
  <si>
    <t>UgwIYc8jcEHBDd4caMF4AaABAg</t>
  </si>
  <si>
    <t>UgxqE7PJFIPZcNQXrLB4AaABAg</t>
  </si>
  <si>
    <t>UgzaTelS7f817XP6dZ54AaABAg</t>
  </si>
  <si>
    <t>Ugx4Gl_v70Q-AQFgZ2x4AaABAg</t>
  </si>
  <si>
    <t>Ugwm2o2xwKA-eSxXlQh4AaABAg</t>
  </si>
  <si>
    <t>UgwZiaJtrZPD8IgN5yt4AaABAg</t>
  </si>
  <si>
    <t>UgwnKn6rcmV1AFvGqzZ4AaABAg</t>
  </si>
  <si>
    <t>UgxrvZgLhsu4g30ccgt4AaABAg</t>
  </si>
  <si>
    <t>UgwBUqhoZD3bn40Qo9x4AaABAg</t>
  </si>
  <si>
    <t>Ugz79E5bCVCFjI4aJCV4AaABAg</t>
  </si>
  <si>
    <t>Ugwb0mD1W7or-_s1sAV4AaABAg</t>
  </si>
  <si>
    <t>UgxhopzfxtWTPhNw0514AaABAg</t>
  </si>
  <si>
    <t>Ugx63qep7nARULeBt8h4AaABAg</t>
  </si>
  <si>
    <t>UgySDgZZdAlmBtLERMJ4AaABAg</t>
  </si>
  <si>
    <t>UgxBY1qAa1Dtva2bNcN4AaABAg</t>
  </si>
  <si>
    <t>UgwAVWIV8baVbGb5NQh4AaABAg</t>
  </si>
  <si>
    <t>UgytjTLEQSrh8KqKb3J4AaABAg</t>
  </si>
  <si>
    <t>UgyEGhFIpO7VNvxXanx4AaABAg</t>
  </si>
  <si>
    <t>UgxWU1GPwWzIaSpzdah4AaABAg</t>
  </si>
  <si>
    <t>UgzhOhR6QrMsGpgOIph4AaABAg</t>
  </si>
  <si>
    <t>UgyomIkyblpldXBVcrV4AaABAg</t>
  </si>
  <si>
    <t>UgwzWFq_6uyyM4gkJXh4AaABAg</t>
  </si>
  <si>
    <t>UgxINNRhV2eibFQ7yXt4AaABAg</t>
  </si>
  <si>
    <t>Ugzi_SpO2boFDdu47n54AaABAg</t>
  </si>
  <si>
    <t>UgwzE83P2XEifUz0I-94AaABAg</t>
  </si>
  <si>
    <t>UgwfUJHDLPGzT9j96LB4AaABAg</t>
  </si>
  <si>
    <t>Ugw78WBCT-DBO16SKp14AaABAg</t>
  </si>
  <si>
    <t>Ugy2uU30MFaAR5mf71F4AaABAg</t>
  </si>
  <si>
    <t>UgxiJuVG-lkluVwD3GR4AaABAg</t>
  </si>
  <si>
    <t>UgwC6usufpp2oipgkNh4AaABAg</t>
  </si>
  <si>
    <t>UgzJRfiIB9MiOMZnu6R4AaABAg</t>
  </si>
  <si>
    <t>Ugwu3kVVsVYqigWE-fN4AaABAg</t>
  </si>
  <si>
    <t>Ugy-uqG0U0_NiRmIZUh4AaABAg</t>
  </si>
  <si>
    <t>UgxladXHFPNQbX9M97p4AaABAg</t>
  </si>
  <si>
    <t>UghpveUDSapzvXgCoAEC</t>
  </si>
  <si>
    <t>UggAyrInroNFrXgCoAEC</t>
  </si>
  <si>
    <t>UgwilFhi_TjMwttr6KN4AaABAg</t>
  </si>
  <si>
    <t>UgwcoTwwiHBaQYeYPhJ4AaABAg</t>
  </si>
  <si>
    <t>UgwMnbz5bnXj6Sl45mN4AaABAg</t>
  </si>
  <si>
    <t>Ugzu3a3fTKYDoI5DEpl4AaABAg</t>
  </si>
  <si>
    <t>Ugzy4bLTxaEc9fsUC7V4AaABAg</t>
  </si>
  <si>
    <t>UgyJbf1S3BCCj4xuTXd4AaABAg</t>
  </si>
  <si>
    <t>UgxQFet6EC-Wh3mpp8J4AaABAg</t>
  </si>
  <si>
    <t>Ugw4_PPSzIGsINBEU7l4AaABAg</t>
  </si>
  <si>
    <t>UgxOHL-GIeIV-OPF8ix4AaABAg</t>
  </si>
  <si>
    <t>Ugx2SDsxwwHGMdGWleB4AaABAg</t>
  </si>
  <si>
    <t>UgyP84PfZeAG4t2Z8bt4AaABAg</t>
  </si>
  <si>
    <t>UgzzTB6SzxoqnNmSW2B4AaABAg</t>
  </si>
  <si>
    <t>Ugy0ON9CqK2iALa-zu14AaABAg</t>
  </si>
  <si>
    <t>UgyuyTXEQbzTs4qh9zN4AaABAg</t>
  </si>
  <si>
    <t>Ugy5_ZgbnzmIaQSIt7B4AaABAg</t>
  </si>
  <si>
    <t>UgzVz7ksHqS0eMpAw014AaABAg</t>
  </si>
  <si>
    <t>Ugy34XtwJwrOOSPWYTd4AaABAg</t>
  </si>
  <si>
    <t>UgwqSpzQioBThci86kR4AaABAg</t>
  </si>
  <si>
    <t>UgwLR9AIeYctr1LdIYl4AaABAg</t>
  </si>
  <si>
    <t>Ugyd9rYVl-VsIfmG6ft4AaABAg</t>
  </si>
  <si>
    <t>Ugz1ZILUh9GisgbYPeJ4AaABAg</t>
  </si>
  <si>
    <t>Ugx-venfdMmx-I3XXzZ4AaABAg</t>
  </si>
  <si>
    <t>UgzK2lk9plgJbXe9mGh4AaABAg</t>
  </si>
  <si>
    <t>UgzyvdkAdnMrIjPiwl14AaABAg</t>
  </si>
  <si>
    <t>UgxyXYEudd5bpl5F6114AaABAg</t>
  </si>
  <si>
    <t>UgzKyljFoSvwhpqk0CJ4AaABAg</t>
  </si>
  <si>
    <t>UgzPaXGWRzRLSFtsElJ4AaABAg</t>
  </si>
  <si>
    <t>Ugx7CP47RdC1MVFEgTh4AaABAg</t>
  </si>
  <si>
    <t>UgzdiT5EcXgzYxgYz4d4AaABAg</t>
  </si>
  <si>
    <t>UgwMHLgieRgaq_oNNvt4AaABAg</t>
  </si>
  <si>
    <t>UgxuF2l4CZUojBDrvsp4AaABAg</t>
  </si>
  <si>
    <t>UgxCc_i-bUI9__DMLYV4AaABAg</t>
  </si>
  <si>
    <t>UgyFhJT76bpVg-T1Xn14AaABAg</t>
  </si>
  <si>
    <t>UgwTC5noe3qJVT6iV514AaABAg</t>
  </si>
  <si>
    <t>UgxGnNbjK1g89kf9Ms14AaABAg</t>
  </si>
  <si>
    <t>UgyM-gCXIYQnxGTJBU14AaABAg</t>
  </si>
  <si>
    <t>UgwIg29X3O-JpsDHXFN4AaABAg</t>
  </si>
  <si>
    <t>Ugwty8Kcyl8PAx6HsRF4AaABAg</t>
  </si>
  <si>
    <t>Ugxi8G1QL5W5nO-ecc54AaABAg</t>
  </si>
  <si>
    <t>UgwHPBkfp76Txouqx9R4AaABAg</t>
  </si>
  <si>
    <t>Ugz74MzaojICis2yvwl4AaABAg</t>
  </si>
  <si>
    <t>UgyubOWT5riN45xI1oh4AaABAg</t>
  </si>
  <si>
    <t>UgyXx1U9PN41zeRk_d54AaABAg</t>
  </si>
  <si>
    <t>Ugx0CfvvHQAN_JT5KdV4AaABAg</t>
  </si>
  <si>
    <t>UgwF3xLQMNdCNcgCqF94AaABAg</t>
  </si>
  <si>
    <t>Ugy_G69K0_Z2FwlbH7x4AaABAg</t>
  </si>
  <si>
    <t>UgzPKW0O2FWeOi_QnfB4AaABAg</t>
  </si>
  <si>
    <t>UgydN74tkpo5PQfRqf94AaABAg</t>
  </si>
  <si>
    <t>UgwPUrwDsCZzqlKJ5NN4AaABAg</t>
  </si>
  <si>
    <t>UgwQDjdRmozlJoERPs14AaABAg</t>
  </si>
  <si>
    <t>UgwAvSI5-KsdpSsWoMZ4AaABAg</t>
  </si>
  <si>
    <t>Ugz-SVuIOcvEDAhz3el4AaABAg</t>
  </si>
  <si>
    <t>Ugx6sQAELj9Kwf-StEN4AaABAg</t>
  </si>
  <si>
    <t>Ugy-ngFK-l9r9y5IM_x4AaABAg</t>
  </si>
  <si>
    <t>UgxcCPkdpJi5zS_pUal4AaABAg</t>
  </si>
  <si>
    <t>UgyLD5NkcYDJ-i68ODN4AaABAg</t>
  </si>
  <si>
    <t>UgynxNny4ZUkhxP8jnB4AaABAg</t>
  </si>
  <si>
    <t>UgzZyuMbnN2QEIrHydx4AaABAg</t>
  </si>
  <si>
    <t>UgyDbkvZhvrSyaVpzqx4AaABAg</t>
  </si>
  <si>
    <t>UgxrJmhwW0wLFUpdBhN4AaABAg</t>
  </si>
  <si>
    <t>UgxvLRRdpIcg8apEE1h4AaABAg</t>
  </si>
  <si>
    <t>UgyH4WEo1eSWaas68Vp4AaABAg</t>
  </si>
  <si>
    <t>UgzuhVQxNSjojvZIzjF4AaABAg</t>
  </si>
  <si>
    <t>UgwrB3lW9vNx1wecAix4AaABAg</t>
  </si>
  <si>
    <t>Ugyv7W9bFmtsaSoIAYx4AaABAg</t>
  </si>
  <si>
    <t>Ugz8r2tb3tIHt2cKWfJ4AaABAg</t>
  </si>
  <si>
    <t>UgzqYv4jvZx_ko4huON4AaABAg</t>
  </si>
  <si>
    <t>UgzMv_q8iDic-B8yq3l4AaABAg</t>
  </si>
  <si>
    <t>Ugwc957ttwvPz89C8Yx4AaABAg</t>
  </si>
  <si>
    <t>Ugwxdyy-NueS6ZWFuUN4AaABAg</t>
  </si>
  <si>
    <t>UgxJCZsMqi9IklDOxPp4AaABAg</t>
  </si>
  <si>
    <t>UgxepwfgaUgy1C54v814AaABAg</t>
  </si>
  <si>
    <t>UgyMV3kTAhyzP5D0yld4AaABAg</t>
  </si>
  <si>
    <t>UgybkgzPo5Uk4PZv8dB4AaABAg</t>
  </si>
  <si>
    <t>Ugz1Ft2LtvSQH_A-BOF4AaABAg</t>
  </si>
  <si>
    <t>UgzBk4JgbhHLpgFM39d4AaABAg</t>
  </si>
  <si>
    <t>UgwsCVrYhzBR9pOXN914AaABAg</t>
  </si>
  <si>
    <t>UgyMqI0Qo05gaQqYLgt4AaABAg</t>
  </si>
  <si>
    <t>UgxfEA2FJ_saaYIRDq54AaABAg</t>
  </si>
  <si>
    <t>UgwEbfeuFimiETufIbd4AaABAg</t>
  </si>
  <si>
    <t>UgyRmQUhH2yb3YgrPk14AaABAg</t>
  </si>
  <si>
    <t>Ugz7FsrZAE91TuuBEDZ4AaABAg</t>
  </si>
  <si>
    <t>UgyfJALSBkLu_vRjx9Z4AaABAg</t>
  </si>
  <si>
    <t>UgyylhIp4fcYDn1LZ9Z4AaABAg</t>
  </si>
  <si>
    <t>Ugz40_Fi1hCN6THEhs54AaABAg</t>
  </si>
  <si>
    <t>Ugzho7LkWVfR5ol9gqh4AaABAg</t>
  </si>
  <si>
    <t>Ugw1E0xJpIQrS_Go_H94AaABAg</t>
  </si>
  <si>
    <t>UgyMdo-hnyHRhssdoHR4AaABAg</t>
  </si>
  <si>
    <t>UghAtNnQ0StCdHgCoAEC</t>
  </si>
  <si>
    <t>Ughl2KA7legH4ngCoAEC</t>
  </si>
  <si>
    <t>UgjqYPzLnLIzrHgCoAEC</t>
  </si>
  <si>
    <t>UgzB6R_0QnWtJh5p_v14AaABAg</t>
  </si>
  <si>
    <t>UgyuM8Hlacl1iNoWhJR4AaABAg</t>
  </si>
  <si>
    <t>UgwrKBPxbL1Wp8QXq9t4AaABAg</t>
  </si>
  <si>
    <t>UgyB0luNeL-684xRp294AaABAg</t>
  </si>
  <si>
    <t>UgyoR0H6QMSZeiWtujp4AaABAg</t>
  </si>
  <si>
    <t>UgyHn9H0z7kCG-IAsjh4AaABAg</t>
  </si>
  <si>
    <t>UgxRxL_4087hC_XOiSx4AaABAg</t>
  </si>
  <si>
    <t>UgzMPX-a0GYWuJjyVVl4AaABAg</t>
  </si>
  <si>
    <t>UgwJblEBDGkIlFg6xQl4AaABAg</t>
  </si>
  <si>
    <t>Ugx-5D6tJmSM_I7AD2R4AaABAg</t>
  </si>
  <si>
    <t>UgwK_MiLDAV3WRfE7-R4AaABAg</t>
  </si>
  <si>
    <t>UgzVW-Wv8rt171GvzM94AaABAg</t>
  </si>
  <si>
    <t>Ugxz_UHDe3K0dqz7fsF4AaABAg</t>
  </si>
  <si>
    <t>UgzNTYrFikZrqY6ljwp4AaABAg</t>
  </si>
  <si>
    <t>UgwJ9wzkoVYpQKEFHzR4AaABAg</t>
  </si>
  <si>
    <t>UgzFwuamP2Xbzy4kCSN4AaABAg</t>
  </si>
  <si>
    <t>UgzcijR5JGh-sw1JT_J4AaABAg</t>
  </si>
  <si>
    <t>UgyjRJxDcprDRfAoUYF4AaABAg</t>
  </si>
  <si>
    <t>Ugw37Bia1lGidjTXIj14AaABAg</t>
  </si>
  <si>
    <t>UgyxQvwgQjV5v8iat954AaABAg</t>
  </si>
  <si>
    <t>UgxffKorSjxN7RNCWgV4AaABAg</t>
  </si>
  <si>
    <t>UgzB8289V4Q5hZKMQep4AaABAg</t>
  </si>
  <si>
    <t>UgyDPcyMP2o5bJ9P9PJ4AaABAg</t>
  </si>
  <si>
    <t>Ugy9TUzF7h0VvXSLKzZ4AaABAg</t>
  </si>
  <si>
    <t>Ugw6SqgiV3gO_vUrUCJ4AaABAg</t>
  </si>
  <si>
    <t>-0Iauhp_Kug</t>
  </si>
  <si>
    <t>fdCzHc_2pAk</t>
  </si>
  <si>
    <t>xZPSNornzmk</t>
  </si>
  <si>
    <t>1inpqIvABKc</t>
  </si>
  <si>
    <t>4Xrg5FtQnp4</t>
  </si>
  <si>
    <t>DrCnSoZUXAc</t>
  </si>
  <si>
    <t>vWMAV6nNPbo</t>
  </si>
  <si>
    <t>-EA6GvKa0EA</t>
  </si>
  <si>
    <t>z_W3kQxvRqY</t>
  </si>
  <si>
    <t>JCTlws1bpAY</t>
  </si>
  <si>
    <t>-X8Nj_r5zGE</t>
  </si>
  <si>
    <t>Id2c6MkIsQM</t>
  </si>
  <si>
    <t>kIHMxfUtGmI</t>
  </si>
  <si>
    <t>7aRMkFHzJrc</t>
  </si>
  <si>
    <t>PzgmQp-7QuY</t>
  </si>
  <si>
    <t>i3Ac89nZ_tI</t>
  </si>
  <si>
    <t>80f3JVN05YQ</t>
  </si>
  <si>
    <t>gOv6hkcCBDU</t>
  </si>
  <si>
    <t>fDCXpEe0ciU</t>
  </si>
  <si>
    <t>P84KQT_Se70</t>
  </si>
  <si>
    <t>k0WsWXSk1dc</t>
  </si>
  <si>
    <t>tS9IXHSdzJs</t>
  </si>
  <si>
    <t>ukxbBgcz9Ow</t>
  </si>
  <si>
    <t>fN_6Kdu91so</t>
  </si>
  <si>
    <t>qdZIVBRGIec</t>
  </si>
  <si>
    <t>4SPuWhxLyb0</t>
  </si>
  <si>
    <t>9q7kOynKRkc</t>
  </si>
  <si>
    <t>seHQLiXHzkE</t>
  </si>
  <si>
    <t>MCG4DCvaQsw</t>
  </si>
  <si>
    <t>none</t>
  </si>
  <si>
    <t>18/05/2020 14:05:24</t>
  </si>
  <si>
    <t>18/05/2020 14:04:56</t>
  </si>
  <si>
    <t>13/05/2020 12:13:38</t>
  </si>
  <si>
    <t>13/05/2020 04:43:00</t>
  </si>
  <si>
    <t>15/05/2020 10:43:03</t>
  </si>
  <si>
    <t>14/05/2020 16:48:23</t>
  </si>
  <si>
    <t>27/05/2019 14:31:02</t>
  </si>
  <si>
    <t>25/05/2019 06:56:32</t>
  </si>
  <si>
    <t>27/05/2019 14:29:01</t>
  </si>
  <si>
    <t>25/05/2019 07:54:12</t>
  </si>
  <si>
    <t>27/05/2019 14:28:49</t>
  </si>
  <si>
    <t>25/05/2019 10:12:03</t>
  </si>
  <si>
    <t>27/05/2019 14:28:40</t>
  </si>
  <si>
    <t>25/05/2019 12:15:04</t>
  </si>
  <si>
    <t>27/05/2019 14:28:29</t>
  </si>
  <si>
    <t>27/05/2019 15:50:14</t>
  </si>
  <si>
    <t>25/05/2019 16:10:18</t>
  </si>
  <si>
    <t>27/05/2019 14:29:27</t>
  </si>
  <si>
    <t>25/05/2019 17:24:30</t>
  </si>
  <si>
    <t>27/05/2019 14:29:37</t>
  </si>
  <si>
    <t>25/05/2019 21:37:43</t>
  </si>
  <si>
    <t>27/05/2019 14:30:31</t>
  </si>
  <si>
    <t>27/05/2019 14:30:43</t>
  </si>
  <si>
    <t>27/05/2019 04:14:33</t>
  </si>
  <si>
    <t>26/04/2020 16:56:35</t>
  </si>
  <si>
    <t>18/04/2020 21:25:49</t>
  </si>
  <si>
    <t>30/05/2020 16:10:16</t>
  </si>
  <si>
    <t>30/05/2020 16:17:11</t>
  </si>
  <si>
    <t>30/05/2020 19:18:52</t>
  </si>
  <si>
    <t>30/05/2020 20:55:13</t>
  </si>
  <si>
    <t>30/05/2020 20:58:16</t>
  </si>
  <si>
    <t>30/05/2020 21:18:32</t>
  </si>
  <si>
    <t>30/05/2020 21:38:14</t>
  </si>
  <si>
    <t>30/05/2020 21:49:27</t>
  </si>
  <si>
    <t>30/05/2020 22:28:57</t>
  </si>
  <si>
    <t>30/05/2020 22:30:19</t>
  </si>
  <si>
    <t>30/05/2020 22:46:17</t>
  </si>
  <si>
    <t>31/05/2020 00:13:34</t>
  </si>
  <si>
    <t>31/05/2020 00:21:28</t>
  </si>
  <si>
    <t>31/05/2020 01:10:52</t>
  </si>
  <si>
    <t>31/05/2020 00:47:10</t>
  </si>
  <si>
    <t>31/05/2020 01:10:56</t>
  </si>
  <si>
    <t>31/05/2020 01:53:28</t>
  </si>
  <si>
    <t>31/05/2020 03:43:00</t>
  </si>
  <si>
    <t>31/05/2020 10:03:16</t>
  </si>
  <si>
    <t>31/05/2020 14:34:03</t>
  </si>
  <si>
    <t>31/05/2020 16:11:28</t>
  </si>
  <si>
    <t>31/05/2020 17:45:12</t>
  </si>
  <si>
    <t>31/05/2020 22:13:28</t>
  </si>
  <si>
    <t>31/05/2020 23:43:54</t>
  </si>
  <si>
    <t>14/06/2020 15:07:52</t>
  </si>
  <si>
    <t>15/06/2020 11:41:37</t>
  </si>
  <si>
    <t>15/06/2020 23:28:45</t>
  </si>
  <si>
    <t>15/06/2020 23:01:25</t>
  </si>
  <si>
    <t>26/06/2020 15:42:30</t>
  </si>
  <si>
    <t>29/06/2020 22:31:31</t>
  </si>
  <si>
    <t>30/06/2020 00:45:30</t>
  </si>
  <si>
    <t>20/09/2020 17:00:08</t>
  </si>
  <si>
    <t>31/03/2021 22:00:34</t>
  </si>
  <si>
    <t>31/03/2021 22:02:32</t>
  </si>
  <si>
    <t>21/11/2020 18:52:42</t>
  </si>
  <si>
    <t>14/08/2007 18:19:30</t>
  </si>
  <si>
    <t>28/12/2007 07:54:03</t>
  </si>
  <si>
    <t>17/08/2019 08:43:50</t>
  </si>
  <si>
    <t>25/09/2009 00:09:38</t>
  </si>
  <si>
    <t>17/08/2019 08:42:43</t>
  </si>
  <si>
    <t>23/08/2020 06:02:08</t>
  </si>
  <si>
    <t>23/08/2020 08:42:02</t>
  </si>
  <si>
    <t>28/08/2010 06:15:42</t>
  </si>
  <si>
    <t>17/08/2019 08:41:55</t>
  </si>
  <si>
    <t>16/06/2011 09:53:11</t>
  </si>
  <si>
    <t>25/05/2012 13:31:06</t>
  </si>
  <si>
    <t>23/08/2020 06:02:52</t>
  </si>
  <si>
    <t>17/08/2019 08:47:04</t>
  </si>
  <si>
    <t>13/06/2018 19:35:04</t>
  </si>
  <si>
    <t>13/06/2018 19:41:17</t>
  </si>
  <si>
    <t>13/06/2018 19:43:16</t>
  </si>
  <si>
    <t>13/06/2018 11:29:03</t>
  </si>
  <si>
    <t>15/06/2018 19:07:55</t>
  </si>
  <si>
    <t>14/06/2018 23:28:05</t>
  </si>
  <si>
    <t>16/06/2018 19:33:33</t>
  </si>
  <si>
    <t>21/06/2018 20:23:47</t>
  </si>
  <si>
    <t>20/06/2018 04:29:07</t>
  </si>
  <si>
    <t>13/07/2018 22:48:10</t>
  </si>
  <si>
    <t>29/07/2018 11:22:12</t>
  </si>
  <si>
    <t>28/07/2018 22:35:26</t>
  </si>
  <si>
    <t>26/09/2018 13:47:11</t>
  </si>
  <si>
    <t>18/11/2018 14:19:19</t>
  </si>
  <si>
    <t>18/02/2019 20:50:39</t>
  </si>
  <si>
    <t>18/02/2019 19:25:12</t>
  </si>
  <si>
    <t>22/01/2021 04:16:26</t>
  </si>
  <si>
    <t>29/04/2019 21:18:29</t>
  </si>
  <si>
    <t>24/04/2020 05:00:29</t>
  </si>
  <si>
    <t>23/08/2018 23:08:44</t>
  </si>
  <si>
    <t>22/08/2018 19:04:21</t>
  </si>
  <si>
    <t>16/09/2018 21:46:18</t>
  </si>
  <si>
    <t>15/10/2018 23:51:17</t>
  </si>
  <si>
    <t>20/10/2018 20:59:30</t>
  </si>
  <si>
    <t>29/10/2018 23:43:05</t>
  </si>
  <si>
    <t>29/10/2018 13:11:31</t>
  </si>
  <si>
    <t>15/11/2018 16:26:31</t>
  </si>
  <si>
    <t>16/11/2018 04:01:37</t>
  </si>
  <si>
    <t>17/11/2018 13:21:03</t>
  </si>
  <si>
    <t>26/11/2018 20:38:51</t>
  </si>
  <si>
    <t>26/11/2018 06:51:05</t>
  </si>
  <si>
    <t>30/11/2018 04:49:51</t>
  </si>
  <si>
    <t>13/01/2019 07:05:33</t>
  </si>
  <si>
    <t>16/01/2019 23:30:42</t>
  </si>
  <si>
    <t>16/01/2019 16:34:39</t>
  </si>
  <si>
    <t>16/01/2019 16:45:49</t>
  </si>
  <si>
    <t>15/02/2019 08:04:53</t>
  </si>
  <si>
    <t>28/02/2019 12:40:38</t>
  </si>
  <si>
    <t>28/02/2019 12:56:26</t>
  </si>
  <si>
    <t>15/03/2019 00:09:16</t>
  </si>
  <si>
    <t>16/03/2019 06:00:25</t>
  </si>
  <si>
    <t>26/03/2019 06:01:15</t>
  </si>
  <si>
    <t>27/03/2019 18:32:10</t>
  </si>
  <si>
    <t>13/07/2019 16:46:17</t>
  </si>
  <si>
    <t>13/10/2019 23:46:27</t>
  </si>
  <si>
    <t>23/01/2020 10:15:38</t>
  </si>
  <si>
    <t>30/05/2020 16:11:20</t>
  </si>
  <si>
    <t>15/02/2020 01:07:56</t>
  </si>
  <si>
    <t>15/02/2020 15:40:23</t>
  </si>
  <si>
    <t>21/02/2020 17:11:14</t>
  </si>
  <si>
    <t>26/06/2020 11:30:46</t>
  </si>
  <si>
    <t>16/06/2020 14:29:21</t>
  </si>
  <si>
    <t>17/07/2021 09:50:20</t>
  </si>
  <si>
    <t>17/07/2021 09:58:12</t>
  </si>
  <si>
    <t>16/07/2021 10:15:34</t>
  </si>
  <si>
    <t>22/09/2020 23:56:14</t>
  </si>
  <si>
    <t>26/09/2020 11:26:54</t>
  </si>
  <si>
    <t>26/09/2020 08:32:26</t>
  </si>
  <si>
    <t>31/05/2020 01:45:51</t>
  </si>
  <si>
    <t>16/09/2018 23:18:05</t>
  </si>
  <si>
    <t>19/09/2018 19:09:58</t>
  </si>
  <si>
    <t>22/09/2018 16:05:42</t>
  </si>
  <si>
    <t>21/09/2018 14:20:56</t>
  </si>
  <si>
    <t>26/09/2018 04:52:55</t>
  </si>
  <si>
    <t>27/09/2018 20:43:24</t>
  </si>
  <si>
    <t>26/09/2018 04:54:26</t>
  </si>
  <si>
    <t>30/09/2018 17:30:55</t>
  </si>
  <si>
    <t>30/09/2018 17:08:54</t>
  </si>
  <si>
    <t>23/10/2018 18:43:28</t>
  </si>
  <si>
    <t>18/11/2018 13:50:05</t>
  </si>
  <si>
    <t>23/12/2018 23:54:48</t>
  </si>
  <si>
    <t>26/11/2018 06:17:17</t>
  </si>
  <si>
    <t>29/12/2018 20:46:54</t>
  </si>
  <si>
    <t>14/02/2019 22:14:08</t>
  </si>
  <si>
    <t>14/02/2019 20:20:09</t>
  </si>
  <si>
    <t>21/03/2019 04:14:40</t>
  </si>
  <si>
    <t>21/03/2019 04:04:53</t>
  </si>
  <si>
    <t>21/03/2019 04:13:41</t>
  </si>
  <si>
    <t>13/06/2019 15:04:08</t>
  </si>
  <si>
    <t>21/01/2020 19:00:50</t>
  </si>
  <si>
    <t>24/10/2020 18:36:00</t>
  </si>
  <si>
    <t>20/12/2020 10:47:20</t>
  </si>
  <si>
    <t>16/02/2021 14:20:36</t>
  </si>
  <si>
    <t>16/04/2021 04:16:37</t>
  </si>
  <si>
    <t>16/04/2021 04:23:46</t>
  </si>
  <si>
    <t>28/04/2021 06:26:40</t>
  </si>
  <si>
    <t>22/05/2021 04:39:18</t>
  </si>
  <si>
    <t>25/02/2021 18:46:12</t>
  </si>
  <si>
    <t>25/02/2021 15:15:43</t>
  </si>
  <si>
    <t>27/05/2021 19:51:27</t>
  </si>
  <si>
    <t>30/05/2021 16:25:57</t>
  </si>
  <si>
    <t>27/05/2021 19:43:33</t>
  </si>
  <si>
    <t>15/04/2016 01:02:56</t>
  </si>
  <si>
    <t>15/04/2016 01:19:50</t>
  </si>
  <si>
    <t>15/04/2016 01:43:28</t>
  </si>
  <si>
    <t>15/04/2016 01:43:36</t>
  </si>
  <si>
    <t>15/04/2016 04:59:36</t>
  </si>
  <si>
    <t>15/04/2016 05:41:59</t>
  </si>
  <si>
    <t>15/04/2016 07:09:21</t>
  </si>
  <si>
    <t>15/04/2016 09:11:31</t>
  </si>
  <si>
    <t>15/04/2016 09:10:51</t>
  </si>
  <si>
    <t>15/04/2016 09:26:50</t>
  </si>
  <si>
    <t>15/04/2016 09:34:27</t>
  </si>
  <si>
    <t>15/04/2016 09:49:02</t>
  </si>
  <si>
    <t>15/04/2016 10:51:33</t>
  </si>
  <si>
    <t>15/04/2016 12:14:42</t>
  </si>
  <si>
    <t>15/04/2016 12:58:20</t>
  </si>
  <si>
    <t>15/04/2016 14:21:11</t>
  </si>
  <si>
    <t>15/04/2016 16:41:37</t>
  </si>
  <si>
    <t>15/04/2016 17:41:38</t>
  </si>
  <si>
    <t>16/04/2016 09:38:22</t>
  </si>
  <si>
    <t>16/04/2016 20:20:33</t>
  </si>
  <si>
    <t>16/04/2016 12:09:06</t>
  </si>
  <si>
    <t>16/04/2016 23:24:20</t>
  </si>
  <si>
    <t>18/04/2016 12:14:09</t>
  </si>
  <si>
    <t>19/04/2016 02:29:14</t>
  </si>
  <si>
    <t>21/04/2016 20:17:49</t>
  </si>
  <si>
    <t>13/05/2020 16:10:18</t>
  </si>
  <si>
    <t>13/05/2020 16:26:13</t>
  </si>
  <si>
    <t>13/05/2020 16:41:53</t>
  </si>
  <si>
    <t>13/05/2020 16:46:08</t>
  </si>
  <si>
    <t>13/05/2020 18:07:15</t>
  </si>
  <si>
    <t>20/05/2020 19:59:11</t>
  </si>
  <si>
    <t>13/05/2020 18:52:51</t>
  </si>
  <si>
    <t>13/05/2020 19:02:26</t>
  </si>
  <si>
    <t>13/05/2020 19:03:51</t>
  </si>
  <si>
    <t>20/05/2020 20:01:25</t>
  </si>
  <si>
    <t>13/05/2020 19:55:39</t>
  </si>
  <si>
    <t>13/05/2020 20:07:02</t>
  </si>
  <si>
    <t>13/05/2020 21:27:13</t>
  </si>
  <si>
    <t>20/05/2020 19:59:35</t>
  </si>
  <si>
    <t>14/05/2020 00:22:46</t>
  </si>
  <si>
    <t>14/05/2020 01:21:26</t>
  </si>
  <si>
    <t>14/05/2020 01:38:40</t>
  </si>
  <si>
    <t>20/05/2020 20:01:01</t>
  </si>
  <si>
    <t>14/05/2020 01:57:46</t>
  </si>
  <si>
    <t>14/05/2020 17:27:52</t>
  </si>
  <si>
    <t>20/05/2020 20:00:41</t>
  </si>
  <si>
    <t>14/05/2020 18:14:15</t>
  </si>
  <si>
    <t>20/05/2020 19:59:58</t>
  </si>
  <si>
    <t>15/05/2020 01:45:28</t>
  </si>
  <si>
    <t>20/05/2020 20:00:29</t>
  </si>
  <si>
    <t>15/05/2020 11:53:52</t>
  </si>
  <si>
    <t>15/05/2020 22:33:37</t>
  </si>
  <si>
    <t>14/07/2021 05:58:19</t>
  </si>
  <si>
    <t>26/09/2020 23:45:50</t>
  </si>
  <si>
    <t>26/09/2020 23:46:12</t>
  </si>
  <si>
    <t>15/07/2021 23:00:20</t>
  </si>
  <si>
    <t>27/03/2019 04:05:03</t>
  </si>
  <si>
    <t>27/03/2019 04:10:39</t>
  </si>
  <si>
    <t>15/06/2018 19:05:01</t>
  </si>
  <si>
    <t>13/06/2018 22:01:42</t>
  </si>
  <si>
    <t>13/06/2018 19:41:48</t>
  </si>
  <si>
    <t>17/06/2018 05:53:34</t>
  </si>
  <si>
    <t>19/06/2018 22:14:37</t>
  </si>
  <si>
    <t>19/06/2018 20:25:53</t>
  </si>
  <si>
    <t>24/06/2018 13:26:19</t>
  </si>
  <si>
    <t>27/08/2018 20:59:45</t>
  </si>
  <si>
    <t>27/08/2018 20:26:44</t>
  </si>
  <si>
    <t>14/03/2019 23:33:33</t>
  </si>
  <si>
    <t>16/03/2019 17:11:44</t>
  </si>
  <si>
    <t>16/03/2019 17:13:51</t>
  </si>
  <si>
    <t>16/03/2019 17:14:00</t>
  </si>
  <si>
    <t>16/03/2019 16:55:46</t>
  </si>
  <si>
    <t>16/03/2019 16:57:12</t>
  </si>
  <si>
    <t>16/03/2019 16:58:42</t>
  </si>
  <si>
    <t>30/05/2020 20:48:20</t>
  </si>
  <si>
    <t>31/10/2019 00:46:20</t>
  </si>
  <si>
    <t>19/03/2020 17:15:33</t>
  </si>
  <si>
    <t>17/10/2019 15:06:05</t>
  </si>
  <si>
    <t>13/08/2019 04:55:40</t>
  </si>
  <si>
    <t>17/10/2019 15:29:56</t>
  </si>
  <si>
    <t>21/07/2019 03:31:16</t>
  </si>
  <si>
    <t>15/03/2020 17:53:13</t>
  </si>
  <si>
    <t>21/08/2020 11:04:50</t>
  </si>
  <si>
    <t>24/09/2020 23:36:14</t>
  </si>
  <si>
    <t>24/09/2020 20:20:44</t>
  </si>
  <si>
    <t>13/11/2020 12:32:57</t>
  </si>
  <si>
    <t>13/11/2020 12:30:32</t>
  </si>
  <si>
    <t>13/11/2020 13:50:22</t>
  </si>
  <si>
    <t>13/11/2020 12:26:03</t>
  </si>
  <si>
    <t>13/11/2020 06:12:46</t>
  </si>
  <si>
    <t>13/05/2020 07:05:47</t>
  </si>
  <si>
    <t>13/11/2020 19:34:56</t>
  </si>
  <si>
    <t>13/11/2020 14:46:20</t>
  </si>
  <si>
    <t>14/11/2020 11:35:52</t>
  </si>
  <si>
    <t>13/11/2020 21:55:22</t>
  </si>
  <si>
    <t>17/11/2020 09:51:43</t>
  </si>
  <si>
    <t>16/11/2020 04:44:11</t>
  </si>
  <si>
    <t>22/02/2021 22:55:04</t>
  </si>
  <si>
    <t>15/08/2019 20:06:19</t>
  </si>
  <si>
    <t>15/08/2019 20:58:36</t>
  </si>
  <si>
    <t>15/08/2019 20:09:03</t>
  </si>
  <si>
    <t>15/08/2019 20:58:17</t>
  </si>
  <si>
    <t>15/08/2019 20:10:50</t>
  </si>
  <si>
    <t>15/08/2019 20:10:51</t>
  </si>
  <si>
    <t>15/08/2019 20:58:04</t>
  </si>
  <si>
    <t>15/08/2019 20:32:28</t>
  </si>
  <si>
    <t>19/08/2019 03:26:20</t>
  </si>
  <si>
    <t>15/08/2019 21:05:48</t>
  </si>
  <si>
    <t>15/08/2019 22:00:04</t>
  </si>
  <si>
    <t>16/08/2019 00:13:46</t>
  </si>
  <si>
    <t>16/08/2019 07:41:58</t>
  </si>
  <si>
    <t>16/08/2019 13:19:35</t>
  </si>
  <si>
    <t>15/08/2019 21:42:56</t>
  </si>
  <si>
    <t>16/08/2019 07:41:41</t>
  </si>
  <si>
    <t>15/08/2019 22:09:20</t>
  </si>
  <si>
    <t>16/08/2019 07:41:06</t>
  </si>
  <si>
    <t>15/08/2019 22:21:06</t>
  </si>
  <si>
    <t>16/08/2019 10:58:04</t>
  </si>
  <si>
    <t>15/08/2019 22:26:53</t>
  </si>
  <si>
    <t>15/08/2019 20:57:47</t>
  </si>
  <si>
    <t>15/08/2019 22:54:40</t>
  </si>
  <si>
    <t>15/08/2019 20:33:21</t>
  </si>
  <si>
    <t>16/08/2019 07:40:54</t>
  </si>
  <si>
    <t>15/08/2019 22:56:01</t>
  </si>
  <si>
    <t>22/08/2019 10:19:26</t>
  </si>
  <si>
    <t>16/08/2019 00:39:20</t>
  </si>
  <si>
    <t>16/08/2019 07:40:02</t>
  </si>
  <si>
    <t>16/08/2019 00:43:18</t>
  </si>
  <si>
    <t>16/08/2019 07:39:38</t>
  </si>
  <si>
    <t>16/08/2019 02:45:54</t>
  </si>
  <si>
    <t>22/08/2019 10:19:13</t>
  </si>
  <si>
    <t>16/08/2019 03:16:24</t>
  </si>
  <si>
    <t>16/08/2019 06:38:01</t>
  </si>
  <si>
    <t>16/08/2019 14:50:03</t>
  </si>
  <si>
    <t>18/08/2019 18:51:20</t>
  </si>
  <si>
    <t>22/08/2019 10:19:50</t>
  </si>
  <si>
    <t>16/08/2019 16:27:09</t>
  </si>
  <si>
    <t>18/08/2019 18:51:03</t>
  </si>
  <si>
    <t>16/08/2019 16:30:48</t>
  </si>
  <si>
    <t>16/08/2019 22:13:05</t>
  </si>
  <si>
    <t>17/08/2019 00:21:23</t>
  </si>
  <si>
    <t>18/08/2019 18:48:59</t>
  </si>
  <si>
    <t>17/08/2019 18:08:10</t>
  </si>
  <si>
    <t>18/08/2019 18:48:49</t>
  </si>
  <si>
    <t>17/08/2019 18:31:09</t>
  </si>
  <si>
    <t>18/08/2019 01:44:39</t>
  </si>
  <si>
    <t>18/08/2019 09:03:24</t>
  </si>
  <si>
    <t>18/08/2019 18:46:47</t>
  </si>
  <si>
    <t>18/08/2019 16:48:50</t>
  </si>
  <si>
    <t>19/08/2019 08:55:25</t>
  </si>
  <si>
    <t>19/08/2019 02:02:08</t>
  </si>
  <si>
    <t>19/08/2019 10:51:20</t>
  </si>
  <si>
    <t>20/08/2019 16:48:55</t>
  </si>
  <si>
    <t>19/08/2019 16:47:47</t>
  </si>
  <si>
    <t>20/08/2019 16:48:51</t>
  </si>
  <si>
    <t>19/08/2019 17:44:21</t>
  </si>
  <si>
    <t>20/08/2019 16:47:48</t>
  </si>
  <si>
    <t>19/08/2019 23:30:33</t>
  </si>
  <si>
    <t>20/08/2019 03:41:56</t>
  </si>
  <si>
    <t>20/08/2019 16:47:06</t>
  </si>
  <si>
    <t>20/08/2019 07:11:26</t>
  </si>
  <si>
    <t>20/08/2019 16:46:47</t>
  </si>
  <si>
    <t>20/08/2019 13:05:12</t>
  </si>
  <si>
    <t>22/08/2019 10:12:53</t>
  </si>
  <si>
    <t>22/08/2019 18:36:41</t>
  </si>
  <si>
    <t>21/08/2019 16:39:30</t>
  </si>
  <si>
    <t>22/08/2019 10:17:10</t>
  </si>
  <si>
    <t>20/05/2020 18:42:49</t>
  </si>
  <si>
    <t>20/05/2020 18:44:43</t>
  </si>
  <si>
    <t>29/06/2020 15:26:03</t>
  </si>
  <si>
    <t>18/04/2021 21:23:03</t>
  </si>
  <si>
    <t>18/04/2021 22:12:07</t>
  </si>
  <si>
    <t>17/04/2021 04:26:51</t>
  </si>
  <si>
    <t>18/04/2021 21:16:48</t>
  </si>
  <si>
    <t>18/04/2021 19:23:25</t>
  </si>
  <si>
    <t>27/04/2018 21:47:24</t>
  </si>
  <si>
    <t>17/02/2019 00:40:55</t>
  </si>
  <si>
    <t>17/02/2019 03:47:36</t>
  </si>
  <si>
    <t>17/02/2019 09:22:05</t>
  </si>
  <si>
    <t>17/02/2019 10:12:30</t>
  </si>
  <si>
    <t>17/02/2019 10:41:45</t>
  </si>
  <si>
    <t>17/02/2019 10:43:47</t>
  </si>
  <si>
    <t>17/02/2019 11:45:09</t>
  </si>
  <si>
    <t>17/02/2019 13:49:10</t>
  </si>
  <si>
    <t>18/02/2019 10:38:18</t>
  </si>
  <si>
    <t>17/02/2019 14:03:36</t>
  </si>
  <si>
    <t>18/02/2019 15:30:24</t>
  </si>
  <si>
    <t>19/02/2019 18:08:41</t>
  </si>
  <si>
    <t>23/02/2019 03:18:41</t>
  </si>
  <si>
    <t>14/09/2019 16:16:05</t>
  </si>
  <si>
    <t>18/12/2019 17:28:36</t>
  </si>
  <si>
    <t>28/07/2021 14:14:56</t>
  </si>
  <si>
    <t>28/07/2021 14:22:34</t>
  </si>
  <si>
    <t>28/07/2021 14:47:12</t>
  </si>
  <si>
    <t>28/07/2021 14:49:54</t>
  </si>
  <si>
    <t>28/07/2021 14:53:28</t>
  </si>
  <si>
    <t>28/07/2021 14:57:42</t>
  </si>
  <si>
    <t>28/07/2021 15:03:34</t>
  </si>
  <si>
    <t>28/07/2021 15:05:14</t>
  </si>
  <si>
    <t>28/07/2021 23:50:59</t>
  </si>
  <si>
    <t>29/07/2021 08:29:21</t>
  </si>
  <si>
    <t>29/07/2021 17:14:38</t>
  </si>
  <si>
    <t>23/02/2018 19:11:23</t>
  </si>
  <si>
    <t>24/05/2017 10:17:00</t>
  </si>
  <si>
    <t>24/05/2017 21:55:27</t>
  </si>
  <si>
    <t>24/05/2017 11:55:51</t>
  </si>
  <si>
    <t>24/05/2017 21:55:20</t>
  </si>
  <si>
    <t>24/05/2017 20:45:32</t>
  </si>
  <si>
    <t>24/05/2017 22:25:17</t>
  </si>
  <si>
    <t>21/10/2018 20:10:31</t>
  </si>
  <si>
    <t>26/02/2018 22:25:31</t>
  </si>
  <si>
    <t>21/03/2019 10:15:02</t>
  </si>
  <si>
    <t>21/03/2019 07:39:37</t>
  </si>
  <si>
    <t>26/03/2019 17:37:25</t>
  </si>
  <si>
    <t>26/03/2019 17:08:54</t>
  </si>
  <si>
    <t>25/07/2019 21:38:36</t>
  </si>
  <si>
    <t>25/07/2019 20:07:43</t>
  </si>
  <si>
    <t>20/08/2019 13:38:16</t>
  </si>
  <si>
    <t>30/06/2020 16:26:33</t>
  </si>
  <si>
    <t>20/05/2021 09:26:45</t>
  </si>
  <si>
    <t>20/05/2021 09:28:33</t>
  </si>
  <si>
    <t>20/05/2021 09:31:22</t>
  </si>
  <si>
    <t>20/05/2021 09:35:26</t>
  </si>
  <si>
    <t>25/05/2019 06:39:10</t>
  </si>
  <si>
    <t>27/02/2019 19:00:07</t>
  </si>
  <si>
    <t>24/10/2019 19:36:12</t>
  </si>
  <si>
    <t>22/09/2020 02:19:04</t>
  </si>
  <si>
    <t>22/09/2020 02:13:21</t>
  </si>
  <si>
    <t>15/04/2016 00:35:48</t>
  </si>
  <si>
    <t>13/05/2020 15:04:55</t>
  </si>
  <si>
    <t>23/08/2019 23:18:26</t>
  </si>
  <si>
    <t>13/05/2020 15:00:30</t>
  </si>
  <si>
    <t>22/02/2021 19:28:52</t>
  </si>
  <si>
    <t>29/05/2020 16:00:28</t>
  </si>
  <si>
    <t>30/08/2018 20:00:01</t>
  </si>
  <si>
    <t>15/06/2021 23:01:32</t>
  </si>
  <si>
    <t>26/01/2018 23:49:31</t>
  </si>
  <si>
    <t>15/08/2019 20:00:00</t>
  </si>
  <si>
    <t>30/04/2017 00:58:30</t>
  </si>
  <si>
    <t>17/02/2019 00:18:51</t>
  </si>
  <si>
    <t>28/07/2021 13:53:50</t>
  </si>
  <si>
    <t>23/05/2017 22:30:15</t>
  </si>
  <si>
    <t>26/07/2015 09:15:37</t>
  </si>
  <si>
    <t>21/02/2014 05:57:11</t>
  </si>
  <si>
    <t>30/05/2020 21:11:54</t>
  </si>
  <si>
    <t>31/05/2020 23:47:42</t>
  </si>
  <si>
    <t>17/08/2019 08:47:28</t>
  </si>
  <si>
    <t>18/11/2018 14:19:56</t>
  </si>
  <si>
    <t>23/01/2020 10:20:40</t>
  </si>
  <si>
    <t>30/05/2020 16:29:27</t>
  </si>
  <si>
    <t>20/05/2020 20:01:43</t>
  </si>
  <si>
    <t>14/07/2021 06:02:27</t>
  </si>
  <si>
    <t>15/08/2019 20:09:33</t>
  </si>
  <si>
    <t>15/08/2019 20:33:39</t>
  </si>
  <si>
    <t>16/08/2019 06:38:35</t>
  </si>
  <si>
    <t>28/07/2021 14:57:57</t>
  </si>
  <si>
    <t>30/03/2019 17:21:17</t>
  </si>
  <si>
    <t xml:space="preserve"> https://www.youtube.com/watch?v=xZPSNornzmk&amp;amp;t=2m14s</t>
  </si>
  <si>
    <t xml:space="preserve"> https://www.gardeners.com/how-to/growing-blue-hydrangeas/8609.html https://www.gardeners.com/how-to/growing-blue-hydrangeas/8609.html</t>
  </si>
  <si>
    <t xml:space="preserve"> http://stylish.xxx/</t>
  </si>
  <si>
    <t xml:space="preserve"> http://www.youtube.com/results?search_query=%23MrCarrington</t>
  </si>
  <si>
    <t xml:space="preserve"> http://www.youtube.com/results?search_query=%23newsubscriber</t>
  </si>
  <si>
    <t xml:space="preserve"> http://skyline.pe/</t>
  </si>
  <si>
    <t xml:space="preserve"> http://dachyzielone.net/ http://dachyzielone.net/</t>
  </si>
  <si>
    <t xml:space="preserve"> https://www.youtube.com/watch?v=MKuAmGPXS5A https://www.youtube.com/watch?v=MKuAmGPXS5A</t>
  </si>
  <si>
    <t xml:space="preserve"> https://www.youtube.com/watch?v=tS9IXHSdzJs&amp;amp;t=4m35s</t>
  </si>
  <si>
    <t xml:space="preserve"> http://wales.uk/</t>
  </si>
  <si>
    <t xml:space="preserve"> http://ko-fi.com/geekstreettravels http://ko-fi.com/geekstreettravels</t>
  </si>
  <si>
    <t xml:space="preserve"> https://www.londonnightguide.com/roof-gardens-table-booking/ https://www.londonnightguide.com/roof-gardens-table-booking/ https://www.instagram.com/londonnightguide/ https://www.instagram.com/londonnightguide/</t>
  </si>
  <si>
    <t xml:space="preserve"> https://www.ko-fi.com/watchedwalker https://www.ko-fi.com/watchedwalker https://www.amazon.com/shop/watchedwalker https://www.amazon.com/shop/watchedwalker https://www.amazon.co.uk/shop/watchedwalker https://www.amazon.co.uk/shop/watchedwalker https://goo.gl/maps/dH15NwZTWkR2 https://goo.gl/maps/dH15NwZTWkR2 https://www.youtube.com/watch?v=tS9IXHSdzJs&amp;amp;t=00m10s https://www.youtube.com/watch?v=tS9IXHSdzJs&amp;amp;t=06m09s https://www.youtube.com/watch?v=tS9IXHSdzJs&amp;amp;t=10m30s https://www.youtube.com/watch?v=tS9IXHSdzJs&amp;amp;t=13m52s https://www.youtube.com/watch?v=tS9IXHSdzJs&amp;amp;t=00m53s https://www.youtube.com/watch?v=tS9IXHSdzJs&amp;amp;t=02m29s https://www.youtube.com/watch?v=tS9IXHSdzJs&amp;amp;t=03m38s https://www.youtube.com/watch?v=tS9IXHSdzJs&amp;amp;t=03m56s https://www.youtube.com/watch?v=tS9IXHSdzJs&amp;amp;t=09m27s https://www.youtube.com/watch?v=tS9IXHSdzJs&amp;amp;t=18m22s https://www.youtube.com/watch?v=tS9IXHSdzJs&amp;amp;t=04m01s https://www.youtube.com/watch?v=tS9IXHSdzJs&amp;amp;t=13m56s https://www.youtube.com/watch?v=tS9IXHSdzJs&amp;amp;t=20m20s https://www.youtube.com/watch?v=tS9IXHSdzJs&amp;amp;t=04m35s https://www.youtube.com/watch?v=tS9IXHSdzJs&amp;amp;t=08m57s https://www.youtube.com/watch?v=tS9IXHSdzJs&amp;amp;t=13m54s https://www.youtube.com/watch?v=tS9IXHSdzJs&amp;amp;t=08m58s https://www.youtube.com/watch?v=tS9IXHSdzJs&amp;amp;t=11m25s https://www.youtube.com/watch?v=tS9IXHSdzJs&amp;amp;t=12m40s https://www.youtube.com/watch?v=tS9IXHSdzJs&amp;amp;t=20m55s https://www.youtube.com/watch?v=tS9IXHSdzJs&amp;amp;t=11m42s https://www.youtube.com/watch?v=tS9IXHSdzJs&amp;amp;t=15m48s</t>
  </si>
  <si>
    <t>youtube.com</t>
  </si>
  <si>
    <t>gardeners.com gardeners.com</t>
  </si>
  <si>
    <t>stylish.xxx</t>
  </si>
  <si>
    <t>skyline.pe</t>
  </si>
  <si>
    <t>dachyzielone.net dachyzielone.net</t>
  </si>
  <si>
    <t>youtube.com youtube.com</t>
  </si>
  <si>
    <t>wales.uk</t>
  </si>
  <si>
    <t>ko-fi.com ko-fi.com</t>
  </si>
  <si>
    <t>londonnightguide.com londonnightguide.com instagram.com instagram.com</t>
  </si>
  <si>
    <t>ko-fi.com ko-fi.com amazon.com amazon.com co.uk co.uk goo.gl goo.gl youtube.com youtube.com youtube.com youtube.com youtube.com youtube.com youtube.com youtube.com youtube.com youtube.com youtube.com youtube.com youtube.com youtube.com youtube.com youtube.com youtube.com youtube.com youtube.com youtube.com youtube.com youtube.com</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</si>
  <si>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</si>
  <si>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</si>
  <si>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</si>
  <si>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</si>
  <si>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</si>
  <si>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</si>
  <si>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</si>
  <si>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</si>
  <si>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</si>
  <si>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</si>
  <si>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</si>
  <si>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</si>
  <si>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</si>
  <si>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</si>
  <si>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Sonia’s Channel</t>
  </si>
  <si>
    <t>arcadata</t>
  </si>
  <si>
    <t>The Horticultural Channel</t>
  </si>
  <si>
    <t>Places to see in</t>
  </si>
  <si>
    <t>London Viewpoints</t>
  </si>
  <si>
    <t>Three S sisters vlogs</t>
  </si>
  <si>
    <t>Michael notthatone Parkinson</t>
  </si>
  <si>
    <t>Landscape Architecture</t>
  </si>
  <si>
    <t>Greenroofs.com</t>
  </si>
  <si>
    <t>Welcome to RJinspire: A travel channel that inspires and explores countries deeper than any other travel channel. Watch me stay with the people, learn their language and try out their food. I'm a solo traveller and author, writing books that motivate and inspire. My travelling transcends racial bigotry and religious bias; I don't travel black, I travel as a human being.
► SUBSCRIBE &amp; HIT NOTIFICATIONS NOW (make sure your notifications are turned on) - PLEASE DO NOT ASK ‘SUB FOR SUB'!
I will post at least two new videos every week (Tuesday and Friday), subscribe for a newsletter www.rjinspire.com (channel launched on 08/07/2019) 
Donate and support through PayPal www.paypal.me/rjinspire6 
Your support will help me buy better equipment and travel further.</t>
  </si>
  <si>
    <t>-MUSIC AND SONGS  BY ILARIO-
ILARIO SCHANZER is a Very Ecletic Italian Musician ;   
Pianist , Guitarist  , Singer , Songwriter and Composer ....
 He Lives in Rome and Writes his Own Music in Many different Styles and Genres .</t>
  </si>
  <si>
    <t xml:space="preserve">Join me on a mission to document as much of the United Kingdom as possible. Well, the prettier parts, at least. And maybe further afield if restrictions get lifted!
I do narration-free, fisheye-free virtual walks of town and city centres, as well as occasional football stadiums for those matchday memories. All shot in 4K with a 62mm lens.
I do this all out of my own pocket, so to support the channel, just subscribe. :)
</t>
  </si>
  <si>
    <t>Welcome to Chill &amp; Explore
This channel regularly provides relaxing videos to chill, study or sleep through walking tours, bus trips and more from various countries. 
I catch the ambience and introduce interesting places then you can feel the surrounding life in a raw format.
Most of my videos are recorded in 4K60p (2160p60 uhd) and available upon request.
For any collaboration or business inquiries, please use the contact button bellow ⬇️
Thanks for watching and stay tuned !</t>
  </si>
  <si>
    <t>한국의 아름다운 유적지 명소 도시등의 모습을 보여드립니다.
구독과 댓글 좋아요 부탁드립니다
I will show you Korean historical sites, landmarks, and cities.
subscribing &amp; writing are good for me.
Thank you~~^^*</t>
  </si>
  <si>
    <t>Fun filled channel for all that includes story telling, craft activities, education, dance,music,food and much more.</t>
  </si>
  <si>
    <t>한국의 명소및 도시의 거리,일상의 거리 뿐만아니라  낯설고, 낡고 오래됐지만 누군가엔 정겹고 그리운 장소를 찾아 영상으로 담고있습니다.
영상을 봐주시고 구독해 주시는 분들은 제 발걸음에 힘이 되어줍니다. 감사합니다.
I film Korean attractions, city streets, and everyday streets as well as old and shabby but  memories and nostalgic places.
Subscription is a great boost to my steps. Thank you.~</t>
  </si>
  <si>
    <t xml:space="preserve">Bienvenido a mi canal!
Hola, soy BAIRES WALKER.
Todo sobre vídeos en 4K de paseos por las ciudades de Argentina. principalmente en Buenos Aires y muestra no solo atracciones turísticas famosas sino también todos los rincones de la ciudad. 
( Pronto también en otros países _xD83C__xDF0E_ )
Espero que disfrutes de mi canal _xD83D__xDE0A__xD83D__xDE4F_
Welcome to my channel!
Hi, I'm BAIRES WALKER.
All about 4K videos of walks through the cities of Argentina. mainly in Buenos Aires and shows not only famous tourist attractions but also every corner of the city. 
( Soon also in other countries _xD83C__xDF0E_ )
I hope you enjoy my channel _xD83D__xDE0A__xD83D__xDE4F_
</t>
  </si>
  <si>
    <t>Hi!I'm ROGZ,d'EXPLORER,Welcome to my channel,walking and  travel tour videos..You can enjoy watching 4K and HD videos.
Please like,share and subscribe to get notify for new video
Thank you</t>
  </si>
  <si>
    <t>We help YOU in finding the right tech for your needs and and help your business with advice and Tips.
We review Tech Products from PC Hardware and Software, Tech tools, and retail help and advice.
Business Advice we give YOU is is given by a real multi award winning  business owners</t>
  </si>
  <si>
    <t>Gran Canaria Walk es un lugar donde descubrir los mejores alojamientos y rincones de la isla de Gran Canaria sin moverte del sofá. Todo el contenido está disponible para cualquier idioma y/o país. Espero que lo disfruten!!!</t>
  </si>
  <si>
    <t>Hello, it’s Ezokamui!（JAPAN SAPPORO WALK）
In this channel, you can experience walking, strolling and sightseeing in Hokkaido, Japan, around Sapporo.
The environmental sounds are recorded in binaural mode, allowing you to feel as if you are actually there.
◆Activity status◆
Currently, the scope of his activities is Sapporo. In pursuit of beautiful natural landscapes and environmental sounds, I am self-taught in recording binaural recordings, making soundscape videos, and studying every day.
Please be sure to subscribe to the channel!
English translations of titles, summaries, comments, etc. use Google Translate. If you notice a mistake, please report it in a comment.
はじめまして！蝦夷神威（えぞかむい）と申します。
このチャンネルでは、日本 北海道 札幌周辺の散歩・散策・観光を体験する事ができます。
環境音はバイノーラルモードで収録されており、実際にその場にいるかのような感覚を味わうことができます。
◆活動状況◆
現在、活動範囲は札幌。自然の美しい風景と環境音を追求し、日々、独学でバイノーラルの録音やサウンドスケープビデオ作り、勉強をしています。
是非チャンネル登録をお願い致します！
英語でのタイトル、概要欄、コメントなどはGoogle翻訳を使っています。間違いなどありましたらコメントなどでご報告下さい。</t>
  </si>
  <si>
    <t>Dear All  my youtube friends,
Thank you so much to already join this channel, commenting and also Like.
my  intention of this channel is to record my travelling and also adventure here in Bali. I moved here in 2016 September, and I would like to live here in Bali forever.
I am almost 40 and then many things that I havent done before, due to long hour working and building my career. Now I am working online with a very good travel company and I have the time to do things that I left behind.
I wanted to do many things before I die, and I am making bucket list for that.
This  channel also, hopefully become the online guide, or experience guide for those who wanter to visit Bali, information of what to do, what tobuy, what to eat, hows the coffee and all that.
I Hope that I am halfway meeting my purpose. More videos coming and hope you enjoy all my videos.
Email:deedeesoon@gmail.com
IG:senjaaldee
Thank you,
Senja Aldee</t>
  </si>
  <si>
    <t>If You Like Vlogs,Unboxing, Filmmaking, Tips or Tricks? If, you agreed to any of these questions then you are the right channel!
Twitter- The R Vlogs
Tiktok- Michael R  Vlogs
Instagram - The R Vlogs</t>
  </si>
  <si>
    <t xml:space="preserve">HI! Welcome to my High Definition Walking Adventures. 
This channel is all about walking in different places. Taking videos while walking, so expect natural sounds on it, some was edited and I put background music. My objective is to put viewers in my place like they are walking in the street while watching my videos. I will always try to have the best quality videos so that viewers will satisfy while watching my content. Hope you enjoyed every content of this channel.
Please help my channel grow by leaving comments, liking and subscribe to my channel.
Thank You.
#Walking #Travel #Exploring #Virtualwalk #Walkingtour#city
</t>
  </si>
  <si>
    <t>Hi there :)  Welcome to my channel.
In this channel, we will spread the charms of Japan locally by walking around.
I hope my footage make you enjoy.
If you like it, please subscribe to my channel and thumb up.
And please let me know if you want to see the particular area
日本の見所をご紹介させていただきます。
もし、気に入っていただけたらチャンネル登録していただけますと幸いです。
また、行きたいエリアなどございましたら、お気軽にコメント欄にてご連絡ください。
よろしくお願いいたします。
※
Copyright© TRIPLOVERS  All Rights Reserved.
Reuploading my videos is prohibited.</t>
  </si>
  <si>
    <t xml:space="preserve">イギリス(主にロンドン近辺)、日本を中心に彷徨う動画のアーカイヴです。徒歩/ウォーキングと自転車/サイクリングの動画を投稿しています。
An archive of walking/cycling footages filmed mainly in UK (around London) and Japan. 
We started filming these memorable places that we love or hate, initially for ourselves, and also for people who cannot go there yet or anymore. Most of our videos are currently being created in UHD 4K or sometimes 5K. A binaural 3D audio is available for most of walking videos.
This channel is essentially an archive and not aimed for delivering latest news or live update of current situation, so we may not post videos chronologically. If necessary, we may reedit/repost posted videos for better quality.
</t>
  </si>
  <si>
    <t xml:space="preserve">Welcome to my channel! Thank you for taking the time to visit my channel. 
Hi Everyone! I'm Rafhat. I love traveling and exploring new cultures. Thank you for sharing my journey. I film my videos using my iPhone. 
I upload videos daily. I want the viewers to experience real sights and sounds of the places first hand as if you were there! You can watch my videos while exercising on a treadmill, stationary bike or elliptical! You can find videos of my travels which feature city walks, beach walks, city tours, city driving, oceans, rivers, long walks, short walks etc. 
</t>
  </si>
  <si>
    <t>"As close to being there, without being there."
No narration, no music; just first-person perspective walks through the vibrant, living hearts of the world's most intriguing towns and cities.
Discover independent, soulful neighbourhoods amidst rich heritage and architecture, as we travel off the beaten path.
Join us in our search of the unique and authentic, and subscribe to receive brand new videos each week.
Be sure to comment and say hello.</t>
  </si>
  <si>
    <t>Do you want your garden to reflect your personal style? Is it your sanctuary -  a place where you can relax? Where you love to spend time with friends and family? Or express your creativity by growing fruit and flowers?
The Middlesized Garden YouTube Channel will give you ideas, inspiration and tips that really work. You'll get expert interviews and inspiring garden video tours.
I'm Alexandra. I'm a journalist and author. I love to find experts and filter information for you. I've written for some of Britain's top magazines &amp; newspapers - Good Housekeeping, Harpers &amp; Queen, The Daily Telegraph, The Times magazine and more. 
I have a walled town garden ( 100ft x 80ft) and I fit gardening into a busy life. So I look for ideas, tips and information to make gardening easier and your garden more glorious.
Do join us!  
More tips on saving time, money or effort in your garden on the www.themiddlesizedgarden.co.uk blog.</t>
  </si>
  <si>
    <t>Enjoy and identify botanical treasures both here and abroad as you take a virtual nature hike through the gardens that we've visited.</t>
  </si>
  <si>
    <t>Cześć, mam na imię Agnieszka i amatorsko zajmuje się uprawą roślin na działce. Ciągle się uczę jak być dobrym działkowcem, wyciągam wnioski z ogrodniczych porażek i chętnie zasięgam rady innych.
Lubię patrzeć jak z malutkiego nasionka, które własnoręcznie wsadziłam do ziemi wyrasta roślinka która daje plony lub kwitnie.
Zdecydowałam się założyć własny kanał aby dzielić się rozwiązaniami oraz pomagać w podjęciu ogrodniczej decyzji, pokazując cały cykl rozwojowy roślin. 
Mail do bezpośredniego kontaktu: contact.gardenpassion@gmail.com. 
Ze wszystkimi kontaktuję się osobiście za pośrednictwem powyższego maila.
Moje filmy są przeznaczone wyłącznie do celów edukacyjnych i informacyjnych. Staram się zapewnić, że informacje w nich zawarte są solidne i dokładne. Pamiętajcie, że nie jestem profesjonalnym ogrodnikiem. Jeśli macie jakieś wątpliwości wypróbujcie poradę
#ogród #uprawa #porady_ogrodnicze #ogrodowe_pomysły #eko_uprawa #eko_oprysk #kwiaty</t>
  </si>
  <si>
    <t>Hello and welcome to my channel! If you love a bargain, home DIYs, cleaning hacks, thrift shops, travel inspiration, and general London life vlogs, click subscribe for weekly videos! 
Follow me on Instagram to see what I'm up to day to day: @MisterCarrington @MrCarringtonHome
Twitter @_mrcarrington 
Blog: mrcarrington.co.uk 
#MrCarrington #MrCarringtonHome</t>
  </si>
  <si>
    <t>English gay guy, mid 50's love all things men,  guys issues talking and sharing experiences to do with hair systems,  gay issues, hangups, sexual stuff abd more so get in touch guys.</t>
  </si>
  <si>
    <t>Personal Style, Beauty, Lifestyle &amp; Travel Blogger | Hello you! Hope your well ✨On this channel you can find all the things about me that can go from every day life, random chats, hauls on things and possibly Vegan &amp; Cruelty Free things. Come and join me on my journey through life and what amazing places I go to, friends and memories I make along the way. Join the family by Subscribing!
Blog - www.fashionistachic.co.uk
Instagram - https://instagram.com/isobelceline/
Bloglovin' - https://www.bloglovin.com/blogs/fashionistachic14-12984939
Twitter - https://twitter.com/IsobelCeline
Facebook - https://www.facebook.com/fashionistachic14
Depop - isobelthomas147
Contact - isobelthomas147@gmail.com</t>
  </si>
  <si>
    <t>Hi i am AuntyM66, I love retro stuff and good music. Plus loads of gadgets eg mobile phone, computers Android tablets.I also love vintage Bollywood movies.</t>
  </si>
  <si>
    <t>Just some random clips, nothing outstanding!</t>
  </si>
  <si>
    <t>Hi, I'm Lisa. 
I run my creative business from home. Lollipop Box Club. 
My channel is all about the juggle of running a business and family. It's hard work but I love it..
I love anything creative. I love to journal, scrapbook, travel, paint, bake and we are a huge Disney family.
I hope you enjoy my mix of videos from my studio vlogs with the addition of home stuff, trying to stay organised with a little Disney thrown in too. 
Thank you so much for watching.
Lisa x
***
Thank you for watching my videos. 
If you have any questions, please do ask.
Find me here:
Website: https://www.lollipopboxclub.com/
Blog: https://www.lollipopboxclub.com/blog/
Facebook: https://www.facebook.com/lollipopboxclub
Instagram: https://www.instagram.com/lollipopboxclub
Email: hello@lollipopboxclub.com</t>
  </si>
  <si>
    <t>Follow my journey as I join The 5am Club and begin to elevate my life. I wake up at 4.45 everyday! Topics of conversation will be around building personal wealth, budgeting, health and fitness, food, film and theatre. Follow me on my blog at www.5amjack.com</t>
  </si>
  <si>
    <t>I Held the World in my Hands, ran my fingers over the whole world, Where does it Hurt? It answered everywhere! Sometimes it feels there is So Much in this _xD83C__xDF0D_ we can’t control, but it is So Important to Remember the things we can , like forgiveness, second chances, fresh starts. One thing that changes this world _xD83C__xDF0D_ from a Lonely place is “LOVE” .. In any of its forms , Love gives Hope , We Must have Hearts willing to Learn , Hands Willing to share Hearts more Willing to Love .. No matter how man try’s to Divide .. Be it Race , Religion or Fear .. God Created us All with Such Beautiful Variety .. BUT OUR SOULS ARE ALL THE SAME .. Don’t Walk Behind Me ; I May Not Lead , Don’t Walk in Front of Me ; I May Not Follow , Just Walk Beside Me , And Be My Friend .. WE ALL NEED TO LOVE EACH OTHER A LITTLE LOUDER TODAY ! _xD83D__xDC99_ Praying for Our Wounded _xD83C__xDF0D__xD83D__xDE4F__xD83C__xDFFB_.</t>
  </si>
  <si>
    <t>Angel</t>
  </si>
  <si>
    <t xml:space="preserve">Hello everyone
Welcome to my channel. I'm Sonia and I really enjoy creating content on You Tube like cooking, traveling n blogs.
Sonia's Channel focus on travel, blogs and food videos. My cooking recipe is all kinds of traditional food,  blogs are for my some daily activities and some few places visit.
I hope this channel will able to visit all over the world and share all your friends and family.
please subscribe my channel and follow me
#Soniaschannel
#Soniaschannel
#Soniaschannel
Thanks for staying with us
</t>
  </si>
  <si>
    <t xml:space="preserve">Hello everyone, I'm SK ALAM VLOGS living a simple life and sharing good vibes to everyone, currently im working as barista, part-time room decoration and vlogger here in Jeddah Saudi Arabia, I love cooking/foodtrip,travelling and watching movie's please join me with my random vlogs and support my youtube channel,, 
_xD83D__xDC9D_Thank you _xD83D__xDC9D_
</t>
  </si>
  <si>
    <t xml:space="preserve">Hi! I am Kiran, welcome to my Channel! This channel is all about cooking, lifestyle, life hacks, skincare and much more!
My thoughts on cooking?
I believe that the taste of the food comes from the warmth and love it is made of! It reflects our deeds!
Make sure you Subscribe to my Channel and don't forget to press the bell icon!
</t>
  </si>
  <si>
    <t xml:space="preserve">Hello Everyone
Assalaamualaikum brother's and sister's. Thank you for visiting my channel
I'm Tazmina My channel name is Events of my life .I am originally from Bangladeshi but I currently living in UK and I really enjoy creating content on you tube like cooking, traveling ,vlogs and others. My cooking recipe is all kinds of traditional food, blogs are for my some daily activities and some few places visit.
Please show some love by like, share, subscribing and turning on my notifications.
</t>
  </si>
  <si>
    <t>In this channel I do things my way</t>
  </si>
  <si>
    <t>This is Sadia Deepa.I am from Dhaka, Bangladesh. I live in Uttara in Dhaka city.
Now i am doing Job in Fabric Company as a merchandiser.
My hobby is Spend time with my family specially with my nephews.
Cooking is my another hobby.I give daily vlogs &amp; cooking vedio in my youtube channel.
I try my best improve myself and creat nice videos.
Everybody  pls support me and keep in your prayers.
#sadiadeepa</t>
  </si>
  <si>
    <t xml:space="preserve">Hello everyone, 
I share here different kinds of videos such as popular ringtone, trending videos,  cooking ,  travelling, news,  technology , visa related updates and others. 
Facebook page ;
https://www.facebook.com/mohuasenmisti
email: mohuasenmisti@gmail.com
Thanks
</t>
  </si>
  <si>
    <t xml:space="preserve">As salamualaiqum. Welcome to my channel everyone. I am Anowar Hossain;
My channel is for Entertainment purposes for common people.
Generally I share my own song. 
Hope everyone enjoy my song.
Thanks everyone for support me.
 Good luck to everyone.
</t>
  </si>
  <si>
    <t>সমাজের অপরাধমূলক বিষয় তুলে ধরতে চাই এই চ্যানেলের মাধ্যমে অন্যায়ের বিরুদ্ধে রুখে দাঁড়াতে চাই আপনারা যদি অন্যায় প্রশ্রয়দাতা না হন তাহলে আসুন হাতে হাত কাঁধে কাঁধ মিলিয়ে অন্যায়ের বিরুদ্ধে রুখে দাঁড়াই একসাথে সবাই মিলে অন্যায়ের এক হাত আমাদের 100 হাতের শক্তি দিয়ে অন্যায় কে দাঁড়াতে দিবোনা এই দেশে এবং এই দেশের সমাজগুলোতে আমি প্রস্তুত আপনি প্রস্তুত</t>
  </si>
  <si>
    <t>Hello everyone!
As  salamu alaykum
Welcome to my channel Bangladeshi swedish mum. I’m from Bangladesh and now I live in Sweden. I will be vlogging my life into following sub-categories , vlog ,travel and food recipes.
I will always try my best to upload at least 2 or 3 videos weekly. Hope you will enjoy my videos and always be with me.
#bangladeshiswedishmum
email: bdswedish@gmail.com
Please SUBSCRIBE comment and like to encourage us to make more videos!</t>
  </si>
  <si>
    <t>Hello , I am Rikta sarkar . I am new in youtube please subscribe my channel and like my videos to encourage me.
Thank you</t>
  </si>
  <si>
    <t>Lifetstyle in the UK vlogs</t>
  </si>
  <si>
    <t>Assalamualaikum Everyone❤❤❤ 
Welcome Bablu sumi Vlogs 
Me Bablu Hossain From Bangladesh I am living in United arob Emirates This is my Vlogs &amp; cooking  channel
Please Don't Forget To Like Comment And Share
For Instant updates
"SUBSCRIVE
Thank You Very Much ❤️❤️❤️</t>
  </si>
  <si>
    <t>Hello I’m Shorifa Hussain this is my everydays vlog channel here u can see fun, cooking ,visiting ,traveling ,video☺️. 
so I have to say something about myself. 
Here it goes.  
 I am a Shorifa who is positive about every aspect of life. There are many things I like to do, to see, and to experience. I like to read_xD83D__xDE1B_I like to think, I like to dream; I like to talk, I like to listen. I like to see the sunrise in the morning, I like to see the moonlight at night; I like to feel the music flowing on my face,I like to do thought experiment when I cannot sleep in the middle of the night. I like flowers in spring, I like to sleep late _xD83E__xDD2A_I like to get up late_xD83D__xDE04_I like country’s peace, I   Scared _xD83D__xDE1F_ metropolis’ noise; I like the beautiful west lake in Hangzhou,I like delicious food and comfortable shoes; I like good books and romantic movies. I like the land and the nature, I like people. And, I like to laugh._xD83D__xDE00_
 But my dream is still alive._xD83D__xDE0A_
Thank you so much for visiting my description</t>
  </si>
  <si>
    <t>Hi Everyone!!!Assalamualikum! I’m Iqra and welcome to my Channel.(IQRA Vlogs uk) I am From Bangladesh,living in UK I’m so excited to share my daily Life.Some Sylheti Traditional cooking videos,vlog,Gardening videos,everything share .I will always try my best to upload at least 2 to 3 videos weekly,hope you will enjoy my videos.please show some love by subscribing and turning on my post notifications.please don’t forget to “SUBSCRIBE MY CHANNEL “ press the bell icon to get my latest video. Thanks_xD83D__xDE0A_</t>
  </si>
  <si>
    <t xml:space="preserve">Assalamualaikum everyone , 
My name is Fahid Ali  , I am from Bangladesh ! Naw living in uk  , this is my YouTube channel. Fahid vlog uk world , 
my YouTube channel name  Fahid vlog uk world ,
Welcome to my channel  Fahid vlog uk world, 
I like cooking  gardening  shopping travel a lot things my channel , if you like my YouTube channel  please like comment share and subscribe  my YouTube channel  Fahid vlog uk world  </t>
  </si>
  <si>
    <t xml:space="preserve">Assalamualaikum everyone 
I am from  Bangladesh ! now living in uk  ! My name  is Raina  chowdhury this  is  my  YouTube  channel  
My YouTube channel  name  
Raina's mini world   
 welcome to my  Raina's mini world 
I like  cooking   gardening   shopping  travelling  a lots of things  my channel  !  if  you  like my  YouTube channel  please  like  comment  and  Subscribe  my channel please  Raina's mini world  </t>
  </si>
  <si>
    <t>Assalamualikum beautiful people. a vlogging channel and I will be gardening, shopping, cooking, exploring and other daily activities 
my name is Muhammad Hamza chaudhury.
I am from Bangladesh, Sylhet, I live in London uk.
So Subscribe straight away to join Hamza's World</t>
  </si>
  <si>
    <t>Hi everyone, This is my cooking channel. I enjoy and love cooking and hope to share these recipes with you. I also do vlogs to show you some places i visit. My dream is to be a big youtuber and i hope my channel grows with your help._xD83D__xDC95_
#RRecipes&amp;Vlogs#RRecipes&amp;Vlogs</t>
  </si>
  <si>
    <t xml:space="preserve">Assalamwalikum, 
I am Aklima from uk.This channel is only for easy cooking who loves to cook easily and also I'll share few vlogs So, please subscribe to my channel for easy recipes.
#Aklima'sCooking&amp;VlogsUk </t>
  </si>
  <si>
    <t>Hello my dear friends!! 
Welcome to my channel. I have created this channel to share different types of cooking recipes, snacks, desserts, drinks etc  with sufficient tips and tricks.Hope you all support me and help me to grow.
Thanks</t>
  </si>
  <si>
    <t>আসসালামু আলাইকুম সবাই কেমন আছেন  SAIMA'S Recipe আমার চ্যানেলটিকে সবাই সাপোর্ট করবেন ধন্যবাদ সবাইকে</t>
  </si>
  <si>
    <t>The worst thing about being a QUEEN fan is that Freddie left us too early... but their music lives on...</t>
  </si>
  <si>
    <t>I randomly post newly or not-so-newly acquired or not-yet-acquired skills.</t>
  </si>
  <si>
    <t xml:space="preserve">Welcome To My Channel Im Massive Fan Of Classic Rock ! And I Will Be Uploading Vinyl Videos And Soon Drum Covers From The Best In Classic Rock !!! 
The Equipment I use To film On Is A HD Q3 Camera 
My Drum Gear Is As Follows 
Pearl Export Drum Kit 
22" X18" Bass Drum
10"X8" Tom Tom
12"X10 Tom Tom Only Used On Ocassions 
13"x11 Tom Tom
14"X12" Tom Tom
Side Toms Only used On Occasions. 
8"X6" Tom Tom
13"X11 Tom Tom
Roto Toms 
Only Used On Occasions
6"/8"/10"
16"x16" Floor Toms 
18"X16" Floor Toms
Cymbals Zildjian K &amp; Stagg
14" Hi Hats Hybrid Sound
18" Stagg Crash Cymbal
19" Stagg Rock Crash
20"Stagg Crash Ride 
22" K Ride Cymbal
19" Stagg Crash Ride Used Only On Occasion 
20" China Cybal Istanbul 
8" Splash Cymbal Only Used On Occasion
Mic By Sennheiser.
</t>
  </si>
  <si>
    <t>Okay, so you've stumbled across to our YouTube Page! 
Please consider subscribing as we upload content very regularly. Our content is usually day in the life vlogs, however unlike most couples online we don't only show you our "best bits" and live the perfect "social media life". We opening disagree with each other - just like any normal couple does - we just don't always get to see that online. So want to watch a genuine couple live their lives, have good and bad moments, the consider subscribing!</t>
  </si>
  <si>
    <t>A lifestyle channel about life in the country and luxury living. How to and style ....
you can read more about My Model Mummy over on my blog at www.mymodelmummy.com</t>
  </si>
  <si>
    <t>Hi everyone my name is George   
I am in England Cambridge I have a passion for plants. _xD83C__xDF3F_love to start them from seeds _xD83C__xDF31_starting seedling is a passion its extremely relaxing to me. 
Hopefully you subscribe and make New Journey in your life _xD83C__xDF1F__xD83C__xDDEC__xD83C__xDDE7_ 
Join the plant life haha_xD83D__xDE0A_</t>
  </si>
  <si>
    <t>Short clips and films created by animator and illustrator Rachel Clarke.</t>
  </si>
  <si>
    <t>Succulents &amp; Plants</t>
  </si>
  <si>
    <t>I dont like feminists.  I think they're stoopid as is po,itical correctness. You cant legislate common sense.</t>
  </si>
  <si>
    <t xml:space="preserve">Whats up Folks  - This channel is about inspiring you to travel and Lifestyle guides to help you become more organised and a better version of yourself. I'm also obsessed with hoodies and coffee,  just saying..!
Become a Rebel......
</t>
  </si>
  <si>
    <t>Trip Vlogger</t>
  </si>
  <si>
    <t xml:space="preserve">Welcome </t>
  </si>
  <si>
    <t>Welcome MR Craft dotcom. It is mainly learning station which is about bonsai tutorial, learning English, cooking and so on. This channel also provides different videos on cultural programmes and entertainment like music, travelling, literature etc. Thanks for visiting my channel.</t>
  </si>
  <si>
    <t>_xD83D__xDE0A_ที่ดินทั่วไทย ถูกใจ สมราคา ไม่ซื้อไม่ว่า แวะชมกันก่อนจ้าา..._xD83D__xDE00_</t>
  </si>
  <si>
    <t>Pastry chef and newbie Gardener</t>
  </si>
  <si>
    <t>Welcome and thank you for dropping by. I’m Bobby. 
I trained at Drama Studio London to be a famous Actor. Plans and life change and I soon turned to other opportunities in life. I studied to be a College/University Lecturer and trained as a freelance Swimming Coach over fifteen years ago and still teach today. 
This channel will cover life vlogs and acting techniques for those who want to follow an actors life/career and my many DIYs. 
Take away something from each video &amp; find your own direction.  
Monthly videos!
Please click to subscribe _xD83D__xDE04_</t>
  </si>
  <si>
    <t>Welcome to the YouTube Channel for Cynthia Lenz's Naturally Healthy and Happy Blog!  You will find videos here about creating a beautiful, natural, healthy, happy lifestyle.
Please check out my blog: www.cynthialenz.com.
Please LIKE my Facebook page: www.facebook.com/naturallyhealthyhappy and follow me on twitter.com/cynthialenz</t>
  </si>
  <si>
    <t>Hello Guys!! Welcome to Trishna Home Garden!! I make videos about Flowers and some other stuff like traveling to somewhere!! So If you like my channel , please like ,share and subscribe and let me know if you have any questions about flowers or something else. Email me on - nijarasaikia7@gmail.com.</t>
  </si>
  <si>
    <t>Transplanted Long Island girl living in the South.  Married to a United States Air Force Captain (Ret), mom to two teen girls living on Florida's Gulf Coast.  Investigative Analyst for the US Department of Justice.</t>
  </si>
  <si>
    <t>Hello! _xD83D__xDC4B__xD83C__xDFFB_
My name is Kate and I’m a mum, singer &amp; radio presenter! 
I live in Great Yarmouth, Norfolk.
I love a bargain and I’ll be doing Hauls and the odd vlog on here!
I do one video a week at the moment, on Fridays at 2pm ❤️</t>
  </si>
  <si>
    <t>Hello Everyone! My name is Debbie. I'm married with a teenage daughter and son. I enjoy watching hauls and vlogs and giving my honest opinion but most of all, listening to music or concerts (because music is my absolute passion!!), anything beauty related and generally just fun stuff that makes me laugh!! _xD83D__xDE06__xD83D__xDE06__xD83D__xDE06_</t>
  </si>
  <si>
    <t>Crafter and gardener</t>
  </si>
  <si>
    <t>ATN</t>
  </si>
  <si>
    <t>My Crafts</t>
  </si>
  <si>
    <t>Tithonia(mexican flowers) it belongs to Mexico and central america.it is a summer flower in india.</t>
  </si>
  <si>
    <t>Thank you for your support to this channel and our journey. We're a 501 (c)(3) faith-based non-profit homeless organization. In this channel you'll find homeless stories, inspirational and educational videos along with random musings. Please consider subscribing to our channel and donating to our ministry by clicking the PayPal, Cash App or website button below.
We can also be reached at:
Amazing Grace Empowerment Ministries, Inc.
712 E. 2nd. St. Unit 723
Franklin, OH 45005
God is love 1John 4:8
Commenting Policy:
Please keep your comments respectful. Disrespectful and malicious remarks will be deleted.</t>
  </si>
  <si>
    <t xml:space="preserve">Come join us as we explore various cities and sites in 4K. </t>
  </si>
  <si>
    <t>Landscape photography, urban and architecture photography.
Fine art photography.
Lightroom and photoshop tutorial
Vlog, travel
Timelapse and hyperlapse video</t>
  </si>
  <si>
    <t>This Is My Youtube Channel 
The 1980s Are My Favorite Decade Of All Time 
I Am Looking For These Original Broadcast Shows With Commercials On VHS  SOLID GOLD (1983 -1986 )  SOLID GOLD "87 (1986 -1987 ) SOLID GOLD In Concert (1987 -1988 )  DANCE FEVER (1985 -1987 ) Hour Magazine (1984 -1988 ) Entertainment Tonight ( 1984 -1989 )  Please PM Me If You Have Them All 
My Websites 
YAHOO 
dwight345678960@yahoo.com 
dwightfan1988@yahoo.com
TWITTER 
www.twitter.com/dwightfan1988 
FACEBOOK 
www.facebook.com/dwightwise 
FLICKR 
www.flickr.com/dwightfan1986</t>
  </si>
  <si>
    <t>Hi Guys, Welcome to my youtube channel, the video branch of schoolrunbeauty.com. If you like reading beauty and lifestyle blogs then do check it out.
Catch you later
Katy :)</t>
  </si>
  <si>
    <t>Hello, I'm Tania and Welcome to my Channel. I'm a Mummy of 3 and a Wife to a Wonderful Man. We are moving into our first home together soon so want to document it and share our progress with you. Along with Decor/Shopping Hauls &amp; Life at home with 3 under 5. Hope you Enjoy! 
Thank you so Much for Visiting.
Contact me here - Timefort17@gmail.com</t>
  </si>
  <si>
    <t>Hello, guys! Daniel here. I make videos of going out having fun or some food taste videos as well as thought sharing. Hope you enjoy them and like them! Love you all!! Be sure to check out my social media, too. 
哈囉大家好，我做出去玩的影片、試吃食物還有一些心得分享。希望你們會喜歡我的影片並給它們一個讚，也要記得去追蹤我的個人社群網站哦！愛你們！</t>
  </si>
  <si>
    <t>Art, DiY, &amp; Crafting Project Shares &amp; How-to Tutorials. Create more than just ideas &amp; daydreams! SimpLee Beth videos will teach &amp; inspire you to actually get Making! Work along with videos, or opt to focus on the lesson &amp; create on your own later. Challenge yourself to copy SimpLee Beth projects exactly or implement unique ideas, new style choices, &amp; various tools/materials to design, change, &amp; personalize your piece! Visiting &amp; sharing ideas has powerful impact on artistic creativity!!! Please engage in video comment sections! Keep the conversation going by sharing your feedback, tips, &amp; questions! Read comments from other members of the SimpLee Beth #famblee! Our community is full of such lovely people, who often share ideas and resources they have discovered along their creative journeys.
Easily keep up &amp; keep inspired by subscribing to SimpLee Beth! Your support really means so very much! Each member of the SimpLee Beth #famblee adds priceless value! Thank you!!!
Lawrence, KS, USA</t>
  </si>
  <si>
    <t>Welcome and thank you for stopping by. As one grow older. Life begins to have new meaning.
Rebranding Me,  “London Lifestyle Channel” is looking at every aspect of my life and making conscious effort to create the life, space, health, friends I love and enjoy. As I evolve, I hope that you will do the same for you. Whether it's your health, lifestyle, Spirituality or hobby. As this channel evolves my desire is to inspire you to take a step back and make changes where needed in other to live your best life. We have only one life, let’s make the most of it. So, GO FOR IT! Create the life that you so desire.
On my channel you will find, Lifestyle Vlogs from a “London” based Youtuber, Home Garden Vlogs, Videos on Life Transformation, Health and Wellness, Product reviews and Random things I come across.
Growth Milestones
100 Subscribers - Aug 2018
500 Subscribers - Nov 2018
1000 Subscribers - March 2019
Join the Family. Keep us Growing.</t>
  </si>
  <si>
    <t>Cursed by the need to be alone but wanting to escape oneself</t>
  </si>
  <si>
    <t>This channel helps people with similar hobbies and likings to get together in order to create a happier society around us. In my case just some flowers are doing the trick.</t>
  </si>
  <si>
    <t>Hello my all viewer's..nears n dears...n all lovely friends...I m  Nature lover also animal lover too...I wanna show you something new ideas about gardening..so I hope u all will enjoy n also support my channel _xD83C__xDF37__xD83C__xDF3A__xD83C__xDF31__xD83C__xDF31__xD83C__xDF31_ thank u Soo much for your support and love_xD83D__xDE4F__xD83C__xDF37__xD83C__xDF31_</t>
  </si>
  <si>
    <t>Let's wander in different styles!</t>
  </si>
  <si>
    <t>We are family travellers from Nepal determined to visit at least 100 countries before our daughter turns 10.</t>
  </si>
  <si>
    <t>This channel is related Technology</t>
  </si>
  <si>
    <t>I upload Pubg videos.
Please support me guys and subscribe my channel _xD83D__xDE42__xD83D__xDE4F_❤️
In-game name: GunMan
Device: Realme 5 pro
Inspiration: Mortal || Soul
Moving in the hope to buy a good device one day❤️
Email : lemonrhode6@gmail.com</t>
  </si>
  <si>
    <t>My second channel: https://www.youtube.com/channel/UCUZX-FaPDq7w_TqB3QrAzWQ
Hi, learn organic gardening, realistic self-sufficient living, keeping quail, chickens, and lots more! My channel is about self-sufficiency and based on my blog (established several years earlier) called "Self Sufficient Me" this doesn't mean I believe I am totally self-sufficient (nor do I want to be) but more that I want to "strive" to be as self-sufficient as I can with the current resources I have on offer. 
Thank you for subscribing!
Look, and see the Earth through her eyes... metaphorically means trying to work WITH nature rather than forcing it artificially.</t>
  </si>
  <si>
    <t xml:space="preserve">Welcome to The Horticultural Channel - seasonal hints and tips plus news and show visits.
Presented by Sean James Cameron. Who has been gardening for over 30 years and have been featured by ITN News, Kitchen Garden magazine, The Guardian, The Telegraph, BBC Radio 5 Live, Grow Your Own magazine, Amateur Gardening magazine, Garden News magazine, and Horticulture Week.  
</t>
  </si>
  <si>
    <t>Channel Description?  No videos from me  but a true fan of the many wonderful Youtube creators.  I am in the US in a zone 5 region---definitely 4 seasons even if the nicer ones only last a few weeks.  ;)  Loving grandmother, loyal spouse of 33 years, proud military wife, avid gardener, a Rosarian, craft-crazy middle aged lady.</t>
  </si>
  <si>
    <t>Tomato Geeks, where Tomatoes are #1. We are all about tomatoes 24/7 365 Days a year. Offering Heirloom &amp; Specialty Tomato Plants.</t>
  </si>
  <si>
    <t>Hi my name is Lyn, I am a Cacti and Succulent Horticulturist and I have almost 40 years experience of growing Cacti and Succulents. 
I have grown Cacti &amp; Succulents since a young child, and it is from my many years of growing these prickly and fleshy plants that I love to share videos on this channel on how you can care for and grow the many different types of Cacti and Succulents. 
In my videos I share tips and tricks on the challenges as well as the many rewards that you can experience growing Cacti &amp; Succulents. 
My You Tube videos contain lots of 'How To' video tutorials that are suited for both beginners and advanced growers.
I upload videos on an almost daily basis on Cacti &amp; Succulents and also share other Houseplant care videos too.
If you love Cacti and Succulents or you want to learn more about them, then please do Subscribe to my channel and also check out my website : www.desertplantsofavalon.com</t>
  </si>
  <si>
    <t>I love to eat, if it involves eating I'm interested! 
From ground to plate and all the lovely stages in between.</t>
  </si>
  <si>
    <t>Photographs of my adventures in horticulture, livestock and visits to various places over the last 60 years.
I have just produced my first video, February 2018, so we will see how that goes.
There are photographs going back a long way here:
https://www.flickr.com/photos/norwichhouse-oakridge/albums</t>
  </si>
  <si>
    <t>Devon - UK . Gardening</t>
  </si>
  <si>
    <t>my garden birds  and garden 
Home made cards and paintings 
cakes and jams 
days out</t>
  </si>
  <si>
    <t>Updates from my garden and polytunnel where I explore gardening in partnership with nature, including permaculture design in the garden and gardening with nature (co-creative gardening).</t>
  </si>
  <si>
    <t>I am a backyard gardener. I have been gardening for about 45 years. Twenty of those years has been in my present Wisconsin home, zone 4/5. Growing &amp; using herbs is another gardening passion. Making my own lip balms, body butter and healing salves is very beneficial to my aging skin. Growing ORGANICALLY is what I do. No Poo, oil pulling, detoxing, cooking &amp; baking from scratch fits my healthy living style.  I like to cook, bake, craft, thrift, yoga, bike and of course GARDEN. I was a Pharmacy Technician for 35 years.  Now that I am retired I can pretty much do what I want, when I want to do it. My man (married 47 yrs,) and family are the joys of my life. The computer has opened up so many adventures and friendships that I enjoy, BUT learning how to use the computer has been challenging.</t>
  </si>
  <si>
    <t>This Channel is all about my small  Allotment Garden which is based in west London UK.  I tell stories, share ideas, inspire change, share and listen to problems.  In my allotment garden I grow on average  43 different kinds of vegetables , herbs. fruit  and flowers. I also do relative occasional cooking mostly using my allotment produce.</t>
  </si>
  <si>
    <t>Two old bubbles (from the cockney rhyming slang 'bubble and squeak' for Greek) on our allotment in Harrow</t>
  </si>
  <si>
    <t>Recently became a very proud Nanna..... I am an independent umpty something woman, hobby gardener, producing enough produce from my little veg patch to meet my needs.keeper of pink parrots,and blue parrotlets who literally eat me out of house and home! they have partially demolished my glass cabinet. I have a (bizarre) sense of humour and find amusement in some of the most dreadful situations.. eg quickly learning the Turkish word for sh** when my home was flooded with sewage.. and using that word a lot! I was forced to retire due to ill health (reluctantly) from a job I loved... I quickly learned to live very frugally  through necessity. My philosophy is ..life is too short to iron pyjamas..... I value, Nature, friends ,family I wish people would stop chasing paper money and realise they are destroying themselves and our earth in the pursuit of stuff.... which we can comfortably live without... ( what is a dishwasher! )</t>
  </si>
  <si>
    <t>This channel is all about how to live frugally and well. It covers a number of topics including DIY, Health, Herbal Medicine, Permaculture, Grow your own fruit and veg, Crafts, woodworking, Engineering designs and Love of God. It is a stress free and will enable you to live a healthy and happy lifestyle.</t>
  </si>
  <si>
    <t>Michael Poultney or Mick, as he is known, has had the gardening bug over 40 years ago &amp; has never looked back. He is at present, chairman of Abbey Road Allotments, Colley Gate Gardening Club, Dudley Horticultural Advisory Council and the West Midlands District of the National Vegetable Society. Mick was awarded with the Martin Robinson Award, and a Fellowship from the National Vegetable Society for his gardening services.
Mick holds regular talks at gardening clubs and shows all across the UK. He is a qualified national vegetable judge, as well as a lecturer and experienced demonstrator. The National Vegetable Society were so impressed with his composting methods that they produced a DVD on the subject.</t>
  </si>
  <si>
    <t>Welcome,
Thank you for visiting my channel.  I am here to share my love of art and sketching.  This channel is all about teaching you fun and creative ways to sketch and add some color to your life.  My goal is to inspire you to create something that is an expression of who you are.  To me art is pure enjoyment and there are no rules or boundaries.  
Thank you 
-Krishan</t>
  </si>
  <si>
    <t>London is an incredible thriving city and I'm proud to call it home.  Having moved over from America, I love discovering the city and experiencing the many cultural events.  
As a property agent my videos will share helpful tips and insights about the London property market and some of the fabulous people, places and things that make London one of the world's top cities to live.</t>
  </si>
  <si>
    <t xml:space="preserve">Hi!
My name is Serena. I am a fashion enthusiast that also has an unhealthy obsession with Home Interiors (if I could go Homesense &amp; Zara everyday, I would!)
I post videos every Sunday Morning, to share &amp; help you to find &amp; style amazing items from the high street. And making the most of your wardrobe. 
I love chocolate, my crazy cat and a good shopping hauls!
You can also find me over on my blog: SerenaDAlexandercom.
Thank you for clicking on my channel and I hope you will join me on this crazy journey!
</t>
  </si>
  <si>
    <t>Hi, Yulia and Paul Tarbath here and welcome to our channel! We're here to help you balance your hormones naturally and create the body and life you'll love ... 
We upload regular videos on subjects related to hormone health, adrenal restoration, natural weight loss, gut health, before and after stories, nutrition myths, and more. 
With the help of the plant-foods lifestyle that we promote, I (Yulia) was able to overcome infertility, PCOS, severe adrenal fatigue, Hashimoto's,  Candida, gut imbalances and get my life back. I'm here to help you too! 
Sign up to our channel to make sure you get our latest videos! 
FREE TRAINING: Discover the exact blueprint our clients use to release 10-50 pounds and overcome their hormonal imbalances naturally. Sign up here: http://www.rawsomehealthy.com/webinar 
Visit our website at: http://www.rawsomehealthy.com
Work with us: http://www.rawsomehealthy.com/coaching 
Thank you for stopping by! 
Paul and Yulia Tarbath</t>
  </si>
  <si>
    <t>When we live and work from a more peaceful ground of being, not only do we become happier and healthier in ourselves. It increases our impact and influence in the world. It raises our game!
I want every professional person on the planet to experience their life and work as joyful, purposeful and successful.
I want people to restore their emotional well-being.
I know the astonishing difference that is made in people’s lives when they do the work I facilitate.
On this channel, I share actionable work I know you can do to make that difference for yourself.
My name's Stephen Woolston and I am an Advanced Master Practitioner and Trainer of Neuro-Linguistic Programming (NLP), an Advanced Presence Intelligence Coach, and trained convener of the "What Every Person Can Do" program.</t>
  </si>
  <si>
    <t>hi and welcome to my channel! 
Come back every week for new episodes on how to turn your potential into performance.</t>
  </si>
  <si>
    <t>Hi everyone! My name is Geoffrey and I specialize in working with men to rebuild their relationships from the ground up.
No fluff, no cheesy advice or theory that doesn't actually work in real life -- This channel is designed to give you the best advice you can get in the world of relationships that have been proven to work on hundreds of relationships. 
So here's to you &amp; your relationship/marriage!
See you soon!</t>
  </si>
  <si>
    <t xml:space="preserve">I help smart &amp; capable millennials with advanced degrees who have too many options transition into the right career path. Whether it's making small adjustments to navigating a full-out career change, the goal is to bring a positive transformation to your career. If that interests you, then this channel is just for you!
When you subscribe to my channel, you're going to get two videos each week with actionable career advice and tips to boost clarity, productivity, and soft skills. Live office hours available offering free career advice and Q&amp;As take place weekly.
I occasionally talk about other trending topics like sociology, parenting, &amp; intercultural communications and, honestly, just whatever interests me.
Dr. Jon Tam (Ph.D., University of Oxford)
</t>
  </si>
  <si>
    <t xml:space="preserve">Hi :)
My name is Tanya Ann! I am a holistic health coach and food product business owner sharing with you how I live a healthy lifestyle and navigate running a small business.
I would love to connect with you in the comment section or on Instagram.
Tanya
</t>
  </si>
  <si>
    <t>I help people have the freedom to live life on their own terms with a highly profitable YouTube channel.</t>
  </si>
  <si>
    <t>Social Confidence Mastery is where STEM (science, technology, engineering, and math) professionals turn to improve their social skills.
My name is Myke Macapinlac and as a shy immigrant who used to work a structural design job, I know what it's like to struggle socially. 
Looking back now, I realized that I've spent too much time focusing on acquiring hard skills and totally neglected to develop my soft skills.
I've since been able to improve my social confidence and have created meaningful connections both in my personal and professional life.
Now that I'm a social skills coach, I feel privileged to help other STEM professionals build confidence, overcome social anxiety and improve their conversation skills through my social skills coaching program.
If you're technically skilled like an engineer, a programmer, or a developer and you want to get this part of your life handled, then you're definitely in the right place.</t>
  </si>
  <si>
    <t>Intentional Marriages' weekly episodes are designed to help you communicate better, fight less and have more peace in your relationship.
You can make your marriage work! 
NEW EPISODES EVERY WEDNESDAY
Check out our Dashboard for all the FREE resources available: https://www.IntentionalMarriages.NET</t>
  </si>
  <si>
    <t>Aloha &amp; Welcome! 
I'm so thrilled you decided to check out my channel and learn more about me. I love arts &amp; crafts DIYs, and gift and entertaining ideas.
I hope to inspire everyone to unleash their creativity by trying something new - it's good for the soul!</t>
  </si>
  <si>
    <t xml:space="preserve">Get housing market updates, master creative financing, and learn how to retire early through real estate investing so you can enjoy the good life!
Matt Theriault has been investing in income real estate using creative acquisition and exit strategies and showing others how to do it for more than a decade! His reasoning? If you know something that could help somebody, it’s just not cool to keep it yourself. So, he created Epic Real Estate to help the average person create a better life through real estate investing.
Whether you’re curious, just getting started, seasoned, or just plain frustrated, this channel is your source for everything you need to know to escape the rat race and reach financial independence. 
We post new videos weekly! 
</t>
  </si>
  <si>
    <t>Hey sister, welcome!
Are you sick &amp; tired of being sick &amp; tired of struggling with weight loss? Especially as you age?
You can lose weight. (*And keep it off this time). Without calorie counting, deprivation, willpower, managing triggers, or having to stay "on plan." No pain &amp; suffering, pills, potions, or products.
Learn how to eat like a normal person and make it stick, even if you don't like to cook or you have no motivation. Yes, I really mean that. Get rid of the chains that food has on you. Stop self-sabotaging or ever falling off the wagon again.
I'm a former binge eater, exercise bulimic, yo-yo dieter, and social worker who healed my food problems &amp; put that all together into a health &amp; life coaching practice with a mission to create a movement of women over 40 transcending eating &amp; body image issues and stepping into their power. Then we pay it forward. ♥
I hope you'll subscribe &amp; get your freedom!</t>
  </si>
  <si>
    <t>Hey everyone! My name is Anastasia Hill.  I am looking forward to making videos on my style, my daily life, traveling, and how I find joy in my days. I'm so thankful to have a channel here on YouTube where I can connect &amp; share my life with you guys! Hope you enjoy :)
Business Inquiries: Theasiahill@gmail.com
Instagram: @Theanastasiahill
https://www.instagram.com/theanastasiahill/</t>
  </si>
  <si>
    <t xml:space="preserve">Originally from New York, I relocated my family to South Florida 15 years ago.
Knowing that we wanted to live in Florida but not where exactly, we did a thorough investigation of the entire State and consider ourselves fortunate that we decided on the exact right place for us.... South Florida.
South Florida has captivated me from my first visit, and fifteen years ago I rearranged my life to live and work here. I love its small town feel combined with its big city sophistication, its beaches, mix of people, and all this paradise has to offer. Every time I drive around to show houses, I think how beautiful this area is, and how lucky I am to live here. The quality of life is extraordinary, and I take great pride in serving this unique community.
I am grateful for all you subscribers, so thanks for watching my videos!
If you want to talk to me about anything South Florida .. 
Call, text, email me @
Raymond Fernandez
(561) 281-1110
Ray@FLHomesbyRay.com
FLHomesbyRay.com
</t>
  </si>
  <si>
    <t>If you want to learn how to recognize between health issues that can be self-treated and when it's time to go to the doctor,
YOU ARE IN THE RIGHT PLACE!
If you want to learn how to have a successful visit with the doctor when it's time to see her,
YOU ARE IN THE RIGHT PLACE!
If you want learn how to age responsibly with as few health issues as YOU can control,
YOU ARE IN THE RIGHT PLACE!
I have been a pharmacist for over 30 years and one thing I have learned is very few medications I dispense to you will cure disease.  We have a health management system, not a health care system and this channel is dedicated to help you care for your health and avoid needing to see your pharmacist and doctor as much as possible.
Thank you so much for stopping by.
Dr. Sno</t>
  </si>
  <si>
    <t xml:space="preserve">Hey there. We are Tom and Shirley Guercio— an award-winning husband and wife real estate team in the Clermont / Winter Garden / Greater Orlando areas. When we aren't busy helping clients find their dream homes, you can catch us around central Florida trying new restaurants, meeting new friends, and finding great ways to laugh our way to fun. 
On our channel, you'll find the best places to experience central Florida. Whether it's great new restaurants or hidden beach gems, we'll try to keep it fresh and fun. 
Shirley's Cell - (630) 302-2371
Tom's Cell - (630) 222-7772
Email - thefloridaagents@gmail.com
For even more information, you can find us at https://thefloridaagents.com
Preferred Real Estate Brokers 
2430 E. Highway 50, Suite B
Clermont, FL  34711
(630) 302-2371
</t>
  </si>
  <si>
    <t>We're two women on a mission to make weight-loss compassionate and lasting. 
We tell it like it is. 
No BS. We're not going to tell you that a magic pill exists.
No sugar-coating. We're not going to coddle you and tell you it's easy. It's simple. But not easy.
We share:
• Strategies and tactics that have been tried-and-tested on our clients to work.
• Product reviews to help you get the full picture before choosing the tools to help in your journey.
• Interviews with people who have been through amazing transformations.
• Quick and healthy recipes to make sticking to your diet easier.</t>
  </si>
  <si>
    <t xml:space="preserve">Hello! _xD83D__xDC9B_ My name is Kristina and I am a professional pastry chef, vegetarian/vegan and devoted nature lover. _xD83C__xDF3F_
Here I want to share tips about cooking &amp; nutritional eating, sustainability &amp; kitchen hints that hopefully will nourish your body and your soul. 
You can also find me on Instagram:
https://www.instagram.com/kristinakkz/
</t>
  </si>
  <si>
    <t xml:space="preserve">At the moment my videos are regarding London. 
Please Like and Subscribe if you want to see more videos!
Thanks for watching :D
</t>
  </si>
  <si>
    <t>Hello!My name is Nemanja Filipović i'm 16 years old,Serbian boy with passion for animals.I  also going to vet tech school in hope of becoming a vet one day :D</t>
  </si>
  <si>
    <t>Welcome to my little corner of the YouTubes!
Mostly sharing my love of plants, the journey of life, healing and how i cope when things get crazy. As well as the odd fun cooking, art and D.I.Y projects.
This channel is a creative and emotionally healing outlet/active meditation, doing the things that bring me joy and peace of mind, whilst sharing with you all and hearing the experiences of others.</t>
  </si>
  <si>
    <t># learn from yesterday #
# live for today #
# hope for tomorrow #
'life moves pretty fast
if you don't stop and look 
around once in a while
you could miss it'.......</t>
  </si>
  <si>
    <t>From my earliest childhood, I can remember plants bringing me joy! I have been an avid gardener my whole life. I developed a passion for cacti and succulents, and started this channel to share my plant collection and  experiences with like minded folks around the world, and then I later added backyard gardening topics. The content on this channel includes plant tours, new additions, potting, plant propagation, garden tours, composting, soil building, and general gardening advice. My videos are about my cacti and succulent collection,  houseplants and gardening. Thanks for joining me and please subscribe for more plant fun!
Follow me on Instagram@PleasantPrickles
Plant photos for decor and accessories available for purchase on pleasantprickles.pixels.com</t>
  </si>
  <si>
    <t>Join me on my journey as I share my passion for plants and Life. I truely believe that we are all Given to Grow. _xD83D__xDC9A_</t>
  </si>
  <si>
    <t>Always surviving, Alwyas trying, Always living, Always never giving up</t>
  </si>
  <si>
    <t>Gardening Art  हरी भरी छत</t>
  </si>
  <si>
    <t>This channel is about garden history, landscape architecture, garden design ideas and landscape planning.</t>
  </si>
  <si>
    <t>here i will upload my work. my poetry, web shows, and any other recorded projects.</t>
  </si>
  <si>
    <t xml:space="preserve">Hi im FOSS and if you like | Walking in LONDON | London Walk | London Streets | Famous Places in London | Nightlife in London | then you should follow my walking tours as are one of a kind ! 
Check my UNSEEN LONDON videos, as there you will see something different than London EYE - Tower of London - Oxford Street or Buckingham Palace .
The white Frenchie name is Bonnie and his 4 years old. Bonnie in Scottish means handsome and he got his OWN CHANNEL :)
</t>
  </si>
  <si>
    <t>I am just a guy in Asia who loves to travel, a foodie with sweet tooth, love fashion, tech gadgets and looking at nice hotels and properties in the world.
Will be uploading videos of my travelling, clothing trying on, hotel accommodations, food while I'm on the road, airports visited, beauty products, unboxing and other lifestyle contents. 
If you enjoy my video, please click subscribe and let me know what else you would like to see. 
Thank you:)</t>
  </si>
  <si>
    <t>Random stuff in my life</t>
  </si>
  <si>
    <t>Assalamu alaykum
hello everyone, My name's Sharifa akter.I am Bangladeshi but I am living in London. My hobby is cooking because it's delicious &amp; healthy. I really enjoy home cooking &amp; baking, creating yummy food for all my family and friends. I want to share my delicious recipes with you.so come cook with me &amp; I share my lifestyle videos make sure to like, subscribe &amp; click on the bell notifications. So you don't miss any of my video. Thanks a lot for watching my lovely friends...❤❤❤❤❤❤
আসসালামু আলাইকুম, প্রিয়জনেরা আপনাদের সাপোর্টে আর ভালোবাসায় এগিয়ে যেতে চাই লন্ডনের চমৎকার সব ভিডিও এবং নিত্য নতুন রেসিপি পেতে আমার ছোট্ট চ‍্যানেলটি সাবস্ক্রাইব করে সাথে থাকবেন অসংখ্য ধন্যবাদ 
         Subscribe now 
Facebook page
Instagram</t>
  </si>
  <si>
    <t xml:space="preserve">
❒ On this channel we brings you Milan Italy and the other regions of Italy's finest tourist destinations. Let us take you into a deeper experience, make a moment a lasting conveyable memory.
Follow us around Milan as we discover the most unexpected and memorable sites that the city has to offer. Sure, we all know that one of the best things to do in Milan, or anywhere in Italy for that matter, is to eat!
❒ All the videos are originally recorded and edited by shoe walker. Reproduction, reupload and distribution of our videos are prohibited.
❒ Thank you for watching and hope you subscribe for future videos.
If you enjoy this channel please comment, like, share and subscribe! Don’t forget to tap the Notification Bell, so you don't miss new videos! 
❒ Lets connect
❍ Facebook Page: https://www.facebook.com/shoewalkers
❍ Reddit: https://www.reddit.com/user/Shoe_Walker
❍ Instagram: https://www.instagram.com/shoewalkers/
❍ Twitter: https://twitter.com/shoe_walker
Shoe Walker ®
</t>
  </si>
  <si>
    <t>Hi, im jecris! i like meeting people and seeing beautiful natures from different places, that's why i love traveling, i want to learn new things from new friends in different places in the world. _xD83D__xDE09__xD83D__xDE0A_
In this youtube channel, you can see the different places I have been to. Watching my videos will give you an idea of what is there or what are the things you can do in different places before you go. it's a quick way to check out or at least see the places you want to go before your visit.
 I LOVE - TRAVEL AND ADVENTURE</t>
  </si>
  <si>
    <t>Love and London is the Youtube channel for people who want to visit London like they live here (and we've got tips for Londoners too!) If you plan to visit London and want to avoid the overdone and overhyped, this is the channel for you. If you prefer to do all of the touristy things... well, that's not our style.
Jess Dante, Londoner and travel expert, is the woman behind Love and London. She started making videos in her bedroom to help visitors to London enjoy her new city that she'd moved to just a couple of years earlier. Over the years, the videos on the channel have evolved into sharing insider Londoner knowledge that helps even first-time visitors to see a more diverse, local and interesting side of the city.</t>
  </si>
  <si>
    <t>Reading post on my Facebook.</t>
  </si>
  <si>
    <t>Secret London with Mark Monroe takes you to the hidden more quirky parts of this amazing city that normally lie undiscovered. Join me Mark Monroe on this secret adventure!
        Hi! I'm Mark Monroe, I'm a London taxi driver with a passion for all things peculiar and quirky about this amazing city. No, I won't be taking you to Buckingham palace or the London eye, however if you want to discover a London that isn't in the guide books then this is the channel for you, and the best thing about it, all the places I'll take you to are totally free!
        So sit tight enjoy the ride and prepare to be amazed!
 Moving into 2020 Secret London will publishing Bi-monthly.</t>
  </si>
  <si>
    <t>_xD83C__xDDFA__xD83C__xDDF8__xD83C__xDDFA__xD83C__xDDF8__xD83C__xDDFA__xD83C__xDDF8__xD83E__xDD85__xD83C__xDDFA__xD83C__xDDF8__xD83C__xDDFA__xD83C__xDDF8__xD83C__xDDFA__xD83C__xDDF8_</t>
  </si>
  <si>
    <t>Vio UK is a channel where food delivery meets fun, but you will also learn tips and tricks on how to make more money on food delivery. 
My name is Vio and I will be your guide on the streets, while making food deliveries. Please subscribes because will have a lot of fun and I guaranty that you'll learn a lot.  
For business contact:
patratanuviorel@gmail.com</t>
  </si>
  <si>
    <t>Just me Christina (Tini), an Army wife riding out the waves of Life. I do plan on uploading more as I master video creations and will be sharing as much as I can under the sun. There is no particular subject I will be focusing on! Hugs!  - Tini</t>
  </si>
  <si>
    <t>Roma &amp; Russell, two wanderlusting Aussies based in London. Join them on their discover of the world as part time travellers, full-time daydreamers &amp; road trip fans. 
Follow their adventures and mishaps as they explore the world as weekend and short break specialists. 
│https://roamingrequired.com │</t>
  </si>
  <si>
    <t xml:space="preserve">Hello! I'm Lia Hatzakis, this is my personal channel! 
</t>
  </si>
  <si>
    <t>Outdoorshoot mit Peggy/ Maxime.Photography
Instagram: https://www.instagram.com/maximephotography/?hl=de
facebook: https://www.facebook.com/peggy.schroder.129
Homepage: www.maxime-photography.de
Blog: https://www.maxime-photography.de/1031-2/</t>
  </si>
  <si>
    <t>Love everyone hate 4 no one_xD83D__xDE01_</t>
  </si>
  <si>
    <t>Fun lovin just trying to enjoy life everyday broncos fan since 76’</t>
  </si>
  <si>
    <t>www.facebook.com/witchtitz666</t>
  </si>
  <si>
    <t>I love you tube!!! :-)</t>
  </si>
  <si>
    <t>Eat cakes.</t>
  </si>
  <si>
    <t>Natural Hair, Lifestyle, Fashion, Beauty, Travel, and Motherhood
Hair type: low porosity, type 4, medium density
Subscribe to join me on all of these adventures, and expect a new video every week
Turn your notifications on so you don't miss a drop!
I love a chat, so feel free to have a party in my comment section x
Hit me up on Instagram and Twitter : @RacqsReal
Please email for business enquiries.</t>
  </si>
  <si>
    <t>Hi Guys
This is hardly can be called a traveling channel but it is surely specified for showing you the beauty of each place in the world . We aren't a fancy travelling agency with dozens of graphics in our videos .Not really .Actually here you will have the chance to see the real thing on video made intentionally by regular people  sharing their experiences about any place or country. 
So whether you are interested in Europe, Africa ,Asia ,Australia and south or north America we can ensure you that we will always try to keep you updated about where you would want to go.
We always welcome your opinions about each of our videos or even the place it is about so keep us updated about what you feel about our videos so we can make it better for you.
Keep updated with us - All earth is there for you to see :)</t>
  </si>
  <si>
    <t>Welcome to Photo Genius. On this channel I share tips, tricks, tutorials and gear reviews to help you get more from your digital camera and be a better photographer.
Our office is based in Brisbane, Australia where we have been running photography courses and workshops for over 10 years.
Please consider subscribing _xD83D__xDE03_</t>
  </si>
  <si>
    <t>My name is Michael, I'm a London based timelapse, cityscape, architecture and travel photographer.
On this channel you will see behind the scenes of my shoots, tutorials how to shoot timelapse, reviews of equipment I use as well as travel vlogs in London and around the world wherever the work takes me.
Often when I wonder around London I'm on the search to find elevated views of the skyline to shoot unique photos or timelapse and that's how the idea behind "London Viewpoints" came about. I always enjoyed exploring London for new and epic viewpoints and architecture to share on my instagram and now I share it here on Youtube in video form.</t>
  </si>
  <si>
    <t>Smash that subscribe button!</t>
  </si>
  <si>
    <t>Cześć!
Kanał skupiony na programie Au Pair w Europie. Jestem już byłą Au Pairką, która przeżyła niesamowitą przygodę i chciałaby podzielić się swoją wiedzą odnośnie programu. Filmy będą bezpośrednie i nie koloryzowane. 
Serdecznie zapraszam!</t>
  </si>
  <si>
    <t>Hey! I am Andreas and I am a Photographer and 3D Artist based in London. I love making videos about photography, videography and travel so if you like what you see, hit that subscribe button and follow along! New Videos every week (or two!) ;)</t>
  </si>
  <si>
    <t>I'm a timelapse specialist and broadcast camera operator based near London, UK. I work for a variety of broadcast TV, film and commercial clients.
On this channel you will find 4K and 8K timelapse films, tutorials and reviews as well as some of my professional work. Occasionally there'll be some video diaries or vlogs too!</t>
  </si>
  <si>
    <t>well hello there chaps, you have just stumbled apon my youtube account which is a variety of videos which include the following:
gaming
guitar videos
bass videos
so if you could hit the subscribe button that would be fantastic</t>
  </si>
  <si>
    <t>Welcome to my Vlogging Channel Eros Vlogs. Videos are uploaded at minimum of once a week! follow my adventure &amp; Enjoy the ride.</t>
  </si>
  <si>
    <t>I love to help other photographers make the same images I make.  I am a full time landscape and wildlife photographer based in Sidney, BC Canada (Vancouver Island).  I offer workshops on in Victoria on Vancouver, Island &amp; The Arctic in 2021.  Image licensing and prints are also available at www.davehutchison.ca.</t>
  </si>
  <si>
    <t>¡Hola a todos!
Somos Óscar y Silvia y nos encanta descubrir lugares nuevos. Después de vivir en Londres hemos decidido guardar recuerdos en forma de vídeos y acercar a los demás lo que nosotros vamos conociendo.
Damos consejos sobre cómo viajar ahorrando dinero y tiempo, ¡low cost! Todo sobre nuestra propia experiencia.
Nos vemos cada domingo con un nuevo vlog de viajes.
¿Te quedas a descubrir el mundo con nosotros? :)
info@seguirviajandoblog.com
¡AHORRA en los enlaces de más abajo! _xD83D__xDE0A_</t>
  </si>
  <si>
    <t>Hey there! It’s Saanvi, Sreeja and Shormi here! Make sure to like, share, comment and subscribe to our channel with post notifications on!</t>
  </si>
  <si>
    <t>Learn how to cook recipes in simple steps with me!</t>
  </si>
  <si>
    <t>❤_xD83C__xDDE7__xD83C__xDDE9_#welcome to my channel(পাঁচ মিশালি) ভিডিও নতুন নতুন ভিডিও দেখতে আমার চ্যানেলটি সাবস্ক্রাইব করে রাখুন।_xD83C__xDDE7__xD83C__xDDE9__xD83C__xDF5D__xD83C__xDDEE__xD83C__xDDF9__xD83C__xDFA5_</t>
  </si>
  <si>
    <t xml:space="preserve">Hi. We are Alfred and Leslie, husband-wife team, from our humble business called Succulent Social.
Succulent Social is based in Melbourne, Australia, creating beautiful arrangements, gifts and decors with succulents. 
We fell in love with succulents after migrating in Australia a few years back (we are originally from the Philippines). We were amazed of how resilient these plants are and the possibilities of what one can create with them are endless.
In this channel,  we want to share with you our products, glimpses of our business operations, succulent care tips and the things that we learn about succulents daily (yes, there are still so much to discover!). 
Feel free to connect with us here or visit our site and other social media pages:
www.SucculentSocial.com.au
facebook.com/SucculentSocial.au
instagram.com/SucculentSocial.au
Thanks and let us stay connected.
Alfred and Leslie
Succulent Social
</t>
  </si>
  <si>
    <t>Hey Art lovers, 
Welcome to my channel 'Arty Ideas with Preeti'. This is a place where you will find unique as well as easy Arty Ideas. Here you will find beautiful DIY's ,home decoration ideas, wall decor, craft making ideas, gift making ideas and basically anything related with art. 
My motive behind all my videos is that everyone can make these using inexpensive things in a very simple manner. 
If you like my work, please help me in growing by subscribing my channel which is absolutely free and sharing my videos with others. Also don't forget to press the bell_xD83D__xDD14_icon to get notified whenever I upload a new video. 
Your likes and comments on each and every video give me inspiration to work harder and provide you the best content. 
                                 Thank you</t>
  </si>
  <si>
    <t>HELLO GUYS AND WELCOME TO MY CHANNEL IF YOU HAD ENJOYED ANY OF MY VIDEOS SUBSCRIBE...</t>
  </si>
  <si>
    <t>Hello youtube users. This channel is a collection of videos which showcase material that is captured by my Sony A37 DSLR and camcorder Panasonic HC-V727.The older videos were shot with the JVC HD620.
   I use Sony Vegas platinum 10 to create the fades and colour correction.The short videos of 10 minutes can take up to four hours to process at 24 mbps Mainconcept AVC encoding.
 Please enjoy and offer any advice on how I can improve my videos.</t>
  </si>
  <si>
    <t>My channel is dedicated to interesting thing one can see travelling around the world. 
I try to record every thing I find interesting in all places I go. 
I hope viewers will share my interests and find the videos fun and worth watching.
The channel touches a large variety of subjects, but you can find many videos about food and restaurants, street artists and musicians, air planes and super cars, airports.
My storefront on Amazon
USA: https://www.amazon.com/shop/settime2588
UK: https://amazon.co.uk/shop/settime2588
Cameras and other stuff I use:
Go Pro Hero 7 Black:
https://amzn.to/2Wp3opE (UK)
https://amzn.to/2Wrf1ML (Ita)
Sony Sony Cyber Shot RX10 Mark IV
https://amzn.to/2Wp4Wjr  (UK)
https://amzn.to/2OsE53a (Ita)
Gimball Stabilizer for Go Pro:
Hohem 3-Axis Handheld Gimbal stabilizer
https://amzn.to/2JEYyDf  (UK)
https://amzn.to/2CP8VyL (ITA)
Panasonic HC-VXF990EBK 4K Camcorder
https://amzn.to/2UfxcYz (UK)
Panasonic DMC-LX15EB-K Camera
https://amzn.to/2WrvMaG (UK)</t>
  </si>
  <si>
    <t>Cila cila cila</t>
  </si>
  <si>
    <t>Ten kanal na razie jest poswiecony duchowym i cielesnym uciechom.</t>
  </si>
  <si>
    <t xml:space="preserve">Hi, I'm Watched Walker (aka Paul), join me in exploring London and other popular cities around the world. Experience cities as if you were actually there with virtual walking tours - see the sights, hear the sounds (with no added music) - and some videos are even narrated by me!
I film and edit all of the content on this channel, with the aim of documenting the city for artistic/historical purposes.
And throughout each video I’ve hidden the Watched Walker logo - it could be on a building, vehicle or anything else!
Subscribe for weekly videos!
Thanks for stopping by, I hope you enjoy my channel :) 
- Watched Walker -
</t>
  </si>
  <si>
    <t>Welcome To My Channel 
I Upload A Variety Of Different Videos That Include :
The London Air Ambulance Which Is A Registered Charity That Serves The City Of London Within The M25 Area &amp; Now Operates 2 MD902 Explorer Helicopter's (G-EHMS &amp; G-LNDN).
Trooping The Colour Military Flypast Which Fly's Above The River Thames In London , Towards Buckingham Palace &amp; Is Part Of The Queen's Official Birthday Celebration's Which Is Held On The 2nd Saturday In June Of Every Year.
Changing Of The Guard Which Happen's Every Other Day At Horse Guard's Parade Then Proceeds Down The Mall &amp; Ends At Buckingham Palace.
Other Videos I Film Are Thunderstorms, Snow, Wildlife &amp; Parades And Other Events That May Arise.
I Hope New Visitors Will Subscribe To My Channel And Enjoy The New Videos That I Will Be Uploading In The Coming Weeks And Months Ahead.  
To My Current Subscribers Thank You Very Much For Subscribing And Watching My Videos Its Greatly Appreciated.</t>
  </si>
  <si>
    <t>Thank you for visiting my channel! Obviously you have good taste - My name is Evan and I am a vlogger based in the Washington DC area. This is a channel all about my life and times. In it you will find travel vlogs, raw vlogs, everyday vlogs, walk around vlogs and many other kinds of vlogs that I hope you will find interesting. So thank you for visiting my channel, and I'm glad you could join me.</t>
  </si>
  <si>
    <t>Welcome to my You Tube channel. My channel consist of reviews and also how to's on Mac and iPhone/iOS.
I like tech and I'm a poster on various different forums.
So I thought I would add various video guides showing how to do a particular thing on different applications, different devices etc. 
I also make video reviews of different products that I own and also get in the future. My aim is to provide something that will be really helpful to others.
Why not subscribe to my channel and you will then receive an email when I upload any new videos.
Thanks for taking the time to drop by and look at my channel.
Thanks
TalsVids.</t>
  </si>
  <si>
    <t>Welcome to Wanna Walk — All about Video Walks Around the World in 4K
I'm a solo traveler who loves to share the experience of exploring the world -- Join me to walk through the streets of the most vibrant cities. Discover new cultures, people, sights and sounds from the comfort of your home.
All video walks are narrated and recorded in immersive first person view, in one long ultra hd 4k take so, it's like if you were there. Be sure to activate video's subtitles to know all the city's secrets!
The purpose of Wanna Walk is to show the world as it is. Not a vlog, no intrusive faces or talking, just raw uncut virtual video walking tours in Ultra HD quality - New videos every week!
If I'm recording in your city, be sure to contact me, I love to make new friends :)
The traveler sees what he sees, the tourist sees what he has come to see.
Please Share, Comment, Like &amp; Subscribe!
Contact me for copyright permissions, business and general questions.
WANNA WALK</t>
  </si>
  <si>
    <t>Welcome to More Locations Channel
All videos here are my personal videos documenting my travels around the world.
Exploring Australia and other popular cities around the world, experiencing the sights and real sounds of the different places I've been.  Real life show, I let the images speak for themselves. I hope all of you enjoy my videos, share my interests and find my videos fun and worth watching.
My Channel:
www.youtube.com/MoreLocations
Please don't forget to click SUBSCRIBE &amp; The BELL Notification button, so you don't miss out my new videos.
Please SHARE my videos to your friends and family using the share link on the video.
----------
⚠️ Re-production, re-upload, re-broadcast and distribution of my copyrighted videos are strictly prohibited.
Copyright © More Locations. All Rights Reserved.
Thanks for your support</t>
  </si>
  <si>
    <t>If it's a craft, I'll attempt it. : )</t>
  </si>
  <si>
    <t>Corporate Video and Photography Production</t>
  </si>
  <si>
    <t>“Nothing reminds us of an awakening more than rain.”
― Dejan Stojanovic
Ambient Walking is a depository of a series of long walks around the world shot with a DJI Osmo Pocket. All of my walks are distinctly personal in nature; they are places which means a lot to me. I will attempt to upload at least one walk a week. I will begin filming at the end of 2018, and hope to show you walks that I love in cities like Singapore, Tokyo, New York, Berlin, London, Kyoto, Sydney, Malmö, Lisbon, Shanghai, Bangkok, Hong Kong, Taipei and many other sites which I have found immense pleasure in walking in. I'm doing this because I've always found refuge in watching first person perspective videos of walks. It's very calming and therapeutic to let it run in the background while I work. Watch these videos when you're on the thread mill! They're such a great pleasure to watch when you're exercising. I hope it'll bring you to another place wherever you are. If you like this channel, and please subscribe!</t>
  </si>
  <si>
    <t>Welcome to our channel! Here you'll find virtual walking tours from places all over the world. Our walking tours are a great way to explore and travel to new destinations. Check out world famous attractions like New York Times Square and the Las Vegas Strip! Or join us for a virtual travel to Amsterdam, Italy, Argentina, Cuba, or many other exciting destinations across the world. 
Our walking tour videos make great exercise companions, so play us while working out on that treadmill, bike, or elliptical! As a plus, all of our videos are recorded in 4K, so your view will be super sharp and clear, just as if you're there in person!
We appreciate each and every one of our fans and followers, and we love it when you like, subscribe, and share our channel. We would also like to give special kudos to our supporters and donations made through https://www.paypal.me/WalkingTours. Thank you for making all this possible!
Copyright © Walking Tours Video. All Rights Reserved.</t>
  </si>
  <si>
    <t xml:space="preserve">Little nightmare mysteries made with a phone
Created with Kinemaster, Caustic and S Note on a Samsung Galaxy Note smartphone
by Peter Stringer 
</t>
  </si>
  <si>
    <t>Hi, I'm Arijit Mondal, join me in exploring Delhi and other popular cities across the world. Total virtual walking and driving experience as you are actually there in the city – see the sights, historical monuments, hear the sounds with no added music and commentary. Use earphone to feel more realistic.
I started this channel to share my experience by walking and driving around Delhi and other Indian cities. 
All the videos on this channel filmed and edited by me to give ultimate pleasure to the viewers as they should feel actually travelling there.</t>
  </si>
  <si>
    <t xml:space="preserve">_xD83D__xDE46_Feminist
_xD83C__xDD92_Proud Clintonian
_xD83C__xDD70_NoublionsJamaisAlexiaFouillot
_xD83C__xDF92_Backpacker 
_xD83D__xDC96_Paris Je T'aime </t>
  </si>
  <si>
    <t xml:space="preserve">Video creator focused on point-of-view experiences and inspiring positivity around the world.
Thank you for watching and hope you subscribe for future videos!
Support me on Patreon : https://www.patreon.com/actionkid
Make a One Time Donation via PayPal: https://paypal.me/actionkidyt?locale.x=en_US
Make a One Time Donation via the Cash App: $actionkid
Check out my Website: http://www.actionkidtv.com/
Follow me on Twitter: https://twitter.com/actionkidtv
Follow me on Instagram: https://www.instagram.com/actionkidtv/
Discord Server : https://discord.gg/sw7SCeu
</t>
  </si>
  <si>
    <t>I have published four books with Publishing Partner Paragon Publishing, Rothersthorpe, Northampton. They are:-
'From Billy Fury to YouTube' date  2018 ISBN 978-1-78222-588-1
Ovaltineys to Sheredean Girls Club date 2019 ISBN 978-1-78222-675-8
Thames Path Walk date 2020 ISBN 978-78222-755-7
Amazing Audition by Michael Parkinson and Co-Authors ISBN 978-178222-831-8
Order directly from Lightning Source / Ingram or from book wholesalers Gardners or Bertrams. In case of difficulty, contact the publisher Paragon Publishing 01604 832149. All books are available directly from the Author on eBay.  
For more information about the book please contact me by email on parkinson12@btinternet.com</t>
  </si>
  <si>
    <t>The Landscape Architects' Association supports, records and debates the contribution landscape architects make to the conservation and improvement of public landscapes.
http://www.landscapearchitecture.org.uk/</t>
  </si>
  <si>
    <t>London Night Guide is your number one nightlife concierge in London. We give you access to all the clubs, bars and lounges all over the city. Our services include planning your night out and making sure your event is complete. Whether it is a birthday, company celebration, or anything similar, our night guides know the best venues in the city. We also make table reservations or or guestlist bookings for the best clubs in London for you, so that nothing will stand in the way of your perfectly planned event. If you’re wondering, all our services are top notch and for FREE. Visit our website on:
http://www.londonnightguide.com/
London Night Guide brings you and your friends to the most exclusive venues and London’s nightlife has to offer. If it is a members-only venue, no problem. Contact us and we will make it happen. No matter what the occasion is, whether it’s your birthday, corporate party or just an amazing night out with your friends, we will find the perfect solution for you.</t>
  </si>
  <si>
    <t>Greenroofs.com is a dynamic interactive website, online media company, vibrant social network, and comprehensive resource Connecting the Planet + Living Architecture promoting People, Projects &amp; Solutions.
Starting from the greenroof down through greenwalls, into the building and over sustainable landscapes, we cover the earth friendly technologies of living green infrastructure, low impact development, and related sustainable energies. We cover projects, news, events, video &amp; social networking and offer marketing and exclusive features on Greenroofs.com – greening our building envelopes inside and out.
Directory: http://www.greenroofs.com/directory.php
Database: http://www.greenroofs.com/projects/</t>
  </si>
  <si>
    <t>Travel the World
Live the Dream
#GeekStreetTravels
Welcome to Geek Street Travels a silent walker!  We love travelling and want to share our experience of the places we have travelled to; from the beaches we have been to, the cities we have travelled to and the experiences of our home town of London.
Hope you are able to follow us on our journeys by Subscribing to the channel and don't forget to like and comment. It would be great to hear your thoughts on our videos so all feedback is very welcome _xD83D__xDE0A_
Follow us on social media you can even find us by searching #GeekStreetTravels in any search engine!
We release new videos on a weekly basis!
☕ If you enjoy my channel, you could support it by leaving a tip via my Ko-fi page, as it helps us continue making these walking tours! http://ko-fi.com/geekstreettravels
Re-production, re-upload, re-broadcast and distribution of my copyrighted videos are strictly prohibited.
Copyright © Geek Street Travels. All Rights Reserved.</t>
  </si>
  <si>
    <t>rjinspire</t>
  </si>
  <si>
    <t>ilarioschanzer</t>
  </si>
  <si>
    <t>4kexplorer</t>
  </si>
  <si>
    <t>chillexplore</t>
  </si>
  <si>
    <t>pigtour</t>
  </si>
  <si>
    <t>baireswalker</t>
  </si>
  <si>
    <t>monstrousact</t>
  </si>
  <si>
    <t>dexplorer21</t>
  </si>
  <si>
    <t>techfortechs</t>
  </si>
  <si>
    <t>grancanariawalk</t>
  </si>
  <si>
    <t>senjaaldee</t>
  </si>
  <si>
    <t>triplovers96</t>
  </si>
  <si>
    <t>koreawalk</t>
  </si>
  <si>
    <t>wanderersarchive</t>
  </si>
  <si>
    <t>livingwalks</t>
  </si>
  <si>
    <t>themiddlesizedgardencouk</t>
  </si>
  <si>
    <t>ogrodowepasje</t>
  </si>
  <si>
    <t>mrcarrington</t>
  </si>
  <si>
    <t>isobelcelinethomas</t>
  </si>
  <si>
    <t>lollipopboxclub</t>
  </si>
  <si>
    <t>smbillalofficial</t>
  </si>
  <si>
    <t>soniaschannel</t>
  </si>
  <si>
    <t>skalamvlogs</t>
  </si>
  <si>
    <t>mohuasspicekitchen</t>
  </si>
  <si>
    <t>anowar280</t>
  </si>
  <si>
    <t>hmmediapb</t>
  </si>
  <si>
    <t>bablusumivlogsbs</t>
  </si>
  <si>
    <t>iqravlogsuk</t>
  </si>
  <si>
    <t>hamzasworld</t>
  </si>
  <si>
    <t>aklimascookingworld</t>
  </si>
  <si>
    <t>bdtraditionalcuisine</t>
  </si>
  <si>
    <t>larrylurex</t>
  </si>
  <si>
    <t>bissen</t>
  </si>
  <si>
    <t>ryanandaiden</t>
  </si>
  <si>
    <t>mymodelmummyvlog</t>
  </si>
  <si>
    <t>lifestylehal</t>
  </si>
  <si>
    <t>mrcraftdotcom</t>
  </si>
  <si>
    <t>katemccabe1</t>
  </si>
  <si>
    <t>timefort</t>
  </si>
  <si>
    <t>rebrandingme</t>
  </si>
  <si>
    <t>geetaandrajeev</t>
  </si>
  <si>
    <t>selfsufficientme</t>
  </si>
  <si>
    <t>thehortchannel</t>
  </si>
  <si>
    <t>tomatogeeks</t>
  </si>
  <si>
    <t>heartfullofhappiness</t>
  </si>
  <si>
    <t>foodielaura</t>
  </si>
  <si>
    <t>lindapenney</t>
  </si>
  <si>
    <t>mickpoultney</t>
  </si>
  <si>
    <t>sketchbykrishan</t>
  </si>
  <si>
    <t>ugoarinzeh</t>
  </si>
  <si>
    <t>serenadalexander</t>
  </si>
  <si>
    <t>stephenwcoachandtrainer</t>
  </si>
  <si>
    <t>carolmould</t>
  </si>
  <si>
    <t>geoffreysetiawan</t>
  </si>
  <si>
    <t>drjontam</t>
  </si>
  <si>
    <t>tanyapaulin</t>
  </si>
  <si>
    <t>darylballard</t>
  </si>
  <si>
    <t>socialconfidencemastery</t>
  </si>
  <si>
    <t>intentionalmarriages</t>
  </si>
  <si>
    <t>kimocraft</t>
  </si>
  <si>
    <t>epicrealestateinvesting</t>
  </si>
  <si>
    <t>raymondfernandezrealtor</t>
  </si>
  <si>
    <t>drsno</t>
  </si>
  <si>
    <t>thefloridaagents</t>
  </si>
  <si>
    <t>coachviva</t>
  </si>
  <si>
    <t>kriskazlauskaite</t>
  </si>
  <si>
    <t>mariodx</t>
  </si>
  <si>
    <t>thetherapeuticartist</t>
  </si>
  <si>
    <t>pleasantprickles</t>
  </si>
  <si>
    <t>ladmob</t>
  </si>
  <si>
    <t>shoewalker</t>
  </si>
  <si>
    <t>jecrischannel</t>
  </si>
  <si>
    <t>mrviofunnyvio123</t>
  </si>
  <si>
    <t>romaroamingrequired</t>
  </si>
  <si>
    <t>liahatzakis</t>
  </si>
  <si>
    <t>racqsreal</t>
  </si>
  <si>
    <t>photogeniusau</t>
  </si>
  <si>
    <t>londonviewpoints</t>
  </si>
  <si>
    <t>andreaslostromos</t>
  </si>
  <si>
    <t>timelapseemphasis</t>
  </si>
  <si>
    <t>seguirviajandosv</t>
  </si>
  <si>
    <t>succulentsocial</t>
  </si>
  <si>
    <t>artyideaswithpreeti</t>
  </si>
  <si>
    <t>watchedwalker</t>
  </si>
  <si>
    <t>wannawalk</t>
  </si>
  <si>
    <t>morelocations</t>
  </si>
  <si>
    <t>ambientwalking</t>
  </si>
  <si>
    <t>delhiwalker</t>
  </si>
  <si>
    <t>actionkid</t>
  </si>
  <si>
    <t>arnelalina</t>
  </si>
  <si>
    <t>landscapearchitecture</t>
  </si>
  <si>
    <t>londonnightguides</t>
  </si>
  <si>
    <t>greenroofscom</t>
  </si>
  <si>
    <t>geekstreettravels</t>
  </si>
  <si>
    <t>30/08/2017 16:14:03</t>
  </si>
  <si>
    <t>16/05/2016 10:08:00</t>
  </si>
  <si>
    <t>27/11/2017 05:44:29</t>
  </si>
  <si>
    <t>26/08/2019 04:12:12</t>
  </si>
  <si>
    <t>28/03/2020 06:59:25</t>
  </si>
  <si>
    <t>18/02/2020 16:42:13</t>
  </si>
  <si>
    <t>23/03/2015 15:16:27</t>
  </si>
  <si>
    <t>22/12/2017 16:34:24</t>
  </si>
  <si>
    <t>13/10/2019 22:57:53</t>
  </si>
  <si>
    <t>28/04/2017 17:54:39</t>
  </si>
  <si>
    <t>13/10/2019 19:34:54</t>
  </si>
  <si>
    <t>30/09/2011 11:49:32</t>
  </si>
  <si>
    <t>23/08/2017 01:20:59</t>
  </si>
  <si>
    <t>20/07/2012 11:50:56</t>
  </si>
  <si>
    <t>27/09/2019 09:43:09</t>
  </si>
  <si>
    <t>21/10/2017 11:46:33</t>
  </si>
  <si>
    <t>26/02/2018 22:49:47</t>
  </si>
  <si>
    <t>22/06/2016 04:43:15</t>
  </si>
  <si>
    <t>26/01/2016 05:38:54</t>
  </si>
  <si>
    <t>14/11/2014 21:15:07</t>
  </si>
  <si>
    <t>20/10/2018 20:30:27</t>
  </si>
  <si>
    <t>24/03/2017 20:38:15</t>
  </si>
  <si>
    <t>19/08/2015 09:50:59</t>
  </si>
  <si>
    <t>15/08/2015 22:16:42</t>
  </si>
  <si>
    <t>21/11/2013 21:54:24</t>
  </si>
  <si>
    <t>19/05/2020 17:53:23</t>
  </si>
  <si>
    <t>15/04/2018 11:47:42</t>
  </si>
  <si>
    <t>14/01/2019 01:53:20</t>
  </si>
  <si>
    <t>26/01/2020 19:29:37</t>
  </si>
  <si>
    <t>20/06/2019 19:16:45</t>
  </si>
  <si>
    <t>24/05/2013 11:22:37</t>
  </si>
  <si>
    <t>27/06/2009 16:51:52</t>
  </si>
  <si>
    <t>23/10/2015 17:44:51</t>
  </si>
  <si>
    <t>21/11/2019 03:08:56</t>
  </si>
  <si>
    <t>24/10/2010 23:27:21</t>
  </si>
  <si>
    <t>26/09/2013 08:35:30</t>
  </si>
  <si>
    <t>16/02/2013 22:52:44</t>
  </si>
  <si>
    <t>30/04/2016 14:50:47</t>
  </si>
  <si>
    <t>19/03/2017 16:14:01</t>
  </si>
  <si>
    <t>24/11/2017 23:36:43</t>
  </si>
  <si>
    <t>20/04/2020 18:50:01</t>
  </si>
  <si>
    <t>28/10/2019 20:58:10</t>
  </si>
  <si>
    <t>21/02/2019 07:20:04</t>
  </si>
  <si>
    <t>19/11/2016 10:47:37</t>
  </si>
  <si>
    <t>14/07/2015 16:16:47</t>
  </si>
  <si>
    <t>23/04/2018 20:47:55</t>
  </si>
  <si>
    <t>28/06/2013 10:55:05</t>
  </si>
  <si>
    <t>23/02/2020 12:04:08</t>
  </si>
  <si>
    <t>22/01/2017 14:00:40</t>
  </si>
  <si>
    <t>18/11/2013 14:51:07</t>
  </si>
  <si>
    <t>20/04/2014 19:21:53</t>
  </si>
  <si>
    <t>13/02/2013 20:28:23</t>
  </si>
  <si>
    <t>29/04/2020 20:26:09</t>
  </si>
  <si>
    <t>27/09/2012 00:20:13</t>
  </si>
  <si>
    <t>13/01/2013 18:21:54</t>
  </si>
  <si>
    <t>14/07/2020 18:43:47</t>
  </si>
  <si>
    <t>26/09/2020 12:01:14</t>
  </si>
  <si>
    <t>27/06/2020 00:32:11</t>
  </si>
  <si>
    <t>19/09/2020 14:39:58</t>
  </si>
  <si>
    <t>25/08/2020 13:02:02</t>
  </si>
  <si>
    <t>25/01/2018 09:20:18</t>
  </si>
  <si>
    <t>26/06/2020 15:29:42</t>
  </si>
  <si>
    <t>23/02/2012 22:05:36</t>
  </si>
  <si>
    <t>19/10/2017 08:47:45</t>
  </si>
  <si>
    <t>14/05/2020 13:08:16</t>
  </si>
  <si>
    <t>15/10/2011 21:09:37</t>
  </si>
  <si>
    <t>23/01/2020 15:38:53</t>
  </si>
  <si>
    <t>19/07/2020 03:46:41</t>
  </si>
  <si>
    <t>17/03/2021 02:27:49</t>
  </si>
  <si>
    <t>31/08/2020 18:04:25</t>
  </si>
  <si>
    <t>13/09/2020 10:18:53</t>
  </si>
  <si>
    <t>13/09/2020 10:09:09</t>
  </si>
  <si>
    <t>23/04/2020 10:49:44</t>
  </si>
  <si>
    <t>14/12/2020 15:46:01</t>
  </si>
  <si>
    <t>20/08/2020 21:13:37</t>
  </si>
  <si>
    <t>31/10/2020 22:28:25</t>
  </si>
  <si>
    <t>22/08/2020 15:58:49</t>
  </si>
  <si>
    <t>23/02/2020 18:58:58</t>
  </si>
  <si>
    <t>29/10/2020 18:03:49</t>
  </si>
  <si>
    <t>25/01/2021 00:37:24</t>
  </si>
  <si>
    <t>14/12/2015 21:03:04</t>
  </si>
  <si>
    <t>26/04/2015 02:07:35</t>
  </si>
  <si>
    <t>17/12/2020 22:33:09</t>
  </si>
  <si>
    <t>23/07/2020 13:28:41</t>
  </si>
  <si>
    <t>27/08/2020 17:40:15</t>
  </si>
  <si>
    <t>27/09/2020 13:48:37</t>
  </si>
  <si>
    <t>29/12/2020 13:19:27</t>
  </si>
  <si>
    <t>26/03/2019 08:28:40</t>
  </si>
  <si>
    <t>15/06/2007 12:52:23</t>
  </si>
  <si>
    <t>27/08/2008 17:06:01</t>
  </si>
  <si>
    <t>20/08/2016 19:02:01</t>
  </si>
  <si>
    <t>13/07/2015 08:54:58</t>
  </si>
  <si>
    <t>28/02/2008 22:51:47</t>
  </si>
  <si>
    <t>16/05/2015 14:14:07</t>
  </si>
  <si>
    <t>26/08/2013 15:06:49</t>
  </si>
  <si>
    <t>27/11/2015 21:53:25</t>
  </si>
  <si>
    <t>30/08/2013 15:24:37</t>
  </si>
  <si>
    <t>14/04/2014 20:38:03</t>
  </si>
  <si>
    <t>23/09/2013 00:44:37</t>
  </si>
  <si>
    <t>20/07/2015 23:15:16</t>
  </si>
  <si>
    <t>22/11/2006 20:31:00</t>
  </si>
  <si>
    <t>20/06/2013 12:56:37</t>
  </si>
  <si>
    <t>13/01/2007 19:23:53</t>
  </si>
  <si>
    <t>18/10/2011 13:48:06</t>
  </si>
  <si>
    <t>25/11/2014 05:40:29</t>
  </si>
  <si>
    <t>30/03/2015 22:43:28</t>
  </si>
  <si>
    <t>14/04/2013 15:10:40</t>
  </si>
  <si>
    <t>16/01/2016 09:34:34</t>
  </si>
  <si>
    <t>18/03/2020 12:03:36</t>
  </si>
  <si>
    <t>23/08/2017 13:34:01</t>
  </si>
  <si>
    <t>24/09/2016 16:49:14</t>
  </si>
  <si>
    <t>22/05/2015 11:44:09</t>
  </si>
  <si>
    <t>27/04/2013 10:29:26</t>
  </si>
  <si>
    <t>24/05/2010 22:03:42</t>
  </si>
  <si>
    <t>17/01/2018 18:16:34</t>
  </si>
  <si>
    <t>17/02/2013 09:24:41</t>
  </si>
  <si>
    <t>19/08/2017 01:04:44</t>
  </si>
  <si>
    <t>21/01/2016 07:22:27</t>
  </si>
  <si>
    <t>24/09/2018 23:08:32</t>
  </si>
  <si>
    <t>19/10/2014 02:00:43</t>
  </si>
  <si>
    <t>26/01/2009 15:45:01</t>
  </si>
  <si>
    <t>22/06/2014 07:03:59</t>
  </si>
  <si>
    <t>26/09/2012 06:28:19</t>
  </si>
  <si>
    <t>27/01/2014 13:01:17</t>
  </si>
  <si>
    <t>23/02/2017 02:48:50</t>
  </si>
  <si>
    <t>16/03/2012 18:49:27</t>
  </si>
  <si>
    <t>25/11/2014 16:08:17</t>
  </si>
  <si>
    <t>14/05/2011 20:02:29</t>
  </si>
  <si>
    <t>21/04/2016 16:52:43</t>
  </si>
  <si>
    <t>15/02/2018 17:17:33</t>
  </si>
  <si>
    <t>13/03/2015 23:59:18</t>
  </si>
  <si>
    <t>17/08/2018 05:07:18</t>
  </si>
  <si>
    <t>17/01/2017 22:54:21</t>
  </si>
  <si>
    <t>28/03/2015 17:39:07</t>
  </si>
  <si>
    <t>25/05/2018 14:25:12</t>
  </si>
  <si>
    <t>13/07/2013 22:13:29</t>
  </si>
  <si>
    <t>15/06/2007 15:03:34</t>
  </si>
  <si>
    <t>24/11/2014 00:09:40</t>
  </si>
  <si>
    <t>24/08/2012 14:54:14</t>
  </si>
  <si>
    <t>15/10/2008 09:06:44</t>
  </si>
  <si>
    <t>14/08/2016 19:04:38</t>
  </si>
  <si>
    <t>18/06/2013 13:37:30</t>
  </si>
  <si>
    <t>16/09/2013 11:19:53</t>
  </si>
  <si>
    <t>23/06/2016 10:06:05</t>
  </si>
  <si>
    <t>25/07/2018 16:22:08</t>
  </si>
  <si>
    <t>14/04/2014 14:25:37</t>
  </si>
  <si>
    <t>21/12/2008 03:05:51</t>
  </si>
  <si>
    <t>16/02/2012 11:45:48</t>
  </si>
  <si>
    <t>19/04/2011 19:35:25</t>
  </si>
  <si>
    <t>27/10/2011 12:58:44</t>
  </si>
  <si>
    <t>20/02/2016 12:59:25</t>
  </si>
  <si>
    <t>20/06/2018 00:13:31</t>
  </si>
  <si>
    <t>28/05/2011 15:09:09</t>
  </si>
  <si>
    <t>29/03/2017 21:43:39</t>
  </si>
  <si>
    <t>22/10/2010 16:13:48</t>
  </si>
  <si>
    <t>25/08/2013 05:12:59</t>
  </si>
  <si>
    <t>30/11/2012 12:28:29</t>
  </si>
  <si>
    <t>20/07/2014 08:08:17</t>
  </si>
  <si>
    <t>15/09/2012 19:34:40</t>
  </si>
  <si>
    <t>17/02/2015 16:49:05</t>
  </si>
  <si>
    <t>28/09/2020 18:42:12</t>
  </si>
  <si>
    <t>16/04/2018 13:39:21</t>
  </si>
  <si>
    <t>28/10/2014 08:04:37</t>
  </si>
  <si>
    <t>23/07/2014 10:09:14</t>
  </si>
  <si>
    <t>22/05/2021 04:39:17</t>
  </si>
  <si>
    <t>28/11/2016 08:29:24</t>
  </si>
  <si>
    <t>22/04/2017 07:46:44</t>
  </si>
  <si>
    <t>16/08/2011 02:41:44</t>
  </si>
  <si>
    <t>29/08/2012 17:59:26</t>
  </si>
  <si>
    <t>15/10/2011 14:50:25</t>
  </si>
  <si>
    <t>25/11/2011 03:40:58</t>
  </si>
  <si>
    <t>25/07/2013 04:40:24</t>
  </si>
  <si>
    <t>30/08/2013 08:54:50</t>
  </si>
  <si>
    <t>26/06/2011 11:54:46</t>
  </si>
  <si>
    <t>26/11/2007 23:19:37</t>
  </si>
  <si>
    <t>13/09/2012 14:34:39</t>
  </si>
  <si>
    <t>28/05/2013 17:57:02</t>
  </si>
  <si>
    <t>28/12/2012 23:44:04</t>
  </si>
  <si>
    <t>20/01/2016 16:54:22</t>
  </si>
  <si>
    <t>27/12/2011 17:16:24</t>
  </si>
  <si>
    <t>15/01/2021 11:43:03</t>
  </si>
  <si>
    <t>24/04/2013 00:23:01</t>
  </si>
  <si>
    <t>31/05/2013 13:14:09</t>
  </si>
  <si>
    <t>14/02/2012 10:16:12</t>
  </si>
  <si>
    <t>15/08/2017 11:44:59</t>
  </si>
  <si>
    <t>23/04/2018 00:03:15</t>
  </si>
  <si>
    <t>30/11/2018 22:47:13</t>
  </si>
  <si>
    <t>19/10/2012 20:57:23</t>
  </si>
  <si>
    <t>16/06/2018 21:12:40</t>
  </si>
  <si>
    <t>16/02/2020 20:34:07</t>
  </si>
  <si>
    <t>14/11/2011 01:26:39</t>
  </si>
  <si>
    <t>19/05/2018 23:54:17</t>
  </si>
  <si>
    <t>13/10/2013 12:43:09</t>
  </si>
  <si>
    <t>31/03/2018 19:34:17</t>
  </si>
  <si>
    <t>28/04/2016 22:39:21</t>
  </si>
  <si>
    <t>28/10/2011 17:02:08</t>
  </si>
  <si>
    <t>31/05/2011 07:48:29</t>
  </si>
  <si>
    <t>28/07/2015 17:53:47</t>
  </si>
  <si>
    <t>29/02/2008 17:19:03</t>
  </si>
  <si>
    <t>19/07/2017 19:28:00</t>
  </si>
  <si>
    <t>31/07/2016 13:10:53</t>
  </si>
  <si>
    <t>15/12/2006 16:35:15</t>
  </si>
  <si>
    <t>31/12/2013 03:52:55</t>
  </si>
  <si>
    <t>13/11/2017 21:32:06</t>
  </si>
  <si>
    <t>28/05/2018 02:49:12</t>
  </si>
  <si>
    <t>28/05/2014 05:43:05</t>
  </si>
  <si>
    <t>17/02/2013 04:15:11</t>
  </si>
  <si>
    <t>31/05/2013 22:25:14</t>
  </si>
  <si>
    <t>27/10/2013 11:38:01</t>
  </si>
  <si>
    <t>13/09/2013 02:19:06</t>
  </si>
  <si>
    <t>31/01/2016 13:30:52</t>
  </si>
  <si>
    <t>28/10/2011 11:40:05</t>
  </si>
  <si>
    <t>19/11/2018 17:42:46</t>
  </si>
  <si>
    <t>18/10/2017 20:42:41</t>
  </si>
  <si>
    <t>23/05/2014 11:03:19</t>
  </si>
  <si>
    <t>23/08/2006 23:27:23</t>
  </si>
  <si>
    <t>31/12/2006 21:02:58</t>
  </si>
  <si>
    <t>20/01/2013 11:45:44</t>
  </si>
  <si>
    <t>28/10/2017 12:09:12</t>
  </si>
  <si>
    <t>23/05/2006 15:23:12</t>
  </si>
  <si>
    <t>19/07/2019 01:08:19</t>
  </si>
  <si>
    <t>30/04/2018 22:32:00</t>
  </si>
  <si>
    <t>17/07/2020 20:35:16</t>
  </si>
  <si>
    <t>28/06/2014 15:29:49</t>
  </si>
  <si>
    <t>25/01/2008 09:35:54</t>
  </si>
  <si>
    <t>17/06/2014 16:57:40</t>
  </si>
  <si>
    <t>19/01/2011 09:05:18</t>
  </si>
  <si>
    <t>29/10/2013 17:43:08</t>
  </si>
  <si>
    <t>30/11/2009 16:26:03</t>
  </si>
  <si>
    <t>19/07/2007 18:21:26</t>
  </si>
  <si>
    <t>25/04/2015 14:57:26</t>
  </si>
  <si>
    <t>15/07/2012 05:19:13</t>
  </si>
  <si>
    <t>24/05/2011 21:48:55</t>
  </si>
  <si>
    <t>20/03/2010 00:53:48</t>
  </si>
  <si>
    <t>29/10/2012 19:37:11</t>
  </si>
  <si>
    <t>21/11/2017 09:18:49</t>
  </si>
  <si>
    <t>24/05/2013 10:55:17</t>
  </si>
  <si>
    <t>31/01/2010 08:33:49</t>
  </si>
  <si>
    <t>13/06/2013 21:30:20</t>
  </si>
  <si>
    <t>18/10/2017 06:15:32</t>
  </si>
  <si>
    <t>29/05/2006 23:36:16</t>
  </si>
  <si>
    <t>20/07/2008 17:07:08</t>
  </si>
  <si>
    <t>29/06/2012 18:17:03</t>
  </si>
  <si>
    <t>25/10/2010 15:09:36</t>
  </si>
  <si>
    <t>13/11/2011 20:23:05</t>
  </si>
  <si>
    <t>15/08/2007 00:04:24</t>
  </si>
  <si>
    <t>21/03/2017 07:56:17</t>
  </si>
  <si>
    <t>18/09/2011 04:26:44</t>
  </si>
  <si>
    <t>24/08/2011 12:13:04</t>
  </si>
  <si>
    <t>28/12/2012 08:26:02</t>
  </si>
  <si>
    <t>24/10/2012 01:47:02</t>
  </si>
  <si>
    <t>18/02/2019 05:56:26</t>
  </si>
  <si>
    <t>16/04/2015 17:55:02</t>
  </si>
  <si>
    <t>30/11/2013 02:04:28</t>
  </si>
  <si>
    <t>17/02/2016 10:23:20</t>
  </si>
  <si>
    <t>25/12/2012 15:19:34</t>
  </si>
  <si>
    <t>20/10/2012 09:26:38</t>
  </si>
  <si>
    <t>18/04/2012 07:19:51</t>
  </si>
  <si>
    <t>24/11/2012 00:53:01</t>
  </si>
  <si>
    <t>16/06/2017 18:11:05</t>
  </si>
  <si>
    <t>25/03/2012 19:23:52</t>
  </si>
  <si>
    <t>13/01/2016 23:59:48</t>
  </si>
  <si>
    <t>19/03/2014 13:28:30</t>
  </si>
  <si>
    <t>13/07/2017 16:15:58</t>
  </si>
  <si>
    <t>22/08/2011 14:28:42</t>
  </si>
  <si>
    <t>20/09/2014 13:54:20</t>
  </si>
  <si>
    <t>18/11/2012 19:04:20</t>
  </si>
  <si>
    <t>22/06/2014 15:51:27</t>
  </si>
  <si>
    <t>29/08/2011 19:15:02</t>
  </si>
  <si>
    <t>26/09/2016 10:57:46</t>
  </si>
  <si>
    <t>24/02/2011 15:48:26</t>
  </si>
  <si>
    <t>20/07/2007 20:50:38</t>
  </si>
  <si>
    <t>18/03/2021 21:23:28</t>
  </si>
  <si>
    <t>19/07/2020 16:51:47</t>
  </si>
  <si>
    <t>15/11/2020 01:23:04</t>
  </si>
  <si>
    <t>14/11/2020 19:15:50</t>
  </si>
  <si>
    <t>15/11/2020 01:16:04</t>
  </si>
  <si>
    <t>30/10/2017 14:35:48</t>
  </si>
  <si>
    <t>29/01/2021 09:02:20</t>
  </si>
  <si>
    <t>16/12/2008 08:34:51</t>
  </si>
  <si>
    <t>17/06/2014 18:54:17</t>
  </si>
  <si>
    <t>25/03/2012 17:13:03</t>
  </si>
  <si>
    <t>29/10/2013 05:35:59</t>
  </si>
  <si>
    <t>23/12/2016 14:18:30</t>
  </si>
  <si>
    <t>16/02/2017 12:54:02</t>
  </si>
  <si>
    <t>15/10/2013 17:19:52</t>
  </si>
  <si>
    <t>27/10/2017 15:22:35</t>
  </si>
  <si>
    <t>16/10/2014 19:17:22</t>
  </si>
  <si>
    <t>16/07/2008 00:59:27</t>
  </si>
  <si>
    <t>31/07/2014 14:50:18</t>
  </si>
  <si>
    <t>30/01/2016 20:31:18</t>
  </si>
  <si>
    <t>18/06/2017 07:26:20</t>
  </si>
  <si>
    <t>18/08/2006 10:13:18</t>
  </si>
  <si>
    <t>27/06/2014 17:40:48</t>
  </si>
  <si>
    <t>15/03/2018 20:24:28</t>
  </si>
  <si>
    <t>29/09/2011 05:52:29</t>
  </si>
  <si>
    <t>29/07/2017 18:08:00</t>
  </si>
  <si>
    <t>15/12/2018 08:16:10</t>
  </si>
  <si>
    <t>15/12/2018 23:59:27</t>
  </si>
  <si>
    <t>30/08/2013 14:02:35</t>
  </si>
  <si>
    <t>30/09/2011 10:28:31</t>
  </si>
  <si>
    <t>30/09/2013 05:19:44</t>
  </si>
  <si>
    <t>28/05/2018 06:48:40</t>
  </si>
  <si>
    <t>17/02/2010 19:40:25</t>
  </si>
  <si>
    <t>24/01/2012 19:12:18</t>
  </si>
  <si>
    <t>23/07/2009 21:11:07</t>
  </si>
  <si>
    <t>20/08/2011 19:53:02</t>
  </si>
  <si>
    <t>28/05/2016 23:15:15</t>
  </si>
  <si>
    <t>21/10/2013 16:28:34</t>
  </si>
  <si>
    <t>27/03/2020 16:17:10</t>
  </si>
  <si>
    <t>16/01/2015 13:01:22</t>
  </si>
  <si>
    <t>Open Channel URL in Browser</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</si>
  <si>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</si>
  <si>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</si>
  <si>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</si>
  <si>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</si>
  <si>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</si>
  <si>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</si>
  <si>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</si>
  <si>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</si>
  <si>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</si>
  <si>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</si>
  <si>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</si>
  <si>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</si>
  <si>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</si>
  <si>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</si>
  <si>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</si>
  <si>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</si>
  <si>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</si>
  <si>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</si>
  <si>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</si>
  <si>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</si>
  <si>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</si>
  <si>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</si>
  <si>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</si>
  <si>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</si>
  <si>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</si>
  <si>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</si>
  <si>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</si>
  <si>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</si>
  <si>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</si>
  <si>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</si>
  <si>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</si>
  <si>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</si>
  <si>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</si>
  <si>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</si>
  <si>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</si>
  <si>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</si>
  <si>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</si>
  <si>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</si>
  <si>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</si>
  <si>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</si>
  <si>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</si>
  <si>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</si>
  <si>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</si>
  <si>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love</t>
  </si>
  <si>
    <t>great</t>
  </si>
  <si>
    <t>london</t>
  </si>
  <si>
    <t>garden</t>
  </si>
  <si>
    <t>like</t>
  </si>
  <si>
    <t>nice</t>
  </si>
  <si>
    <t>roof</t>
  </si>
  <si>
    <t>lovely</t>
  </si>
  <si>
    <t>amazing</t>
  </si>
  <si>
    <t>good</t>
  </si>
  <si>
    <t>sharing</t>
  </si>
  <si>
    <t>watching</t>
  </si>
  <si>
    <t>time</t>
  </si>
  <si>
    <t>wow</t>
  </si>
  <si>
    <t>ve</t>
  </si>
  <si>
    <t>well</t>
  </si>
  <si>
    <t>place</t>
  </si>
  <si>
    <t>think</t>
  </si>
  <si>
    <t>rooftop</t>
  </si>
  <si>
    <t>ts9ixhsdzjs</t>
  </si>
  <si>
    <t>job</t>
  </si>
  <si>
    <t>end</t>
  </si>
  <si>
    <t>plants</t>
  </si>
  <si>
    <t>view</t>
  </si>
  <si>
    <t>lol</t>
  </si>
  <si>
    <t>haha</t>
  </si>
  <si>
    <t>terrace</t>
  </si>
  <si>
    <t>space</t>
  </si>
  <si>
    <t>cool</t>
  </si>
  <si>
    <t>keep</t>
  </si>
  <si>
    <t>awesome</t>
  </si>
  <si>
    <t>wait</t>
  </si>
  <si>
    <t>visit</t>
  </si>
  <si>
    <t>enjoy</t>
  </si>
  <si>
    <t>bar</t>
  </si>
  <si>
    <t>loved</t>
  </si>
  <si>
    <t>black</t>
  </si>
  <si>
    <t>lights</t>
  </si>
  <si>
    <t>city</t>
  </si>
  <si>
    <t>views</t>
  </si>
  <si>
    <t>idea</t>
  </si>
  <si>
    <t>watched</t>
  </si>
  <si>
    <t>down</t>
  </si>
  <si>
    <t>carrington</t>
  </si>
  <si>
    <t>week</t>
  </si>
  <si>
    <t>work</t>
  </si>
  <si>
    <t>vlog</t>
  </si>
  <si>
    <t>ল</t>
  </si>
  <si>
    <t>building</t>
  </si>
  <si>
    <t>best</t>
  </si>
  <si>
    <t>ll</t>
  </si>
  <si>
    <t>hope</t>
  </si>
  <si>
    <t>bars</t>
  </si>
  <si>
    <t>live</t>
  </si>
  <si>
    <t>bit</t>
  </si>
  <si>
    <t>stay</t>
  </si>
  <si>
    <t>uk</t>
  </si>
  <si>
    <t>hard</t>
  </si>
  <si>
    <t>fantastic</t>
  </si>
  <si>
    <t>enjoyed</t>
  </si>
  <si>
    <t>pleased</t>
  </si>
  <si>
    <t>far</t>
  </si>
  <si>
    <t>walker</t>
  </si>
  <si>
    <t>being</t>
  </si>
  <si>
    <t>stunning</t>
  </si>
  <si>
    <t>better</t>
  </si>
  <si>
    <t>man</t>
  </si>
  <si>
    <t>open</t>
  </si>
  <si>
    <t>weather</t>
  </si>
  <si>
    <t>kind</t>
  </si>
  <si>
    <t>part</t>
  </si>
  <si>
    <t>comment</t>
  </si>
  <si>
    <t>interesting</t>
  </si>
  <si>
    <t>walk</t>
  </si>
  <si>
    <t>floor</t>
  </si>
  <si>
    <t>people</t>
  </si>
  <si>
    <t>sky</t>
  </si>
  <si>
    <t>welcome</t>
  </si>
  <si>
    <t>wonderful</t>
  </si>
  <si>
    <t>long</t>
  </si>
  <si>
    <t>check</t>
  </si>
  <si>
    <t>lot</t>
  </si>
  <si>
    <t>world</t>
  </si>
  <si>
    <t>things</t>
  </si>
  <si>
    <t>believe</t>
  </si>
  <si>
    <t>relaxing</t>
  </si>
  <si>
    <t>support</t>
  </si>
  <si>
    <t>coming</t>
  </si>
  <si>
    <t>feel</t>
  </si>
  <si>
    <t>glad</t>
  </si>
  <si>
    <t>xxx</t>
  </si>
  <si>
    <t>gorgeous</t>
  </si>
  <si>
    <t>tip</t>
  </si>
  <si>
    <t>tour</t>
  </si>
  <si>
    <t>snails</t>
  </si>
  <si>
    <t>flowers</t>
  </si>
  <si>
    <t>agree</t>
  </si>
  <si>
    <t>fab</t>
  </si>
  <si>
    <t>ideas</t>
  </si>
  <si>
    <t>trees</t>
  </si>
  <si>
    <t>wind</t>
  </si>
  <si>
    <t>trip</t>
  </si>
  <si>
    <t>help</t>
  </si>
  <si>
    <t>travel</t>
  </si>
  <si>
    <t>places</t>
  </si>
  <si>
    <t>summer</t>
  </si>
  <si>
    <t>drink</t>
  </si>
  <si>
    <t>night</t>
  </si>
  <si>
    <t>news</t>
  </si>
  <si>
    <t>ahh</t>
  </si>
  <si>
    <t>update</t>
  </si>
  <si>
    <t>makeover</t>
  </si>
  <si>
    <t>sean</t>
  </si>
  <si>
    <t>xx</t>
  </si>
  <si>
    <t>deck</t>
  </si>
  <si>
    <t>fox</t>
  </si>
  <si>
    <t>gardens</t>
  </si>
  <si>
    <t>green</t>
  </si>
  <si>
    <t>show</t>
  </si>
  <si>
    <t>10</t>
  </si>
  <si>
    <t>times</t>
  </si>
  <si>
    <t>wish</t>
  </si>
  <si>
    <t>lucky</t>
  </si>
  <si>
    <t>glass</t>
  </si>
  <si>
    <t>weekend</t>
  </si>
  <si>
    <t>vids</t>
  </si>
  <si>
    <t>ব</t>
  </si>
  <si>
    <t>ভ</t>
  </si>
  <si>
    <t>jess</t>
  </si>
  <si>
    <t>discovered</t>
  </si>
  <si>
    <t>enjoying</t>
  </si>
  <si>
    <t>tips</t>
  </si>
  <si>
    <t>weeks</t>
  </si>
  <si>
    <t>right</t>
  </si>
  <si>
    <t>plant</t>
  </si>
  <si>
    <t>started</t>
  </si>
  <si>
    <t>hear</t>
  </si>
  <si>
    <t>absolutely</t>
  </si>
  <si>
    <t>stylish</t>
  </si>
  <si>
    <t>kate</t>
  </si>
  <si>
    <t>sun</t>
  </si>
  <si>
    <t>apu</t>
  </si>
  <si>
    <t>quality</t>
  </si>
  <si>
    <t>couple</t>
  </si>
  <si>
    <t>incredible</t>
  </si>
  <si>
    <t>thing</t>
  </si>
  <si>
    <t>feeling</t>
  </si>
  <si>
    <t>water</t>
  </si>
  <si>
    <t>wall</t>
  </si>
  <si>
    <t>add</t>
  </si>
  <si>
    <t>list</t>
  </si>
  <si>
    <t>music</t>
  </si>
  <si>
    <t>filming</t>
  </si>
  <si>
    <t>120</t>
  </si>
  <si>
    <t>ko</t>
  </si>
  <si>
    <t>fi</t>
  </si>
  <si>
    <t>shop</t>
  </si>
  <si>
    <t>street</t>
  </si>
  <si>
    <t>remember</t>
  </si>
  <si>
    <t>care</t>
  </si>
  <si>
    <t>গল</t>
  </si>
  <si>
    <t>subscriber</t>
  </si>
  <si>
    <t>fabulous</t>
  </si>
  <si>
    <t>thinking</t>
  </si>
  <si>
    <t>totally</t>
  </si>
  <si>
    <t>talking</t>
  </si>
  <si>
    <t>winter</t>
  </si>
  <si>
    <t>fly</t>
  </si>
  <si>
    <t>east</t>
  </si>
  <si>
    <t>friend</t>
  </si>
  <si>
    <t>subscribed</t>
  </si>
  <si>
    <t>beer</t>
  </si>
  <si>
    <t>growing</t>
  </si>
  <si>
    <t>colours</t>
  </si>
  <si>
    <t>excited</t>
  </si>
  <si>
    <t>shells</t>
  </si>
  <si>
    <t>blue</t>
  </si>
  <si>
    <t>mandy</t>
  </si>
  <si>
    <t>vlogs</t>
  </si>
  <si>
    <t>stain</t>
  </si>
  <si>
    <t>spaces</t>
  </si>
  <si>
    <t>loving</t>
  </si>
  <si>
    <t>nature</t>
  </si>
  <si>
    <t>mashaallah</t>
  </si>
  <si>
    <t>mashallah</t>
  </si>
  <si>
    <t>birds</t>
  </si>
  <si>
    <t>past</t>
  </si>
  <si>
    <t>excellent</t>
  </si>
  <si>
    <t>online</t>
  </si>
  <si>
    <t>londonnightguide</t>
  </si>
  <si>
    <t>instagram</t>
  </si>
  <si>
    <t>cold</t>
  </si>
  <si>
    <t>stuff</t>
  </si>
  <si>
    <t>film</t>
  </si>
  <si>
    <t>noise</t>
  </si>
  <si>
    <t>rest</t>
  </si>
  <si>
    <t>australia</t>
  </si>
  <si>
    <t>feature</t>
  </si>
  <si>
    <t>hopefully</t>
  </si>
  <si>
    <t>skyline</t>
  </si>
  <si>
    <t>worth</t>
  </si>
  <si>
    <t>info</t>
  </si>
  <si>
    <t>cheers</t>
  </si>
  <si>
    <t>greetings</t>
  </si>
  <si>
    <t>visited</t>
  </si>
  <si>
    <t>busy</t>
  </si>
  <si>
    <t>amazon</t>
  </si>
  <si>
    <t>20</t>
  </si>
  <si>
    <t>tower</t>
  </si>
  <si>
    <t>canary</t>
  </si>
  <si>
    <t>beautifully</t>
  </si>
  <si>
    <t>oasis</t>
  </si>
  <si>
    <t>খ</t>
  </si>
  <si>
    <t>pictures</t>
  </si>
  <si>
    <t>fun</t>
  </si>
  <si>
    <t>looked</t>
  </si>
  <si>
    <t>adding</t>
  </si>
  <si>
    <t>morning</t>
  </si>
  <si>
    <t>cocktail</t>
  </si>
  <si>
    <t>law</t>
  </si>
  <si>
    <t>late</t>
  </si>
  <si>
    <t>helpful</t>
  </si>
  <si>
    <t>question</t>
  </si>
  <si>
    <t>hoping</t>
  </si>
  <si>
    <t>moment</t>
  </si>
  <si>
    <t>rains</t>
  </si>
  <si>
    <t>try</t>
  </si>
  <si>
    <t>slugs</t>
  </si>
  <si>
    <t>pots</t>
  </si>
  <si>
    <t>egg</t>
  </si>
  <si>
    <t>paint</t>
  </si>
  <si>
    <t>south</t>
  </si>
  <si>
    <t>outdoor</t>
  </si>
  <si>
    <t>mentioned</t>
  </si>
  <si>
    <t>inspiration</t>
  </si>
  <si>
    <t>white</t>
  </si>
  <si>
    <t>manage</t>
  </si>
  <si>
    <t>positive</t>
  </si>
  <si>
    <t>ur</t>
  </si>
  <si>
    <t>lock</t>
  </si>
  <si>
    <t>calm</t>
  </si>
  <si>
    <t>inspired</t>
  </si>
  <si>
    <t>result</t>
  </si>
  <si>
    <t>safe</t>
  </si>
  <si>
    <t>connected</t>
  </si>
  <si>
    <t>book</t>
  </si>
  <si>
    <t>table</t>
  </si>
  <si>
    <t>inspiring</t>
  </si>
  <si>
    <t>light</t>
  </si>
  <si>
    <t>favourite</t>
  </si>
  <si>
    <t>real</t>
  </si>
  <si>
    <t>huge</t>
  </si>
  <si>
    <t>life</t>
  </si>
  <si>
    <t>quick</t>
  </si>
  <si>
    <t>words</t>
  </si>
  <si>
    <t>details</t>
  </si>
  <si>
    <t>shard</t>
  </si>
  <si>
    <t>00</t>
  </si>
  <si>
    <t>pretty</t>
  </si>
  <si>
    <t>pest</t>
  </si>
  <si>
    <t>managed</t>
  </si>
  <si>
    <t>air</t>
  </si>
  <si>
    <t>experience</t>
  </si>
  <si>
    <t>flight</t>
  </si>
  <si>
    <t>annoying</t>
  </si>
  <si>
    <t>photo</t>
  </si>
  <si>
    <t>ask</t>
  </si>
  <si>
    <t>model</t>
  </si>
  <si>
    <t>magical</t>
  </si>
  <si>
    <t>matured</t>
  </si>
  <si>
    <t>michael</t>
  </si>
  <si>
    <t>big</t>
  </si>
  <si>
    <t>plan</t>
  </si>
  <si>
    <t>art</t>
  </si>
  <si>
    <t>create</t>
  </si>
  <si>
    <t>wondering</t>
  </si>
  <si>
    <t>2019</t>
  </si>
  <si>
    <t>sights</t>
  </si>
  <si>
    <t>13</t>
  </si>
  <si>
    <t>wharf</t>
  </si>
  <si>
    <t>spot</t>
  </si>
  <si>
    <t>অন</t>
  </si>
  <si>
    <t>ক</t>
  </si>
  <si>
    <t>স</t>
  </si>
  <si>
    <t>ন</t>
  </si>
  <si>
    <t>দর</t>
  </si>
  <si>
    <t>ট</t>
  </si>
  <si>
    <t>rooftops</t>
  </si>
  <si>
    <t>sunny</t>
  </si>
  <si>
    <t>mate</t>
  </si>
  <si>
    <t>child</t>
  </si>
  <si>
    <t>vibe</t>
  </si>
  <si>
    <t>wondered</t>
  </si>
  <si>
    <t>joined</t>
  </si>
  <si>
    <t>called</t>
  </si>
  <si>
    <t>luck</t>
  </si>
  <si>
    <t>england</t>
  </si>
  <si>
    <t>covid</t>
  </si>
  <si>
    <t>drinking</t>
  </si>
  <si>
    <t>remind</t>
  </si>
  <si>
    <t>btw</t>
  </si>
  <si>
    <t>super</t>
  </si>
  <si>
    <t>month</t>
  </si>
  <si>
    <t>sad</t>
  </si>
  <si>
    <t>planning</t>
  </si>
  <si>
    <t>strange</t>
  </si>
  <si>
    <t>choices</t>
  </si>
  <si>
    <t>rain</t>
  </si>
  <si>
    <t>worry</t>
  </si>
  <si>
    <t>situation</t>
  </si>
  <si>
    <t>camera</t>
  </si>
  <si>
    <t>canada</t>
  </si>
  <si>
    <t>large</t>
  </si>
  <si>
    <t>vibes</t>
  </si>
  <si>
    <t>voice</t>
  </si>
  <si>
    <t>bad</t>
  </si>
  <si>
    <t>sit</t>
  </si>
  <si>
    <t>furniture</t>
  </si>
  <si>
    <t>piece</t>
  </si>
  <si>
    <t>page</t>
  </si>
  <si>
    <t>funny</t>
  </si>
  <si>
    <t>colour</t>
  </si>
  <si>
    <t>tape</t>
  </si>
  <si>
    <t>sense</t>
  </si>
  <si>
    <t>binge</t>
  </si>
  <si>
    <t>eating</t>
  </si>
  <si>
    <t>style</t>
  </si>
  <si>
    <t>hostas</t>
  </si>
  <si>
    <t>working</t>
  </si>
  <si>
    <t>takes</t>
  </si>
  <si>
    <t>pellets</t>
  </si>
  <si>
    <t>agave</t>
  </si>
  <si>
    <t>vine</t>
  </si>
  <si>
    <t>patio</t>
  </si>
  <si>
    <t>iwan</t>
  </si>
  <si>
    <t>planes</t>
  </si>
  <si>
    <t>flying</t>
  </si>
  <si>
    <t>jane</t>
  </si>
  <si>
    <t>eaten</t>
  </si>
  <si>
    <t>happened</t>
  </si>
  <si>
    <t>forget</t>
  </si>
  <si>
    <t>important</t>
  </si>
  <si>
    <t>spots</t>
  </si>
  <si>
    <t>lockdown</t>
  </si>
  <si>
    <t>vid</t>
  </si>
  <si>
    <t>weight</t>
  </si>
  <si>
    <t>sending</t>
  </si>
  <si>
    <t>happy</t>
  </si>
  <si>
    <t>sort</t>
  </si>
  <si>
    <t>bro</t>
  </si>
  <si>
    <t>relax</t>
  </si>
  <si>
    <t>cozy</t>
  </si>
  <si>
    <t>fan</t>
  </si>
  <si>
    <t>ikea</t>
  </si>
  <si>
    <t>creative</t>
  </si>
  <si>
    <t>change</t>
  </si>
  <si>
    <t>greenery</t>
  </si>
  <si>
    <t>bravo</t>
  </si>
  <si>
    <t>bargains</t>
  </si>
  <si>
    <t>results</t>
  </si>
  <si>
    <t>items</t>
  </si>
  <si>
    <t>creating</t>
  </si>
  <si>
    <t>wine</t>
  </si>
  <si>
    <t>cherries</t>
  </si>
  <si>
    <t>refreshing</t>
  </si>
  <si>
    <t>hot</t>
  </si>
  <si>
    <t>god</t>
  </si>
  <si>
    <t>bloopers</t>
  </si>
  <si>
    <t>lidl</t>
  </si>
  <si>
    <t>decking</t>
  </si>
  <si>
    <t>finished</t>
  </si>
  <si>
    <t>phase</t>
  </si>
  <si>
    <t>difference</t>
  </si>
  <si>
    <t>samantha</t>
  </si>
  <si>
    <t>hw</t>
  </si>
  <si>
    <t>শ</t>
  </si>
  <si>
    <t>অস</t>
  </si>
  <si>
    <t>ধ</t>
  </si>
  <si>
    <t>রণ</t>
  </si>
  <si>
    <t>আপ</t>
  </si>
  <si>
    <t>onek</t>
  </si>
  <si>
    <t>shundor</t>
  </si>
  <si>
    <t>houses</t>
  </si>
  <si>
    <t>cherry</t>
  </si>
  <si>
    <t>eggs</t>
  </si>
  <si>
    <t>spirits</t>
  </si>
  <si>
    <t>home</t>
  </si>
  <si>
    <t>dulwich</t>
  </si>
  <si>
    <t>ht</t>
  </si>
  <si>
    <t>footage</t>
  </si>
  <si>
    <t>appreciated</t>
  </si>
  <si>
    <t>skip</t>
  </si>
  <si>
    <t>booking</t>
  </si>
  <si>
    <t>ig</t>
  </si>
  <si>
    <t>auspicious</t>
  </si>
  <si>
    <t>draughts</t>
  </si>
  <si>
    <t>guy</t>
  </si>
  <si>
    <t>reach</t>
  </si>
  <si>
    <t>animals</t>
  </si>
  <si>
    <t>sunshine</t>
  </si>
  <si>
    <t>bags</t>
  </si>
  <si>
    <t>pal</t>
  </si>
  <si>
    <t>simply</t>
  </si>
  <si>
    <t>minute</t>
  </si>
  <si>
    <t>cover</t>
  </si>
  <si>
    <t>melbourne</t>
  </si>
  <si>
    <t>wales</t>
  </si>
  <si>
    <t>enter</t>
  </si>
  <si>
    <t>hero</t>
  </si>
  <si>
    <t>prefer</t>
  </si>
  <si>
    <t>atmosphere</t>
  </si>
  <si>
    <t>gopro</t>
  </si>
  <si>
    <t>22</t>
  </si>
  <si>
    <t>appreciate</t>
  </si>
  <si>
    <t>gonna</t>
  </si>
  <si>
    <t>grown</t>
  </si>
  <si>
    <t>tops</t>
  </si>
  <si>
    <t>tampa</t>
  </si>
  <si>
    <t>florida</t>
  </si>
  <si>
    <t>description</t>
  </si>
  <si>
    <t>kathy</t>
  </si>
  <si>
    <t>easy</t>
  </si>
  <si>
    <t>dana</t>
  </si>
  <si>
    <t>everyday</t>
  </si>
  <si>
    <t>public</t>
  </si>
  <si>
    <t>won</t>
  </si>
  <si>
    <t>35</t>
  </si>
  <si>
    <t>yesterday</t>
  </si>
  <si>
    <t>bed</t>
  </si>
  <si>
    <t>sunday</t>
  </si>
  <si>
    <t>wanna</t>
  </si>
  <si>
    <t>february</t>
  </si>
  <si>
    <t>co</t>
  </si>
  <si>
    <t>location</t>
  </si>
  <si>
    <t>goo</t>
  </si>
  <si>
    <t>gl</t>
  </si>
  <si>
    <t>maps</t>
  </si>
  <si>
    <t>dh15nwztwkr2</t>
  </si>
  <si>
    <t>09</t>
  </si>
  <si>
    <t>entrance</t>
  </si>
  <si>
    <t>15</t>
  </si>
  <si>
    <t>03</t>
  </si>
  <si>
    <t>56</t>
  </si>
  <si>
    <t>shoot</t>
  </si>
  <si>
    <t>04</t>
  </si>
  <si>
    <t>buildings</t>
  </si>
  <si>
    <t>08</t>
  </si>
  <si>
    <t>11</t>
  </si>
  <si>
    <t>logo</t>
  </si>
  <si>
    <t>eye</t>
  </si>
  <si>
    <t>17</t>
  </si>
  <si>
    <t>project</t>
  </si>
  <si>
    <t>raining</t>
  </si>
  <si>
    <t>ড</t>
  </si>
  <si>
    <t>ও</t>
  </si>
  <si>
    <t>tripods</t>
  </si>
  <si>
    <t>fellow</t>
  </si>
  <si>
    <t>type</t>
  </si>
  <si>
    <t>shade</t>
  </si>
  <si>
    <t>liking</t>
  </si>
  <si>
    <t>return</t>
  </si>
  <si>
    <t>opening</t>
  </si>
  <si>
    <t>360</t>
  </si>
  <si>
    <t>secret</t>
  </si>
  <si>
    <t>etc</t>
  </si>
  <si>
    <t>jin</t>
  </si>
  <si>
    <t>bo</t>
  </si>
  <si>
    <t>girlfriends</t>
  </si>
  <si>
    <t>cocktails</t>
  </si>
  <si>
    <t>delicious</t>
  </si>
  <si>
    <t>sensational</t>
  </si>
  <si>
    <t>radio</t>
  </si>
  <si>
    <t>st</t>
  </si>
  <si>
    <t>pauls</t>
  </si>
  <si>
    <t>meetup</t>
  </si>
  <si>
    <t>social</t>
  </si>
  <si>
    <t>events</t>
  </si>
  <si>
    <t>continue</t>
  </si>
  <si>
    <t>yup</t>
  </si>
  <si>
    <t>loads</t>
  </si>
  <si>
    <t>pubs</t>
  </si>
  <si>
    <t>tons</t>
  </si>
  <si>
    <t>useful</t>
  </si>
  <si>
    <t>neighborhood</t>
  </si>
  <si>
    <t>anytime</t>
  </si>
  <si>
    <t>staying</t>
  </si>
  <si>
    <t>nope</t>
  </si>
  <si>
    <t>ice</t>
  </si>
  <si>
    <t>skating</t>
  </si>
  <si>
    <t>friends</t>
  </si>
  <si>
    <t>tomorrow</t>
  </si>
  <si>
    <t>paris</t>
  </si>
  <si>
    <t>chris</t>
  </si>
  <si>
    <t>moving</t>
  </si>
  <si>
    <t>meet</t>
  </si>
  <si>
    <t>sister</t>
  </si>
  <si>
    <t>swear</t>
  </si>
  <si>
    <t>episode</t>
  </si>
  <si>
    <t>husband</t>
  </si>
  <si>
    <t>invited</t>
  </si>
  <si>
    <t>car</t>
  </si>
  <si>
    <t>start</t>
  </si>
  <si>
    <t>content</t>
  </si>
  <si>
    <t>true</t>
  </si>
  <si>
    <t>months</t>
  </si>
  <si>
    <t>spain</t>
  </si>
  <si>
    <t>american</t>
  </si>
  <si>
    <t>visiting</t>
  </si>
  <si>
    <t>country</t>
  </si>
  <si>
    <t>matter</t>
  </si>
  <si>
    <t>september</t>
  </si>
  <si>
    <t>option</t>
  </si>
  <si>
    <t>cooler</t>
  </si>
  <si>
    <t>mkuamgpxs5a</t>
  </si>
  <si>
    <t>study</t>
  </si>
  <si>
    <t>stayed</t>
  </si>
  <si>
    <t>stratford</t>
  </si>
  <si>
    <t>party</t>
  </si>
  <si>
    <t>wife</t>
  </si>
  <si>
    <t>george</t>
  </si>
  <si>
    <t>geek</t>
  </si>
  <si>
    <t>travels</t>
  </si>
  <si>
    <t>fell</t>
  </si>
  <si>
    <t>putting</t>
  </si>
  <si>
    <t>interested</t>
  </si>
  <si>
    <t>wrote</t>
  </si>
  <si>
    <t>dachyzielone</t>
  </si>
  <si>
    <t>steve</t>
  </si>
  <si>
    <t>store</t>
  </si>
  <si>
    <t>remove</t>
  </si>
  <si>
    <t>afraid</t>
  </si>
  <si>
    <t>handle</t>
  </si>
  <si>
    <t>pillows</t>
  </si>
  <si>
    <t>couch</t>
  </si>
  <si>
    <t>men</t>
  </si>
  <si>
    <t>chairs</t>
  </si>
  <si>
    <t>natural</t>
  </si>
  <si>
    <t>copper</t>
  </si>
  <si>
    <t>pot</t>
  </si>
  <si>
    <t>eat</t>
  </si>
  <si>
    <t>geraniums</t>
  </si>
  <si>
    <t>bees</t>
  </si>
  <si>
    <t>pop</t>
  </si>
  <si>
    <t>single</t>
  </si>
  <si>
    <t>killed</t>
  </si>
  <si>
    <t>aloe</t>
  </si>
  <si>
    <t>poor</t>
  </si>
  <si>
    <t>hair</t>
  </si>
  <si>
    <t>liked</t>
  </si>
  <si>
    <t>tiles</t>
  </si>
  <si>
    <t>soil</t>
  </si>
  <si>
    <t>slug</t>
  </si>
  <si>
    <t>evening</t>
  </si>
  <si>
    <t>stop</t>
  </si>
  <si>
    <t>methods</t>
  </si>
  <si>
    <t>salt</t>
  </si>
  <si>
    <t>yucca</t>
  </si>
  <si>
    <t>fingers</t>
  </si>
  <si>
    <t>leaving</t>
  </si>
  <si>
    <t>holes</t>
  </si>
  <si>
    <t>hold</t>
  </si>
  <si>
    <t>fence</t>
  </si>
  <si>
    <t>painted</t>
  </si>
  <si>
    <t>traps</t>
  </si>
  <si>
    <t>problems</t>
  </si>
  <si>
    <t>outtakes</t>
  </si>
  <si>
    <t>positives</t>
  </si>
  <si>
    <t>trying</t>
  </si>
  <si>
    <t>followed</t>
  </si>
  <si>
    <t>leaves</t>
  </si>
  <si>
    <t>problem</t>
  </si>
  <si>
    <t>hey</t>
  </si>
  <si>
    <t>ugo</t>
  </si>
  <si>
    <t>following</t>
  </si>
  <si>
    <t>pe</t>
  </si>
  <si>
    <t>likes</t>
  </si>
  <si>
    <t>grow</t>
  </si>
  <si>
    <t>pity</t>
  </si>
  <si>
    <t>fruit</t>
  </si>
  <si>
    <t>moved</t>
  </si>
  <si>
    <t>brilliant</t>
  </si>
  <si>
    <t>tfs</t>
  </si>
  <si>
    <t>size</t>
  </si>
  <si>
    <t>flamingos</t>
  </si>
  <si>
    <t>link</t>
  </si>
  <si>
    <t>laura</t>
  </si>
  <si>
    <t>xxxxxx</t>
  </si>
  <si>
    <t>highrise</t>
  </si>
  <si>
    <t>gardening</t>
  </si>
  <si>
    <t>money</t>
  </si>
  <si>
    <t>unfortunately</t>
  </si>
  <si>
    <t>hang</t>
  </si>
  <si>
    <t>plane</t>
  </si>
  <si>
    <t>decoration</t>
  </si>
  <si>
    <t>previous</t>
  </si>
  <si>
    <t>comfortable</t>
  </si>
  <si>
    <t>comments</t>
  </si>
  <si>
    <t>terrence</t>
  </si>
  <si>
    <t>bring</t>
  </si>
  <si>
    <t>transform</t>
  </si>
  <si>
    <t>maximised</t>
  </si>
  <si>
    <t>manly</t>
  </si>
  <si>
    <t>uplifting</t>
  </si>
  <si>
    <t>wrapped</t>
  </si>
  <si>
    <t>cosy</t>
  </si>
  <si>
    <t>shirt</t>
  </si>
  <si>
    <t>youtuber</t>
  </si>
  <si>
    <t>personality</t>
  </si>
  <si>
    <t>search_query</t>
  </si>
  <si>
    <t>house</t>
  </si>
  <si>
    <t>bargain</t>
  </si>
  <si>
    <t>brian</t>
  </si>
  <si>
    <t>mum</t>
  </si>
  <si>
    <t>sandra</t>
  </si>
  <si>
    <t>park</t>
  </si>
  <si>
    <t>pulled</t>
  </si>
  <si>
    <t>warm</t>
  </si>
  <si>
    <t>hahaha</t>
  </si>
  <si>
    <t>imagine</t>
  </si>
  <si>
    <t>sitting</t>
  </si>
  <si>
    <t>perfect</t>
  </si>
  <si>
    <t>clean</t>
  </si>
  <si>
    <t>gardener</t>
  </si>
  <si>
    <t>worked</t>
  </si>
  <si>
    <t>head</t>
  </si>
  <si>
    <t>proud</t>
  </si>
  <si>
    <t>chill</t>
  </si>
  <si>
    <t>share</t>
  </si>
  <si>
    <t>tiger</t>
  </si>
  <si>
    <t>tiny</t>
  </si>
  <si>
    <t>jealous</t>
  </si>
  <si>
    <t>emotional</t>
  </si>
  <si>
    <t>planted</t>
  </si>
  <si>
    <t>storage</t>
  </si>
  <si>
    <t>bench</t>
  </si>
  <si>
    <t>mirrors</t>
  </si>
  <si>
    <t>ash</t>
  </si>
  <si>
    <t>extremely</t>
  </si>
  <si>
    <t>smart</t>
  </si>
  <si>
    <t>lighting</t>
  </si>
  <si>
    <t>lived</t>
  </si>
  <si>
    <t>kidding</t>
  </si>
  <si>
    <t>clever</t>
  </si>
  <si>
    <t>tree</t>
  </si>
  <si>
    <t>lifestyle</t>
  </si>
  <si>
    <t>hal</t>
  </si>
  <si>
    <t>giggle</t>
  </si>
  <si>
    <t>bought</t>
  </si>
  <si>
    <t>omg</t>
  </si>
  <si>
    <t>color</t>
  </si>
  <si>
    <t>lush</t>
  </si>
  <si>
    <t>nicely</t>
  </si>
  <si>
    <t>mary</t>
  </si>
  <si>
    <t>changing</t>
  </si>
  <si>
    <t>gary</t>
  </si>
  <si>
    <t>glitter</t>
  </si>
  <si>
    <t>ম</t>
  </si>
  <si>
    <t>হ</t>
  </si>
  <si>
    <t>জ</t>
  </si>
  <si>
    <t>য়গ</t>
  </si>
  <si>
    <t>পর</t>
  </si>
  <si>
    <t>difficult</t>
  </si>
  <si>
    <t>gardeners</t>
  </si>
  <si>
    <t>hydrangeas</t>
  </si>
  <si>
    <t>8609</t>
  </si>
  <si>
    <t>beauty</t>
  </si>
  <si>
    <t>alot</t>
  </si>
  <si>
    <t>gosh</t>
  </si>
  <si>
    <t>story</t>
  </si>
  <si>
    <t>entertained</t>
  </si>
  <si>
    <t>keeping</t>
  </si>
  <si>
    <t>calming</t>
  </si>
  <si>
    <t>cities</t>
  </si>
  <si>
    <t>nikki</t>
  </si>
  <si>
    <t>thomson</t>
  </si>
  <si>
    <t>bloomed</t>
  </si>
  <si>
    <t>exhausted</t>
  </si>
  <si>
    <t>buzzing</t>
  </si>
  <si>
    <t>determined</t>
  </si>
  <si>
    <t>bomb</t>
  </si>
  <si>
    <t>coleus</t>
  </si>
  <si>
    <t>thoroughly</t>
  </si>
  <si>
    <t>button</t>
  </si>
  <si>
    <t>restaurant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</si>
  <si>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</si>
  <si>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</si>
  <si>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</si>
  <si>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</si>
  <si>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</si>
  <si>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</si>
  <si>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</si>
  <si>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</si>
  <si>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</si>
  <si>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</si>
  <si>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</si>
  <si>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</si>
  <si>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</si>
  <si>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</si>
  <si>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</si>
  <si>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</si>
  <si>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</si>
  <si>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</si>
  <si>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</si>
  <si>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</si>
  <si>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</si>
  <si>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</si>
  <si>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</si>
  <si>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</si>
  <si>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</si>
  <si>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</si>
  <si>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</si>
  <si>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</si>
  <si>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</si>
  <si>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</si>
  <si>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</si>
  <si>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</si>
  <si>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</si>
  <si>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</si>
  <si>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</si>
  <si>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</si>
  <si>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</si>
  <si>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</si>
  <si>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</si>
  <si>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</si>
  <si>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</si>
  <si>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</si>
  <si>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</si>
  <si>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</si>
  <si>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</si>
  <si>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</si>
  <si>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</si>
  <si>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</si>
  <si>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</si>
  <si>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</si>
  <si>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</si>
  <si>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</si>
  <si>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</si>
  <si>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</si>
  <si>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</si>
  <si>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</si>
  <si>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</si>
  <si>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</si>
  <si>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</si>
  <si>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</si>
  <si>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</si>
  <si>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</si>
  <si>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</si>
  <si>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Comment in Entire Graph</t>
  </si>
  <si>
    <t>https://www.londonnightguide.com/roof-gardens-table-booking/</t>
  </si>
  <si>
    <t>https://www.instagram.com/londonnightguide/</t>
  </si>
  <si>
    <t>https://www.ko-fi.com/watchedwalker</t>
  </si>
  <si>
    <t>https://www.amazon.com/shop/watchedwalker</t>
  </si>
  <si>
    <t>https://www.amazon.co.uk/shop/watchedwalker</t>
  </si>
  <si>
    <t>https://goo.gl/maps/dH15NwZTWkR2</t>
  </si>
  <si>
    <t>https://www.youtube.com/watch?v=MKuAmGPXS5A</t>
  </si>
  <si>
    <t>http://dachyzielone.net/</t>
  </si>
  <si>
    <t>https://www.gardeners.com/how-to/growing-blue-hydrangeas/8609.html</t>
  </si>
  <si>
    <t>http://ko-fi.com/geekstreettravels</t>
  </si>
  <si>
    <t>Entire Graph Count</t>
  </si>
  <si>
    <t>Top URLs In Comment in G1</t>
  </si>
  <si>
    <t>http://www.youtube.com/results?search_query=%23newsubscriber</t>
  </si>
  <si>
    <t>http://www.youtube.com/results?search_query=%23MrCarrington</t>
  </si>
  <si>
    <t>http://stylish.xxx/</t>
  </si>
  <si>
    <t>https://www.youtube.com/watch?v=xZPSNornzmk&amp;amp;t=2m14s</t>
  </si>
  <si>
    <t>Top URLs In Comment in G2</t>
  </si>
  <si>
    <t>G1 Count</t>
  </si>
  <si>
    <t>Top URLs In Comment in G3</t>
  </si>
  <si>
    <t>G2 Count</t>
  </si>
  <si>
    <t>Top URLs In Comment in G4</t>
  </si>
  <si>
    <t>G3 Count</t>
  </si>
  <si>
    <t>https://www.youtube.com/watch?v=tS9IXHSdzJs&amp;amp;t=00m10s</t>
  </si>
  <si>
    <t>https://www.youtube.com/watch?v=tS9IXHSdzJs&amp;amp;t=06m09s</t>
  </si>
  <si>
    <t>https://www.youtube.com/watch?v=tS9IXHSdzJs&amp;amp;t=10m30s</t>
  </si>
  <si>
    <t>https://www.youtube.com/watch?v=tS9IXHSdzJs&amp;amp;t=13m52s</t>
  </si>
  <si>
    <t>https://www.youtube.com/watch?v=tS9IXHSdzJs&amp;amp;t=00m53s</t>
  </si>
  <si>
    <t>https://www.youtube.com/watch?v=tS9IXHSdzJs&amp;amp;t=02m29s</t>
  </si>
  <si>
    <t>Top URLs In Comment in G5</t>
  </si>
  <si>
    <t>G4 Count</t>
  </si>
  <si>
    <t>Top URLs In Comment in G6</t>
  </si>
  <si>
    <t>G5 Count</t>
  </si>
  <si>
    <t>http://skyline.pe/</t>
  </si>
  <si>
    <t>Top URLs In Comment in G7</t>
  </si>
  <si>
    <t>G6 Count</t>
  </si>
  <si>
    <t>Top URLs In Comment in G8</t>
  </si>
  <si>
    <t>G7 Count</t>
  </si>
  <si>
    <t>Top URLs In Comment in G9</t>
  </si>
  <si>
    <t>G8 Count</t>
  </si>
  <si>
    <t>Top URLs In Comment in G10</t>
  </si>
  <si>
    <t>G9 Count</t>
  </si>
  <si>
    <t>G10 Count</t>
  </si>
  <si>
    <t>Top URLs In Comment</t>
  </si>
  <si>
    <t>https://www.gardeners.com/how-to/growing-blue-hydrangeas/8609.html http://www.youtube.com/results?search_query=%23newsubscriber http://www.youtube.com/results?search_query=%23MrCarrington http://stylish.xxx/ https://www.youtube.com/watch?v=xZPSNornzmk&amp;amp;t=2m14s</t>
  </si>
  <si>
    <t>https://www.ko-fi.com/watchedwalker https://www.amazon.com/shop/watchedwalker https://www.amazon.co.uk/shop/watchedwalker https://goo.gl/maps/dH15NwZTWkR2 https://www.youtube.com/watch?v=tS9IXHSdzJs&amp;amp;t=00m10s https://www.youtube.com/watch?v=tS9IXHSdzJs&amp;amp;t=06m09s https://www.youtube.com/watch?v=tS9IXHSdzJs&amp;amp;t=10m30s https://www.youtube.com/watch?v=tS9IXHSdzJs&amp;amp;t=13m52s https://www.youtube.com/watch?v=tS9IXHSdzJs&amp;amp;t=00m53s https://www.youtube.com/watch?v=tS9IXHSdzJs&amp;amp;t=02m29s</t>
  </si>
  <si>
    <t>https://www.londonnightguide.com/roof-gardens-table-booking/ https://www.instagram.com/londonnightguide/</t>
  </si>
  <si>
    <t>Top Domains In Comment in Entire Graph</t>
  </si>
  <si>
    <t>ko-fi.com</t>
  </si>
  <si>
    <t>londonnightguide.com</t>
  </si>
  <si>
    <t>instagram.com</t>
  </si>
  <si>
    <t>amazon.com</t>
  </si>
  <si>
    <t>co.uk</t>
  </si>
  <si>
    <t>goo.gl</t>
  </si>
  <si>
    <t>dachyzielone.net</t>
  </si>
  <si>
    <t>gardeners.com</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</si>
  <si>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</si>
  <si>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</si>
  <si>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</si>
  <si>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</si>
  <si>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</si>
  <si>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</si>
  <si>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</si>
  <si>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</si>
  <si>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</si>
  <si>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</si>
  <si>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</si>
  <si>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youtube.com gardeners.com stylish.xxx</t>
  </si>
  <si>
    <t>youtube.com ko-fi.com amazon.com co.uk goo.gl wales.uk</t>
  </si>
  <si>
    <t>londonnightguide.com instagram.com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</si>
  <si>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</si>
  <si>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</si>
  <si>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</si>
  <si>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</si>
  <si>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</si>
  <si>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</si>
  <si>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</si>
  <si>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</si>
  <si>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</si>
  <si>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</si>
  <si>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</si>
  <si>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</si>
  <si>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</si>
  <si>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</si>
  <si>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</si>
  <si>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</si>
  <si>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</si>
  <si>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</si>
  <si>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</si>
  <si>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</si>
  <si>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</si>
  <si>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</si>
  <si>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</si>
  <si>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</si>
  <si>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love great like lovely garden roof nice ve beautiful good</t>
  </si>
  <si>
    <t>beautiful sharing ল wow nice place apu mashaallah mashallah ভ</t>
  </si>
  <si>
    <t>london love great time lol rooftop ve jess bars ll</t>
  </si>
  <si>
    <t>ts9ixhsdzjs garden london watched love walker view great building watchedwalker</t>
  </si>
  <si>
    <t>watching nice like comment great support london beautiful stay place</t>
  </si>
  <si>
    <t>london great rooftop bars time good love sharing cool bar</t>
  </si>
  <si>
    <t>roof amazing garden sean like tour place wow sharing lovely</t>
  </si>
  <si>
    <t>amazing views garden think place time london mate nice visit</t>
  </si>
  <si>
    <t>nice sharing beautiful roof garden love like canary watching glad</t>
  </si>
  <si>
    <t>lol samantha fox gary glitter agree quality</t>
  </si>
  <si>
    <t>sharing place beautiful wow amazing ব ল</t>
  </si>
  <si>
    <t>news auspicious draughts cold idea good dachyzielone</t>
  </si>
  <si>
    <t>garden like far</t>
  </si>
  <si>
    <t>garden great people skip sharing love oasis good amazing think</t>
  </si>
  <si>
    <t>londonnightguide table book roof gardens booking instagram</t>
  </si>
  <si>
    <t>travel bro</t>
  </si>
  <si>
    <t>Top Word Pairs in Comment in Entire Graph</t>
  </si>
  <si>
    <t>roof,garden</t>
  </si>
  <si>
    <t>watched,walker</t>
  </si>
  <si>
    <t>wow,beautiful</t>
  </si>
  <si>
    <t>beautiful,sharing</t>
  </si>
  <si>
    <t>love,london</t>
  </si>
  <si>
    <t>rooftop,bars</t>
  </si>
  <si>
    <t>roof,terrace</t>
  </si>
  <si>
    <t>sky,garden</t>
  </si>
  <si>
    <t>hard,work</t>
  </si>
  <si>
    <t>rooftop,garden</t>
  </si>
  <si>
    <t>Top Word Pairs in Comment in G1</t>
  </si>
  <si>
    <t>update,coming</t>
  </si>
  <si>
    <t>good,job</t>
  </si>
  <si>
    <t>love,roof</t>
  </si>
  <si>
    <t>couple,weeks</t>
  </si>
  <si>
    <t>egg,shells</t>
  </si>
  <si>
    <t>black,stain</t>
  </si>
  <si>
    <t>great,job</t>
  </si>
  <si>
    <t>Top Word Pairs in Comment in G2</t>
  </si>
  <si>
    <t>ভ,ল</t>
  </si>
  <si>
    <t>ল,ল</t>
  </si>
  <si>
    <t>ল,গল</t>
  </si>
  <si>
    <t>nice,place</t>
  </si>
  <si>
    <t>beautiful,place</t>
  </si>
  <si>
    <t>nice,sharing</t>
  </si>
  <si>
    <t>beautiful,hw</t>
  </si>
  <si>
    <t>mashallah,beautiful</t>
  </si>
  <si>
    <t>Top Word Pairs in Comment in G3</t>
  </si>
  <si>
    <t>rooftop,bar</t>
  </si>
  <si>
    <t>helpful,info</t>
  </si>
  <si>
    <t>st,pauls</t>
  </si>
  <si>
    <t>ice,skating</t>
  </si>
  <si>
    <t>keep,great</t>
  </si>
  <si>
    <t>roof,east</t>
  </si>
  <si>
    <t>visiting,london</t>
  </si>
  <si>
    <t>Top Word Pairs in Comment in G4</t>
  </si>
  <si>
    <t>shop,watchedwalker</t>
  </si>
  <si>
    <t>watchedwalker,amazon</t>
  </si>
  <si>
    <t>garden,120</t>
  </si>
  <si>
    <t>garden,ts9ixhsdzjs</t>
  </si>
  <si>
    <t>ko,fi</t>
  </si>
  <si>
    <t>fi,watchedwalker</t>
  </si>
  <si>
    <t>amazon,shop</t>
  </si>
  <si>
    <t>Top Word Pairs in Comment in G5</t>
  </si>
  <si>
    <t>stay,connected</t>
  </si>
  <si>
    <t>fi,geekstreettravels</t>
  </si>
  <si>
    <t>lock,down</t>
  </si>
  <si>
    <t>comment,appreciated</t>
  </si>
  <si>
    <t>stay,safe</t>
  </si>
  <si>
    <t>view,city</t>
  </si>
  <si>
    <t>city,building</t>
  </si>
  <si>
    <t>building,excellent</t>
  </si>
  <si>
    <t>excellent,great</t>
  </si>
  <si>
    <t>Top Word Pairs in Comment in G6</t>
  </si>
  <si>
    <t>love,rooftop</t>
  </si>
  <si>
    <t>visited,jin</t>
  </si>
  <si>
    <t>jin,bo</t>
  </si>
  <si>
    <t>bo,law</t>
  </si>
  <si>
    <t>sky,bar</t>
  </si>
  <si>
    <t>weekend,girlfriends</t>
  </si>
  <si>
    <t>girlfriends,fabulous</t>
  </si>
  <si>
    <t>fabulous,time</t>
  </si>
  <si>
    <t>time,great</t>
  </si>
  <si>
    <t>Top Word Pairs in Comment in G7</t>
  </si>
  <si>
    <t>sean,sending</t>
  </si>
  <si>
    <t>garden,nice</t>
  </si>
  <si>
    <t>Top Word Pairs in Comment in G8</t>
  </si>
  <si>
    <t>better,views</t>
  </si>
  <si>
    <t>lifestyle,hal</t>
  </si>
  <si>
    <t>Top Word Pairs in Comment in G9</t>
  </si>
  <si>
    <t>glad,enjoyed</t>
  </si>
  <si>
    <t>winter,lights</t>
  </si>
  <si>
    <t>canary,wharf</t>
  </si>
  <si>
    <t>Top Word Pairs in Comment in G10</t>
  </si>
  <si>
    <t>samantha,fox</t>
  </si>
  <si>
    <t>gary,glitter</t>
  </si>
  <si>
    <t>Top Word Pairs in Comment</t>
  </si>
  <si>
    <t>roof,garden  roof,terrace  update,coming  good,job  love,roof  couple,weeks  egg,shells  black,stain  hard,work  great,job</t>
  </si>
  <si>
    <t>beautiful,sharing  wow,beautiful  ভ,ল  ল,ল  ল,গল  nice,place  beautiful,place  nice,sharing  beautiful,hw  mashallah,beautiful</t>
  </si>
  <si>
    <t>love,london  rooftop,bar  helpful,info  rooftop,bars  st,pauls  ice,skating  keep,great  roof,east  visiting,london</t>
  </si>
  <si>
    <t>watched,walker  shop,watchedwalker  sky,garden  watchedwalker,amazon  garden,120  garden,ts9ixhsdzjs  roof,garden  ko,fi  fi,watchedwalker  amazon,shop</t>
  </si>
  <si>
    <t>ko,fi  stay,connected  fi,geekstreettravels  lock,down  comment,appreciated  stay,safe  view,city  city,building  building,excellent  excellent,great</t>
  </si>
  <si>
    <t>rooftop,bars  love,rooftop  visited,jin  jin,bo  bo,law  sky,bar  weekend,girlfriends  girlfriends,fabulous  fabulous,time  time,great</t>
  </si>
  <si>
    <t>roof,garden  wow,beautiful  sean,sending  garden,nice</t>
  </si>
  <si>
    <t>better,views  sky,garden  lifestyle,hal</t>
  </si>
  <si>
    <t>glad,enjoyed  winter,lights  roof,garden  canary,wharf</t>
  </si>
  <si>
    <t>samantha,fox  gary,glitter</t>
  </si>
  <si>
    <t>good,news</t>
  </si>
  <si>
    <t>skip,garden  think,fly  fly,buzzing  buzzing,camera  camera,determined  determined,photo  photo,bomb  bomb,skip  garden,great  great,agree</t>
  </si>
  <si>
    <t>londonnightguide,roof  roof,gardens  gardens,table  table,booking  instagram,londonnightguide</t>
  </si>
  <si>
    <t>URLs In Comment by Count</t>
  </si>
  <si>
    <t>https://www.youtube.com/watch?v=tS9IXHSdzJs&amp;amp;t=4m35s</t>
  </si>
  <si>
    <t>http://wales.uk/</t>
  </si>
  <si>
    <t>URLs In Comment by Salience</t>
  </si>
  <si>
    <t>Domains In Comment by Count</t>
  </si>
  <si>
    <t>youtube.com ko-fi.com amazon.com co.uk goo.gl</t>
  </si>
  <si>
    <t>Domains In Comment by Salience</t>
  </si>
  <si>
    <t>Hashtags In Comment by Count</t>
  </si>
  <si>
    <t>Hashtags In Comment by Salience</t>
  </si>
  <si>
    <t>Top Words in Comment by Count</t>
  </si>
  <si>
    <t>watching comment support down ko fi appreciated hoping awesome lock</t>
  </si>
  <si>
    <t>lovely homesick lol sharing #1 like</t>
  </si>
  <si>
    <t>molto bello belle beautiful بسیار خوب πολύ ωραίο 真的很不錯 очень</t>
  </si>
  <si>
    <t>good morning beautiful best city congratulations</t>
  </si>
  <si>
    <t>nicely captured like roof guessing visitors shutdown</t>
  </si>
  <si>
    <t>nice place chill sharing</t>
  </si>
  <si>
    <t>london covid19 stay safe</t>
  </si>
  <si>
    <t>like 17 subscribed stay connected iam youtuber</t>
  </si>
  <si>
    <t>view city building excellent great</t>
  </si>
  <si>
    <t>beautiful experience nice walking tour thoroughly enjoyed friend subscribed stay</t>
  </si>
  <si>
    <t>nice hope friends support</t>
  </si>
  <si>
    <t>wonderful view</t>
  </si>
  <si>
    <t>like keep</t>
  </si>
  <si>
    <t>enjoyed lovely view garden</t>
  </si>
  <si>
    <t>great walk nice views london</t>
  </si>
  <si>
    <t>like frnd joined stay connected</t>
  </si>
  <si>
    <t>geek loved takes trip april nice warm great place restaurant</t>
  </si>
  <si>
    <t>amazing walkthrough stay safe friend good</t>
  </si>
  <si>
    <t>greetings red button pushed like hope return favor wow place</t>
  </si>
  <si>
    <t>great footage subscribed</t>
  </si>
  <si>
    <t>beautiful love lot nice travel world</t>
  </si>
  <si>
    <t>kind like cloudy weather london comfortable walk</t>
  </si>
  <si>
    <t>lovely tour london</t>
  </si>
  <si>
    <t>beauty world holds sharing theses times travel beautifully clean steady</t>
  </si>
  <si>
    <t>think fly buzzing camera determined photo bomb skip garden great</t>
  </si>
  <si>
    <t>interesting gosh clever people world wow volunteers fabulous job</t>
  </si>
  <si>
    <t>thoroughly enjoyed</t>
  </si>
  <si>
    <t>good well excellent interesting</t>
  </si>
  <si>
    <t>lovely sharing london</t>
  </si>
  <si>
    <t>garden coleus excellent urban spaces liked rooftop beehive pollinator plants</t>
  </si>
  <si>
    <t>sharing great information</t>
  </si>
  <si>
    <t>amazing sharing</t>
  </si>
  <si>
    <t>fairies directed stay close bossy like insects coaching dialogue love</t>
  </si>
  <si>
    <t>garden inspiring ve stolen plant combinations great shade gardens difficult</t>
  </si>
  <si>
    <t>ve past week down feeling kind feel like mentioned better</t>
  </si>
  <si>
    <t>haha pleased ahh like update tip ve coming couple weeks</t>
  </si>
  <si>
    <t>ve great vid hear feeling bit discombobulated excellent word exhausted</t>
  </si>
  <si>
    <t>love ewan hope well care</t>
  </si>
  <si>
    <t>enjoyed watching vlog saturday evening durban south africa fab sunshine</t>
  </si>
  <si>
    <t>love call coronacoster down minute crying happy sad exhausted sort</t>
  </si>
  <si>
    <t>omg footage vlog unbelievable enjoyed nature bird song upto great</t>
  </si>
  <si>
    <t>jealous home garden alot ideas</t>
  </si>
  <si>
    <t>watched end pallet diy great</t>
  </si>
  <si>
    <t>course end lovely</t>
  </si>
  <si>
    <t>gardens lovely geraniums bloomed green leaves gardening life saver lockdown</t>
  </si>
  <si>
    <t>roof garden lush green fingers like treat flowers week exhibition</t>
  </si>
  <si>
    <t>end loved beautiful scenes entertaining commentary crappy start week ve</t>
  </si>
  <si>
    <t>working tired feel home 10 oclock night ill mails roped</t>
  </si>
  <si>
    <t>watching ht nikki thomson cool end like good</t>
  </si>
  <si>
    <t>sharing beautiful english countryside flowers</t>
  </si>
  <si>
    <t>week cities tortureous america past burning soldiers city streets policeman</t>
  </si>
  <si>
    <t>dulwich beautiful houses love blue shutters thinking like ve imagined</t>
  </si>
  <si>
    <t>uk brand faith nature</t>
  </si>
  <si>
    <t>watched end enjoy watching vlogs isobel celine</t>
  </si>
  <si>
    <t>keep lidl hauls wish canada like great bargains nice hasfit</t>
  </si>
  <si>
    <t>lucky bedroom floor carrington lol</t>
  </si>
  <si>
    <t>love stay time cherries iwan pot room tree feeling guilty</t>
  </si>
  <si>
    <t>catching lovely monday morning wishing wonderful week xx</t>
  </si>
  <si>
    <t>end nice legs like</t>
  </si>
  <si>
    <t>nice tagging neighborhood love foxes roses rhododendrons right street wine</t>
  </si>
  <si>
    <t>discovered past live big uk city positives months green spaces</t>
  </si>
  <si>
    <t>jobs ur main profession</t>
  </si>
  <si>
    <t>ve well garden agree poundland bulbs fantastic xx</t>
  </si>
  <si>
    <t>great nice calming vlog enjoyed</t>
  </si>
  <si>
    <t>love time sending friend worked hard strange keeping spirits relax</t>
  </si>
  <si>
    <t>fox note voice national treasure difference birds times changing</t>
  </si>
  <si>
    <t>keep entertained amused</t>
  </si>
  <si>
    <t>eggs lovely totally story carrington god happened message spoiled meant</t>
  </si>
  <si>
    <t>cherry trees gosh live san diego calif balchony tiny inspired</t>
  </si>
  <si>
    <t>birds remember child hearing noisy sadly alot hear wish maddening</t>
  </si>
  <si>
    <t>beard cover</t>
  </si>
  <si>
    <t>xzpsnornzmk 2m14s 14</t>
  </si>
  <si>
    <t>july watching arizona hot scary</t>
  </si>
  <si>
    <t>beauty nature trees grass sun ocean wind rain birds singing</t>
  </si>
  <si>
    <t>blue gardeners growing hydrangeas 8609 change color hydrangea link case</t>
  </si>
  <si>
    <t>remind bit handsome george micheal hit nail head covid situation</t>
  </si>
  <si>
    <t>uk houses like lol south east london wow love cherries</t>
  </si>
  <si>
    <t>অস ধ রণ একট ভ ড ও</t>
  </si>
  <si>
    <t>ব ল পর শ হ অস ধ রণ জ য়গ</t>
  </si>
  <si>
    <t>wow fantastic place</t>
  </si>
  <si>
    <t>amazing beautiful place</t>
  </si>
  <si>
    <t>wow nice place awesome views</t>
  </si>
  <si>
    <t>darun garden</t>
  </si>
  <si>
    <t>mashaallah apu kub shundor garden amader shate share korar jonno</t>
  </si>
  <si>
    <t>onek lk10 wow bar jete cheyesi jaoai holo shundor jayega</t>
  </si>
  <si>
    <t>ল খ ব স ন দর ম জ য়গ য়</t>
  </si>
  <si>
    <t>beautiful place apu</t>
  </si>
  <si>
    <t>ল খ বই ভ গল আপ</t>
  </si>
  <si>
    <t>breach ta khub shundor refreshing place</t>
  </si>
  <si>
    <t>onek sundor jaygata apu</t>
  </si>
  <si>
    <t>nice place</t>
  </si>
  <si>
    <t>ল ম শ আল হ অস ধ রণ স ন</t>
  </si>
  <si>
    <t>lovely view roof garden</t>
  </si>
  <si>
    <t>salam apu beautiful roof garden thansk sharing</t>
  </si>
  <si>
    <t>ma sha allah beautiful</t>
  </si>
  <si>
    <t>beautiful sharing app</t>
  </si>
  <si>
    <t>mashallah beautiful park</t>
  </si>
  <si>
    <t>nice sharing apu</t>
  </si>
  <si>
    <t>mashallah beautiful hw</t>
  </si>
  <si>
    <t>mashallah nice sharing</t>
  </si>
  <si>
    <t>beautiful hw</t>
  </si>
  <si>
    <t>beautiful sharing</t>
  </si>
  <si>
    <t>mashaallah beautiful sharing apu</t>
  </si>
  <si>
    <t>mashaallah beautiful sharing</t>
  </si>
  <si>
    <t>wow beautiful sharing</t>
  </si>
  <si>
    <t>wow beautiful place</t>
  </si>
  <si>
    <t>nice place sharing</t>
  </si>
  <si>
    <t>wow nice</t>
  </si>
  <si>
    <t>lovely sad quality anita</t>
  </si>
  <si>
    <t>bwaaaah great</t>
  </si>
  <si>
    <t>totally agree deep nice</t>
  </si>
  <si>
    <t>brian roger john attend parties</t>
  </si>
  <si>
    <t>kidding lucky mark brydon taylor samantha fox pedaphiles wish quality</t>
  </si>
  <si>
    <t>interesting gary glitter spoilt end down child molesting paidaphiles</t>
  </si>
  <si>
    <t>haha street porter</t>
  </si>
  <si>
    <t>kash freddie sister lol like</t>
  </si>
  <si>
    <t>queenofhunter93 late lol samantha fox omfg</t>
  </si>
  <si>
    <t>gary glitter agree ashaunna egling page model sun newspaper aka</t>
  </si>
  <si>
    <t>memory remember well</t>
  </si>
  <si>
    <t>pervy reporter lol</t>
  </si>
  <si>
    <t>disgusting</t>
  </si>
  <si>
    <t>samantha fox shitfaced</t>
  </si>
  <si>
    <t>starting smart</t>
  </si>
  <si>
    <t>subscribed enjoying liking creating roof garden</t>
  </si>
  <si>
    <t>beautiful well jane rea</t>
  </si>
  <si>
    <t>amazing changing colours big difference loving wait part</t>
  </si>
  <si>
    <t>ve enjoyed great</t>
  </si>
  <si>
    <t>real good job painting roof terrace love wait rest mary</t>
  </si>
  <si>
    <t>wait final outcome lush black stain original natural colour wood</t>
  </si>
  <si>
    <t>amazing wait part</t>
  </si>
  <si>
    <t>love series good wait part finished result</t>
  </si>
  <si>
    <t>paint complete job</t>
  </si>
  <si>
    <t>good wait finished</t>
  </si>
  <si>
    <t>deck fantastic great job thr black stain bench well love</t>
  </si>
  <si>
    <t>haha bloopers end wait balcony result</t>
  </si>
  <si>
    <t>loveeeeeeeeeeeeeee</t>
  </si>
  <si>
    <t>hun roll faster paint job well colour choices</t>
  </si>
  <si>
    <t>loved deck easy doin wait end result</t>
  </si>
  <si>
    <t>super cool like</t>
  </si>
  <si>
    <t>love color choices nice carrington wait end results</t>
  </si>
  <si>
    <t>fab finished</t>
  </si>
  <si>
    <t>omg hoover heaven</t>
  </si>
  <si>
    <t>beautiful proud</t>
  </si>
  <si>
    <t>great wow loving plant outdoor tips ve moved place decking</t>
  </si>
  <si>
    <t>relaxing decking looked fab</t>
  </si>
  <si>
    <t>well hard work wait part lovely love nice meet carrington</t>
  </si>
  <si>
    <t>grand job carrington wait end result popped kate yesterday decided</t>
  </si>
  <si>
    <t>pobrecito cómo sufriste tantos ruidos encanto decidiste ir trago gran</t>
  </si>
  <si>
    <t>black floor bit late deck excited heard mention mother porch</t>
  </si>
  <si>
    <t>great black ash cuprinol ducksback fencing house lovely job love</t>
  </si>
  <si>
    <t>loved colours roof decking fence xxx giggle outtakes</t>
  </si>
  <si>
    <t>creative inspired terrace wait</t>
  </si>
  <si>
    <t>nice inspired rooftop garder</t>
  </si>
  <si>
    <t>place garden think rooftops tripods leave bag wanna pictures hand</t>
  </si>
  <si>
    <t>sky garden better views 360</t>
  </si>
  <si>
    <t>lifestyle hal plugging location man reopens hahaha hater nice bro</t>
  </si>
  <si>
    <t>talking time show</t>
  </si>
  <si>
    <t>nice vodeo</t>
  </si>
  <si>
    <t>good job</t>
  </si>
  <si>
    <t>love followed ig</t>
  </si>
  <si>
    <t>love lighting lidl bulb lights palm tree</t>
  </si>
  <si>
    <t>hey friend love beautiful design support</t>
  </si>
  <si>
    <t>live wow love roof terrace gorgeous cooler climate florida bugs</t>
  </si>
  <si>
    <t>amazing clever great loved bloopers bit end</t>
  </si>
  <si>
    <t>time long drink love coming great job terrace like relaxing</t>
  </si>
  <si>
    <t>loving roof terrace night beautifully lit sit nice coffee glass</t>
  </si>
  <si>
    <t>joined love roof garden amazing well</t>
  </si>
  <si>
    <t>stylish xxx god beautiful realise norm man lovely gorgeous decoration</t>
  </si>
  <si>
    <t>watching started love roof garden beautiful enjoy xxx</t>
  </si>
  <si>
    <t>wow amazing xxx</t>
  </si>
  <si>
    <t>inspirational</t>
  </si>
  <si>
    <t>part england accent nice</t>
  </si>
  <si>
    <t>interesting smart lighting ideas</t>
  </si>
  <si>
    <t>roof terrace stylish</t>
  </si>
  <si>
    <t>loved pop light accents terrace chic manly love pots mirrors</t>
  </si>
  <si>
    <t>love bar great totally roof garden favourite items lights lantern</t>
  </si>
  <si>
    <t>absolutely stunning</t>
  </si>
  <si>
    <t>black stain fantastic amazing loving lights morror genious funny end</t>
  </si>
  <si>
    <t>relaxing sitting night mix romantic magical amazing job love extremely</t>
  </si>
  <si>
    <t>lights amazing job adore mirrors great fan wrapped plants wow</t>
  </si>
  <si>
    <t>love think useful thing storage bench casters idea</t>
  </si>
  <si>
    <t>fab well</t>
  </si>
  <si>
    <t>ideas loved great space patio transformed sharing xxxxxx</t>
  </si>
  <si>
    <t>creative nice greetings ohio</t>
  </si>
  <si>
    <t>suzanne love terrace nite awesome</t>
  </si>
  <si>
    <t>roof garden lovely like storage wheels great idea</t>
  </si>
  <si>
    <t>tips love terrace discovered moving london australia binging like friendly</t>
  </si>
  <si>
    <t>alright carrington love terrace makeover choice music yep jammin</t>
  </si>
  <si>
    <t>love amazing</t>
  </si>
  <si>
    <t>lot hard work paid beautifully well roof garden wonderful cherries</t>
  </si>
  <si>
    <t>damn good</t>
  </si>
  <si>
    <t>good carrington love speak great content</t>
  </si>
  <si>
    <t>started jealous rooftop garden 2020 version nice good job lovely</t>
  </si>
  <si>
    <t>stunning relaxing watching sun down glass white wine plants reading</t>
  </si>
  <si>
    <t>ve help challenging tiny spaces perfect inspiration itsy bitsy courtyard</t>
  </si>
  <si>
    <t>lot bar think tiger google carrington wow answering vids comments</t>
  </si>
  <si>
    <t>agree stunning part london forget like comment share order support</t>
  </si>
  <si>
    <t>nice spot interesting architecture photography</t>
  </si>
  <si>
    <t>like route pity cuts times directions good</t>
  </si>
  <si>
    <t>lovely wait kate car booting</t>
  </si>
  <si>
    <t>lovely walk hubby luv roof garden mad plane follower problem</t>
  </si>
  <si>
    <t>love shirt</t>
  </si>
  <si>
    <t>think well water awww amazing following roof terrace makeover imagine</t>
  </si>
  <si>
    <t>amazing roof makeover results search_query 23mrcarrington #mrcarrington</t>
  </si>
  <si>
    <t>carrington plan party</t>
  </si>
  <si>
    <t>floor right beautiful downfall living london flightpath children live tower</t>
  </si>
  <si>
    <t>detailed beautiful garden consider adding water feature</t>
  </si>
  <si>
    <t>amazing space garden patio bit makeover pinch bar idea</t>
  </si>
  <si>
    <t>great vlog love stylish shoe string bravo</t>
  </si>
  <si>
    <t>love terrace fantastic plants seating lights airplanes sense travelling high</t>
  </si>
  <si>
    <t>lovely copper tape tops pots keep slugs mum swears</t>
  </si>
  <si>
    <t>space love nice enjoy plants cozy sharing</t>
  </si>
  <si>
    <t>beautiful tasteful well xx</t>
  </si>
  <si>
    <t>deck fantastic keep wall white</t>
  </si>
  <si>
    <t>inspo good job creating beautiful serene space busy south london</t>
  </si>
  <si>
    <t>prove spend fortune space stylish well</t>
  </si>
  <si>
    <t>designer shops style entire house bargain charity shop items gorgeous</t>
  </si>
  <si>
    <t>awesome job binge watching loving far results search_query 23newsubscriber #newsubscriber</t>
  </si>
  <si>
    <t>ur bargains time love kate glad fan vlogs show long</t>
  </si>
  <si>
    <t>bravo great fav thing lights wrapped yucca things life compare</t>
  </si>
  <si>
    <t>love terrace great aeroplanes absolutely black deck greenery positive uplifting</t>
  </si>
  <si>
    <t>love voice manly</t>
  </si>
  <si>
    <t>soooo lovely hats enjoy</t>
  </si>
  <si>
    <t>love terrence manage weather change bring rains transform large roof</t>
  </si>
  <si>
    <t>fantastic think add walls lovely</t>
  </si>
  <si>
    <t>bit love think bid dubious rug cos lost white stark</t>
  </si>
  <si>
    <t>wow awesome job comments nice outdoor pillows ikea chairs man</t>
  </si>
  <si>
    <t>beautiful welcoming cute comfortable creative</t>
  </si>
  <si>
    <t>lovely space binge watching previous</t>
  </si>
  <si>
    <t>ve inspiration lovely space browsing roof terrace spain like real</t>
  </si>
  <si>
    <t>rightly attractive roof nice decoration</t>
  </si>
  <si>
    <t>classy roof garden respect simran india</t>
  </si>
  <si>
    <t>roof garden amazing great ideas</t>
  </si>
  <si>
    <t>nice plane spotting ve absolutely love rooftop garden stylish cozy</t>
  </si>
  <si>
    <t>xx like roof terrace gorgeous well lovely summer evenings good</t>
  </si>
  <si>
    <t>lovely ve fantastic job roof garden</t>
  </si>
  <si>
    <t>wonderful rooftop garden love lights hang tip</t>
  </si>
  <si>
    <t>nice place relax</t>
  </si>
  <si>
    <t>bro unfortunately pay travel ravi london</t>
  </si>
  <si>
    <t>travel bro money company addict family rich</t>
  </si>
  <si>
    <t>highrise think level sort garden like promote food gardening building</t>
  </si>
  <si>
    <t>wow beautiful place quick tour lovely</t>
  </si>
  <si>
    <t>tour roof garden nice</t>
  </si>
  <si>
    <t>live interesting sean</t>
  </si>
  <si>
    <t>amazing world roof sharing</t>
  </si>
  <si>
    <t>roof hard believe brings meaning words garden nice</t>
  </si>
  <si>
    <t>incredible sean amazing absolutely garden roof middle london million sharing</t>
  </si>
  <si>
    <t>surprise roof mentioned flamingos familiar think tanya burr launch events</t>
  </si>
  <si>
    <t>incredible place sean sending link horticulturist flautist brother law lives</t>
  </si>
  <si>
    <t>wow amazing sean like secret garden loved flamingos</t>
  </si>
  <si>
    <t>awesome update sharing time film blessed</t>
  </si>
  <si>
    <t>wow beautiful amazes weight roof handle</t>
  </si>
  <si>
    <t>wow guessed garden rooftop hadn told amazed weight hold size</t>
  </si>
  <si>
    <t>hard time believing roof garden beautiful</t>
  </si>
  <si>
    <t>absolutely gorgeous amazing tour</t>
  </si>
  <si>
    <t>amazing roof garden sean tfs</t>
  </si>
  <si>
    <t>amazing space</t>
  </si>
  <si>
    <t>brilliant place vid husband wondered weight assume planning stage afterthought</t>
  </si>
  <si>
    <t>amazing place list visit thankyou heads column daily mail moved</t>
  </si>
  <si>
    <t>fabulous retreat love flamigos</t>
  </si>
  <si>
    <t>grow tour things like roof pity vegetables fruit trees nice</t>
  </si>
  <si>
    <t>lovely dream atop roof</t>
  </si>
  <si>
    <t>fee lucky</t>
  </si>
  <si>
    <t>amazing experience</t>
  </si>
  <si>
    <t>traveled london good spots</t>
  </si>
  <si>
    <t>love ask camera shoot watching great spaces wonderful spots glad</t>
  </si>
  <si>
    <t>live london feel like exploring sharing</t>
  </si>
  <si>
    <t>great london</t>
  </si>
  <si>
    <t>partial south bank</t>
  </si>
  <si>
    <t>good stuff vid</t>
  </si>
  <si>
    <t>hope roof bars open</t>
  </si>
  <si>
    <t>nice wrote places down planning europe trip lockdown thing</t>
  </si>
  <si>
    <t>awesome check places time london</t>
  </si>
  <si>
    <t>great suggestions check time london</t>
  </si>
  <si>
    <t>rooftop bars amazing</t>
  </si>
  <si>
    <t>cool rooftop bars</t>
  </si>
  <si>
    <t>sharing london bucket list</t>
  </si>
  <si>
    <t>favorite things</t>
  </si>
  <si>
    <t>awesome visit london pronto love rooftop bar vibes</t>
  </si>
  <si>
    <t>sharing love rooftop bars fabulous</t>
  </si>
  <si>
    <t>amazing views great idea thumbs</t>
  </si>
  <si>
    <t>beautiful pictures london enjoy</t>
  </si>
  <si>
    <t>love rooftop bars</t>
  </si>
  <si>
    <t>spots cool good time sharing</t>
  </si>
  <si>
    <t>lou like respond important</t>
  </si>
  <si>
    <t>rooftop bars london</t>
  </si>
  <si>
    <t>skyline pe ugo sharing lima peru facebook</t>
  </si>
  <si>
    <t>roof east cool hey ugo view forget stratford sporty casual</t>
  </si>
  <si>
    <t>love sky bar doubletree called savage gardens</t>
  </si>
  <si>
    <t>like eaten shells plant snails managed catch ate leaves broken</t>
  </si>
  <si>
    <t>vedio amazing aloe agave variety black stain great followed wow</t>
  </si>
  <si>
    <t>agave americana variegata</t>
  </si>
  <si>
    <t>thinking trying like carrington</t>
  </si>
  <si>
    <t>thinking special plant holes kind like swiss cheese vine snail</t>
  </si>
  <si>
    <t>mandy beer traps egg shells work brilliantly</t>
  </si>
  <si>
    <t>great beer traps gardens crushed egg shells plants keep snails</t>
  </si>
  <si>
    <t>paint egg shells soil containers keeps snails plants discovered love</t>
  </si>
  <si>
    <t>snails terras beautiful wait try leaving dishes pots filled salt</t>
  </si>
  <si>
    <t>iwan well clematis blooms beautiful poor hosta attacked snails hopefully</t>
  </si>
  <si>
    <t>like kind methods pest control drive country names keep terrarium</t>
  </si>
  <si>
    <t>love bad time stop exasperated worries good green yellow agave</t>
  </si>
  <si>
    <t>love hostas slug pellets slugs wow growing lovely learnt hard</t>
  </si>
  <si>
    <t>beer lol drink started pouring hostas bowl working keep slugs</t>
  </si>
  <si>
    <t>tiles sprinkle epsom salts stems plants care devils gorgeous agree</t>
  </si>
  <si>
    <t>love lovely flowers comedy end rooftop sharing</t>
  </si>
  <si>
    <t>like roof garden relaxing hope vids wow liked</t>
  </si>
  <si>
    <t>exposing</t>
  </si>
  <si>
    <t>think talented enjoy single vlog hair style lovely</t>
  </si>
  <si>
    <t>lol noises feel hehe</t>
  </si>
  <si>
    <t>subscribed binge watching vids enjoyed single far enjoyable glad idea</t>
  </si>
  <si>
    <t>weed pink flowers wild geraniums bees love beware seed pulls</t>
  </si>
  <si>
    <t>eat chickweed btw garden amazing</t>
  </si>
  <si>
    <t>copper plumbers tape wrap strip pot keep snails slugs</t>
  </si>
  <si>
    <t>gustan plantas verde natural felicito tus gustoss amigo</t>
  </si>
  <si>
    <t>nice garden snowing edinburgh 2019 like contained colour rose sit</t>
  </si>
  <si>
    <t>like roof garden nice vlog</t>
  </si>
  <si>
    <t>furniture steve think couch apt tour ride bbc sit coupling</t>
  </si>
  <si>
    <t>dachyzielone greetings poland</t>
  </si>
  <si>
    <t>job properly better</t>
  </si>
  <si>
    <t>nova verse bad ugly news</t>
  </si>
  <si>
    <t>believe good news</t>
  </si>
  <si>
    <t>news mo kassabian svendsen good optimistic realistic fake</t>
  </si>
  <si>
    <t>capital idea hope crusty nimbys try derail</t>
  </si>
  <si>
    <t>interested talking person wrote spoke famous clients london work plans</t>
  </si>
  <si>
    <t>great idea</t>
  </si>
  <si>
    <t>werner herzog vibes voice</t>
  </si>
  <si>
    <t>putting maintained garden beds roofs huge improvement</t>
  </si>
  <si>
    <t>glad enjoyed nice lucky beautiful landscape awesome ohh winter lights</t>
  </si>
  <si>
    <t>like canary wharf pretty night</t>
  </si>
  <si>
    <t>roof open large parts</t>
  </si>
  <si>
    <t>plants caressed wind</t>
  </si>
  <si>
    <t>canary islands england canarian garden great sharing</t>
  </si>
  <si>
    <t>love canary wharf work</t>
  </si>
  <si>
    <t>nice wow</t>
  </si>
  <si>
    <t>love fell place stayed month roof garden amazing winter lights</t>
  </si>
  <si>
    <t>lovely walk</t>
  </si>
  <si>
    <t>view nice impressive wonderful wow beautiful roof garden fantastic geek</t>
  </si>
  <si>
    <t>sharing apartment 10 george street corporate offices 34th floor canada</t>
  </si>
  <si>
    <t>live gorgeous</t>
  </si>
  <si>
    <t>ll drink</t>
  </si>
  <si>
    <t>watching lol yup ve nope trip haha rooftop mkuamgpxs5a welcome</t>
  </si>
  <si>
    <t>summer convincing wife good time visit jess</t>
  </si>
  <si>
    <t>learn london being</t>
  </si>
  <si>
    <t>jess fun interesting looked hard work visit rooftop bars drink</t>
  </si>
  <si>
    <t>london shakespeare study stayed stratford stumbled roof east place check</t>
  </si>
  <si>
    <t>rains lot</t>
  </si>
  <si>
    <t>london being visiting september weather question american cheers cliche country</t>
  </si>
  <si>
    <t>enjoying quirky bars</t>
  </si>
  <si>
    <t>grew london worry normal weather headed spain</t>
  </si>
  <si>
    <t>london summer raining time love ve months rob españa88 phoenix</t>
  </si>
  <si>
    <t>accused being alcoholic</t>
  </si>
  <si>
    <t>loved best</t>
  </si>
  <si>
    <t>simply true</t>
  </si>
  <si>
    <t>invited invite time</t>
  </si>
  <si>
    <t>cool christina rosie cotton lol lovely</t>
  </si>
  <si>
    <t>like quick question sunny time britain damp</t>
  </si>
  <si>
    <t>london loved plan visit subscriber love tips</t>
  </si>
  <si>
    <t>hype lmfao talking bars</t>
  </si>
  <si>
    <t>city bar great skygarden open rooftop offers views oxo tower</t>
  </si>
  <si>
    <t>love roof east ll time filmings</t>
  </si>
  <si>
    <t>love sound aqua kyoto jess xxx start guesting loved cocktail</t>
  </si>
  <si>
    <t>great locations strange join</t>
  </si>
  <si>
    <t>woow amazing rooftops great love</t>
  </si>
  <si>
    <t>boyfriend planning london car advices</t>
  </si>
  <si>
    <t>110k subscribers love drink keep great enjoy</t>
  </si>
  <si>
    <t>husband people invited culpeper opened 2014 staying bar renovating rooms</t>
  </si>
  <si>
    <t>tips london moment sad great job</t>
  </si>
  <si>
    <t>actress swear episode jack ryan</t>
  </si>
  <si>
    <t>london lol hoping realize states discovered moving month fly amsterdam</t>
  </si>
  <si>
    <t>hope great birthday jess xoxo</t>
  </si>
  <si>
    <t>great info london huge help decision anniversary spring question helpful</t>
  </si>
  <si>
    <t>remind monica geller friends btw london tomorrow time super helpful</t>
  </si>
  <si>
    <t>advice student spending semester london love</t>
  </si>
  <si>
    <t>ice skating think rooftops open winter well roof london heavy</t>
  </si>
  <si>
    <t>jess think morning grovernors</t>
  </si>
  <si>
    <t>london love fall ll oct november believe ve watched talking</t>
  </si>
  <si>
    <t>useful like lot best</t>
  </si>
  <si>
    <t>enjoy ve wondering best pubs london</t>
  </si>
  <si>
    <t>cold late february</t>
  </si>
  <si>
    <t>vids lol reminiscing good covid</t>
  </si>
  <si>
    <t>bars opening england visit loads places being recommended love london</t>
  </si>
  <si>
    <t>london rooftop nice wondered far bars concerned radio madison st</t>
  </si>
  <si>
    <t>visited jin bo law weekend girlfriends fabulous time great vibe</t>
  </si>
  <si>
    <t>london ve discovered love believe better timeout secret etc</t>
  </si>
  <si>
    <t>jess sipping cocktail love london yeah taste flavours</t>
  </si>
  <si>
    <t>remember child nice</t>
  </si>
  <si>
    <t>amazing views wish open visited love</t>
  </si>
  <si>
    <t>amazing view well</t>
  </si>
  <si>
    <t>beautiful rooftop</t>
  </si>
  <si>
    <t>great visit</t>
  </si>
  <si>
    <t>mate amazing</t>
  </si>
  <si>
    <t>london week visit place</t>
  </si>
  <si>
    <t>cool stuff think ll visit sunny</t>
  </si>
  <si>
    <t>epic mate</t>
  </si>
  <si>
    <t>nice buy black box anti reflection glass london viewpoints ll</t>
  </si>
  <si>
    <t>677th subscriber mate</t>
  </si>
  <si>
    <t>fantastic michael managed sunday morning opening time sunny weather great</t>
  </si>
  <si>
    <t>adding list return trip london</t>
  </si>
  <si>
    <t>liking clip remarkable job edit time think feedback</t>
  </si>
  <si>
    <t>michael device fellow photographer glass garden 120 looked like type</t>
  </si>
  <si>
    <t>tripods oooooh viewpoint amazing allowed tripod</t>
  </si>
  <si>
    <t>selfie factory bluewater</t>
  </si>
  <si>
    <t>beautiful place</t>
  </si>
  <si>
    <t>great sharing</t>
  </si>
  <si>
    <t>ব ল অন ক স ন দর হয় ছ ড</t>
  </si>
  <si>
    <t>wow beautiful</t>
  </si>
  <si>
    <t>wow didi wonderful place</t>
  </si>
  <si>
    <t>amazing place beautiful tnx sharing</t>
  </si>
  <si>
    <t>hard raining care sharing lovely garden</t>
  </si>
  <si>
    <t>manonthemoon glass etfe</t>
  </si>
  <si>
    <t>feel window cleaner</t>
  </si>
  <si>
    <t>far cool man best walkabout countries vids sharing</t>
  </si>
  <si>
    <t>нет слов одни эмоции</t>
  </si>
  <si>
    <t>amazing coming london weekend like</t>
  </si>
  <si>
    <t>beautiful oasis</t>
  </si>
  <si>
    <t>love capturing project beautifully</t>
  </si>
  <si>
    <t>txx shaw documentry prosess bilding part</t>
  </si>
  <si>
    <t>watching 17 quarantine remember outdoors</t>
  </si>
  <si>
    <t>like love</t>
  </si>
  <si>
    <t>ts9ixhsdzjs garden watchedwalker amazon shop space time watched walker uk</t>
  </si>
  <si>
    <t>man yesterday bed watching london accessible world</t>
  </si>
  <si>
    <t>awesome view</t>
  </si>
  <si>
    <t>love vedios london man</t>
  </si>
  <si>
    <t>great far better sky garden</t>
  </si>
  <si>
    <t>watched vlog garden 120 awesome wondering places great views london</t>
  </si>
  <si>
    <t>ts9ixhsdzjs 4m35s 35</t>
  </si>
  <si>
    <t>building watched walker great help create samsung galaxy s10 week</t>
  </si>
  <si>
    <t>man world visited towns chanel amazing watched walker welcome travel</t>
  </si>
  <si>
    <t>genial</t>
  </si>
  <si>
    <t>love work tampa florida big including info filming description keep</t>
  </si>
  <si>
    <t>magical plants grown tops frames schrubs matured</t>
  </si>
  <si>
    <t>lot photo shoots ask model show beautiful</t>
  </si>
  <si>
    <t>great view gonna check time london</t>
  </si>
  <si>
    <t>stunning skyline appreciate hard work add list down london</t>
  </si>
  <si>
    <t>love london</t>
  </si>
  <si>
    <t>building amazing beautiful roof garden stunning view</t>
  </si>
  <si>
    <t>gopro captures picture love image quality superb 22 flight australia</t>
  </si>
  <si>
    <t>love vedieos</t>
  </si>
  <si>
    <t>nice great wonderful experience walk time help</t>
  </si>
  <si>
    <t>marvellous think prefer sky garden mecca posers instagram snaps</t>
  </si>
  <si>
    <t>vertigo pest watching bloke leaning glass wall aargh ww hero</t>
  </si>
  <si>
    <t>garden think bushes counts skyscrapers watched walker constitutes like pretty</t>
  </si>
  <si>
    <t>view shard cost 32 00 wow feeling lucky watching</t>
  </si>
  <si>
    <t>uk people melbourne australia wales simply words describe amazingness breath</t>
  </si>
  <si>
    <t>wow incredible view amazing quality</t>
  </si>
  <si>
    <t>eliminate wind noise</t>
  </si>
  <si>
    <t>picked ideal feb beautiful sunshine wind roof huge time limit</t>
  </si>
  <si>
    <t>city far favourite walk clutch real cinematic quality skill show</t>
  </si>
  <si>
    <t>gracias excelente momentos viajar sentir estamos allí</t>
  </si>
  <si>
    <t>auspicious draughts cold mentioning love guy like stefano green ideas</t>
  </si>
  <si>
    <t>londonnightguide table book roof gardens booking instagram guestlist vip whatsapp</t>
  </si>
  <si>
    <t>Top Words in Comment by Salience</t>
  </si>
  <si>
    <t>watching comment ko fi support down geekstreettravels appreciated hoping awesome</t>
  </si>
  <si>
    <t>haha pleased ahh like update tip ve coming mandy couple</t>
  </si>
  <si>
    <t>ht cool end like good watching nikki thomson</t>
  </si>
  <si>
    <t>lovely story carrington god happened message spoiled meant duck unrelated</t>
  </si>
  <si>
    <t>plugging location man reopens hahaha hater nice bro lifestyle hal</t>
  </si>
  <si>
    <t>fantastic amazing loving lights morror genious funny end good black</t>
  </si>
  <si>
    <t>jealous rooftop garden 2020 version nice good job lovely started</t>
  </si>
  <si>
    <t>walk hubby luv roof garden mad plane follower problem being</t>
  </si>
  <si>
    <t>great fav thing lights wrapped yucca things life compare feeling</t>
  </si>
  <si>
    <t>bro money company addict family rich travel</t>
  </si>
  <si>
    <t>cool hey ugo view forget stratford sporty casual btw following</t>
  </si>
  <si>
    <t>like plant snails managed catch ate leaves broken egg crawling</t>
  </si>
  <si>
    <t>beer traps gardens crushed egg shells plants keep snails problems</t>
  </si>
  <si>
    <t>well clematis blooms beautiful poor hosta attacked snails hopefully bounce</t>
  </si>
  <si>
    <t>slugs wow growing lovely learnt hard haha love hostas slug</t>
  </si>
  <si>
    <t>lovely flowers comedy end rooftop sharing love</t>
  </si>
  <si>
    <t>garden nice snowing edinburgh 2019 like contained colour rose sit</t>
  </si>
  <si>
    <t>fell place stayed month roof garden amazing winter lights ladmob</t>
  </si>
  <si>
    <t>impressive wonderful wow beautiful roof garden fantastic geek street travels</t>
  </si>
  <si>
    <t>watching lol mkuamgpxs5a yup ve nope trip haha rooftop welcome</t>
  </si>
  <si>
    <t>being september weather question american cheers cliche country ll late</t>
  </si>
  <si>
    <t>summer raining time love ve months rob españa88 phoenix rain</t>
  </si>
  <si>
    <t>love fall ll oct november believe ve watched talking feel</t>
  </si>
  <si>
    <t>rooftop nice wondered far bars concerned radio madison st pauls</t>
  </si>
  <si>
    <t>sky bar thinking check vlog visited jin bo law weekend</t>
  </si>
  <si>
    <t>ts9ixhsdzjs watchedwalker garden amazon shop watched walker uk 13 building</t>
  </si>
  <si>
    <t>great create help building watched walker samsung galaxy s10 week</t>
  </si>
  <si>
    <t>visited towns chanel amazing watched walker welcome travel simple things</t>
  </si>
  <si>
    <t>Top Word Pairs in Comment by Count</t>
  </si>
  <si>
    <t>ko,fi  comment,appreciated  lock,down  fi,geekstreettravels  watching,comment  appreciated,glad  glad,enjoyed  cold,ultgere  ultgere,views  views,amazing</t>
  </si>
  <si>
    <t>lovely,homesick  homesick,lol  lol,sharing  sharing,#1  #1,like</t>
  </si>
  <si>
    <t>molto,bello  bello,belle  belle,beautiful  beautiful,بسیار  بسیار,خوب  خوب,πολύ  πολύ,ωραίο  ωραίο,真的很不錯  真的很不錯,очень  очень,приятно</t>
  </si>
  <si>
    <t>good,morning  morning,beautiful  beautiful,best  best,city  city,congratulations</t>
  </si>
  <si>
    <t>nicely,captured  captured,like  like,roof  roof,guessing  guessing,visitors  visitors,shutdown</t>
  </si>
  <si>
    <t>nice,place  place,chill  chill,sharing</t>
  </si>
  <si>
    <t>london,covid19  covid19,stay  stay,safe</t>
  </si>
  <si>
    <t>like,17  17,subscribed  subscribed,stay  stay,connected  connected,iam  iam,youtuber</t>
  </si>
  <si>
    <t>view,city  city,building  building,excellent  excellent,great</t>
  </si>
  <si>
    <t>beautiful,experience  experience,nice  nice,walking  walking,tour  tour,thoroughly  thoroughly,enjoyed  enjoyed,friend  friend,subscribed  subscribed,stay  stay,connected</t>
  </si>
  <si>
    <t>nice,hope  hope,friends  friends,support</t>
  </si>
  <si>
    <t>wonderful,view</t>
  </si>
  <si>
    <t>like,keep</t>
  </si>
  <si>
    <t>enjoyed,lovely  lovely,view  view,garden</t>
  </si>
  <si>
    <t>great,walk  walk,nice  nice,views  views,london</t>
  </si>
  <si>
    <t>like,frnd  frnd,joined  joined,stay  stay,connected</t>
  </si>
  <si>
    <t>geek,loved  loved,takes  takes,trip  trip,april  april,nice  nice,warm  warm,great  great,place  place,restaurant  restaurant,open</t>
  </si>
  <si>
    <t>amazing,walkthrough  walkthrough,stay  stay,safe  safe,friend  friend,good</t>
  </si>
  <si>
    <t>greetings,red  red,button  button,pushed  pushed,like  like,hope  hope,return  return,favor  favor,wow  wow,place  place,super</t>
  </si>
  <si>
    <t>great,footage  footage,subscribed</t>
  </si>
  <si>
    <t>beautiful,love  love,lot  lot,nice  nice,travel  travel,world</t>
  </si>
  <si>
    <t>kind,like  like,cloudy  cloudy,weather  weather,london  london,comfortable  comfortable,walk</t>
  </si>
  <si>
    <t>lovely,tour  tour,london</t>
  </si>
  <si>
    <t>beauty,world  world,holds  holds,sharing  sharing,theses  theses,times  times,travel  travel,beautifully  beautifully,clean  clean,steady  steady,footage</t>
  </si>
  <si>
    <t>think,fly  fly,buzzing  buzzing,camera  camera,determined  determined,photo  photo,bomb  bomb,skip  skip,garden  garden,great  great,agree</t>
  </si>
  <si>
    <t>interesting,gosh  gosh,clever  clever,people  people,world  world,wow  wow,volunteers  volunteers,fabulous  fabulous,job</t>
  </si>
  <si>
    <t>thoroughly,enjoyed</t>
  </si>
  <si>
    <t>good,well  well,excellent  excellent,interesting</t>
  </si>
  <si>
    <t>lovely,sharing  sharing,london</t>
  </si>
  <si>
    <t>excellent,urban  urban,spaces  spaces,liked  liked,garden  garden,rooftop  rooftop,garden  garden,beehive  beehive,pollinator  pollinator,plants  plants,workplace</t>
  </si>
  <si>
    <t>sharing,great  great,information</t>
  </si>
  <si>
    <t>amazing,sharing</t>
  </si>
  <si>
    <t>fairies,directed  directed,stay  stay,close  close,bossy  bossy,like  like,insects  insects,coaching  coaching,dialogue  dialogue,love  love,skip</t>
  </si>
  <si>
    <t>garden,inspiring  inspiring,ve  ve,stolen  stolen,plant  plant,combinations  combinations,great  great,shade  shade,gardens  gardens,difficult  difficult,options</t>
  </si>
  <si>
    <t>ve,feeling  feeling,past  past,week  week,kind  kind,down  down,feel  feel,like  like,past  past,mentioned  mentioned,ve</t>
  </si>
  <si>
    <t>update,coming  couple,weeks  coming,couple  excited,phase  love,idea  ahh,sense  sense,jan  jan,smelt  smelt,like  like,geranium</t>
  </si>
  <si>
    <t>great,vid  vid,hear  hear,ve  ve,feeling  feeling,bit  bit,discombobulated  discombobulated,excellent  excellent,word  word,exhausted  exhausted,times</t>
  </si>
  <si>
    <t>love,ewan  ewan,hope  hope,well  well,care</t>
  </si>
  <si>
    <t>enjoyed,watching  watching,vlog  vlog,saturday  saturday,evening  evening,durban  durban,south  south,africa  africa,fab  fab,sunshine  sunshine,winter</t>
  </si>
  <si>
    <t>call,coronacoster  coronacoster,down  down,minute  minute,crying  crying,happy  happy,sad  sad,exhausted  exhausted,sort  sort,vibe  vibe,god</t>
  </si>
  <si>
    <t>omg,footage  footage,vlog  vlog,unbelievable  unbelievable,enjoyed  enjoyed,nature  nature,bird  bird,song  song,upto  upto,great  great,lockdown</t>
  </si>
  <si>
    <t>jealous,home  home,garden  garden,alot  alot,ideas</t>
  </si>
  <si>
    <t>watched,end  end,pallet  pallet,diy  diy,great</t>
  </si>
  <si>
    <t>course,end  end,lovely</t>
  </si>
  <si>
    <t>gardens,lovely  lovely,geraniums  geraniums,bloomed  bloomed,green  green,leaves  leaves,gardening  gardening,life  life,saver  saver,lockdown  lockdown,started</t>
  </si>
  <si>
    <t>roof,garden  garden,lush  lush,green  green,fingers  fingers,like  like,treat  treat,flowers  flowers,week  week,exhibition  exhibition,norman</t>
  </si>
  <si>
    <t>end,loved  loved,beautiful  beautiful,scenes  scenes,entertaining  entertaining,commentary  commentary,crappy  crappy,start  start,week  week,ve  ve,pulled</t>
  </si>
  <si>
    <t>tired,feel  feel,working  working,working  working,home  home,10  10,oclock  oclock,night  night,ill  ill,mails  mails,roped</t>
  </si>
  <si>
    <t>nikki,thomson  watching,ht  ht,cool  watching,watching  watching,end  end,nikki  like,ht  ht,good  good,watching  cool,watching</t>
  </si>
  <si>
    <t>sharing,beautiful  beautiful,english  english,countryside  countryside,flowers</t>
  </si>
  <si>
    <t>tortureous,week  week,america  america,past  past,week  week,cities  cities,burning  burning,soldiers  soldiers,city  city,streets  streets,policeman</t>
  </si>
  <si>
    <t>beautiful,houses  houses,love  love,blue  blue,shutters  shutters,thinking  thinking,like  like,dulwich  dulwich,ve  ve,imagined  imagined,notice</t>
  </si>
  <si>
    <t>uk,brand  brand,faith  faith,nature</t>
  </si>
  <si>
    <t>watched,end  end,enjoy  enjoy,watching  watching,vlogs  vlogs,isobel  isobel,celine</t>
  </si>
  <si>
    <t>keep,lidl  lidl,hauls  hauls,wish  wish,canada  canada,like  like,great  great,bargains  bargains,nice  nice,hasfit</t>
  </si>
  <si>
    <t>lucky,bedroom  bedroom,floor  floor,carrington  carrington,lol</t>
  </si>
  <si>
    <t>love,cherries  cherries,iwan  iwan,stay  stay,pot  pot,room  room,tree  tree,feeling  feeling,guilty  guilty,enjoying  enjoying,lock</t>
  </si>
  <si>
    <t>catching,lovely  lovely,monday  monday,morning  morning,wishing  wishing,wonderful  wonderful,week  week,xx</t>
  </si>
  <si>
    <t>end,nice  nice,legs  legs,like</t>
  </si>
  <si>
    <t>nice,tagging  tagging,neighborhood  neighborhood,love  love,foxes  foxes,roses  roses,rhododendrons  rhododendrons,right  right,street  street,wine  wine,facial</t>
  </si>
  <si>
    <t>live,big  big,uk  uk,city  city,positives  positives,months  months,discovered  discovered,green  green,spaces  spaces,nearby  nearby,past</t>
  </si>
  <si>
    <t>jobs,ur  ur,main  main,profession</t>
  </si>
  <si>
    <t>ve,well  well,garden  garden,agree  agree,poundland  poundland,bulbs  bulbs,fantastic  fantastic,xx</t>
  </si>
  <si>
    <t>great,nice  nice,calming  calming,vlog  vlog,enjoyed</t>
  </si>
  <si>
    <t>sending,love  love,friend  friend,worked  worked,hard  hard,strange  strange,time  time,keeping  keeping,spirits  spirits,relax  relax,rest</t>
  </si>
  <si>
    <t>note,voice  voice,national  national,treasure  treasure,fox  fox,difference  difference,fox  fox,birds  birds,times  times,changing</t>
  </si>
  <si>
    <t>keep,entertained  entertained,amused</t>
  </si>
  <si>
    <t>lovely,story  carrington,god  god,happened  happened,message  message,totally  totally,spoiled  spoiled,meant  meant,duck  duck,eggs  totally,unrelated</t>
  </si>
  <si>
    <t>cherry,trees  gosh,cherry  trees,live  live,san  san,diego  diego,calif  calif,cherry  trees,balchony  balchony,tiny  tiny,inspired</t>
  </si>
  <si>
    <t>remember,child  child,hearing  hearing,birds  birds,noisy  noisy,sadly  sadly,alot  alot,hear  hear,wish  wish,maddening  maddening,noise</t>
  </si>
  <si>
    <t>beard,cover</t>
  </si>
  <si>
    <t>xzpsnornzmk,2m14s  2m14s,14</t>
  </si>
  <si>
    <t>july,watching  watching,arizona  arizona,hot  hot,scary</t>
  </si>
  <si>
    <t>beauty,nature  nature,trees  trees,grass  grass,sun  sun,ocean  ocean,wind  wind,rain  rain,birds  birds,singing  singing,animals</t>
  </si>
  <si>
    <t>gardeners,growing  growing,blue  blue,hydrangeas  hydrangeas,8609  change,color  color,hydrangea  hydrangea,blue  blue,link  link,case  case,interested</t>
  </si>
  <si>
    <t>remind,bit  bit,handsome  handsome,george  george,micheal  hit,nail  nail,head  head,covid  covid,situation  situation,extremely  extremely,difficult</t>
  </si>
  <si>
    <t>uk,houses  houses,like  like,lol  lol,south  south,east  east,london  london,wow  wow,love  love,cherries</t>
  </si>
  <si>
    <t>অস,ধ  ধ,রণ  রণ,একট  একট,ভ  ভ,ড  ড,ও</t>
  </si>
  <si>
    <t>পর,ব  ব,শ  ব,হ  হ,অস  অস,ধ  ধ,রণ  রণ,জ  জ,য়গ  য়গ,অন  অন,ক</t>
  </si>
  <si>
    <t>wow,fantastic  fantastic,place</t>
  </si>
  <si>
    <t>amazing,beautiful  beautiful,place</t>
  </si>
  <si>
    <t>wow,nice  nice,place  place,awesome  awesome,views</t>
  </si>
  <si>
    <t>darun,garden</t>
  </si>
  <si>
    <t>mashaallah,apu  apu,kub  kub,shundor  shundor,garden  garden,amader  amader,shate  shate,share  share,korar  korar,jonno  jonno,jokon</t>
  </si>
  <si>
    <t>lk10,wow  wow,onek  onek,bar  bar,jete  jete,cheyesi  cheyesi,jaoai  jaoai,holo  holo,onek  onek,shundor  shundor,jayega</t>
  </si>
  <si>
    <t>খ,ব  ব,স  স,ন  ন,দর  দর,খ  খ,ল  ল,ম  ম,ল  ল,জ  জ,য়গ</t>
  </si>
  <si>
    <t>beautiful,place  place,apu</t>
  </si>
  <si>
    <t>খ,বই  বই,ভ  ভ,ল  ল,ল  ল,গল  গল,আপ</t>
  </si>
  <si>
    <t>breach,ta  ta,khub  khub,shundor  shundor,refreshing  refreshing,place</t>
  </si>
  <si>
    <t>onek,sundor  sundor,jaygata  jaygata,apu</t>
  </si>
  <si>
    <t>ম,শ  শ,আল  আল,ল  ল,হ  হ,অস  অস,ধ  ধ,রণ  রণ,স  স,ন  ন,দর</t>
  </si>
  <si>
    <t>lovely,view  view,roof  roof,garden</t>
  </si>
  <si>
    <t>salam,apu  apu,beautiful  beautiful,roof  roof,garden  garden,thansk  thansk,sharing</t>
  </si>
  <si>
    <t>ma,sha  sha,allah  allah,beautiful</t>
  </si>
  <si>
    <t>beautiful,sharing  sharing,app</t>
  </si>
  <si>
    <t>mashallah,beautiful  beautiful,park</t>
  </si>
  <si>
    <t>nice,sharing  sharing,apu</t>
  </si>
  <si>
    <t>mashallah,beautiful  beautiful,hw</t>
  </si>
  <si>
    <t>mashallah,nice  nice,sharing</t>
  </si>
  <si>
    <t>mashaallah,beautiful  beautiful,sharing  sharing,apu</t>
  </si>
  <si>
    <t>mashaallah,beautiful  beautiful,sharing</t>
  </si>
  <si>
    <t>wow,beautiful  beautiful,sharing</t>
  </si>
  <si>
    <t>wow,beautiful  beautiful,place</t>
  </si>
  <si>
    <t>nice,place  place,sharing</t>
  </si>
  <si>
    <t>wow,nice</t>
  </si>
  <si>
    <t>lovely,sad  sad,quality  quality,anita</t>
  </si>
  <si>
    <t>bwaaaah,great</t>
  </si>
  <si>
    <t>totally,agree  agree,deep  deep,nice</t>
  </si>
  <si>
    <t>brian,roger  roger,john  john,attend  attend,parties</t>
  </si>
  <si>
    <t>kidding,lucky  mark,brydon  brydon,taylor  samantha,fox  wish,quality  quality,pictures  pictures,better  better,2019</t>
  </si>
  <si>
    <t>interesting,gary  gary,glitter  glitter,spoilt  spoilt,end  end,down  down,child  child,molesting  molesting,paidaphiles</t>
  </si>
  <si>
    <t>haha,street  street,porter</t>
  </si>
  <si>
    <t>kash,freddie  freddie,sister  sister,lol  lol,like</t>
  </si>
  <si>
    <t>queenofhunter93,late  late,lol  samantha,fox  fox,omfg</t>
  </si>
  <si>
    <t>gary,glitter  glitter,agree  ashaunna,egling  egling,page  page,model  model,sun  sun,newspaper  newspaper,aka  aka,tits  tits,type</t>
  </si>
  <si>
    <t>memory,remember  remember,well</t>
  </si>
  <si>
    <t>pervy,reporter  reporter,lol</t>
  </si>
  <si>
    <t>samantha,fox  fox,shitfaced</t>
  </si>
  <si>
    <t>starting,smart</t>
  </si>
  <si>
    <t>subscribed,enjoying  enjoying,liking  liking,creating  creating,roof  roof,garden</t>
  </si>
  <si>
    <t>beautiful,well  jane,rea</t>
  </si>
  <si>
    <t>amazing,changing  changing,colours  colours,big  big,difference  difference,loving  loving,wait  wait,part</t>
  </si>
  <si>
    <t>ve,enjoyed  enjoyed,great</t>
  </si>
  <si>
    <t>real,good  good,job  job,painting  painting,roof  roof,terrace  terrace,love  love,wait  wait,rest  rest,mary</t>
  </si>
  <si>
    <t>wait,final  final,outcome  outcome,lush  lush,black  black,stain  stain,original  original,natural  natural,colour  colour,wood  wood,looked</t>
  </si>
  <si>
    <t>amazing,wait  wait,part</t>
  </si>
  <si>
    <t>love,series  series,good  good,wait  wait,part  part,finished  finished,result</t>
  </si>
  <si>
    <t>paint,complete  complete,job</t>
  </si>
  <si>
    <t>good,wait  wait,finished</t>
  </si>
  <si>
    <t>deck,fantastic  fantastic,great  great,job  job,thr  thr,black  black,deck  deck,stain  stain,bench  bench,well  well,love</t>
  </si>
  <si>
    <t>haha,bloopers  bloopers,end  end,wait  wait,balcony  balcony,result</t>
  </si>
  <si>
    <t>hun,roll  roll,faster  faster,paint  paint,job  job,well  well,colour  colour,choices</t>
  </si>
  <si>
    <t>loved,deck  deck,easy  easy,doin  doin,wait  wait,end  end,result</t>
  </si>
  <si>
    <t>super,cool  cool,like</t>
  </si>
  <si>
    <t>love,color  color,choices  choices,nice  carrington,wait  wait,end  end,results</t>
  </si>
  <si>
    <t>fab,finished</t>
  </si>
  <si>
    <t>omg,hoover  hoover,heaven</t>
  </si>
  <si>
    <t>beautiful,proud</t>
  </si>
  <si>
    <t>wow,great  great,loving  loving,plant  plant,outdoor  outdoor,tips  tips,ve  ve,moved  moved,place  place,decking  decking,create</t>
  </si>
  <si>
    <t>relaxing,decking  decking,looked  looked,fab</t>
  </si>
  <si>
    <t>well,hard  hard,work  work,wait  wait,part  part,lovely  lovely,love  love,nice  nice,meet  meet,carrington</t>
  </si>
  <si>
    <t>grand,job  job,carrington  carrington,wait  wait,end  end,result  result,popped  popped,kate  kate,yesterday  yesterday,decided</t>
  </si>
  <si>
    <t>pobrecito,cómo  cómo,sufriste  sufriste,tantos  tantos,ruidos  ruidos,encanto  encanto,decidiste  decidiste,ir  ir,trago  gran,trabajo  trabajo,quedo</t>
  </si>
  <si>
    <t>bit,late  late,black  black,deck  deck,floor  floor,excited  excited,heard  heard,mention  mention,mother  mother,black  black,porch</t>
  </si>
  <si>
    <t>great,black  black,ash  ash,cuprinol  cuprinol,ducksback  ducksback,fencing  fencing,house  house,lovely  lovely,great  great,job  job,love</t>
  </si>
  <si>
    <t>loved,colours  colours,roof  roof,decking  decking,fence  fence,xxx  xxx,giggle  giggle,outtakes</t>
  </si>
  <si>
    <t>creative,inspired  inspired,terrace  terrace,wait</t>
  </si>
  <si>
    <t>nice,inspired  inspired,rooftop  rooftop,garder</t>
  </si>
  <si>
    <t>think,rooftops  rooftops,tripods  tripods,leave  leave,bag  bag,wanna  wanna,pictures  pictures,hand  hand,held  held,fun  abdi,hassan</t>
  </si>
  <si>
    <t>sky,garden  garden,better  better,views  views,360</t>
  </si>
  <si>
    <t>lifestyle,hal  hal,plugging  plugging,location  location,man  man,reopens  hal,hahaha  hahaha,hater  hater,nice  nice,bro</t>
  </si>
  <si>
    <t>talking,time  time,show  show,talking</t>
  </si>
  <si>
    <t>nice,vodeo</t>
  </si>
  <si>
    <t>love,followed  followed,ig</t>
  </si>
  <si>
    <t>love,lighting  lighting,lidl  lidl,bulb  bulb,lights  lights,palm  palm,tree</t>
  </si>
  <si>
    <t>hey,friend  friend,love  love,beautiful  beautiful,design  design,support</t>
  </si>
  <si>
    <t>wow,love  love,roof  roof,terrace  terrace,gorgeous  gorgeous,live  live,cooler  cooler,climate  climate,florida  florida,bugs  bugs,frogs</t>
  </si>
  <si>
    <t>amazing,clever  great,loved  loved,bloopers  bloopers,bit  bit,end</t>
  </si>
  <si>
    <t>long,time  time,coming  coming,great  great,job  job,terrace  terrace,like  like,relaxing  relaxing,place  place,wind  wind,down</t>
  </si>
  <si>
    <t>loving,roof  roof,terrace  terrace,night  night,beautifully  beautifully,lit  lit,sit  sit,nice  nice,coffee  coffee,glass  glass,wine</t>
  </si>
  <si>
    <t>joined,love  love,roof  roof,garden  garden,amazing  amazing,well</t>
  </si>
  <si>
    <t>stylish,xxx  god,beautiful  beautiful,realise  realise,norm  norm,man  man,lovely  lovely,gorgeous  gorgeous,decoration  decoration,stylish  xxx,stylish</t>
  </si>
  <si>
    <t>started,watching  watching,love  love,roof  roof,garden  garden,beautiful  beautiful,enjoy  enjoy,watching  watching,xxx</t>
  </si>
  <si>
    <t>wow,amazing  amazing,xxx</t>
  </si>
  <si>
    <t>part,england  england,accent  accent,nice</t>
  </si>
  <si>
    <t>interesting,smart  smart,lighting  lighting,ideas</t>
  </si>
  <si>
    <t>roof,terrace  terrace,stylish</t>
  </si>
  <si>
    <t>loved,pop  pop,light  light,accents  accents,terrace  terrace,chic  chic,manly  manly,love  love,pots  pots,mirrors  mirrors,decorations</t>
  </si>
  <si>
    <t>totally,love  love,roof  roof,garden  garden,favourite  favourite,items  items,lights  lights,love  love,lantern  lantern,bar  bar,wow</t>
  </si>
  <si>
    <t>absolutely,stunning</t>
  </si>
  <si>
    <t>black,stain  fantastic,black  stain,amazing  amazing,loving  loving,lights  lights,morror  morror,genious  funny,end  end,black  stain,good</t>
  </si>
  <si>
    <t>relaxing,sitting  sitting,night  night,mix  mix,romantic  romantic,magical  magical,amazing  amazing,job  job,love  extremely,rude  rude,neighbour</t>
  </si>
  <si>
    <t>amazing,job  job,adore  adore,lights  lights,mirrors  mirrors,great  great,fan  fan,lights  lights,wrapped  wrapped,plants  wow,black</t>
  </si>
  <si>
    <t>love,love  love,think  think,useful  useful,thing  thing,storage  storage,bench  bench,casters  casters,idea</t>
  </si>
  <si>
    <t>fab,well</t>
  </si>
  <si>
    <t>loved,great  great,ideas  ideas,space  space,patio  patio,transformed  transformed,ideas  ideas,sharing  sharing,xxxxxx</t>
  </si>
  <si>
    <t>creative,nice  nice,greetings  greetings,ohio</t>
  </si>
  <si>
    <t>suzanne,love  love,terrace  terrace,nite  nite,awesome</t>
  </si>
  <si>
    <t>roof,garden  garden,lovely  lovely,like  like,storage  storage,wheels  wheels,great  great,idea</t>
  </si>
  <si>
    <t>discovered,moving  moving,london  london,australia  australia,binging  binging,like  like,friendly  friendly,calm  calm,personality  personality,refreshing  refreshing,youtubers</t>
  </si>
  <si>
    <t>alright,carrington  carrington,love  love,terrace  terrace,makeover  makeover,choice  choice,music  music,yep  yep,jammin</t>
  </si>
  <si>
    <t>love,amazing</t>
  </si>
  <si>
    <t>lot,hard  hard,work  work,paid  paid,beautifully  beautifully,well  roof,garden  garden,wonderful  wonderful,cherries  cherries,pony  pony,hear</t>
  </si>
  <si>
    <t>damn,good</t>
  </si>
  <si>
    <t>good,carrington  carrington,love  love,speak  speak,great  great,content</t>
  </si>
  <si>
    <t>jealous,rooftop  rooftop,garden  garden,2020  2020,version  version,nice  nice,started  started,good  good,job  lovely,started</t>
  </si>
  <si>
    <t>stunning,relaxing  relaxing,watching  watching,sun  sun,down  down,glass  glass,white  white,wine  wine,plants  plants,reading  reading,nook</t>
  </si>
  <si>
    <t>ve,help  help,challenging  challenging,tiny  tiny,spaces  spaces,perfect  perfect,inspiration  inspiration,itsy  itsy,bitsy  bitsy,courtyard  courtyard,love</t>
  </si>
  <si>
    <t>bar,think  think,tiger  tiger,google  carrington,wow  wow,answering  answering,lot  lot,vids  vids,lot  lot,comments  comments,lot</t>
  </si>
  <si>
    <t>agree,stunning  stunning,part  part,london  forget,like  like,comment  comment,share  share,order  order,support  support,watching</t>
  </si>
  <si>
    <t>nice,spot  spot,interesting  interesting,architecture  architecture,photography</t>
  </si>
  <si>
    <t>like,route  route,pity  pity,cuts  cuts,times  times,directions  directions,good</t>
  </si>
  <si>
    <t>lovely,wait  wait,kate  kate,car  car,booting</t>
  </si>
  <si>
    <t>hubby,luv  luv,roof  roof,garden  garden,mad  mad,plane  plane,follower  follower,problem  problem,being  being,announce  announce,model</t>
  </si>
  <si>
    <t>love,shirt</t>
  </si>
  <si>
    <t>awww,amazing  amazing,following  following,roof  roof,terrace  terrace,makeover  makeover,think  think,well  well,imagine  imagine,sitting  sitting,sun</t>
  </si>
  <si>
    <t>amazing,roof  roof,makeover  makeover,results  results,search_query  search_query,23mrcarrington  23mrcarrington,#mrcarrington</t>
  </si>
  <si>
    <t>carrington,plan  plan,party</t>
  </si>
  <si>
    <t>beautiful,downfall  downfall,living  living,london  london,flightpath  flightpath,children  children,live  live,floor  floor,tower  tower,lock  lock,stunning</t>
  </si>
  <si>
    <t>detailed,beautiful  beautiful,garden  garden,consider  consider,adding  adding,water  water,feature</t>
  </si>
  <si>
    <t>amazing,space  space,garden  garden,patio  patio,bit  bit,makeover  makeover,pinch  pinch,bar  bar,idea</t>
  </si>
  <si>
    <t>great,vlog  vlog,love  love,stylish  stylish,shoe  shoe,string  string,bravo</t>
  </si>
  <si>
    <t>terrace,fantastic  fantastic,love  love,love  love,plants  plants,seating  seating,lights  lights,love  love,airplanes  airplanes,sense  sense,travelling</t>
  </si>
  <si>
    <t>lovely,copper  copper,tape  tape,tops  tops,pots  pots,keep  keep,slugs  slugs,mum  mum,swears</t>
  </si>
  <si>
    <t>love,space  space,nice  nice,enjoy  enjoy,plants  plants,cozy  cozy,space  space,sharing</t>
  </si>
  <si>
    <t>beautiful,tasteful  tasteful,well  well,xx</t>
  </si>
  <si>
    <t>deck,fantastic  fantastic,keep  keep,wall  wall,white</t>
  </si>
  <si>
    <t>inspo,good  good,job  job,creating  creating,beautiful  beautiful,serene  serene,space  space,busy  busy,south  south,london  london,love</t>
  </si>
  <si>
    <t>prove,spend  spend,fortune  fortune,space  space,stylish  stylish,well</t>
  </si>
  <si>
    <t>designer,shops  shops,style  style,entire  entire,house  house,bargain  bargain,charity  charity,shop  shop,items  items,gorgeous  gorgeous,roof</t>
  </si>
  <si>
    <t>awesome,job  job,binge  binge,watching  watching,loving  loving,far  far,results  results,search_query  search_query,23newsubscriber  23newsubscriber,#newsubscriber</t>
  </si>
  <si>
    <t>glad,fan  fan,vlogs  vlogs,bargains  bargains,show  show,long  long,time  time,wondered  wondered,men  men,female  female,shoppers</t>
  </si>
  <si>
    <t>great,fav  fav,thing  thing,lights  lights,wrapped  wrapped,yucca  things,life  life,compare  compare,feeling  feeling,completing  completing,task</t>
  </si>
  <si>
    <t>love,aeroplanes  aeroplanes,terrace  terrace,terrace  terrace,absolutely  absolutely,great  great,love  love,black  black,deck  deck,greenery  greenery,positive</t>
  </si>
  <si>
    <t>love,voice  voice,manly</t>
  </si>
  <si>
    <t>soooo,lovely  lovely,hats  hats,enjoy</t>
  </si>
  <si>
    <t>love,terrence  terrence,manage  manage,weather  weather,change  change,bring  bring,rains  rains,transform  transform,large  large,roof  roof,space</t>
  </si>
  <si>
    <t>fantastic,think  think,add  add,walls  walls,lovely</t>
  </si>
  <si>
    <t>love,think  think,bid  bid,dubious  dubious,rug  rug,cos  cos,bit  bit,lost  lost,white  white,bit  bit,stark</t>
  </si>
  <si>
    <t>wow,awesome  awesome,job  job,comments  comments,nice  nice,outdoor  outdoor,pillows  pillows,ikea  ikea,chairs  chairs,man  man,feel</t>
  </si>
  <si>
    <t>beautiful,welcoming  welcoming,cute  comfortable,creative</t>
  </si>
  <si>
    <t>lovely,space  space,binge  binge,watching  watching,previous</t>
  </si>
  <si>
    <t>lovely,space  space,ve  ve,browsing  browsing,inspiration  inspiration,roof  roof,terrace  terrace,spain  spain,like  like,ve  ve,real</t>
  </si>
  <si>
    <t>attractive,roof  roof,nice  nice,decoration</t>
  </si>
  <si>
    <t>classy,roof  roof,garden  garden,respect  respect,simran  simran,india</t>
  </si>
  <si>
    <t>roof,garden  garden,amazing  amazing,great  great,ideas</t>
  </si>
  <si>
    <t>nice,plane  plane,spotting  spotting,ve  ve,absolutely  absolutely,love  love,rooftop  rooftop,garden  garden,stylish  stylish,cozy</t>
  </si>
  <si>
    <t>like,roof  roof,terrace  terrace,gorgeous  gorgeous,well  well,lovely  lovely,summer  summer,evenings  evenings,good  good,xx  xx,xx</t>
  </si>
  <si>
    <t>ve,fantastic  fantastic,job  job,roof  roof,garden</t>
  </si>
  <si>
    <t>wonderful,rooftop  rooftop,garden  garden,love  love,lights  lights,hang  hang,tip</t>
  </si>
  <si>
    <t>nice,place  place,relax</t>
  </si>
  <si>
    <t>bro,unfortunately  unfortunately,pay  pay,travel  ravi,london</t>
  </si>
  <si>
    <t>bro,travel  travel,money  money,company  travel,addict  addict,family  family,rich</t>
  </si>
  <si>
    <t>think,level  level,highrise  highrise,sort  sort,garden  garden,like  like,promote  promote,highrise  highrise,food  food,gardening  gardening,building</t>
  </si>
  <si>
    <t>wow,beautiful  beautiful,place  place,quick  quick,tour  tour,lovely</t>
  </si>
  <si>
    <t>tour,roof  roof,garden  garden,nice</t>
  </si>
  <si>
    <t>live,interesting  interesting,sean</t>
  </si>
  <si>
    <t>amazing,world  world,roof  roof,sharing</t>
  </si>
  <si>
    <t>hard,believe  believe,roof  roof,brings  brings,meaning  meaning,words  words,roof  roof,garden  garden,nice</t>
  </si>
  <si>
    <t>absolutely,incredible  incredible,sean  sean,amazing  amazing,incredible  incredible,garden  garden,roof  roof,middle  middle,london  london,amazing  amazing,million</t>
  </si>
  <si>
    <t>surprise,roof  roof,mentioned  mentioned,flamingos  flamingos,familiar  familiar,think  think,tanya  tanya,burr  burr,launch  launch,events  events,like</t>
  </si>
  <si>
    <t>incredible,place  place,sean  sean,sending  sending,link  link,horticulturist  horticulturist,flautist  flautist,brother  brother,law  law,lives  lives,hayes</t>
  </si>
  <si>
    <t>wow,amazing  amazing,sean  sean,like  like,secret  secret,garden  garden,loved  loved,flamingos</t>
  </si>
  <si>
    <t>awesome,update  update,sharing  sharing,time  time,film  film,blessed</t>
  </si>
  <si>
    <t>wow,beautiful  beautiful,amazes  amazes,weight  weight,roof  roof,handle</t>
  </si>
  <si>
    <t>wow,guessed  guessed,garden  garden,rooftop  rooftop,hadn  hadn,told  told,amazed  amazed,weight  weight,hold  hold,size  size,trees</t>
  </si>
  <si>
    <t>hard,time  time,believing  believing,roof  roof,garden  garden,beautiful</t>
  </si>
  <si>
    <t>absolutely,gorgeous  gorgeous,amazing  amazing,tour</t>
  </si>
  <si>
    <t>amazing,roof  roof,garden  garden,sean  sean,tfs</t>
  </si>
  <si>
    <t>amazing,space</t>
  </si>
  <si>
    <t>brilliant,place  place,vid  vid,husband  husband,wondered  wondered,weight  weight,assume  assume,planning  planning,stage  stage,afterthought  afterthought,loved</t>
  </si>
  <si>
    <t>amazing,place  place,list  list,visit  visit,thankyou  thankyou,heads  heads,column  column,daily  daily,mail  mail,moved  well,good</t>
  </si>
  <si>
    <t>fabulous,retreat  retreat,love  love,flamigos</t>
  </si>
  <si>
    <t>tour,grow  grow,things  things,like  like,roof  roof,grow  grow,pity  pity,vegetables  vegetables,fruit  fruit,trees  trees,nice</t>
  </si>
  <si>
    <t>lovely,dream  dream,atop  atop,roof</t>
  </si>
  <si>
    <t>amazing,experience</t>
  </si>
  <si>
    <t>traveled,london  london,good  good,spots</t>
  </si>
  <si>
    <t>love,ask  ask,camera  camera,shoot  great,spaces  wonderful,spots  glad,likes  favourite,outdoor  outdoor,spot  spot,visit  visit,enjoy</t>
  </si>
  <si>
    <t>live,london  london,feel  feel,like  like,exploring  exploring,sharing</t>
  </si>
  <si>
    <t>great,london</t>
  </si>
  <si>
    <t>partial,south  south,bank</t>
  </si>
  <si>
    <t>good,stuff  stuff,vid</t>
  </si>
  <si>
    <t>hope,roof  roof,bars  bars,open</t>
  </si>
  <si>
    <t>nice,wrote  wrote,places  places,down  down,planning  planning,europe  europe,trip  trip,lockdown  lockdown,thing</t>
  </si>
  <si>
    <t>awesome,check  check,places  places,time  time,london</t>
  </si>
  <si>
    <t>great,suggestions  suggestions,check  check,time  time,london</t>
  </si>
  <si>
    <t>rooftop,bars  bars,amazing</t>
  </si>
  <si>
    <t>cool,rooftop  rooftop,bars</t>
  </si>
  <si>
    <t>sharing,london  london,bucket  bucket,list</t>
  </si>
  <si>
    <t>favorite,things</t>
  </si>
  <si>
    <t>awesome,visit  visit,london  london,pronto  pronto,love  love,rooftop  rooftop,bar  bar,vibes</t>
  </si>
  <si>
    <t>sharing,love  love,rooftop  rooftop,bars  bars,fabulous</t>
  </si>
  <si>
    <t>amazing,views  views,great  great,idea  idea,thumbs</t>
  </si>
  <si>
    <t>beautiful,pictures  pictures,london  london,enjoy</t>
  </si>
  <si>
    <t>love,rooftop  rooftop,bars</t>
  </si>
  <si>
    <t>spots,cool  cool,good  good,time  time,sharing</t>
  </si>
  <si>
    <t>lou,like  respond,important</t>
  </si>
  <si>
    <t>rooftop,bars  bars,london</t>
  </si>
  <si>
    <t>skyline,pe  ugo,sharing  sharing,lima  lima,peru  peru,skyline  skyline,facebook  facebook,skyline  pe,skyline</t>
  </si>
  <si>
    <t>roof,east  hey,ugo  ugo,cool  cool,view  view,forget  forget,roof  east,stratford  stratford,sporty  sporty,casual  casual,cool</t>
  </si>
  <si>
    <t>love,sky  sky,bar  bar,doubletree  doubletree,called  called,savage  savage,gardens</t>
  </si>
  <si>
    <t>plant,like  like,eaten  eaten,snails  snails,managed  managed,catch  catch,ate  ate,leaves  leaves,broken  broken,egg  egg,shells</t>
  </si>
  <si>
    <t>vedio,amazing  aloe,agave  agave,variety  black,stain  stain,great  followed,wow  wow,profile  profile,insta  insta,awesome  instagram,account</t>
  </si>
  <si>
    <t>agave,americana  americana,variegata</t>
  </si>
  <si>
    <t>thinking,trying  trying,like</t>
  </si>
  <si>
    <t>thinking,special  special,plant  plant,holes  holes,kind  kind,like  like,swiss  swiss,cheese  cheese,vine  vine,snail  snail,haha</t>
  </si>
  <si>
    <t>mandy,beer  beer,traps  traps,egg  egg,shells  shells,work  work,brilliantly</t>
  </si>
  <si>
    <t>beer,traps  traps,gardens  gardens,crushed  crushed,egg  egg,shells  shells,plants  plants,keep  keep,snails  snails,problems  problems,ages</t>
  </si>
  <si>
    <t>egg,shells  shells,soil  soil,containers  containers,keeps  keeps,snails  snails,plants  discovered,love  love,ideas  ideas,fyi  fyi,finish</t>
  </si>
  <si>
    <t>terras,beautiful  beautiful,wait  wait,snails  snails,try  try,leaving  leaving,dishes  dishes,pots  pots,filled  filled,salt  salt,preferably</t>
  </si>
  <si>
    <t>clematis,blooms  blooms,beautiful  beautiful,poor  poor,hosta  hosta,attacked  attacked,snails  snails,hopefully  hopefully,bounce  bounce,good  good,luck</t>
  </si>
  <si>
    <t>like,kind  kind,methods  methods,pest  pest,control  control,drive  drive,country  country,names  names,keep  keep,terrarium  terrarium,salt</t>
  </si>
  <si>
    <t>bad,time  time,stop  stop,exasperated  exasperated,worries  worries,good  green,yellow  yellow,agave  like,grape  grape,vine  love,patio</t>
  </si>
  <si>
    <t>love,hostas  hostas,slug  slug,pellets  slugs,love  wow,love  pellets,growing  growing,lovely  lovely,learnt  learnt,hard  hard,haha</t>
  </si>
  <si>
    <t>lol,drink  started,pouring  pouring,beer  beer,hostas  hostas,bowl  bowl,beer  beer,working  working,keep  keep,slugs  slugs,eating</t>
  </si>
  <si>
    <t>sprinkle,epsom  epsom,salts  salts,stems  stems,plants  plants,care  care,devils  gorgeous,agree  agree,aggie  aggie,moroccan  moroccan,style</t>
  </si>
  <si>
    <t>lovely,flowers  flowers,love  love,comedy  comedy,end  love,rooftop  rooftop,sharing</t>
  </si>
  <si>
    <t>like,roof  roof,garden  garden,relaxing  relaxing,hope  hope,vids  wow,liked</t>
  </si>
  <si>
    <t>think,talented  talented,enjoy  enjoy,single  single,vlog  vlog,hair  hair,style  style,lovely</t>
  </si>
  <si>
    <t>lol,noises  noises,feel  feel,hehe</t>
  </si>
  <si>
    <t>subscribed,binge  binge,watching  watching,vids  vids,enjoyed  enjoyed,single  single,far  far,enjoyable  enjoyable,glad  glad,idea  idea,try</t>
  </si>
  <si>
    <t>weed,pink  pink,flowers  flowers,wild  wild,geraniums  geraniums,bees  bees,love  love,beware  beware,seed  seed,pulls  pulls,easily</t>
  </si>
  <si>
    <t>eat,chickweed  chickweed,btw  btw,garden  garden,amazing</t>
  </si>
  <si>
    <t>copper,plumbers  plumbers,tape  tape,wrap  wrap,strip  strip,pot  pot,keep  keep,snails  snails,slugs</t>
  </si>
  <si>
    <t>gustan,plantas  plantas,verde  verde,natural  natural,felicito  felicito,tus  tus,gustoss  gustoss,amigo</t>
  </si>
  <si>
    <t>snowing,edinburgh  edinburgh,2019  like,contained  contained,garden  nice,colour  colour,rose  nice,sit  sit,down  down,night  nice,garden</t>
  </si>
  <si>
    <t>like,roof  roof,garden  nice,vlog</t>
  </si>
  <si>
    <t>apt,tour  tour,ride  ride,bbc  bbc,sit  sit,coupling  coupling,text  text,episode  episode,steve  steve,dating  dating,susan</t>
  </si>
  <si>
    <t>greetings,poland  poland,dachyzielone  dachyzielone,dachyzielone</t>
  </si>
  <si>
    <t>job,properly  properly,better</t>
  </si>
  <si>
    <t>nova,verse  verse,bad  bad,ugly  ugly,news</t>
  </si>
  <si>
    <t>believe,good  good,news</t>
  </si>
  <si>
    <t>mo,kassabian  kassabian,svendsen  good,news  news,optimistic  optimistic,news  news,realistic  realistic,news  news,fake  fake,news</t>
  </si>
  <si>
    <t>capital,idea  idea,hope  hope,crusty  crusty,nimbys  nimbys,try  try,derail</t>
  </si>
  <si>
    <t>interested,talking  talking,person  person,wrote  wrote,spoke  spoke,famous  famous,clients  clients,london  london,work  work,plans</t>
  </si>
  <si>
    <t>great,idea</t>
  </si>
  <si>
    <t>werner,herzog  herzog,vibes  vibes,voice</t>
  </si>
  <si>
    <t>putting,maintained  maintained,garden  garden,beds  beds,roofs  roofs,huge  huge,improvement</t>
  </si>
  <si>
    <t>glad,enjoyed  lucky,beautiful  beautiful,landscape  ohh,winter  winter,lights  lights,tip  nice,friend</t>
  </si>
  <si>
    <t>like,canary  canary,wharf  wharf,pretty  pretty,night</t>
  </si>
  <si>
    <t>roof,open  open,large  large,parts</t>
  </si>
  <si>
    <t>plants,caressed  caressed,wind</t>
  </si>
  <si>
    <t>canary,islands  islands,england  england,canarian  canarian,garden  garden,great  great,sharing</t>
  </si>
  <si>
    <t>love,canary  canary,wharf  wharf,work</t>
  </si>
  <si>
    <t>fell,love  love,place  place,stayed  stayed,month  month,roof  roof,garden  garden,amazing  amazing,winter  winter,lights  ladmob,unseen</t>
  </si>
  <si>
    <t>lovely,walk</t>
  </si>
  <si>
    <t>impressive,view  view,wonderful  wonderful,nice  wow,beautiful  beautiful,roof  roof,garden  garden,view  view,fantastic  fantastic,nice  geek,street</t>
  </si>
  <si>
    <t>sharing,apartment  apartment,10  10,george  george,street  street,corporate  corporate,offices  offices,34th  34th,floor  floor,canada  canada,square</t>
  </si>
  <si>
    <t>live,gorgeous</t>
  </si>
  <si>
    <t>ll,drink</t>
  </si>
  <si>
    <t>welcome,watching  watching,nima  laurie,glad  glad,enjoying  yup,watching  watching,richard  tooooooo,carl  winterised,check  check,websites  tons,great</t>
  </si>
  <si>
    <t>summer,convincing  convincing,wife  wife,summer  summer,good  good,time  time,visit  visit,jess</t>
  </si>
  <si>
    <t>learn,london  london,being</t>
  </si>
  <si>
    <t>jess,fun  fun,interesting  interesting,looked  looked,hard  hard,work  work,visit  visit,rooftop  rooftop,bars  bars,drink</t>
  </si>
  <si>
    <t>london,shakespeare  shakespeare,study  study,stayed  stayed,stratford  stratford,stumbled  stumbled,roof  roof,east  east,place  place,check  check,party</t>
  </si>
  <si>
    <t>rains,lot</t>
  </si>
  <si>
    <t>visiting,london  question,being  being,american  american,visiting  london,cheers  cheers,cliche  cliche,being  being,country  ll,visiting  london,late</t>
  </si>
  <si>
    <t>enjoying,quirky  quirky,bars</t>
  </si>
  <si>
    <t>grew,london  london,worry  worry,normal  normal,weather  weather,headed  headed,spain</t>
  </si>
  <si>
    <t>summer,london  london,raining  raining,time  love,london  london,ve  ve,months  rob,españa88  españa88,phoenix  phoenix,rain</t>
  </si>
  <si>
    <t>accused,being  being,alcoholic</t>
  </si>
  <si>
    <t>loved,best</t>
  </si>
  <si>
    <t>simply,true</t>
  </si>
  <si>
    <t>invited,invite  invite,time</t>
  </si>
  <si>
    <t>christina,cool  rosie,cotton  cotton,lol</t>
  </si>
  <si>
    <t>quick,question  question,sunny  sunny,time  time,like  like,britain  britain,like  like,damp</t>
  </si>
  <si>
    <t>london,loved  loved,plan  plan,visit  visit,subscriber  subscriber,love  love,tips</t>
  </si>
  <si>
    <t>hype,lmfao  lmfao,talking  talking,bars</t>
  </si>
  <si>
    <t>skygarden,city  city,open  open,rooftop  rooftop,bar  bar,offers  offers,great  great,views  views,city  city,oxo  oxo,tower</t>
  </si>
  <si>
    <t>love,roof  roof,east  east,ll  ll,time  time,filmings</t>
  </si>
  <si>
    <t>love,sound  sound,aqua  aqua,kyoto  kyoto,jess  jess,xxx  start,guesting  guesting,loved  loved,cocktail  cocktail,xxxxx</t>
  </si>
  <si>
    <t>great,locations  locations,strange  strange,join</t>
  </si>
  <si>
    <t>woow,amazing  amazing,rooftops  rooftops,great  great,love</t>
  </si>
  <si>
    <t>boyfriend,planning  planning,london  london,car  car,advices</t>
  </si>
  <si>
    <t>110k,subscribers  subscribers,love  love,drink  drink,keep  keep,great  great,enjoy</t>
  </si>
  <si>
    <t>husband,people  people,invited  invited,culpeper  culpeper,opened  opened,2014  2014,staying  staying,bar  bar,renovating  renovating,rooms  rooms,air</t>
  </si>
  <si>
    <t>tips,london  london,moment  moment,sad  sad,great  great,job</t>
  </si>
  <si>
    <t>actress,swear  swear,episode  episode,jack  jack,ryan</t>
  </si>
  <si>
    <t>realize,london  london,lol  lol,states  states,discovered  discovered,moving  moving,london  london,month  month,fly  fly,amsterdam  amsterdam,summer</t>
  </si>
  <si>
    <t>hope,great  great,birthday  birthday,jess  jess,xoxo</t>
  </si>
  <si>
    <t>great,info  info,london  london,huge  huge,help  help,decision  decision,london  london,anniversary  anniversary,spring  spring,question  question,helpful</t>
  </si>
  <si>
    <t>remind,monica  monica,geller  geller,friends  friends,btw  btw,london  london,tomorrow  tomorrow,time  time,super  super,helpful</t>
  </si>
  <si>
    <t>advice,student  student,spending  spending,semester  semester,london  london,love</t>
  </si>
  <si>
    <t>ice,skating  think,rooftops  rooftops,open  open,ice  skating,winter  winter,well  well,roof  roof,london  london,heavy  heavy,drinking</t>
  </si>
  <si>
    <t>jess,think  think,morning  morning,grovernors</t>
  </si>
  <si>
    <t>fall,london  london,ll  ll,oct  oct,november  love,london  london,believe  believe,ve  ve,watched  watched,talking  talking,feel</t>
  </si>
  <si>
    <t>useful,like  like,lot  lot,best</t>
  </si>
  <si>
    <t>enjoy,ve  ve,wondering  wondering,best  best,pubs  pubs,london</t>
  </si>
  <si>
    <t>cold,late  late,february</t>
  </si>
  <si>
    <t>vids,lol  reminiscing,good  good,covid</t>
  </si>
  <si>
    <t>bars,opening  opening,england  england,visit  visit,loads  loads,places  places,being  being,recommended  love,london  london,cool</t>
  </si>
  <si>
    <t>nice,wondered  wondered,far  far,london  london,rooftop  rooftop,bars  bars,concerned  concerned,radio  radio,rooftop  rooftop,madison  madison,rooftop</t>
  </si>
  <si>
    <t>visited,jin  jin,bo  bo,law  weekend,girlfriends  girlfriends,fabulous  fabulous,time  time,great  great,vibe  vibe,good  good,music</t>
  </si>
  <si>
    <t>ve,discovered  discovered,love  love,believe  believe,london  london,better  better,timeout  timeout,secret  secret,london  london,etc</t>
  </si>
  <si>
    <t>jess,sipping  sipping,cocktail  love,london  london,yeah  yeah,taste  taste,flavours</t>
  </si>
  <si>
    <t>remember,child  child,nice</t>
  </si>
  <si>
    <t>amazing,views  views,wish  wish,open  open,visited  visited,love</t>
  </si>
  <si>
    <t>amazing,view  view,well</t>
  </si>
  <si>
    <t>beautiful,rooftop</t>
  </si>
  <si>
    <t>great,visit</t>
  </si>
  <si>
    <t>mate,amazing</t>
  </si>
  <si>
    <t>london,week  week,visit  visit,place</t>
  </si>
  <si>
    <t>cool,stuff  stuff,think  think,ll  ll,visit  visit,sunny</t>
  </si>
  <si>
    <t>epic,mate</t>
  </si>
  <si>
    <t>nice,buy  buy,black  black,box  box,anti  anti,reflection  reflection,glass  london,viewpoints  viewpoints,ll</t>
  </si>
  <si>
    <t>677th,subscriber  subscriber,mate</t>
  </si>
  <si>
    <t>fantastic,michael  michael,managed  managed,sunday  sunday,morning  morning,opening  opening,time  time,fantastic  fantastic,sunny  sunny,weather  weather,great</t>
  </si>
  <si>
    <t>adding,list  list,return  return,trip  trip,london</t>
  </si>
  <si>
    <t>liking,clip  clip,remarkable  remarkable,job  job,edit  edit,time  time,think  think,feedback</t>
  </si>
  <si>
    <t>michael,device  device,fellow  fellow,photographer  photographer,glass  glass,garden  garden,120  120,looked  looked,like  like,type  type,shade</t>
  </si>
  <si>
    <t>tripods,oooooh  viewpoint,amazing  amazing,allowed  allowed,tripod</t>
  </si>
  <si>
    <t>selfie,factory  factory,bluewater</t>
  </si>
  <si>
    <t>great,sharing</t>
  </si>
  <si>
    <t>অন,ক  ক,স  স,ন  ন,দর  দর,হয়  হয়,ছ  ছ,ব  ব,ড  ড,ও  ও,ট</t>
  </si>
  <si>
    <t>wow,didi  didi,wonderful  wonderful,place</t>
  </si>
  <si>
    <t>amazing,place  place,beautiful  beautiful,tnx  tnx,sharing</t>
  </si>
  <si>
    <t>hard,raining  raining,care  care,sharing  sharing,lovely  lovely,garden</t>
  </si>
  <si>
    <t>manonthemoon,glass  glass,etfe</t>
  </si>
  <si>
    <t>feel,window  window,cleaner</t>
  </si>
  <si>
    <t>cool,man  man,best  best,walkabout  walkabout,far  far,countries  countries,far  far,vids  vids,sharing</t>
  </si>
  <si>
    <t>нет,слов  слов,одни  одни,эмоции</t>
  </si>
  <si>
    <t>amazing,coming  coming,london  london,weekend  weekend,like</t>
  </si>
  <si>
    <t>beautiful,oasis</t>
  </si>
  <si>
    <t>love,capturing  capturing,project  project,beautifully</t>
  </si>
  <si>
    <t>txx,shaw  shaw,documentry  documentry,prosess  prosess,bilding  bilding,part</t>
  </si>
  <si>
    <t>watching,17  17,quarantine  quarantine,remember  remember,outdoors</t>
  </si>
  <si>
    <t>like,love</t>
  </si>
  <si>
    <t>shop,watchedwalker  watched,walker  watchedwalker,amazon  garden,ts9ixhsdzjs  great,space  sky,garden  water,feature  ko,fi  fi,watchedwalker  amazon,shop</t>
  </si>
  <si>
    <t>man,yesterday  yesterday,bed  bed,watching  watching,london  london,accessible  accessible,world</t>
  </si>
  <si>
    <t>awesome,view</t>
  </si>
  <si>
    <t>love,vedios  vedios,london  london,man</t>
  </si>
  <si>
    <t>great,far  far,better  better,sky  sky,garden</t>
  </si>
  <si>
    <t>watched,vlog  vlog,garden  garden,120  120,awesome  awesome,wondering  wondering,places  places,great  great,views  views,london</t>
  </si>
  <si>
    <t>ts9ixhsdzjs,4m35s  4m35s,35</t>
  </si>
  <si>
    <t>watched,walker  samsung,galaxy  galaxy,s10  s10,week  week,visit  visit,building  building,great  great,great  great,help  help,plan</t>
  </si>
  <si>
    <t>man,visited  visited,world  world,towns  towns,chanel  chanel,amazing  watched,walker  walker,welcome  welcome,man  man,travel  travel,simple</t>
  </si>
  <si>
    <t>love,love  tampa,florida  florida,love  love,work  work,big  big,including  including,info  info,filming  filming,description  description,keep</t>
  </si>
  <si>
    <t>magical,plants  plants,grown  grown,tops  tops,frames  frames,schrubs  schrubs,matured</t>
  </si>
  <si>
    <t>lot,photo  photo,shoots  shoots,ask  ask,model  model,show  show,beautiful</t>
  </si>
  <si>
    <t>great,view  view,gonna  gonna,check  check,time  time,london</t>
  </si>
  <si>
    <t>stunning,skyline  skyline,appreciate  appreciate,hard  hard,work  work,add  add,list  list,down  down,london</t>
  </si>
  <si>
    <t>building,amazing  amazing,beautiful  beautiful,roof  roof,garden  garden,stunning  stunning,view</t>
  </si>
  <si>
    <t>gopro,captures  captures,picture  picture,love  love,image  image,quality  quality,superb  superb,22  22,flight  flight,australia  australia,week</t>
  </si>
  <si>
    <t>love,vedieos</t>
  </si>
  <si>
    <t>great,wonderful  wonderful,experience  experience,walk  walk,time  time,help</t>
  </si>
  <si>
    <t>marvellous,think  think,prefer  prefer,sky  sky,garden  garden,mecca  mecca,posers  posers,instagram  instagram,snaps</t>
  </si>
  <si>
    <t>vertigo,pest  pest,watching  watching,bloke  bloke,leaning  leaning,glass  glass,wall  wall,aargh  aargh,ww  ww,hero</t>
  </si>
  <si>
    <t>think,bushes  bushes,counts  counts,garden  garden,garden  garden,skyscrapers  watched,walker  walker,constitutes  constitutes,garden  like,pretty  pretty,underutilized</t>
  </si>
  <si>
    <t>view,shard  shard,cost  cost,32  32,00  00,wow  wow,feeling  feeling,lucky  lucky,watching</t>
  </si>
  <si>
    <t>wales,uk  simply,words  words,describe  describe,amazingness  amazingness,breath  breath,minute  minute,details  details,best  best,thing  thing,show</t>
  </si>
  <si>
    <t>wow,incredible  incredible,view  view,amazing  amazing,quality</t>
  </si>
  <si>
    <t>eliminate,wind  wind,noise</t>
  </si>
  <si>
    <t>picked,ideal  ideal,feb  feb,beautiful  beautiful,sunshine  sunshine,wind  wind,roof  roof,huge  huge,time  time,limit  limit,stay</t>
  </si>
  <si>
    <t>far,favourite  favourite,walk  walk,clutch  clutch,real  real,cinematic  cinematic,quality  quality,skill  skill,city  city,show  show,views</t>
  </si>
  <si>
    <t>gracias,excelente  excelente,momentos  momentos,viajar  viajar,sentir  sentir,estamos  estamos,allí</t>
  </si>
  <si>
    <t>auspicious,mentioning  mentioning,draughts  draughts,cold  love,guy  like,stefano  stefano,green  green,ideas  interesting,inspiring  inspiring,shame  shame,west</t>
  </si>
  <si>
    <t>londonnightguide,roof  roof,gardens  gardens,table  table,booking  instagram,londonnightguide  book,guestlist  guestlist,vip  vip,table  table,whatsapp  whatsapp,44</t>
  </si>
  <si>
    <t>Top Word Pairs in Comment by Salience</t>
  </si>
  <si>
    <t>ko,fi  fi,geekstreettravels  comment,appreciated  lock,down  watching,comment  appreciated,glad  glad,enjoyed  cold,ultgere  ultgere,views  views,amazing</t>
  </si>
  <si>
    <t>watching,ht  ht,cool  watching,watching  watching,end  end,nikki  like,ht  ht,good  good,watching  cool,watching  cool,nikki</t>
  </si>
  <si>
    <t>hal,plugging  plugging,location  location,man  man,reopens  hal,hahaha  hahaha,hater  hater,nice  nice,bro  lifestyle,hal</t>
  </si>
  <si>
    <t>fantastic,black  stain,amazing  amazing,loving  loving,lights  lights,morror  morror,genious  funny,end  end,black  stain,good  black,stain</t>
  </si>
  <si>
    <t>hey,ugo  ugo,cool  cool,view  view,forget  forget,roof  east,stratford  stratford,sporty  sporty,casual  casual,cool  cool,btw</t>
  </si>
  <si>
    <t>slugs,love  wow,love  pellets,growing  growing,lovely  lovely,learnt  learnt,hard  hard,haha  love,hostas  hostas,slug  slug,pellets</t>
  </si>
  <si>
    <t>question,being  being,american  american,visiting  london,cheers  cheers,cliche  cliche,being  being,country  ll,visiting  london,late  late,september</t>
  </si>
  <si>
    <t>law,sky  sky,bar  bar,weekend  sensational,thinking  thinking,check  check,vlog  law,weekend  visited,jin  jin,bo  bo,law</t>
  </si>
  <si>
    <t>shop,watchedwalker  watched,walker  watchedwalker,amazon  garden,ts9ixhsdzjs  ko,fi  fi,watchedwalker  amazon,shop  amazon,co  co,uk  uk,shop</t>
  </si>
  <si>
    <t>Count of Published At</t>
  </si>
  <si>
    <t>Row Labels</t>
  </si>
  <si>
    <t>Grand Total</t>
  </si>
  <si>
    <t>128, 128, 128</t>
  </si>
  <si>
    <t>148, 108, 108</t>
  </si>
  <si>
    <t>171, 85, 85</t>
  </si>
  <si>
    <t>193, 62, 62</t>
  </si>
  <si>
    <t>Red</t>
  </si>
  <si>
    <t>212, 43, 43</t>
  </si>
  <si>
    <t>G1: love great like lovely garden roof nice ve beautiful good</t>
  </si>
  <si>
    <t>G2: beautiful sharing ল wow nice place apu mashaallah mashallah ভ</t>
  </si>
  <si>
    <t>G3: london love great time lol rooftop ve jess bars ll</t>
  </si>
  <si>
    <t>G4: ts9ixhsdzjs garden london watched love walker view great building watchedwalker</t>
  </si>
  <si>
    <t>G5: watching nice like comment great support london beautiful stay place</t>
  </si>
  <si>
    <t>G6: london great rooftop bars time good love sharing cool bar</t>
  </si>
  <si>
    <t>G7: roof amazing garden sean like tour place wow sharing lovely</t>
  </si>
  <si>
    <t>G8: amazing views garden think place time london mate nice visit</t>
  </si>
  <si>
    <t>G9: nice sharing beautiful roof garden love like canary watching glad</t>
  </si>
  <si>
    <t>G10: lol samantha fox gary glitter agree quality</t>
  </si>
  <si>
    <t>G11: sharing place beautiful wow amazing ব ল</t>
  </si>
  <si>
    <t>G12: news auspicious draughts cold idea good dachyzielone</t>
  </si>
  <si>
    <t>G13: garden like far</t>
  </si>
  <si>
    <t>G14: garden great people skip sharing love oasis good amazing think</t>
  </si>
  <si>
    <t>G15: londonnightguide table book roof gardens booking instagram</t>
  </si>
  <si>
    <t>G16: travel bro</t>
  </si>
  <si>
    <t>Edge Weight▓1▓7▓0▓True▓Gray▓Red▓▓Edge Weight▓1▓2▓0▓3▓10▓False▓Edge Weight▓1▓2▓0▓40▓15▓False▓▓0▓0▓0▓True▓Black▓Black▓▓Betweenness Centrality▓0▓1680▓3▓150▓1000▓False▓▓0▓0▓0▓0▓0▓False▓▓0▓0▓0▓0▓0▓False▓▓0▓0▓0▓0▓0▓False</t>
  </si>
  <si>
    <t>GraphSource░YouTubeUser▓GraphTerm░London Roof Gardens▓ImportDescription░The graph represents the network of YouTube videos whose title, keywords, description, categories, or author's username contain "London Roof Gardens".  The network was obtained from YouTube on Monday, 02 August 2021 at 17:50 UTC.
The network was limited to 30 videos.
There is an edge for each user who comented an a video.  There is an edge for each user who replied to a comment.▓ImportSuggestedTitle░YouTube Users London Roof Gardens▓ImportSuggestedFileNameNoExtension░2021-08-02 17-49-57 NodeXL YouTube Users London Roof Gardens▓GroupingDescription░The graph's vertices were grouped by cluster using the Clauset-Newman-Moore cluster algorithm.▓LayoutAlgorithm░The graph was laid out using the Harel-Koren Fast Multiscale layout algorithm.▓GraphDirectedness░The graph is directed.</t>
  </si>
  <si>
    <t>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</si>
  <si>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YouTubeUser</t>
  </si>
  <si>
    <t>London Roof Gardens</t>
  </si>
  <si>
    <t>The graph represents the network of YouTube videos whose title, keywords, description, categories, or author's username contain "London Roof Gardens".  The network was obtained from YouTube on Monday, 02 August 2021 at 17:50 UTC.
The network was limited to 30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</si>
  <si>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</si>
  <si>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</si>
  <si>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https://nodexlgraphgallery.org/Pages/Graph.aspx?graphID=259413</t>
  </si>
  <si>
    <t>https://nodexlgraphgallery.org/Images/Image.ashx?graphID=259413&amp;type=f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</si>
</sst>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418504"/>
        <c:axId val="17657673"/>
      </c:barChart>
      <c:catAx>
        <c:axId val="94185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657673"/>
        <c:crosses val="autoZero"/>
        <c:auto val="1"/>
        <c:lblOffset val="100"/>
        <c:noMultiLvlLbl val="0"/>
      </c:catAx>
      <c:valAx>
        <c:axId val="17657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1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London Roof Gardens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Series'!$A$26:$A$560</c:f>
              <c:strCache>
                <c:ptCount val="534"/>
                <c:pt idx="0">
                  <c:v>13/01/2019 07:05:33</c:v>
                </c:pt>
                <c:pt idx="1">
                  <c:v>13/05/2020 04:43:00</c:v>
                </c:pt>
                <c:pt idx="2">
                  <c:v>13/05/2020 15:04:55</c:v>
                </c:pt>
                <c:pt idx="3">
                  <c:v>13/05/2020 16:10:18</c:v>
                </c:pt>
                <c:pt idx="4">
                  <c:v>13/05/2020 16:26:13</c:v>
                </c:pt>
                <c:pt idx="5">
                  <c:v>13/05/2020 16:41:53</c:v>
                </c:pt>
                <c:pt idx="6">
                  <c:v>13/05/2020 16:46:08</c:v>
                </c:pt>
                <c:pt idx="7">
                  <c:v>13/05/2020 18:07:15</c:v>
                </c:pt>
                <c:pt idx="8">
                  <c:v>13/05/2020 18:52:51</c:v>
                </c:pt>
                <c:pt idx="9">
                  <c:v>13/05/2020 19:02:26</c:v>
                </c:pt>
                <c:pt idx="10">
                  <c:v>13/05/2020 19:03:51</c:v>
                </c:pt>
                <c:pt idx="11">
                  <c:v>13/05/2020 19:55:39</c:v>
                </c:pt>
                <c:pt idx="12">
                  <c:v>13/05/2020 20:07:02</c:v>
                </c:pt>
                <c:pt idx="13">
                  <c:v>13/05/2020 21:27:13</c:v>
                </c:pt>
                <c:pt idx="14">
                  <c:v>13/06/2018 11:29:03</c:v>
                </c:pt>
                <c:pt idx="15">
                  <c:v>13/06/2018 22:01:42</c:v>
                </c:pt>
                <c:pt idx="16">
                  <c:v>13/06/2019 15:04:08</c:v>
                </c:pt>
                <c:pt idx="17">
                  <c:v>13/07/2018 22:48:10</c:v>
                </c:pt>
                <c:pt idx="18">
                  <c:v>13/07/2019 16:46:17</c:v>
                </c:pt>
                <c:pt idx="19">
                  <c:v>13/10/2019 23:46:27</c:v>
                </c:pt>
                <c:pt idx="20">
                  <c:v>13/11/2020 06:12:46</c:v>
                </c:pt>
                <c:pt idx="21">
                  <c:v>13/11/2020 14:46:20</c:v>
                </c:pt>
                <c:pt idx="22">
                  <c:v>13/11/2020 21:55:22</c:v>
                </c:pt>
                <c:pt idx="23">
                  <c:v>14/02/2019 20:20:09</c:v>
                </c:pt>
                <c:pt idx="24">
                  <c:v>14/03/2019 23:33:33</c:v>
                </c:pt>
                <c:pt idx="25">
                  <c:v>14/05/2020 00:22:46</c:v>
                </c:pt>
                <c:pt idx="26">
                  <c:v>14/05/2020 01:21:26</c:v>
                </c:pt>
                <c:pt idx="27">
                  <c:v>14/05/2020 01:38:40</c:v>
                </c:pt>
                <c:pt idx="28">
                  <c:v>14/05/2020 01:57:46</c:v>
                </c:pt>
                <c:pt idx="29">
                  <c:v>14/05/2020 16:48:23</c:v>
                </c:pt>
                <c:pt idx="30">
                  <c:v>14/05/2020 17:27:52</c:v>
                </c:pt>
                <c:pt idx="31">
                  <c:v>14/05/2020 18:14:15</c:v>
                </c:pt>
                <c:pt idx="32">
                  <c:v>14/06/2018 23:28:05</c:v>
                </c:pt>
                <c:pt idx="33">
                  <c:v>14/06/2020 15:07:52</c:v>
                </c:pt>
                <c:pt idx="34">
                  <c:v>14/07/2021 05:58:19</c:v>
                </c:pt>
                <c:pt idx="35">
                  <c:v>14/08/2007 18:19:30</c:v>
                </c:pt>
                <c:pt idx="36">
                  <c:v>14/09/2019 16:16:05</c:v>
                </c:pt>
                <c:pt idx="37">
                  <c:v>15/02/2019 08:04:53</c:v>
                </c:pt>
                <c:pt idx="38">
                  <c:v>15/02/2020 01:07:56</c:v>
                </c:pt>
                <c:pt idx="39">
                  <c:v>15/02/2020 15:40:23</c:v>
                </c:pt>
                <c:pt idx="40">
                  <c:v>15/03/2019 00:09:16</c:v>
                </c:pt>
                <c:pt idx="41">
                  <c:v>15/03/2020 17:53:13</c:v>
                </c:pt>
                <c:pt idx="42">
                  <c:v>15/04/2016 01:02:56</c:v>
                </c:pt>
                <c:pt idx="43">
                  <c:v>15/04/2016 01:19:50</c:v>
                </c:pt>
                <c:pt idx="44">
                  <c:v>15/04/2016 01:43:28</c:v>
                </c:pt>
                <c:pt idx="45">
                  <c:v>15/04/2016 01:43:36</c:v>
                </c:pt>
                <c:pt idx="46">
                  <c:v>15/04/2016 04:59:36</c:v>
                </c:pt>
                <c:pt idx="47">
                  <c:v>15/04/2016 05:41:59</c:v>
                </c:pt>
                <c:pt idx="48">
                  <c:v>15/04/2016 07:09:21</c:v>
                </c:pt>
                <c:pt idx="49">
                  <c:v>15/04/2016 09:10:51</c:v>
                </c:pt>
                <c:pt idx="50">
                  <c:v>15/04/2016 09:26:50</c:v>
                </c:pt>
                <c:pt idx="51">
                  <c:v>15/04/2016 09:34:27</c:v>
                </c:pt>
                <c:pt idx="52">
                  <c:v>15/04/2016 09:49:02</c:v>
                </c:pt>
                <c:pt idx="53">
                  <c:v>15/04/2016 10:51:33</c:v>
                </c:pt>
                <c:pt idx="54">
                  <c:v>15/04/2016 12:14:42</c:v>
                </c:pt>
                <c:pt idx="55">
                  <c:v>15/04/2016 12:58:20</c:v>
                </c:pt>
                <c:pt idx="56">
                  <c:v>15/04/2016 14:21:11</c:v>
                </c:pt>
                <c:pt idx="57">
                  <c:v>15/04/2016 16:41:37</c:v>
                </c:pt>
                <c:pt idx="58">
                  <c:v>15/04/2016 17:41:38</c:v>
                </c:pt>
                <c:pt idx="59">
                  <c:v>15/05/2020 01:45:28</c:v>
                </c:pt>
                <c:pt idx="60">
                  <c:v>15/05/2020 11:53:52</c:v>
                </c:pt>
                <c:pt idx="61">
                  <c:v>15/05/2020 22:33:37</c:v>
                </c:pt>
                <c:pt idx="62">
                  <c:v>15/06/2020 11:41:37</c:v>
                </c:pt>
                <c:pt idx="63">
                  <c:v>15/06/2020 23:01:25</c:v>
                </c:pt>
                <c:pt idx="64">
                  <c:v>15/06/2021 23:01:32</c:v>
                </c:pt>
                <c:pt idx="65">
                  <c:v>15/08/2019 20:06:19</c:v>
                </c:pt>
                <c:pt idx="66">
                  <c:v>15/08/2019 20:09:03</c:v>
                </c:pt>
                <c:pt idx="67">
                  <c:v>15/08/2019 20:10:50</c:v>
                </c:pt>
                <c:pt idx="68">
                  <c:v>15/08/2019 20:10:51</c:v>
                </c:pt>
                <c:pt idx="69">
                  <c:v>15/08/2019 20:32:28</c:v>
                </c:pt>
                <c:pt idx="70">
                  <c:v>15/08/2019 20:33:21</c:v>
                </c:pt>
                <c:pt idx="71">
                  <c:v>15/08/2019 21:05:48</c:v>
                </c:pt>
                <c:pt idx="72">
                  <c:v>15/08/2019 21:42:56</c:v>
                </c:pt>
                <c:pt idx="73">
                  <c:v>15/08/2019 22:09:20</c:v>
                </c:pt>
                <c:pt idx="74">
                  <c:v>15/08/2019 22:21:06</c:v>
                </c:pt>
                <c:pt idx="75">
                  <c:v>15/08/2019 22:26:53</c:v>
                </c:pt>
                <c:pt idx="76">
                  <c:v>15/08/2019 22:56:01</c:v>
                </c:pt>
                <c:pt idx="77">
                  <c:v>15/10/2018 23:51:17</c:v>
                </c:pt>
                <c:pt idx="78">
                  <c:v>15/11/2018 16:26:31</c:v>
                </c:pt>
                <c:pt idx="79">
                  <c:v>16/01/2019 16:34:39</c:v>
                </c:pt>
                <c:pt idx="80">
                  <c:v>16/01/2019 16:45:49</c:v>
                </c:pt>
                <c:pt idx="81">
                  <c:v>16/02/2021 14:20:36</c:v>
                </c:pt>
                <c:pt idx="82">
                  <c:v>16/03/2019 06:00:25</c:v>
                </c:pt>
                <c:pt idx="83">
                  <c:v>16/03/2019 16:55:46</c:v>
                </c:pt>
                <c:pt idx="84">
                  <c:v>16/03/2019 16:57:12</c:v>
                </c:pt>
                <c:pt idx="85">
                  <c:v>16/03/2019 16:58:42</c:v>
                </c:pt>
                <c:pt idx="86">
                  <c:v>16/03/2019 17:11:44</c:v>
                </c:pt>
                <c:pt idx="87">
                  <c:v>16/03/2019 17:13:51</c:v>
                </c:pt>
                <c:pt idx="88">
                  <c:v>16/03/2019 17:14:00</c:v>
                </c:pt>
                <c:pt idx="89">
                  <c:v>16/04/2016 09:38:22</c:v>
                </c:pt>
                <c:pt idx="90">
                  <c:v>16/04/2016 12:09:06</c:v>
                </c:pt>
                <c:pt idx="91">
                  <c:v>16/04/2016 23:24:20</c:v>
                </c:pt>
                <c:pt idx="92">
                  <c:v>16/04/2021 04:16:37</c:v>
                </c:pt>
                <c:pt idx="93">
                  <c:v>16/04/2021 04:23:46</c:v>
                </c:pt>
                <c:pt idx="94">
                  <c:v>16/06/2011 09:53:11</c:v>
                </c:pt>
                <c:pt idx="95">
                  <c:v>16/06/2018 19:33:33</c:v>
                </c:pt>
                <c:pt idx="96">
                  <c:v>16/06/2020 14:29:21</c:v>
                </c:pt>
                <c:pt idx="97">
                  <c:v>16/07/2021 10:15:34</c:v>
                </c:pt>
                <c:pt idx="98">
                  <c:v>16/08/2019 00:39:20</c:v>
                </c:pt>
                <c:pt idx="99">
                  <c:v>16/08/2019 00:43:18</c:v>
                </c:pt>
                <c:pt idx="100">
                  <c:v>16/08/2019 02:45:54</c:v>
                </c:pt>
                <c:pt idx="101">
                  <c:v>16/08/2019 03:16:24</c:v>
                </c:pt>
                <c:pt idx="102">
                  <c:v>16/08/2019 06:38:01</c:v>
                </c:pt>
                <c:pt idx="103">
                  <c:v>16/08/2019 14:50:03</c:v>
                </c:pt>
                <c:pt idx="104">
                  <c:v>16/08/2019 16:27:09</c:v>
                </c:pt>
                <c:pt idx="105">
                  <c:v>16/08/2019 16:30:48</c:v>
                </c:pt>
                <c:pt idx="106">
                  <c:v>16/08/2019 22:13:05</c:v>
                </c:pt>
                <c:pt idx="107">
                  <c:v>16/09/2018 21:46:18</c:v>
                </c:pt>
                <c:pt idx="108">
                  <c:v>16/09/2018 23:18:05</c:v>
                </c:pt>
                <c:pt idx="109">
                  <c:v>16/11/2018 04:01:37</c:v>
                </c:pt>
                <c:pt idx="110">
                  <c:v>16/11/2020 04:44:11</c:v>
                </c:pt>
                <c:pt idx="111">
                  <c:v>17/02/2019 00:40:55</c:v>
                </c:pt>
                <c:pt idx="112">
                  <c:v>17/02/2019 03:47:36</c:v>
                </c:pt>
                <c:pt idx="113">
                  <c:v>17/02/2019 09:22:05</c:v>
                </c:pt>
                <c:pt idx="114">
                  <c:v>17/02/2019 10:12:30</c:v>
                </c:pt>
                <c:pt idx="115">
                  <c:v>17/02/2019 10:41:45</c:v>
                </c:pt>
                <c:pt idx="116">
                  <c:v>17/02/2019 10:43:47</c:v>
                </c:pt>
                <c:pt idx="117">
                  <c:v>17/02/2019 11:45:09</c:v>
                </c:pt>
                <c:pt idx="118">
                  <c:v>17/02/2019 13:49:10</c:v>
                </c:pt>
                <c:pt idx="119">
                  <c:v>17/02/2019 14:03:36</c:v>
                </c:pt>
                <c:pt idx="120">
                  <c:v>17/04/2021 04:26:51</c:v>
                </c:pt>
                <c:pt idx="121">
                  <c:v>17/06/2018 05:53:34</c:v>
                </c:pt>
                <c:pt idx="122">
                  <c:v>17/08/2019 00:21:23</c:v>
                </c:pt>
                <c:pt idx="123">
                  <c:v>17/08/2019 08:47:04</c:v>
                </c:pt>
                <c:pt idx="124">
                  <c:v>17/08/2019 18:08:10</c:v>
                </c:pt>
                <c:pt idx="125">
                  <c:v>17/08/2019 18:31:09</c:v>
                </c:pt>
                <c:pt idx="126">
                  <c:v>17/11/2018 13:21:03</c:v>
                </c:pt>
                <c:pt idx="127">
                  <c:v>18/02/2019 15:30:24</c:v>
                </c:pt>
                <c:pt idx="128">
                  <c:v>18/02/2019 19:25:12</c:v>
                </c:pt>
                <c:pt idx="129">
                  <c:v>18/04/2016 12:14:09</c:v>
                </c:pt>
                <c:pt idx="130">
                  <c:v>18/04/2020 21:25:49</c:v>
                </c:pt>
                <c:pt idx="131">
                  <c:v>18/04/2021 19:23:25</c:v>
                </c:pt>
                <c:pt idx="132">
                  <c:v>18/08/2019 01:44:39</c:v>
                </c:pt>
                <c:pt idx="133">
                  <c:v>18/08/2019 09:03:24</c:v>
                </c:pt>
                <c:pt idx="134">
                  <c:v>18/08/2019 16:48:50</c:v>
                </c:pt>
                <c:pt idx="135">
                  <c:v>18/11/2018 13:50:05</c:v>
                </c:pt>
                <c:pt idx="136">
                  <c:v>18/11/2018 14:19:19</c:v>
                </c:pt>
                <c:pt idx="137">
                  <c:v>18/12/2019 17:28:36</c:v>
                </c:pt>
                <c:pt idx="138">
                  <c:v>19/02/2019 18:08:41</c:v>
                </c:pt>
                <c:pt idx="139">
                  <c:v>19/03/2020 17:15:33</c:v>
                </c:pt>
                <c:pt idx="140">
                  <c:v>19/04/2016 02:29:14</c:v>
                </c:pt>
                <c:pt idx="141">
                  <c:v>19/06/2018 20:25:53</c:v>
                </c:pt>
                <c:pt idx="142">
                  <c:v>19/08/2019 02:02:08</c:v>
                </c:pt>
                <c:pt idx="143">
                  <c:v>19/08/2019 10:51:20</c:v>
                </c:pt>
                <c:pt idx="144">
                  <c:v>19/08/2019 16:47:47</c:v>
                </c:pt>
                <c:pt idx="145">
                  <c:v>19/08/2019 17:44:21</c:v>
                </c:pt>
                <c:pt idx="146">
                  <c:v>19/08/2019 23:30:33</c:v>
                </c:pt>
                <c:pt idx="147">
                  <c:v>19/09/2018 19:09:58</c:v>
                </c:pt>
                <c:pt idx="148">
                  <c:v>20/05/2020 18:42:49</c:v>
                </c:pt>
                <c:pt idx="149">
                  <c:v>20/05/2020 18:44:43</c:v>
                </c:pt>
                <c:pt idx="150">
                  <c:v>20/05/2021 09:26:45</c:v>
                </c:pt>
                <c:pt idx="151">
                  <c:v>20/05/2021 09:28:33</c:v>
                </c:pt>
                <c:pt idx="152">
                  <c:v>20/05/2021 09:31:22</c:v>
                </c:pt>
                <c:pt idx="153">
                  <c:v>20/05/2021 09:35:26</c:v>
                </c:pt>
                <c:pt idx="154">
                  <c:v>20/06/2018 04:29:07</c:v>
                </c:pt>
                <c:pt idx="155">
                  <c:v>20/08/2019 03:41:56</c:v>
                </c:pt>
                <c:pt idx="156">
                  <c:v>20/08/2019 07:11:26</c:v>
                </c:pt>
                <c:pt idx="157">
                  <c:v>20/08/2019 13:05:12</c:v>
                </c:pt>
                <c:pt idx="158">
                  <c:v>20/08/2019 13:38:16</c:v>
                </c:pt>
                <c:pt idx="159">
                  <c:v>20/09/2020 17:00:08</c:v>
                </c:pt>
                <c:pt idx="160">
                  <c:v>20/10/2018 20:59:30</c:v>
                </c:pt>
                <c:pt idx="161">
                  <c:v>20/12/2020 10:47:20</c:v>
                </c:pt>
                <c:pt idx="162">
                  <c:v>21/01/2020 19:00:50</c:v>
                </c:pt>
                <c:pt idx="163">
                  <c:v>21/02/2020 17:11:14</c:v>
                </c:pt>
                <c:pt idx="164">
                  <c:v>21/03/2019 04:04:53</c:v>
                </c:pt>
                <c:pt idx="165">
                  <c:v>21/03/2019 04:13:41</c:v>
                </c:pt>
                <c:pt idx="166">
                  <c:v>21/03/2019 07:39:37</c:v>
                </c:pt>
                <c:pt idx="167">
                  <c:v>21/04/2016 20:17:49</c:v>
                </c:pt>
                <c:pt idx="168">
                  <c:v>21/07/2019 03:31:16</c:v>
                </c:pt>
                <c:pt idx="169">
                  <c:v>21/08/2019 16:39:30</c:v>
                </c:pt>
                <c:pt idx="170">
                  <c:v>21/08/2020 11:04:50</c:v>
                </c:pt>
                <c:pt idx="171">
                  <c:v>21/09/2018 14:20:56</c:v>
                </c:pt>
                <c:pt idx="172">
                  <c:v>21/10/2018 20:10:31</c:v>
                </c:pt>
                <c:pt idx="173">
                  <c:v>21/11/2020 18:52:42</c:v>
                </c:pt>
                <c:pt idx="174">
                  <c:v>22/01/2021 04:16:26</c:v>
                </c:pt>
                <c:pt idx="175">
                  <c:v>22/02/2021 22:55:04</c:v>
                </c:pt>
                <c:pt idx="176">
                  <c:v>22/05/2021 04:39:18</c:v>
                </c:pt>
                <c:pt idx="177">
                  <c:v>22/08/2018 19:04:21</c:v>
                </c:pt>
                <c:pt idx="178">
                  <c:v>22/08/2019 10:17:10</c:v>
                </c:pt>
                <c:pt idx="179">
                  <c:v>22/09/2020 02:19:04</c:v>
                </c:pt>
                <c:pt idx="180">
                  <c:v>22/09/2020 23:56:14</c:v>
                </c:pt>
                <c:pt idx="181">
                  <c:v>23/01/2020 10:15:38</c:v>
                </c:pt>
                <c:pt idx="182">
                  <c:v>23/02/2019 03:18:41</c:v>
                </c:pt>
                <c:pt idx="183">
                  <c:v>23/08/2019 23:18:26</c:v>
                </c:pt>
                <c:pt idx="184">
                  <c:v>23/10/2018 18:43:28</c:v>
                </c:pt>
                <c:pt idx="185">
                  <c:v>23/12/2018 23:54:48</c:v>
                </c:pt>
                <c:pt idx="186">
                  <c:v>24/04/2020 05:00:29</c:v>
                </c:pt>
                <c:pt idx="187">
                  <c:v>24/05/2017 10:17:00</c:v>
                </c:pt>
                <c:pt idx="188">
                  <c:v>24/05/2017 11:55:51</c:v>
                </c:pt>
                <c:pt idx="189">
                  <c:v>24/05/2017 20:45:32</c:v>
                </c:pt>
                <c:pt idx="190">
                  <c:v>24/05/2017 22:25:17</c:v>
                </c:pt>
                <c:pt idx="191">
                  <c:v>24/06/2018 13:26:19</c:v>
                </c:pt>
                <c:pt idx="192">
                  <c:v>24/09/2020 20:20:44</c:v>
                </c:pt>
                <c:pt idx="193">
                  <c:v>24/10/2020 18:36:00</c:v>
                </c:pt>
                <c:pt idx="194">
                  <c:v>25/02/2021 15:15:43</c:v>
                </c:pt>
                <c:pt idx="195">
                  <c:v>25/05/2012 13:31:06</c:v>
                </c:pt>
                <c:pt idx="196">
                  <c:v>25/05/2019 06:56:32</c:v>
                </c:pt>
                <c:pt idx="197">
                  <c:v>25/05/2019 07:54:12</c:v>
                </c:pt>
                <c:pt idx="198">
                  <c:v>25/05/2019 10:12:03</c:v>
                </c:pt>
                <c:pt idx="199">
                  <c:v>25/05/2019 12:15:04</c:v>
                </c:pt>
                <c:pt idx="200">
                  <c:v>25/05/2019 16:10:18</c:v>
                </c:pt>
                <c:pt idx="201">
                  <c:v>25/05/2019 17:24:30</c:v>
                </c:pt>
                <c:pt idx="202">
                  <c:v>25/05/2019 21:37:43</c:v>
                </c:pt>
                <c:pt idx="203">
                  <c:v>25/07/2019 20:07:43</c:v>
                </c:pt>
                <c:pt idx="204">
                  <c:v>25/09/2009 00:09:38</c:v>
                </c:pt>
                <c:pt idx="205">
                  <c:v>26/02/2018 22:25:31</c:v>
                </c:pt>
                <c:pt idx="206">
                  <c:v>26/03/2019 06:01:15</c:v>
                </c:pt>
                <c:pt idx="207">
                  <c:v>26/03/2019 17:08:54</c:v>
                </c:pt>
                <c:pt idx="208">
                  <c:v>26/06/2020 11:30:46</c:v>
                </c:pt>
                <c:pt idx="209">
                  <c:v>26/06/2020 15:42:30</c:v>
                </c:pt>
                <c:pt idx="210">
                  <c:v>26/09/2018 04:52:55</c:v>
                </c:pt>
                <c:pt idx="211">
                  <c:v>26/09/2018 04:54:26</c:v>
                </c:pt>
                <c:pt idx="212">
                  <c:v>26/09/2018 13:47:11</c:v>
                </c:pt>
                <c:pt idx="213">
                  <c:v>26/09/2020 08:32:26</c:v>
                </c:pt>
                <c:pt idx="214">
                  <c:v>26/09/2020 23:45:50</c:v>
                </c:pt>
                <c:pt idx="215">
                  <c:v>26/11/2018 06:17:17</c:v>
                </c:pt>
                <c:pt idx="216">
                  <c:v>26/11/2018 06:51:05</c:v>
                </c:pt>
                <c:pt idx="217">
                  <c:v>27/03/2019 04:05:03</c:v>
                </c:pt>
                <c:pt idx="218">
                  <c:v>27/03/2019 18:32:10</c:v>
                </c:pt>
                <c:pt idx="219">
                  <c:v>27/04/2018 21:47:24</c:v>
                </c:pt>
                <c:pt idx="220">
                  <c:v>27/05/2019 04:14:33</c:v>
                </c:pt>
                <c:pt idx="221">
                  <c:v>27/05/2021 19:43:33</c:v>
                </c:pt>
                <c:pt idx="222">
                  <c:v>27/08/2018 20:26:44</c:v>
                </c:pt>
                <c:pt idx="223">
                  <c:v>28/02/2019 12:40:38</c:v>
                </c:pt>
                <c:pt idx="224">
                  <c:v>28/02/2019 12:56:26</c:v>
                </c:pt>
                <c:pt idx="225">
                  <c:v>28/04/2021 06:26:40</c:v>
                </c:pt>
                <c:pt idx="226">
                  <c:v>28/07/2018 22:35:26</c:v>
                </c:pt>
                <c:pt idx="227">
                  <c:v>28/07/2021 14:14:56</c:v>
                </c:pt>
                <c:pt idx="228">
                  <c:v>28/07/2021 14:22:34</c:v>
                </c:pt>
                <c:pt idx="229">
                  <c:v>28/07/2021 14:47:12</c:v>
                </c:pt>
                <c:pt idx="230">
                  <c:v>28/07/2021 14:49:54</c:v>
                </c:pt>
                <c:pt idx="231">
                  <c:v>28/07/2021 14:53:28</c:v>
                </c:pt>
                <c:pt idx="232">
                  <c:v>28/07/2021 14:57:42</c:v>
                </c:pt>
                <c:pt idx="233">
                  <c:v>28/07/2021 15:03:34</c:v>
                </c:pt>
                <c:pt idx="234">
                  <c:v>28/07/2021 15:05:14</c:v>
                </c:pt>
                <c:pt idx="235">
                  <c:v>28/07/2021 23:50:59</c:v>
                </c:pt>
                <c:pt idx="236">
                  <c:v>28/08/2010 06:15:42</c:v>
                </c:pt>
                <c:pt idx="237">
                  <c:v>28/12/2007 07:54:03</c:v>
                </c:pt>
                <c:pt idx="238">
                  <c:v>29/04/2019 21:18:29</c:v>
                </c:pt>
                <c:pt idx="239">
                  <c:v>29/06/2020 15:26:03</c:v>
                </c:pt>
                <c:pt idx="240">
                  <c:v>29/06/2020 22:31:31</c:v>
                </c:pt>
                <c:pt idx="241">
                  <c:v>29/07/2021 08:29:21</c:v>
                </c:pt>
                <c:pt idx="242">
                  <c:v>29/07/2021 17:14:38</c:v>
                </c:pt>
                <c:pt idx="243">
                  <c:v>29/10/2018 13:11:31</c:v>
                </c:pt>
                <c:pt idx="244">
                  <c:v>29/12/2018 20:46:54</c:v>
                </c:pt>
                <c:pt idx="245">
                  <c:v>30/05/2020 16:10:16</c:v>
                </c:pt>
                <c:pt idx="246">
                  <c:v>30/05/2020 16:11:20</c:v>
                </c:pt>
                <c:pt idx="247">
                  <c:v>30/05/2020 16:17:11</c:v>
                </c:pt>
                <c:pt idx="248">
                  <c:v>30/05/2020 19:18:52</c:v>
                </c:pt>
                <c:pt idx="249">
                  <c:v>30/05/2020 20:48:20</c:v>
                </c:pt>
                <c:pt idx="250">
                  <c:v>30/05/2020 20:55:13</c:v>
                </c:pt>
                <c:pt idx="251">
                  <c:v>30/05/2020 20:58:16</c:v>
                </c:pt>
                <c:pt idx="252">
                  <c:v>30/05/2020 21:18:32</c:v>
                </c:pt>
                <c:pt idx="253">
                  <c:v>30/05/2020 21:38:14</c:v>
                </c:pt>
                <c:pt idx="254">
                  <c:v>30/05/2020 21:49:27</c:v>
                </c:pt>
                <c:pt idx="255">
                  <c:v>30/05/2020 22:28:57</c:v>
                </c:pt>
                <c:pt idx="256">
                  <c:v>30/05/2020 22:30:19</c:v>
                </c:pt>
                <c:pt idx="257">
                  <c:v>30/05/2020 22:46:17</c:v>
                </c:pt>
                <c:pt idx="258">
                  <c:v>30/06/2020 00:45:30</c:v>
                </c:pt>
                <c:pt idx="259">
                  <c:v>30/06/2020 16:26:33</c:v>
                </c:pt>
                <c:pt idx="260">
                  <c:v>30/09/2018 17:08:54</c:v>
                </c:pt>
                <c:pt idx="261">
                  <c:v>30/11/2018 04:49:51</c:v>
                </c:pt>
                <c:pt idx="262">
                  <c:v>31/03/2021 22:00:34</c:v>
                </c:pt>
                <c:pt idx="263">
                  <c:v>31/03/2021 22:02:32</c:v>
                </c:pt>
                <c:pt idx="264">
                  <c:v>31/05/2020 00:13:34</c:v>
                </c:pt>
                <c:pt idx="265">
                  <c:v>31/05/2020 00:21:28</c:v>
                </c:pt>
                <c:pt idx="266">
                  <c:v>31/05/2020 00:47:10</c:v>
                </c:pt>
                <c:pt idx="267">
                  <c:v>31/05/2020 01:10:52</c:v>
                </c:pt>
                <c:pt idx="268">
                  <c:v>31/05/2020 01:10:56</c:v>
                </c:pt>
                <c:pt idx="269">
                  <c:v>31/05/2020 01:45:51</c:v>
                </c:pt>
                <c:pt idx="270">
                  <c:v>31/05/2020 01:53:28</c:v>
                </c:pt>
                <c:pt idx="271">
                  <c:v>31/05/2020 03:43:00</c:v>
                </c:pt>
                <c:pt idx="272">
                  <c:v>31/05/2020 10:03:16</c:v>
                </c:pt>
                <c:pt idx="273">
                  <c:v>31/05/2020 14:34:03</c:v>
                </c:pt>
                <c:pt idx="274">
                  <c:v>31/05/2020 16:11:28</c:v>
                </c:pt>
                <c:pt idx="275">
                  <c:v>31/05/2020 17:45:12</c:v>
                </c:pt>
                <c:pt idx="276">
                  <c:v>31/05/2020 22:13:28</c:v>
                </c:pt>
                <c:pt idx="277">
                  <c:v>31/05/2020 23:43:54</c:v>
                </c:pt>
                <c:pt idx="278">
                  <c:v>31/10/2019 00:46:20</c:v>
                </c:pt>
                <c:pt idx="279">
                  <c:v>08/11/2006 11:04</c:v>
                </c:pt>
                <c:pt idx="280">
                  <c:v>08/12/2006 14:36</c:v>
                </c:pt>
                <c:pt idx="281">
                  <c:v>04/05/2007 03:29</c:v>
                </c:pt>
                <c:pt idx="282">
                  <c:v>01/05/2008 22:00</c:v>
                </c:pt>
                <c:pt idx="283">
                  <c:v>07/04/2010 13:54</c:v>
                </c:pt>
                <c:pt idx="284">
                  <c:v>02/08/2011 02:15</c:v>
                </c:pt>
                <c:pt idx="285">
                  <c:v>05/07/2015 22:20</c:v>
                </c:pt>
                <c:pt idx="286">
                  <c:v>09/01/2018 19:12</c:v>
                </c:pt>
                <c:pt idx="287">
                  <c:v>06/02/2018 09:33</c:v>
                </c:pt>
                <c:pt idx="288">
                  <c:v>06/02/2018 09:34</c:v>
                </c:pt>
                <c:pt idx="289">
                  <c:v>06/02/2018 09:34</c:v>
                </c:pt>
                <c:pt idx="290">
                  <c:v>06/02/2018 09:37</c:v>
                </c:pt>
                <c:pt idx="291">
                  <c:v>06/02/2018 09:50</c:v>
                </c:pt>
                <c:pt idx="292">
                  <c:v>06/02/2018 12:34</c:v>
                </c:pt>
                <c:pt idx="293">
                  <c:v>06/02/2018 12:38</c:v>
                </c:pt>
                <c:pt idx="294">
                  <c:v>06/02/2018 15:23</c:v>
                </c:pt>
                <c:pt idx="295">
                  <c:v>06/02/2018 19:27</c:v>
                </c:pt>
                <c:pt idx="296">
                  <c:v>06/02/2018 20:12</c:v>
                </c:pt>
                <c:pt idx="297">
                  <c:v>06/02/2018 20:13</c:v>
                </c:pt>
                <c:pt idx="298">
                  <c:v>06/02/2018 20:19</c:v>
                </c:pt>
                <c:pt idx="299">
                  <c:v>06/02/2018 23:05</c:v>
                </c:pt>
                <c:pt idx="300">
                  <c:v>09/02/2018 05:22</c:v>
                </c:pt>
                <c:pt idx="301">
                  <c:v>09/02/2018 05:23</c:v>
                </c:pt>
                <c:pt idx="302">
                  <c:v>09/03/2018 15:54</c:v>
                </c:pt>
                <c:pt idx="303">
                  <c:v>09/03/2018 18:07</c:v>
                </c:pt>
                <c:pt idx="304">
                  <c:v>09/03/2018 21:28</c:v>
                </c:pt>
                <c:pt idx="305">
                  <c:v>10/03/2018 06:36</c:v>
                </c:pt>
                <c:pt idx="306">
                  <c:v>12/03/2018 21:27</c:v>
                </c:pt>
                <c:pt idx="307">
                  <c:v>09/04/2018 07:56</c:v>
                </c:pt>
                <c:pt idx="308">
                  <c:v>09/04/2018 12:25</c:v>
                </c:pt>
                <c:pt idx="309">
                  <c:v>09/04/2018 14:57</c:v>
                </c:pt>
                <c:pt idx="310">
                  <c:v>09/04/2018 17:10</c:v>
                </c:pt>
                <c:pt idx="311">
                  <c:v>09/04/2018 17:34</c:v>
                </c:pt>
                <c:pt idx="312">
                  <c:v>09/04/2018 23:23</c:v>
                </c:pt>
                <c:pt idx="313">
                  <c:v>07/05/2018 20:30</c:v>
                </c:pt>
                <c:pt idx="314">
                  <c:v>09/05/2018 22:54</c:v>
                </c:pt>
                <c:pt idx="315">
                  <c:v>09/05/2018 22:57</c:v>
                </c:pt>
                <c:pt idx="316">
                  <c:v>09/05/2018 23:17</c:v>
                </c:pt>
                <c:pt idx="317">
                  <c:v>09/05/2018 23:27</c:v>
                </c:pt>
                <c:pt idx="318">
                  <c:v>09/05/2018 23:57</c:v>
                </c:pt>
                <c:pt idx="319">
                  <c:v>03/06/2018 01:43</c:v>
                </c:pt>
                <c:pt idx="320">
                  <c:v>06/06/2018 09:50</c:v>
                </c:pt>
                <c:pt idx="321">
                  <c:v>06/06/2018 21:57</c:v>
                </c:pt>
                <c:pt idx="322">
                  <c:v>09/06/2018 00:33</c:v>
                </c:pt>
                <c:pt idx="323">
                  <c:v>09/06/2018 00:53</c:v>
                </c:pt>
                <c:pt idx="324">
                  <c:v>09/06/2018 01:33</c:v>
                </c:pt>
                <c:pt idx="325">
                  <c:v>09/06/2018 01:35</c:v>
                </c:pt>
                <c:pt idx="326">
                  <c:v>09/06/2018 02:14</c:v>
                </c:pt>
                <c:pt idx="327">
                  <c:v>09/06/2018 04:36</c:v>
                </c:pt>
                <c:pt idx="328">
                  <c:v>09/06/2018 06:04</c:v>
                </c:pt>
                <c:pt idx="329">
                  <c:v>09/06/2018 07:39</c:v>
                </c:pt>
                <c:pt idx="330">
                  <c:v>09/06/2018 08:56</c:v>
                </c:pt>
                <c:pt idx="331">
                  <c:v>09/06/2018 09:31</c:v>
                </c:pt>
                <c:pt idx="332">
                  <c:v>09/06/2018 10:17</c:v>
                </c:pt>
                <c:pt idx="333">
                  <c:v>09/06/2018 12:04</c:v>
                </c:pt>
                <c:pt idx="334">
                  <c:v>09/06/2018 14:55</c:v>
                </c:pt>
                <c:pt idx="335">
                  <c:v>09/06/2018 15:50</c:v>
                </c:pt>
                <c:pt idx="336">
                  <c:v>09/06/2018 20:35</c:v>
                </c:pt>
                <c:pt idx="337">
                  <c:v>10/06/2018 12:00</c:v>
                </c:pt>
                <c:pt idx="338">
                  <c:v>06/07/2018 01:19</c:v>
                </c:pt>
                <c:pt idx="339">
                  <c:v>06/07/2018 19:42</c:v>
                </c:pt>
                <c:pt idx="340">
                  <c:v>06/07/2018 19:47</c:v>
                </c:pt>
                <c:pt idx="341">
                  <c:v>06/07/2018 19:59</c:v>
                </c:pt>
                <c:pt idx="342">
                  <c:v>06/07/2018 20:01</c:v>
                </c:pt>
                <c:pt idx="343">
                  <c:v>06/07/2018 20:29</c:v>
                </c:pt>
                <c:pt idx="344">
                  <c:v>06/07/2018 20:50</c:v>
                </c:pt>
                <c:pt idx="345">
                  <c:v>06/07/2018 21:43</c:v>
                </c:pt>
                <c:pt idx="346">
                  <c:v>06/07/2018 22:23</c:v>
                </c:pt>
                <c:pt idx="347">
                  <c:v>06/07/2018 22:30</c:v>
                </c:pt>
                <c:pt idx="348">
                  <c:v>06/07/2018 22:32</c:v>
                </c:pt>
                <c:pt idx="349">
                  <c:v>06/07/2018 22:41</c:v>
                </c:pt>
                <c:pt idx="350">
                  <c:v>09/07/2018 05:18</c:v>
                </c:pt>
                <c:pt idx="351">
                  <c:v>09/07/2018 08:47</c:v>
                </c:pt>
                <c:pt idx="352">
                  <c:v>10/07/2018 00:13</c:v>
                </c:pt>
                <c:pt idx="353">
                  <c:v>06/08/2018 00:25</c:v>
                </c:pt>
                <c:pt idx="354">
                  <c:v>06/08/2018 00:25</c:v>
                </c:pt>
                <c:pt idx="355">
                  <c:v>06/08/2018 02:02</c:v>
                </c:pt>
                <c:pt idx="356">
                  <c:v>06/08/2018 03:13</c:v>
                </c:pt>
                <c:pt idx="357">
                  <c:v>06/08/2018 03:15</c:v>
                </c:pt>
                <c:pt idx="358">
                  <c:v>06/08/2018 13:41</c:v>
                </c:pt>
                <c:pt idx="359">
                  <c:v>06/08/2018 21:59</c:v>
                </c:pt>
                <c:pt idx="360">
                  <c:v>09/08/2018 08:10</c:v>
                </c:pt>
                <c:pt idx="361">
                  <c:v>09/08/2018 12:54</c:v>
                </c:pt>
                <c:pt idx="362">
                  <c:v>06/09/2018 08:44</c:v>
                </c:pt>
                <c:pt idx="363">
                  <c:v>06/09/2018 09:49</c:v>
                </c:pt>
                <c:pt idx="364">
                  <c:v>09/09/2018 08:49</c:v>
                </c:pt>
                <c:pt idx="365">
                  <c:v>09/09/2018 09:30</c:v>
                </c:pt>
                <c:pt idx="366">
                  <c:v>09/09/2018 22:00</c:v>
                </c:pt>
                <c:pt idx="367">
                  <c:v>06/10/2018 18:00</c:v>
                </c:pt>
                <c:pt idx="368">
                  <c:v>06/10/2018 18:52</c:v>
                </c:pt>
                <c:pt idx="369">
                  <c:v>06/10/2018 19:29</c:v>
                </c:pt>
                <c:pt idx="370">
                  <c:v>08/10/2018 17:31</c:v>
                </c:pt>
                <c:pt idx="371">
                  <c:v>09/10/2018 00:20</c:v>
                </c:pt>
                <c:pt idx="372">
                  <c:v>11/10/2018 15:26</c:v>
                </c:pt>
                <c:pt idx="373">
                  <c:v>06/11/2018 22:33</c:v>
                </c:pt>
                <c:pt idx="374">
                  <c:v>09/11/2018 09:02</c:v>
                </c:pt>
                <c:pt idx="375">
                  <c:v>11/11/2018 15:12</c:v>
                </c:pt>
                <c:pt idx="376">
                  <c:v>02/12/2018 16:54</c:v>
                </c:pt>
                <c:pt idx="377">
                  <c:v>06/12/2018 00:16</c:v>
                </c:pt>
                <c:pt idx="378">
                  <c:v>06/12/2018 04:37</c:v>
                </c:pt>
                <c:pt idx="379">
                  <c:v>06/12/2018 18:52</c:v>
                </c:pt>
                <c:pt idx="380">
                  <c:v>06/12/2018 22:07</c:v>
                </c:pt>
                <c:pt idx="381">
                  <c:v>07/12/2018 14:36</c:v>
                </c:pt>
                <c:pt idx="382">
                  <c:v>09/12/2018 04:38</c:v>
                </c:pt>
                <c:pt idx="383">
                  <c:v>02/03/2019 00:51</c:v>
                </c:pt>
                <c:pt idx="384">
                  <c:v>09/03/2019 16:59</c:v>
                </c:pt>
                <c:pt idx="385">
                  <c:v>01/04/2019 20:25</c:v>
                </c:pt>
                <c:pt idx="386">
                  <c:v>03/04/2019 18:02</c:v>
                </c:pt>
                <c:pt idx="387">
                  <c:v>03/04/2019 18:04</c:v>
                </c:pt>
                <c:pt idx="388">
                  <c:v>03/04/2019 18:09</c:v>
                </c:pt>
                <c:pt idx="389">
                  <c:v>03/04/2019 18:10</c:v>
                </c:pt>
                <c:pt idx="390">
                  <c:v>03/04/2019 18:17</c:v>
                </c:pt>
                <c:pt idx="391">
                  <c:v>03/04/2019 18:35</c:v>
                </c:pt>
                <c:pt idx="392">
                  <c:v>03/04/2019 18:38</c:v>
                </c:pt>
                <c:pt idx="393">
                  <c:v>03/04/2019 18:42</c:v>
                </c:pt>
                <c:pt idx="394">
                  <c:v>03/04/2019 18:43</c:v>
                </c:pt>
                <c:pt idx="395">
                  <c:v>03/04/2019 18:43</c:v>
                </c:pt>
                <c:pt idx="396">
                  <c:v>03/04/2019 18:52</c:v>
                </c:pt>
                <c:pt idx="397">
                  <c:v>03/04/2019 18:57</c:v>
                </c:pt>
                <c:pt idx="398">
                  <c:v>03/04/2019 18:57</c:v>
                </c:pt>
                <c:pt idx="399">
                  <c:v>03/04/2019 19:00</c:v>
                </c:pt>
                <c:pt idx="400">
                  <c:v>03/04/2019 19:44</c:v>
                </c:pt>
                <c:pt idx="401">
                  <c:v>03/04/2019 20:00</c:v>
                </c:pt>
                <c:pt idx="402">
                  <c:v>03/04/2019 20:05</c:v>
                </c:pt>
                <c:pt idx="403">
                  <c:v>03/04/2019 20:56</c:v>
                </c:pt>
                <c:pt idx="404">
                  <c:v>03/04/2019 22:05</c:v>
                </c:pt>
                <c:pt idx="405">
                  <c:v>03/04/2019 22:13</c:v>
                </c:pt>
                <c:pt idx="406">
                  <c:v>03/04/2019 22:35</c:v>
                </c:pt>
                <c:pt idx="407">
                  <c:v>03/04/2019 23:17</c:v>
                </c:pt>
                <c:pt idx="408">
                  <c:v>08/04/2019 16:00</c:v>
                </c:pt>
                <c:pt idx="409">
                  <c:v>09/04/2019 20:20</c:v>
                </c:pt>
                <c:pt idx="410">
                  <c:v>10/04/2019 13:45</c:v>
                </c:pt>
                <c:pt idx="411">
                  <c:v>03/05/2019 00:23</c:v>
                </c:pt>
                <c:pt idx="412">
                  <c:v>03/05/2019 04:33</c:v>
                </c:pt>
                <c:pt idx="413">
                  <c:v>03/05/2019 05:17</c:v>
                </c:pt>
                <c:pt idx="414">
                  <c:v>03/05/2019 08:04</c:v>
                </c:pt>
                <c:pt idx="415">
                  <c:v>03/05/2019 11:40</c:v>
                </c:pt>
                <c:pt idx="416">
                  <c:v>03/05/2019 12:12</c:v>
                </c:pt>
                <c:pt idx="417">
                  <c:v>03/05/2019 14:50</c:v>
                </c:pt>
                <c:pt idx="418">
                  <c:v>03/05/2019 19:54</c:v>
                </c:pt>
                <c:pt idx="419">
                  <c:v>01/06/2019 07:06</c:v>
                </c:pt>
                <c:pt idx="420">
                  <c:v>03/06/2019 11:51</c:v>
                </c:pt>
                <c:pt idx="421">
                  <c:v>03/06/2019 23:04</c:v>
                </c:pt>
                <c:pt idx="422">
                  <c:v>10/06/2019 09:54</c:v>
                </c:pt>
                <c:pt idx="423">
                  <c:v>10/06/2019 20:19</c:v>
                </c:pt>
                <c:pt idx="424">
                  <c:v>03/07/2019 06:05</c:v>
                </c:pt>
                <c:pt idx="425">
                  <c:v>10/07/2019 15:41</c:v>
                </c:pt>
                <c:pt idx="426">
                  <c:v>09/08/2019 03:47</c:v>
                </c:pt>
                <c:pt idx="427">
                  <c:v>10/11/2019 12:03</c:v>
                </c:pt>
                <c:pt idx="428">
                  <c:v>03/12/2019 01:51</c:v>
                </c:pt>
                <c:pt idx="429">
                  <c:v>03/12/2019 16:25</c:v>
                </c:pt>
                <c:pt idx="430">
                  <c:v>04/12/2019 23:28</c:v>
                </c:pt>
                <c:pt idx="431">
                  <c:v>03/01/2020 18:30</c:v>
                </c:pt>
                <c:pt idx="432">
                  <c:v>06/01/2020 08:06</c:v>
                </c:pt>
                <c:pt idx="433">
                  <c:v>06/01/2020 12:23</c:v>
                </c:pt>
                <c:pt idx="434">
                  <c:v>06/01/2020 21:10</c:v>
                </c:pt>
                <c:pt idx="435">
                  <c:v>06/01/2020 21:47</c:v>
                </c:pt>
                <c:pt idx="436">
                  <c:v>08/01/2020 17:44</c:v>
                </c:pt>
                <c:pt idx="437">
                  <c:v>06/02/2020 13:36</c:v>
                </c:pt>
                <c:pt idx="438">
                  <c:v>06/02/2020 16:07</c:v>
                </c:pt>
                <c:pt idx="439">
                  <c:v>06/02/2020 18:57</c:v>
                </c:pt>
                <c:pt idx="440">
                  <c:v>05/03/2020 09:03</c:v>
                </c:pt>
                <c:pt idx="441">
                  <c:v>05/03/2020 09:12</c:v>
                </c:pt>
                <c:pt idx="442">
                  <c:v>05/03/2020 09:13</c:v>
                </c:pt>
                <c:pt idx="443">
                  <c:v>05/03/2020 09:18</c:v>
                </c:pt>
                <c:pt idx="444">
                  <c:v>05/03/2020 09:23</c:v>
                </c:pt>
                <c:pt idx="445">
                  <c:v>05/03/2020 09:48</c:v>
                </c:pt>
                <c:pt idx="446">
                  <c:v>05/03/2020 10:00</c:v>
                </c:pt>
                <c:pt idx="447">
                  <c:v>05/03/2020 10:20</c:v>
                </c:pt>
                <c:pt idx="448">
                  <c:v>05/03/2020 11:25</c:v>
                </c:pt>
                <c:pt idx="449">
                  <c:v>05/03/2020 13:06</c:v>
                </c:pt>
                <c:pt idx="450">
                  <c:v>05/03/2020 14:25</c:v>
                </c:pt>
                <c:pt idx="451">
                  <c:v>05/03/2020 15:46</c:v>
                </c:pt>
                <c:pt idx="452">
                  <c:v>05/03/2020 17:32</c:v>
                </c:pt>
                <c:pt idx="453">
                  <c:v>05/03/2020 19:19</c:v>
                </c:pt>
                <c:pt idx="454">
                  <c:v>05/03/2020 19:45</c:v>
                </c:pt>
                <c:pt idx="455">
                  <c:v>05/03/2020 21:53</c:v>
                </c:pt>
                <c:pt idx="456">
                  <c:v>07/03/2020 17:02</c:v>
                </c:pt>
                <c:pt idx="457">
                  <c:v>07/03/2020 18:17</c:v>
                </c:pt>
                <c:pt idx="458">
                  <c:v>10/03/2020 23:34</c:v>
                </c:pt>
                <c:pt idx="459">
                  <c:v>10/03/2020 23:39</c:v>
                </c:pt>
                <c:pt idx="460">
                  <c:v>10/03/2020 23:40</c:v>
                </c:pt>
                <c:pt idx="461">
                  <c:v>10/03/2020 23:43</c:v>
                </c:pt>
                <c:pt idx="462">
                  <c:v>10/03/2020 23:49</c:v>
                </c:pt>
                <c:pt idx="463">
                  <c:v>05/04/2020 10:27</c:v>
                </c:pt>
                <c:pt idx="464">
                  <c:v>05/04/2020 17:03</c:v>
                </c:pt>
                <c:pt idx="465">
                  <c:v>05/04/2020 23:12</c:v>
                </c:pt>
                <c:pt idx="466">
                  <c:v>10/04/2020 01:01</c:v>
                </c:pt>
                <c:pt idx="467">
                  <c:v>10/04/2020 01:05</c:v>
                </c:pt>
                <c:pt idx="468">
                  <c:v>10/04/2020 03:59</c:v>
                </c:pt>
                <c:pt idx="469">
                  <c:v>10/04/2020 04:49</c:v>
                </c:pt>
                <c:pt idx="470">
                  <c:v>10/04/2020 06:20</c:v>
                </c:pt>
                <c:pt idx="471">
                  <c:v>10/04/2020 07:06</c:v>
                </c:pt>
                <c:pt idx="472">
                  <c:v>11/04/2020 23:04</c:v>
                </c:pt>
                <c:pt idx="473">
                  <c:v>05/05/2020 01:00</c:v>
                </c:pt>
                <c:pt idx="474">
                  <c:v>05/05/2020 11:18</c:v>
                </c:pt>
                <c:pt idx="475">
                  <c:v>05/05/2020 16:58</c:v>
                </c:pt>
                <c:pt idx="476">
                  <c:v>05/05/2020 17:03</c:v>
                </c:pt>
                <c:pt idx="477">
                  <c:v>06/05/2020 05:08</c:v>
                </c:pt>
                <c:pt idx="478">
                  <c:v>07/05/2020 07:27</c:v>
                </c:pt>
                <c:pt idx="479">
                  <c:v>10/05/2020 01:14</c:v>
                </c:pt>
                <c:pt idx="480">
                  <c:v>10/05/2020 05:49</c:v>
                </c:pt>
                <c:pt idx="481">
                  <c:v>04/06/2020 20:43</c:v>
                </c:pt>
                <c:pt idx="482">
                  <c:v>05/06/2020 10:27</c:v>
                </c:pt>
                <c:pt idx="483">
                  <c:v>06/06/2020 23:23</c:v>
                </c:pt>
                <c:pt idx="484">
                  <c:v>07/06/2020 02:50</c:v>
                </c:pt>
                <c:pt idx="485">
                  <c:v>07/06/2020 14:57</c:v>
                </c:pt>
                <c:pt idx="486">
                  <c:v>06/07/2020 14:24</c:v>
                </c:pt>
                <c:pt idx="487">
                  <c:v>10/07/2020 22:48</c:v>
                </c:pt>
                <c:pt idx="488">
                  <c:v>11/07/2020 19:50</c:v>
                </c:pt>
                <c:pt idx="489">
                  <c:v>10/08/2020 11:12</c:v>
                </c:pt>
                <c:pt idx="490">
                  <c:v>10/08/2020 11:13</c:v>
                </c:pt>
                <c:pt idx="491">
                  <c:v>05/09/2020 03:27</c:v>
                </c:pt>
                <c:pt idx="492">
                  <c:v>05/10/2020 01:31</c:v>
                </c:pt>
                <c:pt idx="493">
                  <c:v>11/10/2020 11:41</c:v>
                </c:pt>
                <c:pt idx="494">
                  <c:v>11/10/2020 11:58</c:v>
                </c:pt>
                <c:pt idx="495">
                  <c:v>11/10/2020 12:13</c:v>
                </c:pt>
                <c:pt idx="496">
                  <c:v>11/10/2020 13:48</c:v>
                </c:pt>
                <c:pt idx="497">
                  <c:v>11/10/2020 17:29</c:v>
                </c:pt>
                <c:pt idx="498">
                  <c:v>05/11/2020 10:44</c:v>
                </c:pt>
                <c:pt idx="499">
                  <c:v>06/11/2020 15:59</c:v>
                </c:pt>
                <c:pt idx="500">
                  <c:v>11/11/2020 05:00</c:v>
                </c:pt>
                <c:pt idx="501">
                  <c:v>11/12/2020 12:04</c:v>
                </c:pt>
                <c:pt idx="502">
                  <c:v>11/12/2020 14:50</c:v>
                </c:pt>
                <c:pt idx="503">
                  <c:v>07/05/2021 18:01</c:v>
                </c:pt>
                <c:pt idx="504">
                  <c:v>03/07/2021 16:45</c:v>
                </c:pt>
                <c:pt idx="505">
                  <c:v>04/09/2021 11:12</c:v>
                </c:pt>
                <c:pt idx="506">
                  <c:v>06/09/2021 18:11</c:v>
                </c:pt>
                <c:pt idx="507">
                  <c:v>04/10/2021 17:08</c:v>
                </c:pt>
                <c:pt idx="508">
                  <c:v>04/11/2021 10:16</c:v>
                </c:pt>
                <c:pt idx="509">
                  <c:v>04/11/2021 10:45</c:v>
                </c:pt>
                <c:pt idx="510">
                  <c:v>04/11/2021 10:45</c:v>
                </c:pt>
                <c:pt idx="511">
                  <c:v>04/11/2021 10:46</c:v>
                </c:pt>
                <c:pt idx="512">
                  <c:v>04/11/2021 10:46</c:v>
                </c:pt>
                <c:pt idx="513">
                  <c:v>04/11/2021 10:54</c:v>
                </c:pt>
                <c:pt idx="514">
                  <c:v>04/11/2021 11:18</c:v>
                </c:pt>
                <c:pt idx="515">
                  <c:v>04/11/2021 11:45</c:v>
                </c:pt>
                <c:pt idx="516">
                  <c:v>04/11/2021 11:45</c:v>
                </c:pt>
                <c:pt idx="517">
                  <c:v>04/11/2021 11:47</c:v>
                </c:pt>
                <c:pt idx="518">
                  <c:v>04/11/2021 12:08</c:v>
                </c:pt>
                <c:pt idx="519">
                  <c:v>04/11/2021 12:23</c:v>
                </c:pt>
                <c:pt idx="520">
                  <c:v>04/11/2021 12:27</c:v>
                </c:pt>
                <c:pt idx="521">
                  <c:v>04/11/2021 12:36</c:v>
                </c:pt>
                <c:pt idx="522">
                  <c:v>04/11/2021 13:24</c:v>
                </c:pt>
                <c:pt idx="523">
                  <c:v>04/11/2021 13:26</c:v>
                </c:pt>
                <c:pt idx="524">
                  <c:v>04/11/2021 13:26</c:v>
                </c:pt>
                <c:pt idx="525">
                  <c:v>04/11/2021 13:30</c:v>
                </c:pt>
                <c:pt idx="526">
                  <c:v>04/11/2021 13:31</c:v>
                </c:pt>
                <c:pt idx="527">
                  <c:v>04/11/2021 13:48</c:v>
                </c:pt>
                <c:pt idx="528">
                  <c:v>04/11/2021 14:10</c:v>
                </c:pt>
                <c:pt idx="529">
                  <c:v>04/11/2021 15:06</c:v>
                </c:pt>
                <c:pt idx="530">
                  <c:v>04/11/2021 15:06</c:v>
                </c:pt>
                <c:pt idx="531">
                  <c:v>04/11/2021 15:07</c:v>
                </c:pt>
                <c:pt idx="532">
                  <c:v>04/11/2021 15:58</c:v>
                </c:pt>
                <c:pt idx="533">
                  <c:v>06/12/2021 22:07</c:v>
                </c:pt>
              </c:strCache>
            </c:strRef>
          </c:cat>
          <c:val>
            <c:numRef>
              <c:f>'Time Series'!$B$26:$B$560</c:f>
              <c:numCache>
                <c:formatCode>General</c:formatCode>
                <c:ptCount val="53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pt idx="300">
                  <c:v>1</c:v>
                </c:pt>
                <c:pt idx="301">
                  <c:v>1</c:v>
                </c:pt>
                <c:pt idx="302">
                  <c:v>1</c:v>
                </c:pt>
                <c:pt idx="303">
                  <c:v>1</c:v>
                </c:pt>
                <c:pt idx="304">
                  <c:v>1</c:v>
                </c:pt>
                <c:pt idx="305">
                  <c:v>1</c:v>
                </c:pt>
                <c:pt idx="306">
                  <c:v>1</c:v>
                </c:pt>
                <c:pt idx="307">
                  <c:v>1</c:v>
                </c:pt>
                <c:pt idx="308">
                  <c:v>1</c:v>
                </c:pt>
                <c:pt idx="309">
                  <c:v>1</c:v>
                </c:pt>
                <c:pt idx="310">
                  <c:v>1</c:v>
                </c:pt>
                <c:pt idx="311">
                  <c:v>1</c:v>
                </c:pt>
                <c:pt idx="312">
                  <c:v>1</c:v>
                </c:pt>
                <c:pt idx="313">
                  <c:v>1</c:v>
                </c:pt>
                <c:pt idx="314">
                  <c:v>1</c:v>
                </c:pt>
                <c:pt idx="315">
                  <c:v>1</c:v>
                </c:pt>
                <c:pt idx="316">
                  <c:v>1</c:v>
                </c:pt>
                <c:pt idx="317">
                  <c:v>1</c:v>
                </c:pt>
                <c:pt idx="318">
                  <c:v>1</c:v>
                </c:pt>
                <c:pt idx="319">
                  <c:v>1</c:v>
                </c:pt>
                <c:pt idx="320">
                  <c:v>1</c:v>
                </c:pt>
                <c:pt idx="321">
                  <c:v>1</c:v>
                </c:pt>
                <c:pt idx="322">
                  <c:v>1</c:v>
                </c:pt>
                <c:pt idx="323">
                  <c:v>1</c:v>
                </c:pt>
                <c:pt idx="324">
                  <c:v>1</c:v>
                </c:pt>
                <c:pt idx="325">
                  <c:v>1</c:v>
                </c:pt>
                <c:pt idx="326">
                  <c:v>1</c:v>
                </c:pt>
                <c:pt idx="327">
                  <c:v>1</c:v>
                </c:pt>
                <c:pt idx="328">
                  <c:v>1</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pt idx="494">
                  <c:v>1</c:v>
                </c:pt>
                <c:pt idx="495">
                  <c:v>1</c:v>
                </c:pt>
                <c:pt idx="496">
                  <c:v>1</c:v>
                </c:pt>
                <c:pt idx="497">
                  <c:v>1</c:v>
                </c:pt>
                <c:pt idx="498">
                  <c:v>1</c:v>
                </c:pt>
                <c:pt idx="499">
                  <c:v>1</c:v>
                </c:pt>
                <c:pt idx="500">
                  <c:v>1</c:v>
                </c:pt>
                <c:pt idx="501">
                  <c:v>1</c:v>
                </c:pt>
                <c:pt idx="502">
                  <c:v>1</c:v>
                </c:pt>
                <c:pt idx="503">
                  <c:v>1</c:v>
                </c:pt>
                <c:pt idx="504">
                  <c:v>1</c:v>
                </c:pt>
                <c:pt idx="505">
                  <c:v>1</c:v>
                </c:pt>
                <c:pt idx="506">
                  <c:v>1</c:v>
                </c:pt>
                <c:pt idx="507">
                  <c:v>1</c:v>
                </c:pt>
                <c:pt idx="508">
                  <c:v>1</c:v>
                </c:pt>
                <c:pt idx="509">
                  <c:v>1</c:v>
                </c:pt>
                <c:pt idx="510">
                  <c:v>1</c:v>
                </c:pt>
                <c:pt idx="511">
                  <c:v>1</c:v>
                </c:pt>
                <c:pt idx="512">
                  <c:v>1</c:v>
                </c:pt>
                <c:pt idx="513">
                  <c:v>1</c:v>
                </c:pt>
                <c:pt idx="514">
                  <c:v>1</c:v>
                </c:pt>
                <c:pt idx="515">
                  <c:v>1</c:v>
                </c:pt>
                <c:pt idx="516">
                  <c:v>1</c:v>
                </c:pt>
                <c:pt idx="517">
                  <c:v>1</c:v>
                </c:pt>
                <c:pt idx="518">
                  <c:v>1</c:v>
                </c:pt>
                <c:pt idx="519">
                  <c:v>1</c:v>
                </c:pt>
                <c:pt idx="520">
                  <c:v>1</c:v>
                </c:pt>
                <c:pt idx="521">
                  <c:v>1</c:v>
                </c:pt>
                <c:pt idx="522">
                  <c:v>1</c:v>
                </c:pt>
                <c:pt idx="523">
                  <c:v>1</c:v>
                </c:pt>
                <c:pt idx="524">
                  <c:v>1</c:v>
                </c:pt>
                <c:pt idx="525">
                  <c:v>1</c:v>
                </c:pt>
                <c:pt idx="526">
                  <c:v>1</c:v>
                </c:pt>
                <c:pt idx="527">
                  <c:v>1</c:v>
                </c:pt>
                <c:pt idx="528">
                  <c:v>1</c:v>
                </c:pt>
                <c:pt idx="529">
                  <c:v>1</c:v>
                </c:pt>
                <c:pt idx="530">
                  <c:v>1</c:v>
                </c:pt>
                <c:pt idx="531">
                  <c:v>1</c:v>
                </c:pt>
                <c:pt idx="532">
                  <c:v>1</c:v>
                </c:pt>
                <c:pt idx="533">
                  <c:v>1</c:v>
                </c:pt>
              </c:numCache>
            </c:numRef>
          </c:val>
        </c:ser>
        <c:axId val="31381090"/>
        <c:axId val="13994355"/>
      </c:barChart>
      <c:catAx>
        <c:axId val="31381090"/>
        <c:scaling>
          <c:orientation val="minMax"/>
        </c:scaling>
        <c:axPos val="b"/>
        <c:delete val="0"/>
        <c:numFmt formatCode="General" sourceLinked="1"/>
        <c:majorTickMark val="out"/>
        <c:minorTickMark val="none"/>
        <c:tickLblPos val="nextTo"/>
        <c:crossAx val="13994355"/>
        <c:crosses val="autoZero"/>
        <c:auto val="1"/>
        <c:lblOffset val="100"/>
        <c:noMultiLvlLbl val="0"/>
      </c:catAx>
      <c:valAx>
        <c:axId val="13994355"/>
        <c:scaling>
          <c:orientation val="minMax"/>
        </c:scaling>
        <c:axPos val="l"/>
        <c:majorGridlines/>
        <c:delete val="0"/>
        <c:numFmt formatCode="General" sourceLinked="1"/>
        <c:majorTickMark val="out"/>
        <c:minorTickMark val="none"/>
        <c:tickLblPos val="nextTo"/>
        <c:crossAx val="313810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701330"/>
        <c:axId val="20985379"/>
      </c:barChart>
      <c:catAx>
        <c:axId val="247013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985379"/>
        <c:crosses val="autoZero"/>
        <c:auto val="1"/>
        <c:lblOffset val="100"/>
        <c:noMultiLvlLbl val="0"/>
      </c:catAx>
      <c:valAx>
        <c:axId val="20985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01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650684"/>
        <c:axId val="22094109"/>
      </c:barChart>
      <c:catAx>
        <c:axId val="546506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94109"/>
        <c:crosses val="autoZero"/>
        <c:auto val="1"/>
        <c:lblOffset val="100"/>
        <c:noMultiLvlLbl val="0"/>
      </c:catAx>
      <c:valAx>
        <c:axId val="22094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50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629254"/>
        <c:axId val="44792375"/>
      </c:barChart>
      <c:catAx>
        <c:axId val="646292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792375"/>
        <c:crosses val="autoZero"/>
        <c:auto val="1"/>
        <c:lblOffset val="100"/>
        <c:noMultiLvlLbl val="0"/>
      </c:catAx>
      <c:valAx>
        <c:axId val="44792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29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8192"/>
        <c:axId val="4303729"/>
      </c:barChart>
      <c:catAx>
        <c:axId val="4781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03729"/>
        <c:crosses val="autoZero"/>
        <c:auto val="1"/>
        <c:lblOffset val="100"/>
        <c:noMultiLvlLbl val="0"/>
      </c:catAx>
      <c:valAx>
        <c:axId val="430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733562"/>
        <c:axId val="13057739"/>
      </c:barChart>
      <c:catAx>
        <c:axId val="387335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057739"/>
        <c:crosses val="autoZero"/>
        <c:auto val="1"/>
        <c:lblOffset val="100"/>
        <c:noMultiLvlLbl val="0"/>
      </c:catAx>
      <c:valAx>
        <c:axId val="13057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33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410788"/>
        <c:axId val="51043909"/>
      </c:barChart>
      <c:catAx>
        <c:axId val="504107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043909"/>
        <c:crosses val="autoZero"/>
        <c:auto val="1"/>
        <c:lblOffset val="100"/>
        <c:noMultiLvlLbl val="0"/>
      </c:catAx>
      <c:valAx>
        <c:axId val="51043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0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741998"/>
        <c:axId val="40915935"/>
      </c:barChart>
      <c:catAx>
        <c:axId val="567419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915935"/>
        <c:crosses val="autoZero"/>
        <c:auto val="1"/>
        <c:lblOffset val="100"/>
        <c:noMultiLvlLbl val="0"/>
      </c:catAx>
      <c:valAx>
        <c:axId val="4091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41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699096"/>
        <c:axId val="25856409"/>
      </c:barChart>
      <c:catAx>
        <c:axId val="32699096"/>
        <c:scaling>
          <c:orientation val="minMax"/>
        </c:scaling>
        <c:axPos val="b"/>
        <c:delete val="1"/>
        <c:majorTickMark val="out"/>
        <c:minorTickMark val="none"/>
        <c:tickLblPos val="none"/>
        <c:crossAx val="25856409"/>
        <c:crosses val="autoZero"/>
        <c:auto val="1"/>
        <c:lblOffset val="100"/>
        <c:noMultiLvlLbl val="0"/>
      </c:catAx>
      <c:valAx>
        <c:axId val="25856409"/>
        <c:scaling>
          <c:orientation val="minMax"/>
        </c:scaling>
        <c:axPos val="l"/>
        <c:delete val="1"/>
        <c:majorTickMark val="out"/>
        <c:minorTickMark val="none"/>
        <c:tickLblPos val="none"/>
        <c:crossAx val="326990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361950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6" refreshedBy="Admin" refreshedVersion="7">
  <cacheSource type="worksheet">
    <worksheetSource ref="A2:AP858" sheet="Edges"/>
  </cacheSource>
  <cacheFields count="4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Reply"/>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sharedItems containsDate="1" containsMixedTypes="1" count="856">
        <d v="2020-12-05T22:31:35.000"/>
        <d v="2020-03-05T09:03:28.000"/>
        <s v="18/05/2020 14:05:24"/>
        <d v="2020-03-05T09:12:26.000"/>
        <d v="2020-04-05T10:42:08.000"/>
        <d v="2020-03-05T09:13:30.000"/>
        <d v="2020-12-05T22:30:26.000"/>
        <d v="2020-03-05T09:18:28.000"/>
        <d v="2020-04-05T10:41:59.000"/>
        <d v="2020-03-05T09:23:18.000"/>
        <d v="2020-12-05T22:29:57.000"/>
        <d v="2020-03-05T10:20:48.000"/>
        <d v="2020-12-05T22:29:47.000"/>
        <d v="2020-03-05T11:25:13.000"/>
        <d v="2020-12-05T22:28:25.000"/>
        <d v="2020-03-05T13:06:13.000"/>
        <d v="2020-12-05T22:28:10.000"/>
        <d v="2020-03-05T14:25:22.000"/>
        <d v="2020-12-05T22:27:44.000"/>
        <d v="2020-03-05T15:46:09.000"/>
        <d v="2020-12-05T22:27:18.000"/>
        <d v="2020-03-05T17:32:09.000"/>
        <d v="2020-12-05T22:27:06.000"/>
        <d v="2020-03-05T19:19:27.000"/>
        <d v="2020-12-05T22:26:58.000"/>
        <d v="2020-03-05T19:45:23.000"/>
        <d v="2020-12-05T22:26:47.000"/>
        <d v="2020-03-05T21:53:50.000"/>
        <d v="2020-12-05T22:26:37.000"/>
        <d v="2020-04-05T10:27:40.000"/>
        <d v="2020-12-05T22:26:24.000"/>
        <d v="2020-04-05T17:03:04.000"/>
        <s v="18/05/2020 14:04:56"/>
        <d v="2020-04-05T23:12:25.000"/>
        <d v="2020-05-05T10:12:31.000"/>
        <d v="2020-05-05T01:00:05.000"/>
        <d v="2020-12-05T22:25:50.000"/>
        <d v="2020-05-05T11:18:19.000"/>
        <d v="2020-06-05T12:15:24.000"/>
        <d v="2020-05-05T16:58:10.000"/>
        <d v="2020-12-05T22:25:29.000"/>
        <d v="2020-05-05T17:03:09.000"/>
        <d v="2020-12-05T22:25:16.000"/>
        <d v="2020-06-05T10:27:26.000"/>
        <d v="2020-12-05T22:25:01.000"/>
        <d v="2020-09-05T03:27:04.000"/>
        <d v="2020-12-05T22:24:37.000"/>
        <d v="2020-10-05T01:31:26.000"/>
        <s v="13/05/2020 12:13:38"/>
        <s v="13/05/2020 04:43:00"/>
        <s v="15/05/2020 10:43:03"/>
        <s v="14/05/2020 16:48:23"/>
        <s v="27/05/2019 14:31:02"/>
        <s v="25/05/2019 06:56:32"/>
        <s v="27/05/2019 14:29:01"/>
        <s v="25/05/2019 07:54:12"/>
        <s v="27/05/2019 14:28:49"/>
        <s v="25/05/2019 10:12:03"/>
        <s v="27/05/2019 14:28:40"/>
        <s v="25/05/2019 12:15:04"/>
        <s v="27/05/2019 14:28:29"/>
        <s v="27/05/2019 15:50:14"/>
        <s v="25/05/2019 16:10:18"/>
        <s v="27/05/2019 14:29:27"/>
        <s v="25/05/2019 17:24:30"/>
        <s v="27/05/2019 14:29:37"/>
        <s v="25/05/2019 21:37:43"/>
        <s v="27/05/2019 14:30:31"/>
        <s v="27/05/2019 14:30:43"/>
        <s v="27/05/2019 04:14:33"/>
        <s v="26/04/2020 16:56:35"/>
        <s v="18/04/2020 21:25:49"/>
        <s v="30/05/2020 16:10:16"/>
        <s v="30/05/2020 16:17:11"/>
        <s v="30/05/2020 19:18:52"/>
        <s v="30/05/2020 20:55:13"/>
        <s v="30/05/2020 20:58:16"/>
        <s v="30/05/2020 21:18:32"/>
        <s v="30/05/2020 21:38:14"/>
        <s v="30/05/2020 21:49:27"/>
        <s v="30/05/2020 22:28:57"/>
        <s v="30/05/2020 22:30:19"/>
        <s v="30/05/2020 22:46:17"/>
        <s v="31/05/2020 00:13:34"/>
        <s v="31/05/2020 00:21:28"/>
        <s v="31/05/2020 01:10:52"/>
        <s v="31/05/2020 00:47:10"/>
        <s v="31/05/2020 01:10:56"/>
        <s v="31/05/2020 01:53:28"/>
        <s v="31/05/2020 03:43:00"/>
        <s v="31/05/2020 10:03:16"/>
        <s v="31/05/2020 14:34:03"/>
        <s v="31/05/2020 16:11:28"/>
        <s v="31/05/2020 17:45:12"/>
        <s v="31/05/2020 22:13:28"/>
        <d v="2020-01-06T01:57:33.000"/>
        <d v="2020-01-06T12:06:40.000"/>
        <s v="31/05/2020 23:43:54"/>
        <d v="2020-01-06T08:06:45.000"/>
        <d v="2020-01-06T12:23:18.000"/>
        <d v="2020-01-06T21:10:52.000"/>
        <d v="2020-01-06T21:47:11.000"/>
        <d v="2020-02-06T13:36:53.000"/>
        <d v="2020-02-06T16:07:09.000"/>
        <d v="2020-02-06T18:57:09.000"/>
        <d v="2020-05-06T05:08:26.000"/>
        <d v="2020-06-06T23:23:07.000"/>
        <s v="14/06/2020 15:07:52"/>
        <s v="15/06/2020 11:41:37"/>
        <s v="15/06/2020 23:28:45"/>
        <s v="15/06/2020 23:01:25"/>
        <s v="26/06/2020 15:42:30"/>
        <s v="29/06/2020 22:31:31"/>
        <s v="30/06/2020 00:45:30"/>
        <d v="2020-03-07T18:17:02.000"/>
        <d v="2020-05-07T07:27:03.000"/>
        <d v="2020-06-07T14:57:08.000"/>
        <d v="2020-01-08T17:44:54.000"/>
        <s v="20/09/2020 17:00:08"/>
        <s v="31/03/2021 22:00:34"/>
        <s v="31/03/2021 22:02:32"/>
        <d v="2021-09-04T11:12:19.000"/>
        <d v="2020-03-10T23:34:39.000"/>
        <d v="2020-03-10T23:39:08.000"/>
        <d v="2020-03-10T23:40:45.000"/>
        <d v="2020-03-10T23:43:06.000"/>
        <d v="2020-03-10T23:49:07.000"/>
        <d v="2020-04-10T10:10:21.000"/>
        <d v="2020-04-10T01:01:35.000"/>
        <d v="2020-04-10T01:05:34.000"/>
        <d v="2020-04-10T03:59:22.000"/>
        <d v="2020-04-10T04:49:21.000"/>
        <d v="2020-04-10T06:20:44.000"/>
        <d v="2020-04-10T07:06:00.000"/>
        <d v="2020-05-10T01:14:52.000"/>
        <d v="2020-05-10T05:49:42.000"/>
        <d v="2020-07-10T22:48:07.000"/>
        <s v="21/11/2020 18:52:42"/>
        <d v="2021-11-04T10:16:56.000"/>
        <d v="2021-11-04T10:17:06.000"/>
        <d v="2021-11-04T10:17:14.000"/>
        <d v="2021-11-04T10:17:25.000"/>
        <d v="2021-11-04T10:16:43.000"/>
        <d v="2021-11-04T10:45:36.000"/>
        <d v="2021-11-04T10:45:58.000"/>
        <d v="2021-11-04T10:46:38.000"/>
        <d v="2021-11-04T10:46:49.000"/>
        <d v="2021-11-04T10:54:58.000"/>
        <d v="2021-11-04T11:21:16.000"/>
        <d v="2021-11-04T11:24:30.000"/>
        <d v="2021-11-04T11:30:13.000"/>
        <d v="2021-11-04T11:33:31.000"/>
        <d v="2021-11-04T11:18:23.000"/>
        <d v="2021-11-04T11:45:45.000"/>
        <d v="2021-11-04T11:46:48.000"/>
        <d v="2021-11-04T11:46:49.000"/>
        <d v="2021-11-04T11:46:50.000"/>
        <d v="2021-11-04T11:46:51.000"/>
        <d v="2021-11-04T11:45:46.000"/>
        <d v="2021-11-04T12:02:05.000"/>
        <d v="2021-11-04T12:08:32.000"/>
        <d v="2021-11-04T12:17:11.000"/>
        <d v="2021-11-04T12:17:21.000"/>
        <d v="2021-11-04T11:47:43.000"/>
        <d v="2021-11-04T12:08:54.000"/>
        <d v="2021-11-04T12:23:14.000"/>
        <d v="2021-11-04T12:27:26.000"/>
        <d v="2021-11-04T12:36:59.000"/>
        <d v="2021-11-04T13:24:58.000"/>
        <d v="2021-11-04T13:26:03.000"/>
        <d v="2021-11-04T13:26:11.000"/>
        <d v="2021-11-04T13:30:38.000"/>
        <d v="2021-11-04T13:31:31.000"/>
        <d v="2021-11-04T14:11:21.000"/>
        <d v="2021-11-04T14:11:34.000"/>
        <d v="2021-11-04T14:21:55.000"/>
        <d v="2021-11-04T14:22:34.000"/>
        <d v="2021-11-04T14:10:52.000"/>
        <d v="2021-11-04T15:06:06.000"/>
        <d v="2021-11-04T15:06:12.000"/>
        <d v="2021-11-04T15:07:54.000"/>
        <d v="2021-11-04T15:58:34.000"/>
        <d v="2006-11-08T11:04:09.000"/>
        <d v="2006-12-08T14:36:56.000"/>
        <d v="2007-05-04T03:29:15.000"/>
        <s v="14/08/2007 18:19:30"/>
        <s v="28/12/2007 07:54:03"/>
        <s v="17/08/2019 08:43:50"/>
        <d v="2008-05-01T22:00:29.000"/>
        <s v="25/09/2009 00:09:38"/>
        <d v="2010-04-07T13:54:04.000"/>
        <s v="17/08/2019 08:42:43"/>
        <s v="23/08/2020 06:02:08"/>
        <s v="23/08/2020 08:42:02"/>
        <s v="28/08/2010 06:15:42"/>
        <d v="2011-08-02T02:15:52.000"/>
        <s v="17/08/2019 08:41:55"/>
        <s v="16/06/2011 09:53:11"/>
        <s v="25/05/2012 13:31:06"/>
        <s v="23/08/2020 06:02:52"/>
        <d v="2018-12-02T16:54:54.000"/>
        <d v="2018-03-12T21:27:49.000"/>
        <s v="17/08/2019 08:47:04"/>
        <d v="2018-07-06T19:52:10.000"/>
        <d v="2018-07-06T19:42:53.000"/>
        <d v="2018-07-06T19:51:44.000"/>
        <d v="2018-10-06T18:50:53.000"/>
        <d v="2018-07-06T19:47:29.000"/>
        <d v="2018-07-06T22:53:25.000"/>
        <d v="2018-07-06T19:59:30.000"/>
        <d v="2018-07-06T22:53:41.000"/>
        <d v="2018-07-06T20:01:06.000"/>
        <d v="2018-07-06T22:54:38.000"/>
        <d v="2018-07-06T20:29:03.000"/>
        <d v="2018-07-06T22:24:41.000"/>
        <d v="2018-07-06T22:57:06.000"/>
        <d v="2018-07-06T22:23:50.000"/>
        <d v="2018-07-06T22:57:49.000"/>
        <d v="2018-07-06T22:30:38.000"/>
        <d v="2018-07-06T22:58:19.000"/>
        <d v="2018-07-06T22:32:04.000"/>
        <d v="2018-07-06T22:58:40.000"/>
        <d v="2018-07-06T22:41:52.000"/>
        <d v="2018-08-06T23:41:45.000"/>
        <d v="2018-08-06T00:25:42.000"/>
        <d v="2018-08-06T23:40:26.000"/>
        <d v="2018-08-06T03:15:17.000"/>
        <d v="2018-08-06T23:38:32.000"/>
        <d v="2018-08-06T13:41:25.000"/>
        <d v="2018-08-06T23:43:41.000"/>
        <d v="2018-08-06T21:59:04.000"/>
        <d v="2018-09-06T11:50:31.000"/>
        <d v="2018-09-06T09:49:27.000"/>
        <d v="2018-11-06T22:12:59.000"/>
        <d v="2018-10-06T18:00:21.000"/>
        <d v="2018-11-06T22:13:30.000"/>
        <d v="2018-10-06T18:52:19.000"/>
        <d v="2018-11-06T22:13:39.000"/>
        <d v="2018-10-06T19:29:57.000"/>
        <d v="2018-11-06T23:03:45.000"/>
        <d v="2018-11-06T23:08:04.000"/>
        <d v="2018-11-06T22:33:10.000"/>
        <s v="13/06/2018 19:35:04"/>
        <d v="2018-12-06T00:16:24.000"/>
        <s v="13/06/2018 19:41:17"/>
        <d v="2018-12-06T18:52:20.000"/>
        <s v="13/06/2018 19:43:16"/>
        <s v="13/06/2018 11:29:03"/>
        <s v="15/06/2018 19:07:55"/>
        <s v="14/06/2018 23:28:05"/>
        <s v="16/06/2018 19:33:33"/>
        <s v="21/06/2018 20:23:47"/>
        <s v="20/06/2018 04:29:07"/>
        <s v="13/07/2018 22:48:10"/>
        <s v="29/07/2018 11:22:12"/>
        <s v="28/07/2018 22:35:26"/>
        <d v="2018-05-09T22:54:38.000"/>
        <d v="2018-05-09T22:57:16.000"/>
        <s v="26/09/2018 13:47:11"/>
        <s v="18/11/2018 14:19:19"/>
        <s v="18/02/2019 20:50:39"/>
        <s v="18/02/2019 19:25:12"/>
        <d v="2019-04-08T16:00:49.000"/>
        <s v="22/01/2021 04:16:26"/>
        <d v="2019-01-05T19:37:21.000"/>
        <s v="29/04/2019 21:18:29"/>
        <d v="2020-03-12T11:57:50.000"/>
        <d v="2020-03-12T14:37:55.000"/>
        <d v="2020-02-03T16:14:36.000"/>
        <d v="2020-03-12T14:08:39.000"/>
        <d v="2020-01-03T18:30:39.000"/>
        <s v="24/04/2020 05:00:29"/>
        <s v="23/08/2018 23:08:44"/>
        <s v="22/08/2018 19:04:21"/>
        <d v="2018-03-09T15:54:37.000"/>
        <d v="2018-03-09T18:07:52.000"/>
        <d v="2018-03-09T21:28:27.000"/>
        <d v="2018-04-09T12:25:18.000"/>
        <d v="2018-04-09T14:57:37.000"/>
        <d v="2018-04-09T17:10:59.000"/>
        <d v="2018-05-09T19:28:41.000"/>
        <d v="2018-04-09T17:34:56.000"/>
        <d v="2018-07-06T22:55:01.000"/>
        <d v="2018-07-06T20:50:27.000"/>
        <d v="2018-05-09T19:29:28.000"/>
        <d v="2018-04-09T23:23:09.000"/>
        <d v="2018-11-09T20:18:05.000"/>
        <d v="2018-10-09T00:20:43.000"/>
        <s v="16/09/2018 21:46:18"/>
        <d v="2018-03-10T15:04:53.000"/>
        <d v="2018-03-10T06:36:13.000"/>
        <d v="2018-06-10T16:42:42.000"/>
        <d v="2018-06-10T12:00:48.000"/>
        <d v="2018-07-10T22:26:34.000"/>
        <d v="2018-07-10T00:13:41.000"/>
        <s v="15/10/2018 23:51:17"/>
        <s v="20/10/2018 20:59:30"/>
        <s v="29/10/2018 23:43:05"/>
        <s v="29/10/2018 13:11:31"/>
        <d v="2018-11-11T22:49:40.000"/>
        <d v="2018-11-11T15:12:24.000"/>
        <s v="15/11/2018 16:26:31"/>
        <s v="16/11/2018 04:01:37"/>
        <s v="17/11/2018 13:21:03"/>
        <s v="26/11/2018 20:38:51"/>
        <s v="26/11/2018 06:51:05"/>
        <s v="30/11/2018 04:49:51"/>
        <d v="2019-06-01T07:06:53.000"/>
        <s v="13/01/2019 07:05:33"/>
        <s v="16/01/2019 23:30:42"/>
        <s v="16/01/2019 16:34:39"/>
        <s v="16/01/2019 16:45:49"/>
        <d v="2019-03-02T00:51:35.000"/>
        <s v="15/02/2019 08:04:53"/>
        <s v="28/02/2019 12:40:38"/>
        <s v="28/02/2019 12:56:26"/>
        <s v="15/03/2019 00:09:16"/>
        <s v="16/03/2019 06:00:25"/>
        <s v="26/03/2019 06:01:15"/>
        <s v="27/03/2019 18:32:10"/>
        <s v="13/07/2019 16:46:17"/>
        <d v="2019-08-09T03:47:13.000"/>
        <d v="2019-04-10T13:45:08.000"/>
        <d v="2019-11-10T12:03:00.000"/>
        <s v="13/10/2019 23:46:27"/>
        <s v="23/01/2020 10:15:38"/>
        <s v="30/05/2020 16:11:20"/>
        <s v="15/02/2020 01:07:56"/>
        <s v="15/02/2020 15:40:23"/>
        <s v="21/02/2020 17:11:14"/>
        <s v="26/06/2020 11:30:46"/>
        <s v="16/06/2020 14:29:21"/>
        <d v="2020-06-07T02:50:50.000"/>
        <d v="2021-12-06T22:07:47.000"/>
        <s v="17/07/2021 09:50:20"/>
        <s v="17/07/2021 09:58:12"/>
        <s v="16/07/2021 10:15:34"/>
        <s v="22/09/2020 23:56:14"/>
        <s v="26/09/2020 11:26:54"/>
        <s v="26/09/2020 08:32:26"/>
        <d v="2021-05-07T18:01:52.000"/>
        <d v="2018-07-09T19:55:28.000"/>
        <d v="2018-05-09T23:27:12.000"/>
        <s v="31/05/2020 01:45:51"/>
        <d v="2018-07-09T19:55:36.000"/>
        <d v="2018-05-09T23:57:38.000"/>
        <d v="2018-06-09T00:53:35.000"/>
        <d v="2018-07-09T19:57:02.000"/>
        <d v="2018-06-09T01:33:16.000"/>
        <d v="2018-06-09T01:35:11.000"/>
        <d v="2018-06-09T04:36:07.000"/>
        <d v="2018-06-09T06:04:28.000"/>
        <d v="2018-07-09T19:59:02.000"/>
        <d v="2018-07-09T20:47:15.000"/>
        <d v="2018-06-09T07:39:48.000"/>
        <d v="2018-07-09T19:59:11.000"/>
        <d v="2018-06-09T08:56:15.000"/>
        <d v="2018-07-09T19:59:24.000"/>
        <d v="2018-06-09T09:31:11.000"/>
        <d v="2018-07-09T20:00:00.000"/>
        <d v="2018-06-09T10:17:09.000"/>
        <d v="2018-07-09T20:00:40.000"/>
        <d v="2018-06-09T12:04:27.000"/>
        <d v="2018-06-09T14:55:27.000"/>
        <d v="2018-06-09T15:50:07.000"/>
        <d v="2018-06-09T20:35:17.000"/>
        <d v="2018-07-09T20:02:08.000"/>
        <d v="2018-07-09T05:18:39.000"/>
        <d v="2018-08-09T19:47:03.000"/>
        <d v="2018-08-09T08:10:33.000"/>
        <d v="2018-08-09T12:54:57.000"/>
        <d v="2018-09-09T08:49:42.000"/>
        <d v="2018-09-09T16:41:15.000"/>
        <d v="2018-09-09T09:30:05.000"/>
        <d v="2018-11-09T20:17:16.000"/>
        <d v="2018-09-09T22:00:57.000"/>
        <d v="2018-11-09T20:30:53.000"/>
        <d v="2018-11-09T09:02:11.000"/>
        <d v="2018-12-06T11:23:46.000"/>
        <d v="2018-12-06T04:37:38.000"/>
        <d v="2018-04-09T07:56:03.000"/>
        <d v="2018-12-09T21:29:33.000"/>
        <d v="2018-12-09T04:38:28.000"/>
        <s v="16/09/2018 23:18:05"/>
        <s v="19/09/2018 19:09:58"/>
        <s v="22/09/2018 16:05:42"/>
        <s v="21/09/2018 14:20:56"/>
        <s v="26/09/2018 04:52:55"/>
        <s v="27/09/2018 20:43:24"/>
        <s v="26/09/2018 04:54:26"/>
        <s v="30/09/2018 17:30:55"/>
        <s v="30/09/2018 17:08:54"/>
        <s v="23/10/2018 18:43:28"/>
        <s v="18/11/2018 13:50:05"/>
        <s v="23/12/2018 23:54:48"/>
        <s v="26/11/2018 06:17:17"/>
        <s v="29/12/2018 20:46:54"/>
        <d v="2019-04-01T20:25:12.000"/>
        <s v="14/02/2019 22:14:08"/>
        <s v="14/02/2019 20:20:09"/>
        <s v="21/03/2019 04:14:40"/>
        <s v="21/03/2019 04:04:53"/>
        <s v="21/03/2019 04:13:41"/>
        <s v="13/06/2019 15:04:08"/>
        <s v="21/01/2020 19:00:50"/>
        <s v="24/10/2020 18:36:00"/>
        <s v="20/12/2020 10:47:20"/>
        <s v="16/02/2021 14:20:36"/>
        <s v="16/04/2021 04:16:37"/>
        <s v="16/04/2021 04:23:46"/>
        <s v="28/04/2021 06:26:40"/>
        <s v="22/05/2021 04:39:18"/>
        <s v="25/02/2021 18:46:12"/>
        <s v="25/02/2021 15:15:43"/>
        <s v="27/05/2021 19:51:27"/>
        <s v="30/05/2021 16:25:57"/>
        <s v="27/05/2021 19:43:33"/>
        <s v="15/04/2016 01:02:56"/>
        <s v="15/04/2016 01:19:50"/>
        <s v="15/04/2016 01:43:28"/>
        <s v="15/04/2016 01:43:36"/>
        <s v="15/04/2016 04:59:36"/>
        <s v="15/04/2016 05:41:59"/>
        <s v="15/04/2016 07:09:21"/>
        <s v="15/04/2016 09:11:31"/>
        <s v="15/04/2016 09:10:51"/>
        <s v="15/04/2016 09:26:50"/>
        <s v="15/04/2016 09:34:27"/>
        <s v="15/04/2016 09:49:02"/>
        <s v="15/04/2016 10:51:33"/>
        <s v="15/04/2016 12:14:42"/>
        <s v="15/04/2016 12:58:20"/>
        <s v="15/04/2016 14:21:11"/>
        <s v="15/04/2016 16:41:37"/>
        <s v="15/04/2016 17:41:38"/>
        <s v="16/04/2016 09:38:22"/>
        <s v="16/04/2016 20:20:33"/>
        <s v="16/04/2016 12:09:06"/>
        <s v="16/04/2016 23:24:20"/>
        <s v="18/04/2016 12:14:09"/>
        <s v="19/04/2016 02:29:14"/>
        <s v="21/04/2016 20:17:49"/>
        <d v="2018-10-08T17:36:27.000"/>
        <d v="2018-10-08T17:31:25.000"/>
        <d v="2021-07-03T16:45:14.000"/>
        <s v="13/05/2020 16:10:18"/>
        <s v="13/05/2020 16:26:13"/>
        <s v="13/05/2020 16:41:53"/>
        <s v="13/05/2020 16:46:08"/>
        <s v="13/05/2020 18:07:15"/>
        <s v="20/05/2020 19:59:11"/>
        <s v="13/05/2020 18:52:51"/>
        <s v="13/05/2020 19:02:26"/>
        <s v="13/05/2020 19:03:51"/>
        <s v="20/05/2020 20:01:25"/>
        <s v="13/05/2020 19:55:39"/>
        <s v="13/05/2020 20:07:02"/>
        <s v="13/05/2020 21:27:13"/>
        <s v="20/05/2020 19:59:35"/>
        <s v="14/05/2020 00:22:46"/>
        <s v="14/05/2020 01:21:26"/>
        <s v="14/05/2020 01:38:40"/>
        <s v="20/05/2020 20:01:01"/>
        <s v="14/05/2020 01:57:46"/>
        <s v="14/05/2020 17:27:52"/>
        <s v="20/05/2020 20:00:41"/>
        <s v="14/05/2020 18:14:15"/>
        <s v="20/05/2020 19:59:58"/>
        <s v="15/05/2020 01:45:28"/>
        <s v="20/05/2020 20:00:29"/>
        <s v="15/05/2020 11:53:52"/>
        <s v="15/05/2020 22:33:37"/>
        <d v="2021-10-04T17:14:40.000"/>
        <d v="2021-10-04T17:08:01.000"/>
        <d v="2021-09-06T18:11:49.000"/>
        <s v="14/07/2021 05:58:19"/>
        <s v="26/09/2020 23:45:50"/>
        <s v="26/09/2020 23:46:12"/>
        <s v="15/07/2021 23:00:20"/>
        <d v="2018-02-06T09:46:30.000"/>
        <d v="2018-02-06T09:48:24.000"/>
        <d v="2018-02-06T09:51:56.000"/>
        <d v="2018-02-06T09:55:43.000"/>
        <d v="2018-02-06T09:55:52.000"/>
        <d v="2018-02-06T09:33:49.000"/>
        <d v="2018-02-06T16:51:00.000"/>
        <d v="2018-08-06T23:40:39.000"/>
        <d v="2018-08-06T03:13:51.000"/>
        <d v="2018-02-06T09:45:55.000"/>
        <d v="2018-02-06T09:34:21.000"/>
        <d v="2018-02-06T09:45:41.000"/>
        <d v="2018-02-06T09:34:47.000"/>
        <d v="2018-02-06T09:45:26.000"/>
        <d v="2018-02-06T17:01:37.000"/>
        <d v="2018-02-06T09:37:00.000"/>
        <d v="2018-02-06T09:51:27.000"/>
        <d v="2018-02-06T09:50:40.000"/>
        <d v="2018-06-12T11:15:50.000"/>
        <s v="27/03/2019 04:05:03"/>
        <s v="27/03/2019 04:10:39"/>
        <d v="2018-08-06T23:42:17.000"/>
        <d v="2018-08-06T00:25:25.000"/>
        <d v="2018-02-06T12:36:03.000"/>
        <d v="2018-02-06T12:34:52.000"/>
        <d v="2018-02-06T15:21:40.000"/>
        <d v="2018-02-06T12:38:08.000"/>
        <d v="2018-08-06T23:41:19.000"/>
        <d v="2018-08-06T02:02:18.000"/>
        <d v="2018-02-06T16:37:54.000"/>
        <d v="2018-02-06T15:23:26.000"/>
        <d v="2018-06-09T02:14:12.000"/>
        <d v="2018-03-06T02:17:54.000"/>
        <d v="2018-02-06T19:27:30.000"/>
        <d v="2018-07-06T22:55:30.000"/>
        <d v="2018-07-06T21:43:29.000"/>
        <d v="2018-02-06T20:12:40.000"/>
        <d v="2018-03-06T02:18:15.000"/>
        <d v="2018-02-06T20:13:40.000"/>
        <d v="2018-03-06T02:19:16.000"/>
        <d v="2018-02-06T20:19:26.000"/>
        <d v="2018-03-06T02:19:51.000"/>
        <d v="2018-03-06T10:16:28.000"/>
        <d v="2018-02-06T23:05:14.000"/>
        <d v="2018-06-06T19:31:45.000"/>
        <d v="2018-06-06T09:50:45.000"/>
        <d v="2018-06-06T23:53:05.000"/>
        <d v="2018-06-06T21:57:17.000"/>
        <d v="2018-07-09T19:55:20.000"/>
        <d v="2018-05-09T23:17:13.000"/>
        <d v="2018-07-06T15:32:02.000"/>
        <d v="2018-07-06T01:19:49.000"/>
        <d v="2018-06-09T00:33:58.000"/>
        <d v="2018-09-06T11:49:57.000"/>
        <d v="2018-09-06T08:44:22.000"/>
        <s v="15/06/2018 19:05:01"/>
        <s v="13/06/2018 22:01:42"/>
        <s v="13/06/2018 19:41:48"/>
        <d v="2018-12-06T22:07:38.000"/>
        <s v="17/06/2018 05:53:34"/>
        <s v="19/06/2018 22:14:37"/>
        <s v="19/06/2018 20:25:53"/>
        <s v="24/06/2018 13:26:19"/>
        <d v="2018-05-07T20:49:52.000"/>
        <d v="2018-05-07T21:34:48.000"/>
        <d v="2018-06-07T12:18:22.000"/>
        <d v="2018-05-07T20:30:47.000"/>
        <d v="2018-12-07T20:06:26.000"/>
        <d v="2018-12-07T14:36:57.000"/>
        <s v="27/08/2018 20:59:45"/>
        <s v="27/08/2018 20:26:44"/>
        <d v="2018-03-09T00:06:08.000"/>
        <d v="2018-01-09T19:12:36.000"/>
        <d v="2018-02-09T05:22:28.000"/>
        <d v="2018-02-09T05:23:24.000"/>
        <d v="2018-07-09T08:47:03.000"/>
        <s v="14/03/2019 23:33:33"/>
        <s v="16/03/2019 17:11:44"/>
        <s v="16/03/2019 17:13:51"/>
        <s v="16/03/2019 17:14:00"/>
        <s v="16/03/2019 16:55:46"/>
        <s v="16/03/2019 16:57:12"/>
        <s v="16/03/2019 16:58:42"/>
        <s v="30/05/2020 20:48:20"/>
        <s v="31/10/2019 00:46:20"/>
        <s v="19/03/2020 17:15:33"/>
        <d v="2015-07-05T22:20:16.000"/>
        <s v="17/10/2019 15:06:05"/>
        <s v="13/08/2019 04:55:40"/>
        <s v="17/10/2019 15:29:56"/>
        <d v="2019-12-04T23:28:41.000"/>
        <s v="21/07/2019 03:31:16"/>
        <s v="15/03/2020 17:53:13"/>
        <d v="2020-07-06T14:24:45.000"/>
        <s v="21/08/2020 11:04:50"/>
        <d v="2021-11-04T16:34:36.000"/>
        <d v="2021-11-04T13:48:32.000"/>
        <d v="2020-11-11T12:27:21.000"/>
        <d v="2020-10-11T11:41:54.000"/>
        <d v="2020-11-11T12:26:50.000"/>
        <d v="2020-10-11T11:58:13.000"/>
        <d v="2020-10-11T16:17:03.000"/>
        <d v="2020-11-11T23:38:39.000"/>
        <d v="2020-11-11T23:38:41.000"/>
        <d v="2020-10-11T12:13:46.000"/>
        <d v="2020-11-11T12:26:21.000"/>
        <d v="2020-10-11T13:48:15.000"/>
        <d v="2020-11-11T12:23:34.000"/>
        <d v="2020-10-11T17:29:01.000"/>
        <s v="24/09/2020 23:36:14"/>
        <s v="24/09/2020 20:20:44"/>
        <d v="2020-11-11T12:11:54.000"/>
        <d v="2020-11-11T05:00:14.000"/>
        <s v="13/11/2020 12:32:57"/>
        <d v="2020-12-11T12:04:55.000"/>
        <s v="13/11/2020 12:30:32"/>
        <s v="13/11/2020 13:50:22"/>
        <d v="2020-12-11T14:50:34.000"/>
        <s v="13/11/2020 12:26:03"/>
        <s v="13/11/2020 06:12:46"/>
        <d v="2020-12-05T22:23:24.000"/>
        <s v="13/05/2020 07:05:47"/>
        <d v="2020-11-05T10:44:22.000"/>
        <s v="13/11/2020 19:34:56"/>
        <s v="13/11/2020 14:46:20"/>
        <s v="14/11/2020 11:35:52"/>
        <s v="13/11/2020 21:55:22"/>
        <s v="17/11/2020 09:51:43"/>
        <s v="16/11/2020 04:44:11"/>
        <s v="22/02/2021 22:55:04"/>
        <s v="15/08/2019 20:06:19"/>
        <s v="15/08/2019 20:58:36"/>
        <s v="15/08/2019 20:09:03"/>
        <s v="15/08/2019 20:58:17"/>
        <s v="15/08/2019 20:10:50"/>
        <s v="15/08/2019 20:10:51"/>
        <s v="15/08/2019 20:58:04"/>
        <s v="15/08/2019 20:32:28"/>
        <s v="19/08/2019 03:26:20"/>
        <s v="15/08/2019 21:05:48"/>
        <s v="15/08/2019 22:00:04"/>
        <s v="16/08/2019 00:13:46"/>
        <s v="16/08/2019 07:41:58"/>
        <s v="16/08/2019 13:19:35"/>
        <s v="15/08/2019 21:42:56"/>
        <s v="16/08/2019 07:41:41"/>
        <s v="15/08/2019 22:09:20"/>
        <s v="16/08/2019 07:41:06"/>
        <s v="15/08/2019 22:21:06"/>
        <s v="16/08/2019 10:58:04"/>
        <s v="15/08/2019 22:26:53"/>
        <s v="15/08/2019 20:57:47"/>
        <s v="15/08/2019 22:54:40"/>
        <s v="15/08/2019 20:33:21"/>
        <s v="16/08/2019 07:40:54"/>
        <s v="15/08/2019 22:56:01"/>
        <s v="22/08/2019 10:19:26"/>
        <s v="16/08/2019 00:39:20"/>
        <s v="16/08/2019 07:40:02"/>
        <s v="16/08/2019 00:43:18"/>
        <s v="16/08/2019 07:39:38"/>
        <s v="16/08/2019 02:45:54"/>
        <s v="22/08/2019 10:19:13"/>
        <s v="16/08/2019 03:16:24"/>
        <s v="16/08/2019 06:38:01"/>
        <s v="16/08/2019 14:50:03"/>
        <s v="18/08/2019 18:51:20"/>
        <s v="22/08/2019 10:19:50"/>
        <s v="16/08/2019 16:27:09"/>
        <s v="18/08/2019 18:51:03"/>
        <s v="16/08/2019 16:30:48"/>
        <s v="16/08/2019 22:13:05"/>
        <s v="17/08/2019 00:21:23"/>
        <s v="18/08/2019 18:48:59"/>
        <s v="17/08/2019 18:08:10"/>
        <s v="18/08/2019 18:48:49"/>
        <s v="17/08/2019 18:31:09"/>
        <s v="18/08/2019 01:44:39"/>
        <s v="18/08/2019 09:03:24"/>
        <s v="18/08/2019 18:46:47"/>
        <s v="18/08/2019 16:48:50"/>
        <s v="19/08/2019 08:55:25"/>
        <s v="19/08/2019 02:02:08"/>
        <s v="19/08/2019 10:51:20"/>
        <s v="20/08/2019 16:48:55"/>
        <s v="19/08/2019 16:47:47"/>
        <s v="20/08/2019 16:48:51"/>
        <s v="19/08/2019 17:44:21"/>
        <s v="20/08/2019 16:47:48"/>
        <s v="19/08/2019 23:30:33"/>
        <s v="20/08/2019 03:41:56"/>
        <s v="20/08/2019 16:47:06"/>
        <s v="20/08/2019 07:11:26"/>
        <s v="20/08/2019 16:46:47"/>
        <s v="20/08/2019 13:05:12"/>
        <s v="22/08/2019 10:12:53"/>
        <s v="22/08/2019 18:36:41"/>
        <s v="21/08/2019 16:39:30"/>
        <s v="22/08/2019 10:17:10"/>
        <d v="2019-03-09T16:59:22.000"/>
        <d v="2019-09-09T09:32:02.000"/>
        <d v="2019-04-09T20:20:21.000"/>
        <d v="2019-08-10T07:54:26.000"/>
        <d v="2019-07-10T15:41:17.000"/>
        <s v="20/05/2020 18:42:49"/>
        <s v="20/05/2020 18:44:43"/>
        <d v="2020-12-06T09:17:48.000"/>
        <d v="2020-12-06T09:22:45.000"/>
        <d v="2020-11-06T15:59:21.000"/>
        <d v="2020-03-07T08:23:35.000"/>
        <d v="2020-03-07T15:26:12.000"/>
        <s v="29/06/2020 15:26:03"/>
        <d v="2020-03-07T17:02:59.000"/>
        <d v="2020-08-10T11:13:54.000"/>
        <d v="2020-08-10T11:12:22.000"/>
        <d v="2020-09-11T09:20:02.000"/>
        <d v="2020-07-11T19:50:58.000"/>
        <s v="18/04/2021 21:23:03"/>
        <s v="18/04/2021 22:12:07"/>
        <s v="17/04/2021 04:26:51"/>
        <s v="18/04/2021 21:16:48"/>
        <s v="18/04/2021 19:23:25"/>
        <s v="27/04/2018 21:47:24"/>
        <s v="17/02/2019 00:40:55"/>
        <s v="17/02/2019 03:47:36"/>
        <s v="17/02/2019 09:22:05"/>
        <s v="17/02/2019 10:12:30"/>
        <s v="17/02/2019 10:41:45"/>
        <s v="17/02/2019 10:43:47"/>
        <s v="17/02/2019 11:45:09"/>
        <s v="17/02/2019 13:49:10"/>
        <s v="18/02/2019 10:38:18"/>
        <s v="17/02/2019 14:03:36"/>
        <s v="18/02/2019 15:30:24"/>
        <s v="19/02/2019 18:08:41"/>
        <s v="23/02/2019 03:18:41"/>
        <d v="2019-12-03T16:25:26.000"/>
        <s v="14/09/2019 16:16:05"/>
        <d v="2019-07-10T09:10:52.000"/>
        <d v="2019-06-10T09:54:23.000"/>
        <d v="2019-06-10T20:19:20.000"/>
        <s v="18/12/2019 17:28:36"/>
        <s v="28/07/2021 14:14:56"/>
        <s v="28/07/2021 14:22:34"/>
        <s v="28/07/2021 14:47:12"/>
        <s v="28/07/2021 14:49:54"/>
        <s v="28/07/2021 14:53:28"/>
        <s v="28/07/2021 14:57:42"/>
        <s v="28/07/2021 15:03:34"/>
        <s v="28/07/2021 15:05:14"/>
        <s v="28/07/2021 23:50:59"/>
        <s v="29/07/2021 08:29:21"/>
        <s v="29/07/2021 17:14:38"/>
        <s v="23/02/2018 19:11:23"/>
        <s v="24/05/2017 10:17:00"/>
        <s v="24/05/2017 21:55:27"/>
        <s v="24/05/2017 11:55:51"/>
        <s v="24/05/2017 21:55:20"/>
        <s v="24/05/2017 20:45:32"/>
        <s v="24/05/2017 22:25:17"/>
        <d v="2018-06-03T01:43:23.000"/>
        <s v="21/10/2018 20:10:31"/>
        <d v="2018-10-11T15:26:27.000"/>
        <d v="2020-06-04T20:43:45.000"/>
        <d v="2019-04-03T18:02:31.000"/>
        <d v="2019-04-03T18:18:25.000"/>
        <d v="2019-04-03T18:09:09.000"/>
        <d v="2019-04-03T18:10:35.000"/>
        <d v="2019-04-03T18:17:34.000"/>
        <d v="2019-04-03T18:35:29.000"/>
        <d v="2019-04-03T18:38:20.000"/>
        <d v="2019-04-03T18:49:02.000"/>
        <d v="2019-04-03T18:42:51.000"/>
        <d v="2019-04-03T18:51:05.000"/>
        <d v="2019-04-03T18:43:00.000"/>
        <d v="2019-04-03T18:47:08.000"/>
        <d v="2019-04-03T18:43:21.000"/>
        <d v="2019-04-03T18:55:35.000"/>
        <d v="2019-04-03T19:02:50.000"/>
        <d v="2019-04-03T19:33:51.000"/>
        <d v="2019-04-03T19:38:42.000"/>
        <d v="2019-04-03T21:51:24.000"/>
        <d v="2019-04-03T21:53:51.000"/>
        <d v="2019-04-03T21:54:56.000"/>
        <d v="2019-04-03T21:57:52.000"/>
        <d v="2019-04-03T18:52:59.000"/>
        <d v="2019-04-03T18:58:15.000"/>
        <d v="2019-04-03T18:57:26.000"/>
        <d v="2019-04-03T18:58:42.000"/>
        <d v="2019-04-03T19:00:39.000"/>
        <d v="2019-04-03T18:57:30.000"/>
        <d v="2019-04-03T19:00:18.000"/>
        <d v="2019-04-03T20:10:50.000"/>
        <d v="2019-04-03T19:44:18.000"/>
        <d v="2019-04-03T20:12:17.000"/>
        <d v="2019-04-03T20:00:20.000"/>
        <d v="2019-04-03T20:16:47.000"/>
        <d v="2019-04-03T20:05:23.000"/>
        <d v="2019-04-03T21:12:04.000"/>
        <d v="2019-04-03T20:56:46.000"/>
        <d v="2019-04-03T22:16:00.000"/>
        <d v="2019-04-03T22:05:37.000"/>
        <d v="2019-04-03T22:13:41.000"/>
        <d v="2019-04-03T22:35:35.000"/>
        <d v="2019-04-03T23:25:21.000"/>
        <d v="2019-04-03T23:17:15.000"/>
        <d v="2019-05-03T00:45:09.000"/>
        <d v="2019-05-03T00:23:27.000"/>
        <d v="2019-05-03T04:33:46.000"/>
        <d v="2020-12-05T22:30:16.000"/>
        <d v="2020-03-05T10:00:16.000"/>
        <d v="2019-05-03T05:17:24.000"/>
        <d v="2019-05-03T08:04:19.000"/>
        <d v="2019-05-03T12:12:40.000"/>
        <d v="2019-05-03T11:40:35.000"/>
        <d v="2019-05-03T12:12:39.000"/>
        <d v="2019-05-03T16:01:39.000"/>
        <d v="2019-05-03T14:50:31.000"/>
        <s v="26/02/2018 22:25:31"/>
        <d v="2019-05-03T22:42:23.000"/>
        <d v="2019-05-03T23:10:06.000"/>
        <d v="2019-05-03T19:54:53.000"/>
        <d v="2019-06-03T11:51:30.000"/>
        <d v="2019-06-03T23:30:01.000"/>
        <d v="2019-06-03T23:04:34.000"/>
        <d v="2019-07-03T06:05:25.000"/>
        <d v="2019-12-03T10:56:20.000"/>
        <d v="2019-12-03T01:51:34.000"/>
        <s v="21/03/2019 10:15:02"/>
        <s v="21/03/2019 07:39:37"/>
        <s v="26/03/2019 17:37:25"/>
        <s v="26/03/2019 17:08:54"/>
        <s v="25/07/2019 21:38:36"/>
        <s v="25/07/2019 20:07:43"/>
        <s v="20/08/2019 13:38:16"/>
        <d v="2020-01-07T14:51:30.000"/>
        <s v="30/06/2020 16:26:33"/>
        <d v="2020-04-11T23:04:34.000"/>
        <s v="20/05/2021 09:26:45"/>
        <s v="20/05/2021 09:28:33"/>
        <s v="20/05/2021 09:31:22"/>
        <s v="20/05/2021 09:35:26"/>
        <d v="2020-03-05T09:48:49.000"/>
        <d v="2020-03-05T09:00:01.000"/>
        <s v="25/05/2019 06:39:10"/>
        <d v="2020-03-10T23:32:29.000"/>
        <d v="2006-11-08T05:07:17.000"/>
        <s v="27/02/2019 19:00:07"/>
        <s v="24/10/2019 19:36:12"/>
        <s v="22/09/2020 02:19:04"/>
        <s v="22/09/2020 02:13:21"/>
        <d v="2021-08-01T13:13:24.000"/>
        <s v="15/04/2016 00:35:48"/>
        <s v="13/05/2020 15:04:55"/>
        <s v="23/08/2019 23:18:26"/>
        <s v="13/05/2020 15:00:30"/>
        <d v="2021-01-03T07:27:59.000"/>
        <s v="22/02/2021 19:28:52"/>
        <s v="29/05/2020 16:00:28"/>
        <d v="2018-07-06T19:00:00.000"/>
        <s v="30/08/2018 20:00:01"/>
        <d v="2018-05-09T18:27:36.000"/>
        <d v="2018-02-06T09:16:42.000"/>
        <d v="2020-10-11T10:00:25.000"/>
        <s v="15/06/2021 23:01:32"/>
        <s v="26/01/2018 23:49:31"/>
        <s v="15/08/2019 20:00:00"/>
        <s v="30/04/2017 00:58:30"/>
        <s v="17/02/2019 00:18:51"/>
        <d v="2018-06-05T21:16:02.000"/>
        <s v="28/07/2021 13:53:50"/>
        <s v="23/05/2017 22:30:15"/>
        <d v="2019-04-03T18:04:04.000"/>
        <d v="2019-04-03T18:00:08.000"/>
        <s v="26/07/2015 09:15:37"/>
        <s v="21/02/2014 05:57:11"/>
        <d v="2021-06-03T15:26:28.000"/>
      </sharedItems>
    </cacheField>
    <cacheField name="Updated At">
      <sharedItems containsDate="1" containsBlank="1" containsMixedTypes="1" count="0"/>
    </cacheField>
    <cacheField name="URLs In Comment">
      <sharedItems containsBlank="1" containsMixedTypes="0" longText="1" count="0"/>
    </cacheField>
    <cacheField name="Domains In Comment">
      <sharedItems containsBlank="1" containsMixedTypes="0" longText="1"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500979686"/>
    </ext>
  </extLst>
</pivotCacheDefinition>
</file>

<file path=xl/pivotCache/pivotCacheRecords1.xml><?xml version="1.0" encoding="utf-8"?>
<pivotCacheRecords xmlns="http://schemas.openxmlformats.org/spreadsheetml/2006/main" xmlns:r="http://schemas.openxmlformats.org/officeDocument/2006/relationships" count="856">
  <r>
    <s v="UCbbx7msYKamwOeRUkaqCTAQ"/>
    <s v="UCWHsCW7mURDlrfTO_LyitwQ"/>
    <m/>
    <m/>
    <m/>
    <m/>
    <m/>
    <m/>
    <m/>
    <m/>
    <s v="Yes"/>
    <n v="3"/>
    <m/>
    <m/>
    <s v="Replied Comment"/>
    <x v="0"/>
    <s v="Thanks for watching!"/>
    <s v="UCbbx7msYKamwOeRUkaqCTAQ"/>
    <s v="Geek Street Travels"/>
    <s v="http://www.youtube.com/channel/UCbbx7msYKamwOeRUkaqCTAQ"/>
    <s v="Ugw6SqgiV3gO_vUrUCJ4AaABAg"/>
    <s v="-0Iauhp_Kug"/>
    <s v="https://www.youtube.com/watch?v=-0Iauhp_Kug"/>
    <s v="none"/>
    <n v="0"/>
    <x v="0"/>
    <d v="2020-12-05T22:31:35.000"/>
    <m/>
    <m/>
    <s v=""/>
    <n v="1"/>
    <s v="5"/>
    <s v="5"/>
    <n v="0"/>
    <n v="0"/>
    <n v="0"/>
    <n v="0"/>
    <n v="0"/>
    <n v="0"/>
    <n v="3"/>
    <n v="100"/>
    <n v="3"/>
  </r>
  <r>
    <s v="UCWHsCW7mURDlrfTO_LyitwQ"/>
    <s v="UCbbx7msYKamwOeRUkaqCTAQ"/>
    <m/>
    <m/>
    <m/>
    <m/>
    <m/>
    <m/>
    <m/>
    <m/>
    <s v="Yes"/>
    <n v="4"/>
    <m/>
    <m/>
    <s v="Commented Video"/>
    <x v="1"/>
    <s v="Lovely video, I&amp;#39;m homesick now lol, thanks for sharing #1 like"/>
    <s v="UCWHsCW7mURDlrfTO_LyitwQ"/>
    <s v="RJinspire"/>
    <s v="http://www.youtube.com/channel/UCWHsCW7mURDlrfTO_LyitwQ"/>
    <m/>
    <s v="-0Iauhp_Kug"/>
    <s v="https://www.youtube.com/watch?v=-0Iauhp_Kug"/>
    <s v="none"/>
    <n v="1"/>
    <x v="1"/>
    <d v="2020-03-05T09:03:28.000"/>
    <m/>
    <m/>
    <s v=""/>
    <n v="1"/>
    <s v="5"/>
    <s v="5"/>
    <n v="2"/>
    <n v="15.384615384615385"/>
    <n v="0"/>
    <n v="0"/>
    <n v="0"/>
    <n v="0"/>
    <n v="11"/>
    <n v="84.61538461538461"/>
    <n v="13"/>
  </r>
  <r>
    <s v="UCbbx7msYKamwOeRUkaqCTAQ"/>
    <s v="UCS4mJk0uW_RNzpuPcDTyD_g"/>
    <m/>
    <m/>
    <m/>
    <m/>
    <m/>
    <m/>
    <m/>
    <m/>
    <s v="Yes"/>
    <n v="5"/>
    <m/>
    <m/>
    <s v="Replied Comment"/>
    <x v="0"/>
    <s v="Thanks for watching!"/>
    <s v="UCbbx7msYKamwOeRUkaqCTAQ"/>
    <s v="Geek Street Travels"/>
    <s v="http://www.youtube.com/channel/UCbbx7msYKamwOeRUkaqCTAQ"/>
    <s v="UgydaH-DtRpsYuBse814AaABAg"/>
    <s v="-0Iauhp_Kug"/>
    <s v="https://www.youtube.com/watch?v=-0Iauhp_Kug"/>
    <s v="none"/>
    <n v="0"/>
    <x v="2"/>
    <s v="18/05/2020 14:05:24"/>
    <m/>
    <m/>
    <s v=""/>
    <n v="1"/>
    <s v="5"/>
    <s v="5"/>
    <n v="0"/>
    <n v="0"/>
    <n v="0"/>
    <n v="0"/>
    <n v="0"/>
    <n v="0"/>
    <n v="3"/>
    <n v="100"/>
    <n v="3"/>
  </r>
  <r>
    <s v="UCS4mJk0uW_RNzpuPcDTyD_g"/>
    <s v="UCbbx7msYKamwOeRUkaqCTAQ"/>
    <m/>
    <m/>
    <m/>
    <m/>
    <m/>
    <m/>
    <m/>
    <m/>
    <s v="Yes"/>
    <n v="6"/>
    <m/>
    <m/>
    <s v="Commented Video"/>
    <x v="1"/>
    <s v="Molto bello   Tres belle Beautiful   بسیار خوب   πολύ ωραίο 真的很不錯   Очень приятно   とても素敵な  Sehr Schon"/>
    <s v="UCS4mJk0uW_RNzpuPcDTyD_g"/>
    <s v="ILARIO SCHANZER"/>
    <s v="http://www.youtube.com/channel/UCS4mJk0uW_RNzpuPcDTyD_g"/>
    <m/>
    <s v="-0Iauhp_Kug"/>
    <s v="https://www.youtube.com/watch?v=-0Iauhp_Kug"/>
    <s v="none"/>
    <n v="1"/>
    <x v="3"/>
    <d v="2020-03-05T09:12:26.000"/>
    <m/>
    <m/>
    <s v=""/>
    <n v="1"/>
    <s v="5"/>
    <s v="5"/>
    <n v="1"/>
    <n v="6.666666666666667"/>
    <n v="0"/>
    <n v="0"/>
    <n v="0"/>
    <n v="0"/>
    <n v="14"/>
    <n v="93.33333333333333"/>
    <n v="15"/>
  </r>
  <r>
    <s v="UCbbx7msYKamwOeRUkaqCTAQ"/>
    <s v="UC-8ZIiAhTcqRp-3qg0-lc5w"/>
    <m/>
    <m/>
    <m/>
    <m/>
    <m/>
    <m/>
    <m/>
    <m/>
    <s v="Yes"/>
    <n v="7"/>
    <m/>
    <m/>
    <s v="Replied Comment"/>
    <x v="0"/>
    <s v="Thank you so much 👍"/>
    <s v="UCbbx7msYKamwOeRUkaqCTAQ"/>
    <s v="Geek Street Travels"/>
    <s v="http://www.youtube.com/channel/UCbbx7msYKamwOeRUkaqCTAQ"/>
    <s v="Ugwyyc803y8MKQvxtwF4AaABAg"/>
    <s v="-0Iauhp_Kug"/>
    <s v="https://www.youtube.com/watch?v=-0Iauhp_Kug"/>
    <s v="none"/>
    <n v="1"/>
    <x v="4"/>
    <d v="2020-04-05T10:42:08.000"/>
    <m/>
    <m/>
    <s v=""/>
    <n v="1"/>
    <s v="5"/>
    <s v="5"/>
    <n v="1"/>
    <n v="25"/>
    <n v="0"/>
    <n v="0"/>
    <n v="0"/>
    <n v="0"/>
    <n v="3"/>
    <n v="75"/>
    <n v="4"/>
  </r>
  <r>
    <s v="UC-8ZIiAhTcqRp-3qg0-lc5w"/>
    <s v="UCbbx7msYKamwOeRUkaqCTAQ"/>
    <m/>
    <m/>
    <m/>
    <m/>
    <m/>
    <m/>
    <m/>
    <m/>
    <s v="Yes"/>
    <n v="8"/>
    <m/>
    <m/>
    <s v="Commented Video"/>
    <x v="1"/>
    <s v="Good morning, beautiful and very very best city and channel, congratulations thanks 👍💯👈🆗👌🤗"/>
    <s v="UC-8ZIiAhTcqRp-3qg0-lc5w"/>
    <s v="Tom"/>
    <s v="http://www.youtube.com/channel/UC-8ZIiAhTcqRp-3qg0-lc5w"/>
    <m/>
    <s v="-0Iauhp_Kug"/>
    <s v="https://www.youtube.com/watch?v=-0Iauhp_Kug"/>
    <s v="none"/>
    <n v="2"/>
    <x v="5"/>
    <d v="2020-03-05T09:13:30.000"/>
    <m/>
    <m/>
    <s v=""/>
    <n v="1"/>
    <s v="5"/>
    <s v="5"/>
    <n v="4"/>
    <n v="33.333333333333336"/>
    <n v="0"/>
    <n v="0"/>
    <n v="0"/>
    <n v="0"/>
    <n v="8"/>
    <n v="66.66666666666667"/>
    <n v="12"/>
  </r>
  <r>
    <s v="UCbbx7msYKamwOeRUkaqCTAQ"/>
    <s v="UCuH63tK9Tl4UmYP5Spj8Ltw"/>
    <m/>
    <m/>
    <m/>
    <m/>
    <m/>
    <m/>
    <m/>
    <m/>
    <s v="Yes"/>
    <n v="9"/>
    <m/>
    <m/>
    <s v="Replied Comment"/>
    <x v="0"/>
    <s v="Thanks!"/>
    <s v="UCbbx7msYKamwOeRUkaqCTAQ"/>
    <s v="Geek Street Travels"/>
    <s v="http://www.youtube.com/channel/UCbbx7msYKamwOeRUkaqCTAQ"/>
    <s v="UgyMbj53tG7751y-w414AaABAg"/>
    <s v="-0Iauhp_Kug"/>
    <s v="https://www.youtube.com/watch?v=-0Iauhp_Kug"/>
    <s v="none"/>
    <n v="0"/>
    <x v="6"/>
    <d v="2020-12-05T22:30:26.000"/>
    <m/>
    <m/>
    <s v=""/>
    <n v="1"/>
    <s v="5"/>
    <s v="5"/>
    <n v="0"/>
    <n v="0"/>
    <n v="0"/>
    <n v="0"/>
    <n v="0"/>
    <n v="0"/>
    <n v="1"/>
    <n v="100"/>
    <n v="1"/>
  </r>
  <r>
    <s v="UCuH63tK9Tl4UmYP5Spj8Ltw"/>
    <s v="UCbbx7msYKamwOeRUkaqCTAQ"/>
    <m/>
    <m/>
    <m/>
    <m/>
    <m/>
    <m/>
    <m/>
    <m/>
    <s v="Yes"/>
    <n v="10"/>
    <m/>
    <m/>
    <s v="Commented Video"/>
    <x v="1"/>
    <s v="likes this video"/>
    <s v="UCuH63tK9Tl4UmYP5Spj8Ltw"/>
    <s v="Danial Show"/>
    <s v="http://www.youtube.com/channel/UCuH63tK9Tl4UmYP5Spj8Ltw"/>
    <m/>
    <s v="-0Iauhp_Kug"/>
    <s v="https://www.youtube.com/watch?v=-0Iauhp_Kug"/>
    <s v="none"/>
    <n v="1"/>
    <x v="7"/>
    <d v="2020-03-05T09:18:28.000"/>
    <m/>
    <m/>
    <s v=""/>
    <n v="1"/>
    <s v="5"/>
    <s v="5"/>
    <n v="1"/>
    <n v="33.333333333333336"/>
    <n v="0"/>
    <n v="0"/>
    <n v="0"/>
    <n v="0"/>
    <n v="2"/>
    <n v="66.66666666666667"/>
    <n v="3"/>
  </r>
  <r>
    <s v="UCbbx7msYKamwOeRUkaqCTAQ"/>
    <s v="UC04EJMixTu9-xpNfxLeEpYg"/>
    <m/>
    <m/>
    <m/>
    <m/>
    <m/>
    <m/>
    <m/>
    <m/>
    <s v="Yes"/>
    <n v="11"/>
    <m/>
    <m/>
    <s v="Replied Comment"/>
    <x v="0"/>
    <s v="Yes.  Please I got this in before the lock down.  Cant wait to see the place again and see what flowers have bloomed, plus to see the awesome sights of the city :)"/>
    <s v="UCbbx7msYKamwOeRUkaqCTAQ"/>
    <s v="Geek Street Travels"/>
    <s v="http://www.youtube.com/channel/UCbbx7msYKamwOeRUkaqCTAQ"/>
    <s v="UgwlHNTOM7eSZxRioiN4AaABAg"/>
    <s v="-0Iauhp_Kug"/>
    <s v="https://www.youtube.com/watch?v=-0Iauhp_Kug"/>
    <s v="none"/>
    <n v="0"/>
    <x v="8"/>
    <d v="2020-04-05T10:41:59.000"/>
    <m/>
    <m/>
    <s v=""/>
    <n v="1"/>
    <s v="5"/>
    <s v="5"/>
    <n v="1"/>
    <n v="3.125"/>
    <n v="0"/>
    <n v="0"/>
    <n v="0"/>
    <n v="0"/>
    <n v="31"/>
    <n v="96.875"/>
    <n v="32"/>
  </r>
  <r>
    <s v="UC04EJMixTu9-xpNfxLeEpYg"/>
    <s v="UCbbx7msYKamwOeRUkaqCTAQ"/>
    <m/>
    <m/>
    <m/>
    <m/>
    <m/>
    <m/>
    <m/>
    <m/>
    <s v="Yes"/>
    <n v="12"/>
    <m/>
    <m/>
    <s v="Commented Video"/>
    <x v="1"/>
    <s v="Nicely captured, looks like you almost had the whole roof to yourself! I&amp;#39;m guessing you were one of the last visitors before the shutdown then?"/>
    <s v="UC04EJMixTu9-xpNfxLeEpYg"/>
    <s v="4K Explorer"/>
    <s v="http://www.youtube.com/channel/UC04EJMixTu9-xpNfxLeEpYg"/>
    <m/>
    <s v="-0Iauhp_Kug"/>
    <s v="https://www.youtube.com/watch?v=-0Iauhp_Kug"/>
    <s v="none"/>
    <n v="2"/>
    <x v="9"/>
    <d v="2020-03-05T09:23:18.000"/>
    <m/>
    <m/>
    <s v=""/>
    <n v="1"/>
    <s v="5"/>
    <s v="5"/>
    <n v="2"/>
    <n v="7.407407407407407"/>
    <n v="0"/>
    <n v="0"/>
    <n v="0"/>
    <n v="0"/>
    <n v="25"/>
    <n v="92.5925925925926"/>
    <n v="27"/>
  </r>
  <r>
    <s v="UCbbx7msYKamwOeRUkaqCTAQ"/>
    <s v="UCjPlQsuslEAH_4AxlYT0eKQ"/>
    <m/>
    <m/>
    <m/>
    <m/>
    <m/>
    <m/>
    <m/>
    <m/>
    <s v="Yes"/>
    <n v="13"/>
    <m/>
    <m/>
    <s v="Replied Comment"/>
    <x v="0"/>
    <s v="Thanks for watching!"/>
    <s v="UCbbx7msYKamwOeRUkaqCTAQ"/>
    <s v="Geek Street Travels"/>
    <s v="http://www.youtube.com/channel/UCbbx7msYKamwOeRUkaqCTAQ"/>
    <s v="UgwuvDRG3-w7RvtHF1B4AaABAg"/>
    <s v="-0Iauhp_Kug"/>
    <s v="https://www.youtube.com/watch?v=-0Iauhp_Kug"/>
    <s v="none"/>
    <n v="0"/>
    <x v="10"/>
    <d v="2020-12-05T22:29:57.000"/>
    <m/>
    <m/>
    <s v=""/>
    <n v="1"/>
    <s v="5"/>
    <s v="5"/>
    <n v="0"/>
    <n v="0"/>
    <n v="0"/>
    <n v="0"/>
    <n v="0"/>
    <n v="0"/>
    <n v="3"/>
    <n v="100"/>
    <n v="3"/>
  </r>
  <r>
    <s v="UCjPlQsuslEAH_4AxlYT0eKQ"/>
    <s v="UCbbx7msYKamwOeRUkaqCTAQ"/>
    <m/>
    <m/>
    <m/>
    <m/>
    <m/>
    <m/>
    <m/>
    <m/>
    <s v="Yes"/>
    <n v="14"/>
    <m/>
    <m/>
    <s v="Commented Video"/>
    <x v="1"/>
    <s v="Such a nice place to chill out ! Thanks for sharing with us"/>
    <s v="UCjPlQsuslEAH_4AxlYT0eKQ"/>
    <s v="Chill &amp; Explore"/>
    <s v="http://www.youtube.com/channel/UCjPlQsuslEAH_4AxlYT0eKQ"/>
    <m/>
    <s v="-0Iauhp_Kug"/>
    <s v="https://www.youtube.com/watch?v=-0Iauhp_Kug"/>
    <s v="none"/>
    <n v="1"/>
    <x v="11"/>
    <d v="2020-03-05T10:20:48.000"/>
    <m/>
    <m/>
    <s v=""/>
    <n v="1"/>
    <s v="5"/>
    <s v="5"/>
    <n v="1"/>
    <n v="8.333333333333334"/>
    <n v="1"/>
    <n v="8.333333333333334"/>
    <n v="0"/>
    <n v="0"/>
    <n v="10"/>
    <n v="83.33333333333333"/>
    <n v="12"/>
  </r>
  <r>
    <s v="UCbbx7msYKamwOeRUkaqCTAQ"/>
    <s v="UCVdMMs0ti6ZLsVs4cP6PNZw"/>
    <m/>
    <m/>
    <m/>
    <m/>
    <m/>
    <m/>
    <m/>
    <m/>
    <s v="Yes"/>
    <n v="15"/>
    <m/>
    <m/>
    <s v="Replied Comment"/>
    <x v="0"/>
    <s v="Things are calming down. Hope to be back filming more of London sights 🙏"/>
    <s v="UCbbx7msYKamwOeRUkaqCTAQ"/>
    <s v="Geek Street Travels"/>
    <s v="http://www.youtube.com/channel/UCbbx7msYKamwOeRUkaqCTAQ"/>
    <s v="UgxZOa6bWLYgE0Z1HcF4AaABAg"/>
    <s v="-0Iauhp_Kug"/>
    <s v="https://www.youtube.com/watch?v=-0Iauhp_Kug"/>
    <s v="none"/>
    <n v="1"/>
    <x v="12"/>
    <d v="2020-12-05T22:29:47.000"/>
    <m/>
    <m/>
    <s v=""/>
    <n v="1"/>
    <s v="5"/>
    <s v="5"/>
    <n v="1"/>
    <n v="7.6923076923076925"/>
    <n v="0"/>
    <n v="0"/>
    <n v="0"/>
    <n v="0"/>
    <n v="12"/>
    <n v="92.3076923076923"/>
    <n v="13"/>
  </r>
  <r>
    <s v="UCVdMMs0ti6ZLsVs4cP6PNZw"/>
    <s v="UCbbx7msYKamwOeRUkaqCTAQ"/>
    <m/>
    <m/>
    <m/>
    <m/>
    <m/>
    <m/>
    <m/>
    <m/>
    <s v="Yes"/>
    <n v="16"/>
    <m/>
    <m/>
    <s v="Commented Video"/>
    <x v="1"/>
    <s v="How is london from covid19?&lt;br&gt;Please stay safe"/>
    <s v="UCVdMMs0ti6ZLsVs4cP6PNZw"/>
    <s v="PIG TOUR"/>
    <s v="http://www.youtube.com/channel/UCVdMMs0ti6ZLsVs4cP6PNZw"/>
    <m/>
    <s v="-0Iauhp_Kug"/>
    <s v="https://www.youtube.com/watch?v=-0Iauhp_Kug"/>
    <s v="none"/>
    <n v="1"/>
    <x v="13"/>
    <d v="2020-03-05T11:25:13.000"/>
    <m/>
    <m/>
    <s v=""/>
    <n v="1"/>
    <s v="5"/>
    <s v="5"/>
    <n v="1"/>
    <n v="11.11111111111111"/>
    <n v="0"/>
    <n v="0"/>
    <n v="0"/>
    <n v="0"/>
    <n v="8"/>
    <n v="88.88888888888889"/>
    <n v="9"/>
  </r>
  <r>
    <s v="UCbbx7msYKamwOeRUkaqCTAQ"/>
    <s v="UCBkPK8xL9jUW1ooL7xow8fA"/>
    <m/>
    <m/>
    <m/>
    <m/>
    <m/>
    <m/>
    <m/>
    <m/>
    <s v="Yes"/>
    <n v="17"/>
    <m/>
    <m/>
    <s v="Replied Comment"/>
    <x v="0"/>
    <s v="Thanks for your support!"/>
    <s v="UCbbx7msYKamwOeRUkaqCTAQ"/>
    <s v="Geek Street Travels"/>
    <s v="http://www.youtube.com/channel/UCbbx7msYKamwOeRUkaqCTAQ"/>
    <s v="UgxubH-w67NXzlXiLZJ4AaABAg"/>
    <s v="-0Iauhp_Kug"/>
    <s v="https://www.youtube.com/watch?v=-0Iauhp_Kug"/>
    <s v="none"/>
    <n v="0"/>
    <x v="14"/>
    <d v="2020-12-05T22:28:25.000"/>
    <m/>
    <m/>
    <s v=""/>
    <n v="1"/>
    <s v="5"/>
    <s v="5"/>
    <n v="1"/>
    <n v="25"/>
    <n v="0"/>
    <n v="0"/>
    <n v="0"/>
    <n v="0"/>
    <n v="3"/>
    <n v="75"/>
    <n v="4"/>
  </r>
  <r>
    <s v="UCBkPK8xL9jUW1ooL7xow8fA"/>
    <s v="UCbbx7msYKamwOeRUkaqCTAQ"/>
    <m/>
    <m/>
    <m/>
    <m/>
    <m/>
    <m/>
    <m/>
    <m/>
    <s v="Yes"/>
    <n v="18"/>
    <m/>
    <m/>
    <s v="Commented Video"/>
    <x v="1"/>
    <s v="Like 17.subscribed.please stay connected. Iam new YouTuber"/>
    <s v="UCBkPK8xL9jUW1ooL7xow8fA"/>
    <s v="Dhansiraksha Pop Fun"/>
    <s v="http://www.youtube.com/channel/UCBkPK8xL9jUW1ooL7xow8fA"/>
    <m/>
    <s v="-0Iauhp_Kug"/>
    <s v="https://www.youtube.com/watch?v=-0Iauhp_Kug"/>
    <s v="none"/>
    <n v="1"/>
    <x v="15"/>
    <d v="2020-03-05T13:06:13.000"/>
    <m/>
    <m/>
    <s v=""/>
    <n v="1"/>
    <s v="5"/>
    <s v="5"/>
    <n v="1"/>
    <n v="11.11111111111111"/>
    <n v="0"/>
    <n v="0"/>
    <n v="0"/>
    <n v="0"/>
    <n v="8"/>
    <n v="88.88888888888889"/>
    <n v="9"/>
  </r>
  <r>
    <s v="UCbbx7msYKamwOeRUkaqCTAQ"/>
    <s v="UCbMLD5oAyYT9leb5m4Hpmyw"/>
    <m/>
    <m/>
    <m/>
    <m/>
    <m/>
    <m/>
    <m/>
    <m/>
    <s v="Yes"/>
    <n v="19"/>
    <m/>
    <m/>
    <s v="Replied Comment"/>
    <x v="0"/>
    <s v="Thanks for watching!"/>
    <s v="UCbbx7msYKamwOeRUkaqCTAQ"/>
    <s v="Geek Street Travels"/>
    <s v="http://www.youtube.com/channel/UCbbx7msYKamwOeRUkaqCTAQ"/>
    <s v="Ugy8oEFdHzFmtt_2V-54AaABAg"/>
    <s v="-0Iauhp_Kug"/>
    <s v="https://www.youtube.com/watch?v=-0Iauhp_Kug"/>
    <s v="none"/>
    <n v="0"/>
    <x v="16"/>
    <d v="2020-12-05T22:28:10.000"/>
    <m/>
    <m/>
    <s v=""/>
    <n v="1"/>
    <s v="5"/>
    <s v="5"/>
    <n v="0"/>
    <n v="0"/>
    <n v="0"/>
    <n v="0"/>
    <n v="0"/>
    <n v="0"/>
    <n v="3"/>
    <n v="100"/>
    <n v="3"/>
  </r>
  <r>
    <s v="UCbMLD5oAyYT9leb5m4Hpmyw"/>
    <s v="UCbbx7msYKamwOeRUkaqCTAQ"/>
    <m/>
    <m/>
    <m/>
    <m/>
    <m/>
    <m/>
    <m/>
    <m/>
    <s v="Yes"/>
    <n v="20"/>
    <m/>
    <m/>
    <s v="Commented Video"/>
    <x v="1"/>
    <s v="The view of the city from the top of the building is excellent. Thank you for the great video.~😄"/>
    <s v="UCbMLD5oAyYT9leb5m4Hpmyw"/>
    <s v="Nook &amp; Cranny Korea 구석구석 코리아"/>
    <s v="http://www.youtube.com/channel/UCbMLD5oAyYT9leb5m4Hpmyw"/>
    <m/>
    <s v="-0Iauhp_Kug"/>
    <s v="https://www.youtube.com/watch?v=-0Iauhp_Kug"/>
    <s v="none"/>
    <n v="1"/>
    <x v="17"/>
    <d v="2020-03-05T14:25:22.000"/>
    <m/>
    <m/>
    <s v=""/>
    <n v="1"/>
    <s v="5"/>
    <s v="5"/>
    <n v="4"/>
    <n v="21.05263157894737"/>
    <n v="0"/>
    <n v="0"/>
    <n v="0"/>
    <n v="0"/>
    <n v="15"/>
    <n v="78.94736842105263"/>
    <n v="19"/>
  </r>
  <r>
    <s v="UCbbx7msYKamwOeRUkaqCTAQ"/>
    <s v="UCc1NLScmSAY5A8YZKLG23_g"/>
    <m/>
    <m/>
    <m/>
    <m/>
    <m/>
    <m/>
    <m/>
    <m/>
    <s v="Yes"/>
    <n v="21"/>
    <m/>
    <m/>
    <s v="Replied Comment"/>
    <x v="0"/>
    <s v="Thanks for your comment and support 👍"/>
    <s v="UCbbx7msYKamwOeRUkaqCTAQ"/>
    <s v="Geek Street Travels"/>
    <s v="http://www.youtube.com/channel/UCbbx7msYKamwOeRUkaqCTAQ"/>
    <s v="UgwEUSPeIpY8gQeK-5d4AaABAg"/>
    <s v="-0Iauhp_Kug"/>
    <s v="https://www.youtube.com/watch?v=-0Iauhp_Kug"/>
    <s v="none"/>
    <n v="0"/>
    <x v="18"/>
    <d v="2020-12-05T22:27:44.000"/>
    <m/>
    <m/>
    <s v=""/>
    <n v="1"/>
    <s v="5"/>
    <s v="5"/>
    <n v="1"/>
    <n v="16.666666666666668"/>
    <n v="0"/>
    <n v="0"/>
    <n v="0"/>
    <n v="0"/>
    <n v="5"/>
    <n v="83.33333333333333"/>
    <n v="6"/>
  </r>
  <r>
    <s v="UCc1NLScmSAY5A8YZKLG23_g"/>
    <s v="UCbbx7msYKamwOeRUkaqCTAQ"/>
    <m/>
    <m/>
    <m/>
    <m/>
    <m/>
    <m/>
    <m/>
    <m/>
    <s v="Yes"/>
    <n v="22"/>
    <m/>
    <m/>
    <s v="Commented Video"/>
    <x v="1"/>
    <s v="So beautiful, new experience for me !!!_x000d_&lt;br&gt;Very nice walking tour, thoroughly enjoyed👍 new friend subscribed : ) _x000d_&lt;br&gt;Stay connected !!!"/>
    <s v="UCc1NLScmSAY5A8YZKLG23_g"/>
    <s v="BAIRES WALKER"/>
    <s v="http://www.youtube.com/channel/UCc1NLScmSAY5A8YZKLG23_g"/>
    <m/>
    <s v="-0Iauhp_Kug"/>
    <s v="https://www.youtube.com/watch?v=-0Iauhp_Kug"/>
    <s v="none"/>
    <n v="1"/>
    <x v="19"/>
    <d v="2020-03-05T15:46:09.000"/>
    <m/>
    <m/>
    <s v=""/>
    <n v="1"/>
    <s v="5"/>
    <s v="5"/>
    <n v="3"/>
    <n v="15.789473684210526"/>
    <n v="0"/>
    <n v="0"/>
    <n v="0"/>
    <n v="0"/>
    <n v="16"/>
    <n v="84.21052631578948"/>
    <n v="19"/>
  </r>
  <r>
    <s v="UCbbx7msYKamwOeRUkaqCTAQ"/>
    <s v="UC5chbfKQNkEOJmms2XockTg"/>
    <m/>
    <m/>
    <m/>
    <m/>
    <m/>
    <m/>
    <m/>
    <m/>
    <s v="Yes"/>
    <n v="23"/>
    <m/>
    <m/>
    <s v="Replied Comment"/>
    <x v="0"/>
    <s v="Thanks for watching!"/>
    <s v="UCbbx7msYKamwOeRUkaqCTAQ"/>
    <s v="Geek Street Travels"/>
    <s v="http://www.youtube.com/channel/UCbbx7msYKamwOeRUkaqCTAQ"/>
    <s v="UgybQDqd2A0J5MO-8CR4AaABAg"/>
    <s v="-0Iauhp_Kug"/>
    <s v="https://www.youtube.com/watch?v=-0Iauhp_Kug"/>
    <s v="none"/>
    <n v="1"/>
    <x v="20"/>
    <d v="2020-12-05T22:27:18.000"/>
    <m/>
    <m/>
    <s v=""/>
    <n v="1"/>
    <s v="5"/>
    <s v="5"/>
    <n v="0"/>
    <n v="0"/>
    <n v="0"/>
    <n v="0"/>
    <n v="0"/>
    <n v="0"/>
    <n v="3"/>
    <n v="100"/>
    <n v="3"/>
  </r>
  <r>
    <s v="UC5chbfKQNkEOJmms2XockTg"/>
    <s v="UCbbx7msYKamwOeRUkaqCTAQ"/>
    <m/>
    <m/>
    <m/>
    <m/>
    <m/>
    <m/>
    <m/>
    <m/>
    <s v="Yes"/>
    <n v="24"/>
    <m/>
    <m/>
    <s v="Commented Video"/>
    <x v="1"/>
    <s v="Nice video. &lt;br&gt;Hope we can be friends and support each other 😍"/>
    <s v="UC5chbfKQNkEOJmms2XockTg"/>
    <s v="Monstrous Act"/>
    <s v="http://www.youtube.com/channel/UC5chbfKQNkEOJmms2XockTg"/>
    <m/>
    <s v="-0Iauhp_Kug"/>
    <s v="https://www.youtube.com/watch?v=-0Iauhp_Kug"/>
    <s v="none"/>
    <n v="1"/>
    <x v="21"/>
    <d v="2020-03-05T17:32:09.000"/>
    <m/>
    <m/>
    <s v=""/>
    <n v="1"/>
    <s v="5"/>
    <s v="5"/>
    <n v="2"/>
    <n v="16.666666666666668"/>
    <n v="0"/>
    <n v="0"/>
    <n v="0"/>
    <n v="0"/>
    <n v="10"/>
    <n v="83.33333333333333"/>
    <n v="12"/>
  </r>
  <r>
    <s v="UCbbx7msYKamwOeRUkaqCTAQ"/>
    <s v="UCoExLMApVon6EJ8ESt1WgeQ"/>
    <m/>
    <m/>
    <m/>
    <m/>
    <m/>
    <m/>
    <m/>
    <m/>
    <s v="Yes"/>
    <n v="25"/>
    <m/>
    <m/>
    <s v="Replied Comment"/>
    <x v="0"/>
    <s v="Thanks!"/>
    <s v="UCbbx7msYKamwOeRUkaqCTAQ"/>
    <s v="Geek Street Travels"/>
    <s v="http://www.youtube.com/channel/UCbbx7msYKamwOeRUkaqCTAQ"/>
    <s v="Ugwl1kwHKPqrXKxEv2d4AaABAg"/>
    <s v="-0Iauhp_Kug"/>
    <s v="https://www.youtube.com/watch?v=-0Iauhp_Kug"/>
    <s v="none"/>
    <n v="0"/>
    <x v="22"/>
    <d v="2020-12-05T22:27:06.000"/>
    <m/>
    <m/>
    <s v=""/>
    <n v="1"/>
    <s v="5"/>
    <s v="5"/>
    <n v="0"/>
    <n v="0"/>
    <n v="0"/>
    <n v="0"/>
    <n v="0"/>
    <n v="0"/>
    <n v="1"/>
    <n v="100"/>
    <n v="1"/>
  </r>
  <r>
    <s v="UCoExLMApVon6EJ8ESt1WgeQ"/>
    <s v="UCbbx7msYKamwOeRUkaqCTAQ"/>
    <m/>
    <m/>
    <m/>
    <m/>
    <m/>
    <m/>
    <m/>
    <m/>
    <s v="Yes"/>
    <n v="26"/>
    <m/>
    <m/>
    <s v="Commented Video"/>
    <x v="1"/>
    <s v="wonderful view,thank you"/>
    <s v="UCoExLMApVon6EJ8ESt1WgeQ"/>
    <s v="d'EXPLORER"/>
    <s v="http://www.youtube.com/channel/UCoExLMApVon6EJ8ESt1WgeQ"/>
    <m/>
    <s v="-0Iauhp_Kug"/>
    <s v="https://www.youtube.com/watch?v=-0Iauhp_Kug"/>
    <s v="none"/>
    <n v="1"/>
    <x v="23"/>
    <d v="2020-03-05T19:19:27.000"/>
    <m/>
    <m/>
    <s v=""/>
    <n v="1"/>
    <s v="5"/>
    <s v="5"/>
    <n v="2"/>
    <n v="50"/>
    <n v="0"/>
    <n v="0"/>
    <n v="0"/>
    <n v="0"/>
    <n v="2"/>
    <n v="50"/>
    <n v="4"/>
  </r>
  <r>
    <s v="UCbbx7msYKamwOeRUkaqCTAQ"/>
    <s v="UCvVhBidV5kG4G58AVemMDsw"/>
    <m/>
    <m/>
    <m/>
    <m/>
    <m/>
    <m/>
    <m/>
    <m/>
    <s v="Yes"/>
    <n v="27"/>
    <m/>
    <m/>
    <s v="Replied Comment"/>
    <x v="0"/>
    <s v="Thanks for your comment 👍"/>
    <s v="UCbbx7msYKamwOeRUkaqCTAQ"/>
    <s v="Geek Street Travels"/>
    <s v="http://www.youtube.com/channel/UCbbx7msYKamwOeRUkaqCTAQ"/>
    <s v="UgylsrI0HBKcfbeB3At4AaABAg"/>
    <s v="-0Iauhp_Kug"/>
    <s v="https://www.youtube.com/watch?v=-0Iauhp_Kug"/>
    <s v="none"/>
    <n v="0"/>
    <x v="24"/>
    <d v="2020-12-05T22:26:58.000"/>
    <m/>
    <m/>
    <s v=""/>
    <n v="1"/>
    <s v="5"/>
    <s v="5"/>
    <n v="0"/>
    <n v="0"/>
    <n v="0"/>
    <n v="0"/>
    <n v="0"/>
    <n v="0"/>
    <n v="4"/>
    <n v="100"/>
    <n v="4"/>
  </r>
  <r>
    <s v="UCvVhBidV5kG4G58AVemMDsw"/>
    <s v="UCbbx7msYKamwOeRUkaqCTAQ"/>
    <m/>
    <m/>
    <m/>
    <m/>
    <m/>
    <m/>
    <m/>
    <m/>
    <s v="Yes"/>
    <n v="28"/>
    <m/>
    <m/>
    <s v="Commented Video"/>
    <x v="1"/>
    <s v="Like the video, keep it up! 🔥💥🔥"/>
    <s v="UCvVhBidV5kG4G58AVemMDsw"/>
    <s v="Tech for Techs"/>
    <s v="http://www.youtube.com/channel/UCvVhBidV5kG4G58AVemMDsw"/>
    <m/>
    <s v="-0Iauhp_Kug"/>
    <s v="https://www.youtube.com/watch?v=-0Iauhp_Kug"/>
    <s v="none"/>
    <n v="1"/>
    <x v="25"/>
    <d v="2020-03-05T19:45:23.000"/>
    <m/>
    <m/>
    <s v=""/>
    <n v="1"/>
    <s v="5"/>
    <s v="5"/>
    <n v="1"/>
    <n v="16.666666666666668"/>
    <n v="0"/>
    <n v="0"/>
    <n v="0"/>
    <n v="0"/>
    <n v="5"/>
    <n v="83.33333333333333"/>
    <n v="6"/>
  </r>
  <r>
    <s v="UCbbx7msYKamwOeRUkaqCTAQ"/>
    <s v="UC5dbPaVx1F_hyrstYlPIBDw"/>
    <m/>
    <m/>
    <m/>
    <m/>
    <m/>
    <m/>
    <m/>
    <m/>
    <s v="Yes"/>
    <n v="29"/>
    <m/>
    <m/>
    <s v="Replied Comment"/>
    <x v="0"/>
    <s v="Thanks for watching!"/>
    <s v="UCbbx7msYKamwOeRUkaqCTAQ"/>
    <s v="Geek Street Travels"/>
    <s v="http://www.youtube.com/channel/UCbbx7msYKamwOeRUkaqCTAQ"/>
    <s v="UgxqfU_2H6N6SOcZ13l4AaABAg"/>
    <s v="-0Iauhp_Kug"/>
    <s v="https://www.youtube.com/watch?v=-0Iauhp_Kug"/>
    <s v="none"/>
    <n v="0"/>
    <x v="26"/>
    <d v="2020-12-05T22:26:47.000"/>
    <m/>
    <m/>
    <s v=""/>
    <n v="1"/>
    <s v="5"/>
    <s v="5"/>
    <n v="0"/>
    <n v="0"/>
    <n v="0"/>
    <n v="0"/>
    <n v="0"/>
    <n v="0"/>
    <n v="3"/>
    <n v="100"/>
    <n v="3"/>
  </r>
  <r>
    <s v="UC5dbPaVx1F_hyrstYlPIBDw"/>
    <s v="UCbbx7msYKamwOeRUkaqCTAQ"/>
    <m/>
    <m/>
    <m/>
    <m/>
    <m/>
    <m/>
    <m/>
    <m/>
    <s v="Yes"/>
    <n v="30"/>
    <m/>
    <m/>
    <s v="Commented Video"/>
    <x v="1"/>
    <s v="I enjoyed this video and the lovely view!  And the garden."/>
    <s v="UC5dbPaVx1F_hyrstYlPIBDw"/>
    <s v="Anne-Lise Eika Hansen"/>
    <s v="http://www.youtube.com/channel/UC5dbPaVx1F_hyrstYlPIBDw"/>
    <m/>
    <s v="-0Iauhp_Kug"/>
    <s v="https://www.youtube.com/watch?v=-0Iauhp_Kug"/>
    <s v="none"/>
    <n v="1"/>
    <x v="27"/>
    <d v="2020-03-05T21:53:50.000"/>
    <m/>
    <m/>
    <s v=""/>
    <n v="1"/>
    <s v="5"/>
    <s v="5"/>
    <n v="2"/>
    <n v="18.181818181818183"/>
    <n v="0"/>
    <n v="0"/>
    <n v="0"/>
    <n v="0"/>
    <n v="9"/>
    <n v="81.81818181818181"/>
    <n v="11"/>
  </r>
  <r>
    <s v="UCbbx7msYKamwOeRUkaqCTAQ"/>
    <s v="UCWHMmYJfAwLnajyyUDJsyjw"/>
    <m/>
    <m/>
    <m/>
    <m/>
    <m/>
    <m/>
    <m/>
    <m/>
    <s v="Yes"/>
    <n v="31"/>
    <m/>
    <m/>
    <s v="Replied Comment"/>
    <x v="0"/>
    <s v="Thanks for watching!"/>
    <s v="UCbbx7msYKamwOeRUkaqCTAQ"/>
    <s v="Geek Street Travels"/>
    <s v="http://www.youtube.com/channel/UCbbx7msYKamwOeRUkaqCTAQ"/>
    <s v="UgyKAKoDKdfOqxteIhF4AaABAg"/>
    <s v="-0Iauhp_Kug"/>
    <s v="https://www.youtube.com/watch?v=-0Iauhp_Kug"/>
    <s v="none"/>
    <n v="0"/>
    <x v="28"/>
    <d v="2020-12-05T22:26:37.000"/>
    <m/>
    <m/>
    <s v=""/>
    <n v="1"/>
    <s v="5"/>
    <s v="5"/>
    <n v="0"/>
    <n v="0"/>
    <n v="0"/>
    <n v="0"/>
    <n v="0"/>
    <n v="0"/>
    <n v="3"/>
    <n v="100"/>
    <n v="3"/>
  </r>
  <r>
    <s v="UCWHMmYJfAwLnajyyUDJsyjw"/>
    <s v="UCbbx7msYKamwOeRUkaqCTAQ"/>
    <m/>
    <m/>
    <m/>
    <m/>
    <m/>
    <m/>
    <m/>
    <m/>
    <s v="Yes"/>
    <n v="32"/>
    <m/>
    <m/>
    <s v="Commented Video"/>
    <x v="1"/>
    <s v="Great walk with nice views of London!"/>
    <s v="UCWHMmYJfAwLnajyyUDJsyjw"/>
    <s v="Gran Canaria Walk"/>
    <s v="http://www.youtube.com/channel/UCWHMmYJfAwLnajyyUDJsyjw"/>
    <m/>
    <s v="-0Iauhp_Kug"/>
    <s v="https://www.youtube.com/watch?v=-0Iauhp_Kug"/>
    <s v="none"/>
    <n v="2"/>
    <x v="29"/>
    <d v="2020-04-05T10:27:40.000"/>
    <m/>
    <m/>
    <s v=""/>
    <n v="1"/>
    <s v="5"/>
    <s v="5"/>
    <n v="2"/>
    <n v="28.571428571428573"/>
    <n v="0"/>
    <n v="0"/>
    <n v="0"/>
    <n v="0"/>
    <n v="5"/>
    <n v="71.42857142857143"/>
    <n v="7"/>
  </r>
  <r>
    <s v="UCbbx7msYKamwOeRUkaqCTAQ"/>
    <s v="UCUdKpfoeqOhuCLZ7iZSopnw"/>
    <m/>
    <m/>
    <m/>
    <m/>
    <m/>
    <m/>
    <m/>
    <m/>
    <s v="Yes"/>
    <n v="33"/>
    <m/>
    <m/>
    <s v="Replied Comment"/>
    <x v="0"/>
    <s v="Thanks for watching"/>
    <s v="UCbbx7msYKamwOeRUkaqCTAQ"/>
    <s v="Geek Street Travels"/>
    <s v="http://www.youtube.com/channel/UCbbx7msYKamwOeRUkaqCTAQ"/>
    <s v="UgxrAEcFq3URVy9WMWd4AaABAg"/>
    <s v="-0Iauhp_Kug"/>
    <s v="https://www.youtube.com/watch?v=-0Iauhp_Kug"/>
    <s v="none"/>
    <n v="1"/>
    <x v="30"/>
    <d v="2020-12-05T22:26:24.000"/>
    <m/>
    <m/>
    <s v=""/>
    <n v="1"/>
    <s v="5"/>
    <s v="5"/>
    <n v="0"/>
    <n v="0"/>
    <n v="0"/>
    <n v="0"/>
    <n v="0"/>
    <n v="0"/>
    <n v="3"/>
    <n v="100"/>
    <n v="3"/>
  </r>
  <r>
    <s v="UCUdKpfoeqOhuCLZ7iZSopnw"/>
    <s v="UCbbx7msYKamwOeRUkaqCTAQ"/>
    <m/>
    <m/>
    <m/>
    <m/>
    <m/>
    <m/>
    <m/>
    <m/>
    <s v="Yes"/>
    <n v="34"/>
    <m/>
    <m/>
    <s v="Commented Video"/>
    <x v="1"/>
    <s v="The view of the city from the top of the building is excellent. Thank you for the great video.😊👍"/>
    <s v="UCUdKpfoeqOhuCLZ7iZSopnw"/>
    <s v="JAPAN SAPPORO WALK"/>
    <s v="http://www.youtube.com/channel/UCUdKpfoeqOhuCLZ7iZSopnw"/>
    <m/>
    <s v="-0Iauhp_Kug"/>
    <s v="https://www.youtube.com/watch?v=-0Iauhp_Kug"/>
    <s v="none"/>
    <n v="1"/>
    <x v="31"/>
    <d v="2020-04-05T17:03:04.000"/>
    <m/>
    <m/>
    <s v=""/>
    <n v="1"/>
    <s v="5"/>
    <s v="5"/>
    <n v="4"/>
    <n v="21.05263157894737"/>
    <n v="0"/>
    <n v="0"/>
    <n v="0"/>
    <n v="0"/>
    <n v="15"/>
    <n v="78.94736842105263"/>
    <n v="19"/>
  </r>
  <r>
    <s v="UCbbx7msYKamwOeRUkaqCTAQ"/>
    <s v="UCNDgFfJaEdGb5X1xgKIVmmg"/>
    <m/>
    <m/>
    <m/>
    <m/>
    <m/>
    <m/>
    <m/>
    <m/>
    <s v="Yes"/>
    <n v="35"/>
    <m/>
    <m/>
    <s v="Replied Comment"/>
    <x v="0"/>
    <s v="Thanks for your support :)"/>
    <s v="UCbbx7msYKamwOeRUkaqCTAQ"/>
    <s v="Geek Street Travels"/>
    <s v="http://www.youtube.com/channel/UCbbx7msYKamwOeRUkaqCTAQ"/>
    <s v="Ugzyvs44xHZnq795FVB4AaABAg"/>
    <s v="-0Iauhp_Kug"/>
    <s v="https://www.youtube.com/watch?v=-0Iauhp_Kug"/>
    <s v="none"/>
    <n v="0"/>
    <x v="32"/>
    <s v="18/05/2020 14:04:56"/>
    <m/>
    <m/>
    <s v=""/>
    <n v="1"/>
    <s v="5"/>
    <s v="5"/>
    <n v="1"/>
    <n v="25"/>
    <n v="0"/>
    <n v="0"/>
    <n v="0"/>
    <n v="0"/>
    <n v="3"/>
    <n v="75"/>
    <n v="4"/>
  </r>
  <r>
    <s v="UCNDgFfJaEdGb5X1xgKIVmmg"/>
    <s v="UCbbx7msYKamwOeRUkaqCTAQ"/>
    <m/>
    <m/>
    <m/>
    <m/>
    <m/>
    <m/>
    <m/>
    <m/>
    <s v="Yes"/>
    <n v="36"/>
    <m/>
    <m/>
    <s v="Commented Video"/>
    <x v="1"/>
    <s v="Like new frnd joined stay connected"/>
    <s v="UCNDgFfJaEdGb5X1xgKIVmmg"/>
    <s v="Marzia's Little world"/>
    <s v="http://www.youtube.com/channel/UCNDgFfJaEdGb5X1xgKIVmmg"/>
    <m/>
    <s v="-0Iauhp_Kug"/>
    <s v="https://www.youtube.com/watch?v=-0Iauhp_Kug"/>
    <s v="none"/>
    <n v="1"/>
    <x v="33"/>
    <d v="2020-04-05T23:12:25.000"/>
    <m/>
    <m/>
    <s v=""/>
    <n v="1"/>
    <s v="5"/>
    <s v="5"/>
    <n v="1"/>
    <n v="16.666666666666668"/>
    <n v="0"/>
    <n v="0"/>
    <n v="0"/>
    <n v="0"/>
    <n v="5"/>
    <n v="83.33333333333333"/>
    <n v="6"/>
  </r>
  <r>
    <s v="UCbbx7msYKamwOeRUkaqCTAQ"/>
    <s v="UCnwsJfmM3LAMLY5fdTSf-BA"/>
    <m/>
    <m/>
    <m/>
    <m/>
    <m/>
    <m/>
    <m/>
    <m/>
    <s v="Yes"/>
    <n v="37"/>
    <m/>
    <m/>
    <s v="Replied Comment"/>
    <x v="0"/>
    <s v="Didnt manage to go into the restaurant but hoping to when lock down has been lifted and to revisit the rooftop garden to see all the beautiful flowers and plants in bloom :)"/>
    <s v="UCbbx7msYKamwOeRUkaqCTAQ"/>
    <s v="Geek Street Travels"/>
    <s v="http://www.youtube.com/channel/UCbbx7msYKamwOeRUkaqCTAQ"/>
    <s v="Ugy7xif2no17baedhdl4AaABAg"/>
    <s v="-0Iauhp_Kug"/>
    <s v="https://www.youtube.com/watch?v=-0Iauhp_Kug"/>
    <s v="none"/>
    <n v="0"/>
    <x v="34"/>
    <d v="2020-05-05T10:12:31.000"/>
    <m/>
    <m/>
    <s v=""/>
    <n v="1"/>
    <s v="5"/>
    <s v="5"/>
    <n v="2"/>
    <n v="6.25"/>
    <n v="0"/>
    <n v="0"/>
    <n v="0"/>
    <n v="0"/>
    <n v="30"/>
    <n v="93.75"/>
    <n v="32"/>
  </r>
  <r>
    <s v="UCnwsJfmM3LAMLY5fdTSf-BA"/>
    <s v="UCbbx7msYKamwOeRUkaqCTAQ"/>
    <m/>
    <m/>
    <m/>
    <m/>
    <m/>
    <m/>
    <m/>
    <m/>
    <s v="Yes"/>
    <n v="38"/>
    <m/>
    <m/>
    <s v="Commented Video"/>
    <x v="1"/>
    <s v="Hello Geek&lt;br&gt;&lt;br&gt; Loved the video, takes us back to our trip there last April and was a nice warm day. It is a great place and it is free. I see the restaurant is now open. Did you go in?  Thanks Chris and Sandra from Canada."/>
    <s v="UCnwsJfmM3LAMLY5fdTSf-BA"/>
    <s v="Chris Smith"/>
    <s v="http://www.youtube.com/channel/UCnwsJfmM3LAMLY5fdTSf-BA"/>
    <m/>
    <s v="-0Iauhp_Kug"/>
    <s v="https://www.youtube.com/watch?v=-0Iauhp_Kug"/>
    <s v="none"/>
    <n v="1"/>
    <x v="35"/>
    <d v="2020-05-05T01:00:05.000"/>
    <m/>
    <m/>
    <s v=""/>
    <n v="1"/>
    <s v="5"/>
    <s v="5"/>
    <n v="5"/>
    <n v="10.416666666666666"/>
    <n v="0"/>
    <n v="0"/>
    <n v="0"/>
    <n v="0"/>
    <n v="43"/>
    <n v="89.58333333333333"/>
    <n v="48"/>
  </r>
  <r>
    <s v="UCbbx7msYKamwOeRUkaqCTAQ"/>
    <s v="UCK4aieEbRXehxvhd-VGlcMw"/>
    <m/>
    <m/>
    <m/>
    <m/>
    <m/>
    <m/>
    <m/>
    <m/>
    <s v="Yes"/>
    <n v="39"/>
    <m/>
    <m/>
    <s v="Replied Comment"/>
    <x v="0"/>
    <s v="Thanks gor you comment"/>
    <s v="UCbbx7msYKamwOeRUkaqCTAQ"/>
    <s v="Geek Street Travels"/>
    <s v="http://www.youtube.com/channel/UCbbx7msYKamwOeRUkaqCTAQ"/>
    <s v="UgysNOmRz1Vlm-73RAx4AaABAg"/>
    <s v="-0Iauhp_Kug"/>
    <s v="https://www.youtube.com/watch?v=-0Iauhp_Kug"/>
    <s v="none"/>
    <n v="0"/>
    <x v="36"/>
    <d v="2020-12-05T22:25:50.000"/>
    <m/>
    <m/>
    <s v=""/>
    <n v="1"/>
    <s v="5"/>
    <s v="5"/>
    <n v="0"/>
    <n v="0"/>
    <n v="0"/>
    <n v="0"/>
    <n v="0"/>
    <n v="0"/>
    <n v="4"/>
    <n v="100"/>
    <n v="4"/>
  </r>
  <r>
    <s v="UCK4aieEbRXehxvhd-VGlcMw"/>
    <s v="UCbbx7msYKamwOeRUkaqCTAQ"/>
    <m/>
    <m/>
    <m/>
    <m/>
    <m/>
    <m/>
    <m/>
    <m/>
    <s v="Yes"/>
    <n v="40"/>
    <m/>
    <m/>
    <s v="Commented Video"/>
    <x v="1"/>
    <s v="Amazing walkthrough, stay safe my friend Have a good day!"/>
    <s v="UCK4aieEbRXehxvhd-VGlcMw"/>
    <s v="Lost in Bali with Senja Aldee"/>
    <s v="http://www.youtube.com/channel/UCK4aieEbRXehxvhd-VGlcMw"/>
    <m/>
    <s v="-0Iauhp_Kug"/>
    <s v="https://www.youtube.com/watch?v=-0Iauhp_Kug"/>
    <s v="none"/>
    <n v="1"/>
    <x v="37"/>
    <d v="2020-05-05T11:18:19.000"/>
    <m/>
    <m/>
    <s v=""/>
    <n v="1"/>
    <s v="5"/>
    <s v="5"/>
    <n v="3"/>
    <n v="30"/>
    <n v="0"/>
    <n v="0"/>
    <n v="0"/>
    <n v="0"/>
    <n v="7"/>
    <n v="70"/>
    <n v="10"/>
  </r>
  <r>
    <s v="UCbbx7msYKamwOeRUkaqCTAQ"/>
    <s v="UCeFHMi__WiI_7gyId_i-aqA"/>
    <m/>
    <m/>
    <m/>
    <m/>
    <m/>
    <m/>
    <m/>
    <m/>
    <s v="Yes"/>
    <n v="41"/>
    <m/>
    <m/>
    <s v="Replied Comment"/>
    <x v="0"/>
    <s v="Thanks for the awesome comment!.  Had a look at your channel and clicked on the sub button.  Great vlog on building your own swing :) Stat connected :)"/>
    <s v="UCbbx7msYKamwOeRUkaqCTAQ"/>
    <s v="Geek Street Travels"/>
    <s v="http://www.youtube.com/channel/UCbbx7msYKamwOeRUkaqCTAQ"/>
    <s v="UgyR1JKmbP48I9vaRQt4AaABAg"/>
    <s v="-0Iauhp_Kug"/>
    <s v="https://www.youtube.com/watch?v=-0Iauhp_Kug"/>
    <s v="none"/>
    <n v="0"/>
    <x v="38"/>
    <d v="2020-06-05T12:15:24.000"/>
    <m/>
    <m/>
    <s v=""/>
    <n v="1"/>
    <s v="5"/>
    <s v="5"/>
    <n v="2"/>
    <n v="7.6923076923076925"/>
    <n v="0"/>
    <n v="0"/>
    <n v="0"/>
    <n v="0"/>
    <n v="24"/>
    <n v="92.3076923076923"/>
    <n v="26"/>
  </r>
  <r>
    <s v="UCeFHMi__WiI_7gyId_i-aqA"/>
    <s v="UCbbx7msYKamwOeRUkaqCTAQ"/>
    <m/>
    <m/>
    <m/>
    <m/>
    <m/>
    <m/>
    <m/>
    <m/>
    <s v="Yes"/>
    <n v="42"/>
    <m/>
    <m/>
    <s v="Commented Video"/>
    <x v="1"/>
    <s v="Greetings, +1 red button  pushed ❤️, and +1 Like, hope you can return the favor,  wow that place looks super nice, can’t wait to see more cool places"/>
    <s v="UCeFHMi__WiI_7gyId_i-aqA"/>
    <s v="The R Vlogs"/>
    <s v="http://www.youtube.com/channel/UCeFHMi__WiI_7gyId_i-aqA"/>
    <m/>
    <s v="-0Iauhp_Kug"/>
    <s v="https://www.youtube.com/watch?v=-0Iauhp_Kug"/>
    <s v="none"/>
    <n v="1"/>
    <x v="39"/>
    <d v="2020-05-05T16:58:10.000"/>
    <m/>
    <m/>
    <s v=""/>
    <n v="1"/>
    <s v="5"/>
    <s v="5"/>
    <n v="6"/>
    <n v="21.428571428571427"/>
    <n v="0"/>
    <n v="0"/>
    <n v="0"/>
    <n v="0"/>
    <n v="22"/>
    <n v="78.57142857142857"/>
    <n v="28"/>
  </r>
  <r>
    <s v="UCbbx7msYKamwOeRUkaqCTAQ"/>
    <s v="UCQrnl3v9mkozB6Z_zmBWpLw"/>
    <m/>
    <m/>
    <m/>
    <m/>
    <m/>
    <m/>
    <m/>
    <m/>
    <s v="Yes"/>
    <n v="43"/>
    <m/>
    <m/>
    <s v="Replied Comment"/>
    <x v="0"/>
    <s v="Thanks!"/>
    <s v="UCbbx7msYKamwOeRUkaqCTAQ"/>
    <s v="Geek Street Travels"/>
    <s v="http://www.youtube.com/channel/UCbbx7msYKamwOeRUkaqCTAQ"/>
    <s v="Ugz22pkeKpxgjuUncLx4AaABAg"/>
    <s v="-0Iauhp_Kug"/>
    <s v="https://www.youtube.com/watch?v=-0Iauhp_Kug"/>
    <s v="none"/>
    <n v="0"/>
    <x v="40"/>
    <d v="2020-12-05T22:25:29.000"/>
    <m/>
    <m/>
    <s v=""/>
    <n v="1"/>
    <s v="5"/>
    <s v="5"/>
    <n v="0"/>
    <n v="0"/>
    <n v="0"/>
    <n v="0"/>
    <n v="0"/>
    <n v="0"/>
    <n v="1"/>
    <n v="100"/>
    <n v="1"/>
  </r>
  <r>
    <s v="UCQrnl3v9mkozB6Z_zmBWpLw"/>
    <s v="UCbbx7msYKamwOeRUkaqCTAQ"/>
    <m/>
    <m/>
    <m/>
    <m/>
    <m/>
    <m/>
    <m/>
    <m/>
    <s v="Yes"/>
    <n v="44"/>
    <m/>
    <m/>
    <s v="Commented Video"/>
    <x v="1"/>
    <s v="Awesome 👍"/>
    <s v="UCQrnl3v9mkozB6Z_zmBWpLw"/>
    <s v="HD Walking Adventures"/>
    <s v="http://www.youtube.com/channel/UCQrnl3v9mkozB6Z_zmBWpLw"/>
    <m/>
    <s v="-0Iauhp_Kug"/>
    <s v="https://www.youtube.com/watch?v=-0Iauhp_Kug"/>
    <s v="none"/>
    <n v="1"/>
    <x v="41"/>
    <d v="2020-05-05T17:03:09.000"/>
    <m/>
    <m/>
    <s v=""/>
    <n v="1"/>
    <s v="5"/>
    <s v="5"/>
    <n v="1"/>
    <n v="100"/>
    <n v="0"/>
    <n v="0"/>
    <n v="0"/>
    <n v="0"/>
    <n v="0"/>
    <n v="0"/>
    <n v="1"/>
  </r>
  <r>
    <s v="UCbbx7msYKamwOeRUkaqCTAQ"/>
    <s v="UCqGR1yHFjMSHR9E1QzUCxqw"/>
    <m/>
    <m/>
    <m/>
    <m/>
    <m/>
    <m/>
    <m/>
    <m/>
    <s v="Yes"/>
    <n v="45"/>
    <m/>
    <m/>
    <s v="Replied Comment"/>
    <x v="0"/>
    <s v="Thanks for your comment much appreciated 👍"/>
    <s v="UCbbx7msYKamwOeRUkaqCTAQ"/>
    <s v="Geek Street Travels"/>
    <s v="http://www.youtube.com/channel/UCbbx7msYKamwOeRUkaqCTAQ"/>
    <s v="Ugy4g4j_dnVExjLVVn94AaABAg"/>
    <s v="-0Iauhp_Kug"/>
    <s v="https://www.youtube.com/watch?v=-0Iauhp_Kug"/>
    <s v="none"/>
    <n v="0"/>
    <x v="42"/>
    <d v="2020-12-05T22:25:16.000"/>
    <m/>
    <m/>
    <s v=""/>
    <n v="1"/>
    <s v="5"/>
    <s v="5"/>
    <n v="1"/>
    <n v="16.666666666666668"/>
    <n v="0"/>
    <n v="0"/>
    <n v="0"/>
    <n v="0"/>
    <n v="5"/>
    <n v="83.33333333333333"/>
    <n v="6"/>
  </r>
  <r>
    <s v="UCqGR1yHFjMSHR9E1QzUCxqw"/>
    <s v="UCbbx7msYKamwOeRUkaqCTAQ"/>
    <m/>
    <m/>
    <m/>
    <m/>
    <m/>
    <m/>
    <m/>
    <m/>
    <s v="Yes"/>
    <n v="46"/>
    <m/>
    <m/>
    <s v="Commented Video"/>
    <x v="1"/>
    <s v="great footage😊I subscribed😍"/>
    <s v="UCqGR1yHFjMSHR9E1QzUCxqw"/>
    <s v="TRIP LOVERS"/>
    <s v="http://www.youtube.com/channel/UCqGR1yHFjMSHR9E1QzUCxqw"/>
    <m/>
    <s v="-0Iauhp_Kug"/>
    <s v="https://www.youtube.com/watch?v=-0Iauhp_Kug"/>
    <s v="none"/>
    <n v="1"/>
    <x v="43"/>
    <d v="2020-06-05T10:27:26.000"/>
    <m/>
    <m/>
    <s v=""/>
    <n v="1"/>
    <s v="5"/>
    <s v="5"/>
    <n v="1"/>
    <n v="25"/>
    <n v="0"/>
    <n v="0"/>
    <n v="0"/>
    <n v="0"/>
    <n v="3"/>
    <n v="75"/>
    <n v="4"/>
  </r>
  <r>
    <s v="UCbbx7msYKamwOeRUkaqCTAQ"/>
    <s v="UCyZuq5NWGmh7BHWnJGYRDOQ"/>
    <m/>
    <m/>
    <m/>
    <m/>
    <m/>
    <m/>
    <m/>
    <m/>
    <s v="Yes"/>
    <n v="47"/>
    <m/>
    <m/>
    <s v="Replied Comment"/>
    <x v="0"/>
    <s v="Thanks for watching 😊"/>
    <s v="UCbbx7msYKamwOeRUkaqCTAQ"/>
    <s v="Geek Street Travels"/>
    <s v="http://www.youtube.com/channel/UCbbx7msYKamwOeRUkaqCTAQ"/>
    <s v="UgyM8SyxFgQkMO_29ZZ4AaABAg"/>
    <s v="-0Iauhp_Kug"/>
    <s v="https://www.youtube.com/watch?v=-0Iauhp_Kug"/>
    <s v="none"/>
    <n v="0"/>
    <x v="44"/>
    <d v="2020-12-05T22:25:01.000"/>
    <m/>
    <m/>
    <s v=""/>
    <n v="1"/>
    <s v="5"/>
    <s v="5"/>
    <n v="0"/>
    <n v="0"/>
    <n v="0"/>
    <n v="0"/>
    <n v="0"/>
    <n v="0"/>
    <n v="3"/>
    <n v="100"/>
    <n v="3"/>
  </r>
  <r>
    <s v="UCyZuq5NWGmh7BHWnJGYRDOQ"/>
    <s v="UCbbx7msYKamwOeRUkaqCTAQ"/>
    <m/>
    <m/>
    <m/>
    <m/>
    <m/>
    <m/>
    <m/>
    <m/>
    <s v="Yes"/>
    <n v="48"/>
    <m/>
    <m/>
    <s v="Commented Video"/>
    <x v="1"/>
    <s v="Beautiful. I love this video a lot. So nice to travel the world with you. Thank you! : )"/>
    <s v="UCyZuq5NWGmh7BHWnJGYRDOQ"/>
    <s v="KOREA WALK"/>
    <s v="http://www.youtube.com/channel/UCyZuq5NWGmh7BHWnJGYRDOQ"/>
    <m/>
    <s v="-0Iauhp_Kug"/>
    <s v="https://www.youtube.com/watch?v=-0Iauhp_Kug"/>
    <s v="none"/>
    <n v="1"/>
    <x v="45"/>
    <d v="2020-09-05T03:27:04.000"/>
    <m/>
    <m/>
    <s v=""/>
    <n v="1"/>
    <s v="5"/>
    <s v="5"/>
    <n v="4"/>
    <n v="23.529411764705884"/>
    <n v="0"/>
    <n v="0"/>
    <n v="0"/>
    <n v="0"/>
    <n v="13"/>
    <n v="76.47058823529412"/>
    <n v="17"/>
  </r>
  <r>
    <s v="UCbbx7msYKamwOeRUkaqCTAQ"/>
    <s v="UC3_NdvYLH1v1GIizqDyZXBA"/>
    <m/>
    <m/>
    <m/>
    <m/>
    <m/>
    <m/>
    <m/>
    <m/>
    <s v="Yes"/>
    <n v="49"/>
    <m/>
    <m/>
    <s v="Replied Comment"/>
    <x v="0"/>
    <s v="It was really cold day when we were ultgere, but the views were amazing. Hoping to ho back when it is safer to seethe difference in the summer 🙏"/>
    <s v="UCbbx7msYKamwOeRUkaqCTAQ"/>
    <s v="Geek Street Travels"/>
    <s v="http://www.youtube.com/channel/UCbbx7msYKamwOeRUkaqCTAQ"/>
    <s v="Ugz6UR-AgwcwBklqS9Z4AaABAg"/>
    <s v="-0Iauhp_Kug"/>
    <s v="https://www.youtube.com/watch?v=-0Iauhp_Kug"/>
    <s v="none"/>
    <n v="1"/>
    <x v="46"/>
    <d v="2020-12-05T22:24:37.000"/>
    <m/>
    <m/>
    <s v=""/>
    <n v="1"/>
    <s v="5"/>
    <s v="5"/>
    <n v="1"/>
    <n v="3.5714285714285716"/>
    <n v="2"/>
    <n v="7.142857142857143"/>
    <n v="0"/>
    <n v="0"/>
    <n v="25"/>
    <n v="89.28571428571429"/>
    <n v="28"/>
  </r>
  <r>
    <s v="UC3_NdvYLH1v1GIizqDyZXBA"/>
    <s v="UCbbx7msYKamwOeRUkaqCTAQ"/>
    <m/>
    <m/>
    <m/>
    <m/>
    <m/>
    <m/>
    <m/>
    <m/>
    <s v="Yes"/>
    <n v="50"/>
    <m/>
    <m/>
    <s v="Commented Video"/>
    <x v="1"/>
    <s v="I kind of like cloudy weather of London, It&amp;#39;s quite comfortable especially for walk..!"/>
    <s v="UC3_NdvYLH1v1GIizqDyZXBA"/>
    <s v="Wanderers Archive"/>
    <s v="http://www.youtube.com/channel/UC3_NdvYLH1v1GIizqDyZXBA"/>
    <m/>
    <s v="-0Iauhp_Kug"/>
    <s v="https://www.youtube.com/watch?v=-0Iauhp_Kug"/>
    <s v="none"/>
    <n v="3"/>
    <x v="47"/>
    <d v="2020-10-05T01:31:26.000"/>
    <m/>
    <m/>
    <s v=""/>
    <n v="1"/>
    <s v="5"/>
    <s v="5"/>
    <n v="2"/>
    <n v="12.5"/>
    <n v="1"/>
    <n v="6.25"/>
    <n v="0"/>
    <n v="0"/>
    <n v="13"/>
    <n v="81.25"/>
    <n v="16"/>
  </r>
  <r>
    <s v="UCbbx7msYKamwOeRUkaqCTAQ"/>
    <s v="UC2OvqiRiMkKPGnLPVB8aNsA"/>
    <m/>
    <m/>
    <m/>
    <m/>
    <m/>
    <m/>
    <m/>
    <m/>
    <s v="Yes"/>
    <n v="51"/>
    <m/>
    <m/>
    <s v="Replied Comment"/>
    <x v="0"/>
    <s v="Thanks for watching :)"/>
    <s v="UCbbx7msYKamwOeRUkaqCTAQ"/>
    <s v="Geek Street Travels"/>
    <s v="http://www.youtube.com/channel/UCbbx7msYKamwOeRUkaqCTAQ"/>
    <s v="Ugx7L_yyL5mtgpaBpdh4AaABAg"/>
    <s v="-0Iauhp_Kug"/>
    <s v="https://www.youtube.com/watch?v=-0Iauhp_Kug"/>
    <s v="none"/>
    <n v="0"/>
    <x v="48"/>
    <s v="13/05/2020 12:13:38"/>
    <m/>
    <m/>
    <s v=""/>
    <n v="1"/>
    <s v="5"/>
    <s v="5"/>
    <n v="0"/>
    <n v="0"/>
    <n v="0"/>
    <n v="0"/>
    <n v="0"/>
    <n v="0"/>
    <n v="3"/>
    <n v="100"/>
    <n v="3"/>
  </r>
  <r>
    <s v="UC2OvqiRiMkKPGnLPVB8aNsA"/>
    <s v="UCbbx7msYKamwOeRUkaqCTAQ"/>
    <m/>
    <m/>
    <m/>
    <m/>
    <m/>
    <m/>
    <m/>
    <m/>
    <s v="Yes"/>
    <n v="52"/>
    <m/>
    <m/>
    <s v="Commented Video"/>
    <x v="1"/>
    <s v="Lovely tour of London!&lt;br&gt;Thank you!"/>
    <s v="UC2OvqiRiMkKPGnLPVB8aNsA"/>
    <s v="World Travel Rafhat"/>
    <s v="http://www.youtube.com/channel/UC2OvqiRiMkKPGnLPVB8aNsA"/>
    <m/>
    <s v="-0Iauhp_Kug"/>
    <s v="https://www.youtube.com/watch?v=-0Iauhp_Kug"/>
    <s v="none"/>
    <n v="2"/>
    <x v="49"/>
    <s v="13/05/2020 04:43:00"/>
    <m/>
    <m/>
    <s v=""/>
    <n v="1"/>
    <s v="5"/>
    <s v="5"/>
    <n v="2"/>
    <n v="28.571428571428573"/>
    <n v="0"/>
    <n v="0"/>
    <n v="0"/>
    <n v="0"/>
    <n v="5"/>
    <n v="71.42857142857143"/>
    <n v="7"/>
  </r>
  <r>
    <s v="UCbbx7msYKamwOeRUkaqCTAQ"/>
    <s v="UC3iId8RgPvwX7niHr37YjKg"/>
    <m/>
    <m/>
    <m/>
    <m/>
    <m/>
    <m/>
    <m/>
    <m/>
    <s v="Yes"/>
    <n v="53"/>
    <m/>
    <m/>
    <s v="Replied Comment"/>
    <x v="0"/>
    <s v="Thanks for watching and your comment, much appreciated! Glad you enjoyed it :)"/>
    <s v="UCbbx7msYKamwOeRUkaqCTAQ"/>
    <s v="Geek Street Travels"/>
    <s v="http://www.youtube.com/channel/UCbbx7msYKamwOeRUkaqCTAQ"/>
    <s v="Ugxga_HMuUEjdzaIk5l4AaABAg"/>
    <s v="-0Iauhp_Kug"/>
    <s v="https://www.youtube.com/watch?v=-0Iauhp_Kug"/>
    <s v="none"/>
    <n v="0"/>
    <x v="50"/>
    <s v="15/05/2020 10:43:03"/>
    <m/>
    <m/>
    <s v=""/>
    <n v="1"/>
    <s v="5"/>
    <s v="5"/>
    <n v="3"/>
    <n v="25"/>
    <n v="0"/>
    <n v="0"/>
    <n v="0"/>
    <n v="0"/>
    <n v="9"/>
    <n v="75"/>
    <n v="12"/>
  </r>
  <r>
    <s v="UC3iId8RgPvwX7niHr37YjKg"/>
    <s v="UCbbx7msYKamwOeRUkaqCTAQ"/>
    <m/>
    <m/>
    <m/>
    <m/>
    <m/>
    <m/>
    <m/>
    <m/>
    <s v="Yes"/>
    <n v="54"/>
    <m/>
    <m/>
    <s v="Commented Video"/>
    <x v="1"/>
    <s v="Ah what beauty the world holds, thanks for sharing it with me in theses times we can&amp;#39;t travel. Beautifully clean and steady footage. All the best to you fellow walker."/>
    <s v="UC3iId8RgPvwX7niHr37YjKg"/>
    <s v="Living Walks"/>
    <s v="http://www.youtube.com/channel/UC3iId8RgPvwX7niHr37YjKg"/>
    <m/>
    <s v="-0Iauhp_Kug"/>
    <s v="https://www.youtube.com/watch?v=-0Iauhp_Kug"/>
    <s v="none"/>
    <n v="1"/>
    <x v="51"/>
    <s v="14/05/2020 16:48:23"/>
    <m/>
    <m/>
    <s v=""/>
    <n v="1"/>
    <s v="5"/>
    <s v="5"/>
    <n v="5"/>
    <n v="15.625"/>
    <n v="0"/>
    <n v="0"/>
    <n v="0"/>
    <n v="0"/>
    <n v="27"/>
    <n v="84.375"/>
    <n v="32"/>
  </r>
  <r>
    <s v="UC9l0mKCZRMJCZ-UFwDgrUjw"/>
    <s v="UCBmO0Hh8zz65VRXSivmwa_g"/>
    <m/>
    <m/>
    <m/>
    <m/>
    <m/>
    <m/>
    <m/>
    <m/>
    <s v="Yes"/>
    <n v="55"/>
    <m/>
    <m/>
    <s v="Replied Comment"/>
    <x v="0"/>
    <s v="Yes, it&amp;#39;s heart warming to see how people get on with making a little oasis in the most built-up places."/>
    <s v="UC9l0mKCZRMJCZ-UFwDgrUjw"/>
    <s v="The Middle-Sized Garden"/>
    <s v="http://www.youtube.com/channel/UC9l0mKCZRMJCZ-UFwDgrUjw"/>
    <s v="UgyE1nAUih7FNvg_CiV4AaABAg"/>
    <s v="fdCzHc_2pAk"/>
    <s v="https://www.youtube.com/watch?v=fdCzHc_2pAk"/>
    <s v="none"/>
    <n v="0"/>
    <x v="52"/>
    <s v="27/05/2019 14:31:02"/>
    <m/>
    <m/>
    <s v=""/>
    <n v="1"/>
    <s v="14"/>
    <s v="14"/>
    <n v="1"/>
    <n v="4.3478260869565215"/>
    <n v="0"/>
    <n v="0"/>
    <n v="0"/>
    <n v="0"/>
    <n v="22"/>
    <n v="95.65217391304348"/>
    <n v="23"/>
  </r>
  <r>
    <s v="UCBmO0Hh8zz65VRXSivmwa_g"/>
    <s v="UC9l0mKCZRMJCZ-UFwDgrUjw"/>
    <m/>
    <m/>
    <m/>
    <m/>
    <m/>
    <m/>
    <m/>
    <m/>
    <s v="Yes"/>
    <n v="56"/>
    <m/>
    <m/>
    <s v="Commented Video"/>
    <x v="1"/>
    <s v="Very interesting. Gosh there are some clever people in this world &amp;amp; wow the volunteers do a fabulous job!"/>
    <s v="UCBmO0Hh8zz65VRXSivmwa_g"/>
    <s v="Heather Stephens"/>
    <s v="http://www.youtube.com/channel/UCBmO0Hh8zz65VRXSivmwa_g"/>
    <m/>
    <s v="fdCzHc_2pAk"/>
    <s v="https://www.youtube.com/watch?v=fdCzHc_2pAk"/>
    <s v="none"/>
    <n v="1"/>
    <x v="53"/>
    <s v="25/05/2019 06:56:32"/>
    <m/>
    <m/>
    <s v=""/>
    <n v="1"/>
    <s v="14"/>
    <s v="14"/>
    <n v="4"/>
    <n v="21.05263157894737"/>
    <n v="0"/>
    <n v="0"/>
    <n v="0"/>
    <n v="0"/>
    <n v="15"/>
    <n v="78.94736842105263"/>
    <n v="19"/>
  </r>
  <r>
    <s v="UC9l0mKCZRMJCZ-UFwDgrUjw"/>
    <s v="UCHzffwyraaIKEiXh2uM53mg"/>
    <m/>
    <m/>
    <m/>
    <m/>
    <m/>
    <m/>
    <m/>
    <m/>
    <s v="Yes"/>
    <n v="57"/>
    <m/>
    <m/>
    <s v="Replied Comment"/>
    <x v="0"/>
    <s v="That&amp;#39;s good to hear, thank you."/>
    <s v="UC9l0mKCZRMJCZ-UFwDgrUjw"/>
    <s v="The Middle-Sized Garden"/>
    <s v="http://www.youtube.com/channel/UC9l0mKCZRMJCZ-UFwDgrUjw"/>
    <s v="Ugxesz4UGVFB5e-Ok2p4AaABAg"/>
    <s v="fdCzHc_2pAk"/>
    <s v="https://www.youtube.com/watch?v=fdCzHc_2pAk"/>
    <s v="none"/>
    <n v="0"/>
    <x v="54"/>
    <s v="27/05/2019 14:29:01"/>
    <m/>
    <m/>
    <s v=""/>
    <n v="1"/>
    <s v="14"/>
    <s v="14"/>
    <n v="2"/>
    <n v="25"/>
    <n v="0"/>
    <n v="0"/>
    <n v="0"/>
    <n v="0"/>
    <n v="6"/>
    <n v="75"/>
    <n v="8"/>
  </r>
  <r>
    <s v="UCHzffwyraaIKEiXh2uM53mg"/>
    <s v="UC9l0mKCZRMJCZ-UFwDgrUjw"/>
    <m/>
    <m/>
    <m/>
    <m/>
    <m/>
    <m/>
    <m/>
    <m/>
    <s v="Yes"/>
    <n v="58"/>
    <m/>
    <m/>
    <s v="Commented Video"/>
    <x v="1"/>
    <s v="I thoroughly enjoyed this 🥰🌹🌿"/>
    <s v="UCHzffwyraaIKEiXh2uM53mg"/>
    <s v="Linda Reynolds"/>
    <s v="http://www.youtube.com/channel/UCHzffwyraaIKEiXh2uM53mg"/>
    <m/>
    <s v="fdCzHc_2pAk"/>
    <s v="https://www.youtube.com/watch?v=fdCzHc_2pAk"/>
    <s v="none"/>
    <n v="2"/>
    <x v="55"/>
    <s v="25/05/2019 07:54:12"/>
    <m/>
    <m/>
    <s v=""/>
    <n v="1"/>
    <s v="14"/>
    <s v="14"/>
    <n v="1"/>
    <n v="25"/>
    <n v="0"/>
    <n v="0"/>
    <n v="0"/>
    <n v="0"/>
    <n v="3"/>
    <n v="75"/>
    <n v="4"/>
  </r>
  <r>
    <s v="UC9l0mKCZRMJCZ-UFwDgrUjw"/>
    <s v="UC-BOduiGsy8dugfxbjqmiLA"/>
    <m/>
    <m/>
    <m/>
    <m/>
    <m/>
    <m/>
    <m/>
    <m/>
    <s v="Yes"/>
    <n v="59"/>
    <m/>
    <m/>
    <s v="Replied Comment"/>
    <x v="0"/>
    <s v="A pleasure - thank you!"/>
    <s v="UC9l0mKCZRMJCZ-UFwDgrUjw"/>
    <s v="The Middle-Sized Garden"/>
    <s v="http://www.youtube.com/channel/UC9l0mKCZRMJCZ-UFwDgrUjw"/>
    <s v="UgzqchurHdqOkIFtCSB4AaABAg"/>
    <s v="fdCzHc_2pAk"/>
    <s v="https://www.youtube.com/watch?v=fdCzHc_2pAk"/>
    <s v="none"/>
    <n v="0"/>
    <x v="56"/>
    <s v="27/05/2019 14:28:49"/>
    <m/>
    <m/>
    <s v=""/>
    <n v="1"/>
    <s v="14"/>
    <s v="14"/>
    <n v="2"/>
    <n v="50"/>
    <n v="0"/>
    <n v="0"/>
    <n v="0"/>
    <n v="0"/>
    <n v="2"/>
    <n v="50"/>
    <n v="4"/>
  </r>
  <r>
    <s v="UC-BOduiGsy8dugfxbjqmiLA"/>
    <s v="UC9l0mKCZRMJCZ-UFwDgrUjw"/>
    <m/>
    <m/>
    <m/>
    <m/>
    <m/>
    <m/>
    <m/>
    <m/>
    <s v="Yes"/>
    <n v="60"/>
    <m/>
    <m/>
    <s v="Commented Video"/>
    <x v="1"/>
    <s v="Very good video - well done!   Excellent and very interesting.  Thank you."/>
    <s v="UC-BOduiGsy8dugfxbjqmiLA"/>
    <s v="FlowerGrower Smith"/>
    <s v="http://www.youtube.com/channel/UC-BOduiGsy8dugfxbjqmiLA"/>
    <m/>
    <s v="fdCzHc_2pAk"/>
    <s v="https://www.youtube.com/watch?v=fdCzHc_2pAk"/>
    <s v="none"/>
    <n v="2"/>
    <x v="57"/>
    <s v="25/05/2019 10:12:03"/>
    <m/>
    <m/>
    <s v=""/>
    <n v="1"/>
    <s v="14"/>
    <s v="14"/>
    <n v="5"/>
    <n v="45.45454545454545"/>
    <n v="0"/>
    <n v="0"/>
    <n v="0"/>
    <n v="0"/>
    <n v="6"/>
    <n v="54.54545454545455"/>
    <n v="11"/>
  </r>
  <r>
    <s v="UC9l0mKCZRMJCZ-UFwDgrUjw"/>
    <s v="UCTskx5wmO9GGLSspJ6Dor0w"/>
    <m/>
    <m/>
    <m/>
    <m/>
    <m/>
    <m/>
    <m/>
    <m/>
    <s v="Yes"/>
    <n v="61"/>
    <m/>
    <m/>
    <s v="Replied Comment"/>
    <x v="0"/>
    <s v="Thank you!"/>
    <s v="UC9l0mKCZRMJCZ-UFwDgrUjw"/>
    <s v="The Middle-Sized Garden"/>
    <s v="http://www.youtube.com/channel/UC9l0mKCZRMJCZ-UFwDgrUjw"/>
    <s v="UgzXYMAa3wQ3mrV-LHF4AaABAg"/>
    <s v="fdCzHc_2pAk"/>
    <s v="https://www.youtube.com/watch?v=fdCzHc_2pAk"/>
    <s v="none"/>
    <n v="0"/>
    <x v="58"/>
    <s v="27/05/2019 14:28:40"/>
    <m/>
    <m/>
    <s v=""/>
    <n v="1"/>
    <s v="14"/>
    <s v="14"/>
    <n v="1"/>
    <n v="50"/>
    <n v="0"/>
    <n v="0"/>
    <n v="0"/>
    <n v="0"/>
    <n v="1"/>
    <n v="50"/>
    <n v="2"/>
  </r>
  <r>
    <s v="UCTskx5wmO9GGLSspJ6Dor0w"/>
    <s v="UC9l0mKCZRMJCZ-UFwDgrUjw"/>
    <m/>
    <m/>
    <m/>
    <m/>
    <m/>
    <m/>
    <m/>
    <m/>
    <s v="Yes"/>
    <n v="62"/>
    <m/>
    <m/>
    <s v="Commented Video"/>
    <x v="1"/>
    <s v="Lovely! Thanks for sharing - something different to do in London."/>
    <s v="UCTskx5wmO9GGLSspJ6Dor0w"/>
    <s v="kiwiken"/>
    <s v="http://www.youtube.com/channel/UCTskx5wmO9GGLSspJ6Dor0w"/>
    <m/>
    <s v="fdCzHc_2pAk"/>
    <s v="https://www.youtube.com/watch?v=fdCzHc_2pAk"/>
    <s v="none"/>
    <n v="2"/>
    <x v="59"/>
    <s v="25/05/2019 12:15:04"/>
    <m/>
    <m/>
    <s v=""/>
    <n v="1"/>
    <s v="14"/>
    <s v="14"/>
    <n v="1"/>
    <n v="10"/>
    <n v="0"/>
    <n v="0"/>
    <n v="0"/>
    <n v="0"/>
    <n v="9"/>
    <n v="90"/>
    <n v="10"/>
  </r>
  <r>
    <s v="UC9l0mKCZRMJCZ-UFwDgrUjw"/>
    <s v="UCK9-5YJLaH4YqD56tfTMM-A"/>
    <m/>
    <m/>
    <m/>
    <m/>
    <m/>
    <m/>
    <m/>
    <m/>
    <s v="Yes"/>
    <n v="63"/>
    <m/>
    <m/>
    <s v="Replied Comment"/>
    <x v="0"/>
    <s v="Thank you. It had such amazing views too."/>
    <s v="UC9l0mKCZRMJCZ-UFwDgrUjw"/>
    <s v="The Middle-Sized Garden"/>
    <s v="http://www.youtube.com/channel/UC9l0mKCZRMJCZ-UFwDgrUjw"/>
    <s v="Ugw3fdy0y-OcRL6FDtF4AaABAg"/>
    <s v="fdCzHc_2pAk"/>
    <s v="https://www.youtube.com/watch?v=fdCzHc_2pAk"/>
    <s v="none"/>
    <n v="1"/>
    <x v="60"/>
    <s v="27/05/2019 14:28:29"/>
    <m/>
    <m/>
    <s v=""/>
    <n v="1"/>
    <s v="14"/>
    <s v="14"/>
    <n v="2"/>
    <n v="25"/>
    <n v="0"/>
    <n v="0"/>
    <n v="0"/>
    <n v="0"/>
    <n v="6"/>
    <n v="75"/>
    <n v="8"/>
  </r>
  <r>
    <s v="UCK9-5YJLaH4YqD56tfTMM-A"/>
    <s v="UCK9-5YJLaH4YqD56tfTMM-A"/>
    <m/>
    <m/>
    <m/>
    <m/>
    <m/>
    <m/>
    <m/>
    <m/>
    <s v="No"/>
    <n v="64"/>
    <m/>
    <m/>
    <s v="Replied Comment"/>
    <x v="0"/>
    <s v="I can imagine! Almost makes me wish to be a London lawyer. Today I planted some sun coleus I rooted from cuttings. Coleus are best en masse. Have a great day! 🌿"/>
    <s v="UCK9-5YJLaH4YqD56tfTMM-A"/>
    <s v="Botanical Treasures"/>
    <s v="http://www.youtube.com/channel/UCK9-5YJLaH4YqD56tfTMM-A"/>
    <s v="Ugw3fdy0y-OcRL6FDtF4AaABAg"/>
    <s v="fdCzHc_2pAk"/>
    <s v="https://www.youtube.com/watch?v=fdCzHc_2pAk"/>
    <s v="none"/>
    <n v="0"/>
    <x v="61"/>
    <s v="27/05/2019 15:50:14"/>
    <m/>
    <m/>
    <s v=""/>
    <n v="1"/>
    <s v="14"/>
    <s v="14"/>
    <n v="2"/>
    <n v="6.451612903225806"/>
    <n v="0"/>
    <n v="0"/>
    <n v="0"/>
    <n v="0"/>
    <n v="29"/>
    <n v="93.54838709677419"/>
    <n v="31"/>
  </r>
  <r>
    <s v="UCK9-5YJLaH4YqD56tfTMM-A"/>
    <s v="UC9l0mKCZRMJCZ-UFwDgrUjw"/>
    <m/>
    <m/>
    <m/>
    <m/>
    <m/>
    <m/>
    <m/>
    <m/>
    <s v="Yes"/>
    <n v="65"/>
    <m/>
    <m/>
    <s v="Commented Video"/>
    <x v="1"/>
    <s v="Excellent use for very different urban spaces. I really liked the second garden—the rooftop garden with the beehive and pollinator plants. A workplace nature oasis. 🌿🌼"/>
    <s v="UCK9-5YJLaH4YqD56tfTMM-A"/>
    <s v="Botanical Treasures"/>
    <s v="http://www.youtube.com/channel/UCK9-5YJLaH4YqD56tfTMM-A"/>
    <m/>
    <s v="fdCzHc_2pAk"/>
    <s v="https://www.youtube.com/watch?v=fdCzHc_2pAk"/>
    <s v="none"/>
    <n v="2"/>
    <x v="62"/>
    <s v="25/05/2019 16:10:18"/>
    <m/>
    <m/>
    <s v=""/>
    <n v="1"/>
    <s v="14"/>
    <s v="14"/>
    <n v="3"/>
    <n v="11.538461538461538"/>
    <n v="0"/>
    <n v="0"/>
    <n v="0"/>
    <n v="0"/>
    <n v="23"/>
    <n v="88.46153846153847"/>
    <n v="26"/>
  </r>
  <r>
    <s v="UC9l0mKCZRMJCZ-UFwDgrUjw"/>
    <s v="UC9qBZOMmYw13MbQaLLzijnw"/>
    <m/>
    <m/>
    <m/>
    <m/>
    <m/>
    <m/>
    <m/>
    <m/>
    <s v="Yes"/>
    <n v="66"/>
    <m/>
    <m/>
    <s v="Replied Comment"/>
    <x v="0"/>
    <s v="Thank you!"/>
    <s v="UC9l0mKCZRMJCZ-UFwDgrUjw"/>
    <s v="The Middle-Sized Garden"/>
    <s v="http://www.youtube.com/channel/UC9l0mKCZRMJCZ-UFwDgrUjw"/>
    <s v="UgxZId6dqtsJIdMUkNR4AaABAg"/>
    <s v="fdCzHc_2pAk"/>
    <s v="https://www.youtube.com/watch?v=fdCzHc_2pAk"/>
    <s v="none"/>
    <n v="0"/>
    <x v="63"/>
    <s v="27/05/2019 14:29:27"/>
    <m/>
    <m/>
    <s v=""/>
    <n v="1"/>
    <s v="14"/>
    <s v="14"/>
    <n v="1"/>
    <n v="50"/>
    <n v="0"/>
    <n v="0"/>
    <n v="0"/>
    <n v="0"/>
    <n v="1"/>
    <n v="50"/>
    <n v="2"/>
  </r>
  <r>
    <s v="UC9qBZOMmYw13MbQaLLzijnw"/>
    <s v="UC9l0mKCZRMJCZ-UFwDgrUjw"/>
    <m/>
    <m/>
    <m/>
    <m/>
    <m/>
    <m/>
    <m/>
    <m/>
    <s v="Yes"/>
    <n v="67"/>
    <m/>
    <m/>
    <s v="Commented Video"/>
    <x v="1"/>
    <s v="Thank you for sharing that great information."/>
    <s v="UC9qBZOMmYw13MbQaLLzijnw"/>
    <s v="Martha Figueroa"/>
    <s v="http://www.youtube.com/channel/UC9qBZOMmYw13MbQaLLzijnw"/>
    <m/>
    <s v="fdCzHc_2pAk"/>
    <s v="https://www.youtube.com/watch?v=fdCzHc_2pAk"/>
    <s v="none"/>
    <n v="0"/>
    <x v="64"/>
    <s v="25/05/2019 17:24:30"/>
    <m/>
    <m/>
    <s v=""/>
    <n v="1"/>
    <s v="14"/>
    <s v="14"/>
    <n v="2"/>
    <n v="28.571428571428573"/>
    <n v="0"/>
    <n v="0"/>
    <n v="0"/>
    <n v="0"/>
    <n v="5"/>
    <n v="71.42857142857143"/>
    <n v="7"/>
  </r>
  <r>
    <s v="UC9l0mKCZRMJCZ-UFwDgrUjw"/>
    <s v="UCfXJQRQGWnOmmAzI-jgSPYw"/>
    <m/>
    <m/>
    <m/>
    <m/>
    <m/>
    <m/>
    <m/>
    <m/>
    <s v="Yes"/>
    <n v="68"/>
    <m/>
    <m/>
    <s v="Replied Comment"/>
    <x v="0"/>
    <s v="Thank you!"/>
    <s v="UC9l0mKCZRMJCZ-UFwDgrUjw"/>
    <s v="The Middle-Sized Garden"/>
    <s v="http://www.youtube.com/channel/UC9l0mKCZRMJCZ-UFwDgrUjw"/>
    <s v="UgwBldw_DXGgQCuTerZ4AaABAg"/>
    <s v="fdCzHc_2pAk"/>
    <s v="https://www.youtube.com/watch?v=fdCzHc_2pAk"/>
    <s v="none"/>
    <n v="0"/>
    <x v="65"/>
    <s v="27/05/2019 14:29:37"/>
    <m/>
    <m/>
    <s v=""/>
    <n v="1"/>
    <s v="14"/>
    <s v="14"/>
    <n v="1"/>
    <n v="50"/>
    <n v="0"/>
    <n v="0"/>
    <n v="0"/>
    <n v="0"/>
    <n v="1"/>
    <n v="50"/>
    <n v="2"/>
  </r>
  <r>
    <s v="UCfXJQRQGWnOmmAzI-jgSPYw"/>
    <s v="UC9l0mKCZRMJCZ-UFwDgrUjw"/>
    <m/>
    <m/>
    <m/>
    <m/>
    <m/>
    <m/>
    <m/>
    <m/>
    <s v="Yes"/>
    <n v="69"/>
    <m/>
    <m/>
    <s v="Commented Video"/>
    <x v="1"/>
    <s v="Amazing! Thank you for sharing 🐝🌸"/>
    <s v="UCfXJQRQGWnOmmAzI-jgSPYw"/>
    <s v="Ogrodowe Pasje"/>
    <s v="http://www.youtube.com/channel/UCfXJQRQGWnOmmAzI-jgSPYw"/>
    <m/>
    <s v="fdCzHc_2pAk"/>
    <s v="https://www.youtube.com/watch?v=fdCzHc_2pAk"/>
    <s v="none"/>
    <n v="0"/>
    <x v="66"/>
    <s v="25/05/2019 21:37:43"/>
    <m/>
    <m/>
    <s v=""/>
    <n v="1"/>
    <s v="14"/>
    <s v="14"/>
    <n v="2"/>
    <n v="40"/>
    <n v="0"/>
    <n v="0"/>
    <n v="0"/>
    <n v="0"/>
    <n v="3"/>
    <n v="60"/>
    <n v="5"/>
  </r>
  <r>
    <s v="UC9l0mKCZRMJCZ-UFwDgrUjw"/>
    <s v="UCg7R0p9UWwq2MHr3ZKVfPXA"/>
    <m/>
    <m/>
    <m/>
    <m/>
    <m/>
    <m/>
    <m/>
    <m/>
    <s v="Yes"/>
    <n v="70"/>
    <m/>
    <m/>
    <s v="Replied Comment"/>
    <x v="0"/>
    <s v="We couldn&amp;#39;t think what to do about the fly buzzing in front of the camera. It was determined to photo bomb me. Skip Garden great, I agree."/>
    <s v="UC9l0mKCZRMJCZ-UFwDgrUjw"/>
    <s v="The Middle-Sized Garden"/>
    <s v="http://www.youtube.com/channel/UC9l0mKCZRMJCZ-UFwDgrUjw"/>
    <s v="Ugwtkr7Bowq9oewowqB4AaABAg"/>
    <s v="fdCzHc_2pAk"/>
    <s v="https://www.youtube.com/watch?v=fdCzHc_2pAk"/>
    <s v="none"/>
    <n v="0"/>
    <x v="67"/>
    <s v="27/05/2019 14:30:31"/>
    <m/>
    <m/>
    <s v=""/>
    <n v="2"/>
    <s v="14"/>
    <s v="14"/>
    <n v="1"/>
    <n v="3.4482758620689653"/>
    <n v="2"/>
    <n v="6.896551724137931"/>
    <n v="0"/>
    <n v="0"/>
    <n v="26"/>
    <n v="89.65517241379311"/>
    <n v="29"/>
  </r>
  <r>
    <s v="UC9l0mKCZRMJCZ-UFwDgrUjw"/>
    <s v="UCg7R0p9UWwq2MHr3ZKVfPXA"/>
    <m/>
    <m/>
    <m/>
    <m/>
    <m/>
    <m/>
    <m/>
    <m/>
    <s v="Yes"/>
    <n v="71"/>
    <m/>
    <m/>
    <s v="Replied Comment"/>
    <x v="0"/>
    <s v="We couldn&amp;#39;t think what to do about the fly buzzing in front of the camera. It was determined to photo bomb me. Skip Garden great, I agree."/>
    <s v="UC9l0mKCZRMJCZ-UFwDgrUjw"/>
    <s v="The Middle-Sized Garden"/>
    <s v="http://www.youtube.com/channel/UC9l0mKCZRMJCZ-UFwDgrUjw"/>
    <s v="Ugwtkr7Bowq9oewowqB4AaABAg"/>
    <s v="fdCzHc_2pAk"/>
    <s v="https://www.youtube.com/watch?v=fdCzHc_2pAk"/>
    <s v="none"/>
    <n v="0"/>
    <x v="68"/>
    <s v="27/05/2019 14:30:43"/>
    <m/>
    <m/>
    <s v=""/>
    <n v="2"/>
    <s v="14"/>
    <s v="14"/>
    <n v="1"/>
    <n v="3.4482758620689653"/>
    <n v="2"/>
    <n v="6.896551724137931"/>
    <n v="0"/>
    <n v="0"/>
    <n v="26"/>
    <n v="89.65517241379311"/>
    <n v="29"/>
  </r>
  <r>
    <s v="UCg7R0p9UWwq2MHr3ZKVfPXA"/>
    <s v="UC9l0mKCZRMJCZ-UFwDgrUjw"/>
    <m/>
    <m/>
    <m/>
    <m/>
    <m/>
    <m/>
    <m/>
    <m/>
    <s v="Yes"/>
    <n v="72"/>
    <m/>
    <m/>
    <s v="Commented Video"/>
    <x v="1"/>
    <s v="Clearly the fairies directed this video but you should tell them to stay out of your close ups, so bossy, it looks like the insects are coaching your dialogue. Love the Skip garden concept."/>
    <s v="UCg7R0p9UWwq2MHr3ZKVfPXA"/>
    <s v="oneof theninetynine"/>
    <s v="http://www.youtube.com/channel/UCg7R0p9UWwq2MHr3ZKVfPXA"/>
    <m/>
    <s v="fdCzHc_2pAk"/>
    <s v="https://www.youtube.com/watch?v=fdCzHc_2pAk"/>
    <s v="none"/>
    <n v="0"/>
    <x v="69"/>
    <s v="27/05/2019 04:14:33"/>
    <m/>
    <m/>
    <s v=""/>
    <n v="1"/>
    <s v="14"/>
    <s v="14"/>
    <n v="3"/>
    <n v="8.823529411764707"/>
    <n v="0"/>
    <n v="0"/>
    <n v="0"/>
    <n v="0"/>
    <n v="31"/>
    <n v="91.17647058823529"/>
    <n v="34"/>
  </r>
  <r>
    <s v="UC9l0mKCZRMJCZ-UFwDgrUjw"/>
    <s v="UCfyM7s57TublMr79wTEsyNQ"/>
    <m/>
    <m/>
    <m/>
    <m/>
    <m/>
    <m/>
    <m/>
    <m/>
    <s v="Yes"/>
    <n v="73"/>
    <m/>
    <m/>
    <s v="Replied Comment"/>
    <x v="0"/>
    <s v="Thank you!"/>
    <s v="UC9l0mKCZRMJCZ-UFwDgrUjw"/>
    <s v="The Middle-Sized Garden"/>
    <s v="http://www.youtube.com/channel/UC9l0mKCZRMJCZ-UFwDgrUjw"/>
    <s v="Ugw43NVHgGylN7ByedZ4AaABAg"/>
    <s v="fdCzHc_2pAk"/>
    <s v="https://www.youtube.com/watch?v=fdCzHc_2pAk"/>
    <s v="none"/>
    <n v="0"/>
    <x v="70"/>
    <s v="26/04/2020 16:56:35"/>
    <m/>
    <m/>
    <s v=""/>
    <n v="1"/>
    <s v="14"/>
    <s v="14"/>
    <n v="1"/>
    <n v="50"/>
    <n v="0"/>
    <n v="0"/>
    <n v="0"/>
    <n v="0"/>
    <n v="1"/>
    <n v="50"/>
    <n v="2"/>
  </r>
  <r>
    <s v="UCfyM7s57TublMr79wTEsyNQ"/>
    <s v="UC9l0mKCZRMJCZ-UFwDgrUjw"/>
    <m/>
    <m/>
    <m/>
    <m/>
    <m/>
    <m/>
    <m/>
    <m/>
    <s v="Yes"/>
    <n v="74"/>
    <m/>
    <m/>
    <s v="Commented Video"/>
    <x v="1"/>
    <s v="That last garden was so inspiring. I’ve stolen some plant combinations from that. Great to see some shade gardens, as it can be difficult to find options. As a gardener with a north-facing plot, I love to see how other people manage."/>
    <s v="UCfyM7s57TublMr79wTEsyNQ"/>
    <s v="DailyDiveFix"/>
    <s v="http://www.youtube.com/channel/UCfyM7s57TublMr79wTEsyNQ"/>
    <m/>
    <s v="fdCzHc_2pAk"/>
    <s v="https://www.youtube.com/watch?v=fdCzHc_2pAk"/>
    <s v="none"/>
    <n v="0"/>
    <x v="71"/>
    <s v="18/04/2020 21:25:49"/>
    <m/>
    <m/>
    <s v=""/>
    <n v="1"/>
    <s v="14"/>
    <s v="14"/>
    <n v="3"/>
    <n v="6.818181818181818"/>
    <n v="3"/>
    <n v="6.818181818181818"/>
    <n v="0"/>
    <n v="0"/>
    <n v="38"/>
    <n v="86.36363636363636"/>
    <n v="44"/>
  </r>
  <r>
    <s v="UCNJwFhmayWXA2d8_NQFr6sw"/>
    <s v="UCbUhO-tut97b5IQhZ3i7TMA"/>
    <m/>
    <m/>
    <m/>
    <m/>
    <m/>
    <m/>
    <m/>
    <m/>
    <s v="No"/>
    <n v="75"/>
    <m/>
    <m/>
    <s v="Commented Video"/>
    <x v="1"/>
    <s v="I&amp;#39;ve been feeling the same this past week. Kind of up and down but mostly don&amp;#39;t feel like doing anything the past few days. When you mentioned you&amp;#39;ve had an up and down week I felt better knowing I&amp;#39;m not the only one ❤💚💜💙💛"/>
    <s v="UCNJwFhmayWXA2d8_NQFr6sw"/>
    <s v="Cathleen Weaver"/>
    <s v="http://www.youtube.com/channel/UCNJwFhmayWXA2d8_NQFr6sw"/>
    <m/>
    <s v="xZPSNornzmk"/>
    <s v="https://www.youtube.com/watch?v=xZPSNornzmk"/>
    <s v="none"/>
    <n v="0"/>
    <x v="72"/>
    <s v="30/05/2020 16:10:16"/>
    <m/>
    <m/>
    <s v=""/>
    <n v="1"/>
    <s v="1"/>
    <s v="1"/>
    <n v="2"/>
    <n v="3.9215686274509802"/>
    <n v="0"/>
    <n v="0"/>
    <n v="0"/>
    <n v="0"/>
    <n v="49"/>
    <n v="96.07843137254902"/>
    <n v="51"/>
  </r>
  <r>
    <s v="UC6jL00JL-Y4PTXFkQa0YtXw"/>
    <s v="UCbUhO-tut97b5IQhZ3i7TMA"/>
    <m/>
    <m/>
    <m/>
    <m/>
    <m/>
    <m/>
    <m/>
    <m/>
    <s v="No"/>
    <n v="76"/>
    <m/>
    <m/>
    <s v="Commented Video"/>
    <x v="1"/>
    <s v="Great vid as always 👍 but sorry to hear you&amp;#39;ve been feeling a bit discombobulated (excellent word) and exhausted. In  these times it&amp;#39;s not so unusual as long as it passes so really take care of yourself and do take more time off if you need it- you&amp;#39;ve been keeping us consistently entertained all through this Mr C and it&amp;#39;s very much appreciated  👍☺️👏😁"/>
    <s v="UC6jL00JL-Y4PTXFkQa0YtXw"/>
    <s v="Ol' Bird"/>
    <s v="http://www.youtube.com/channel/UC6jL00JL-Y4PTXFkQa0YtXw"/>
    <m/>
    <s v="xZPSNornzmk"/>
    <s v="https://www.youtube.com/watch?v=xZPSNornzmk"/>
    <s v="none"/>
    <n v="0"/>
    <x v="73"/>
    <s v="30/05/2020 16:17:11"/>
    <m/>
    <m/>
    <s v=""/>
    <n v="1"/>
    <s v="1"/>
    <s v="1"/>
    <n v="4"/>
    <n v="5.714285714285714"/>
    <n v="3"/>
    <n v="4.285714285714286"/>
    <n v="0"/>
    <n v="0"/>
    <n v="63"/>
    <n v="90"/>
    <n v="70"/>
  </r>
  <r>
    <s v="UCSsxCzEeuuL06aJ6VVde8eA"/>
    <s v="UCbUhO-tut97b5IQhZ3i7TMA"/>
    <m/>
    <m/>
    <m/>
    <m/>
    <m/>
    <m/>
    <m/>
    <m/>
    <s v="No"/>
    <n v="77"/>
    <m/>
    <m/>
    <s v="Commented Video"/>
    <x v="1"/>
    <s v="love the video ewan, hope you are well take care. x"/>
    <s v="UCSsxCzEeuuL06aJ6VVde8eA"/>
    <s v="annemarie gracie"/>
    <s v="http://www.youtube.com/channel/UCSsxCzEeuuL06aJ6VVde8eA"/>
    <m/>
    <s v="xZPSNornzmk"/>
    <s v="https://www.youtube.com/watch?v=xZPSNornzmk"/>
    <s v="none"/>
    <n v="0"/>
    <x v="74"/>
    <s v="30/05/2020 19:18:52"/>
    <m/>
    <m/>
    <s v=""/>
    <n v="1"/>
    <s v="1"/>
    <s v="1"/>
    <n v="2"/>
    <n v="18.181818181818183"/>
    <n v="0"/>
    <n v="0"/>
    <n v="0"/>
    <n v="0"/>
    <n v="9"/>
    <n v="81.81818181818181"/>
    <n v="11"/>
  </r>
  <r>
    <s v="UC231SAu_r4ieV7M177NEedg"/>
    <s v="UCbUhO-tut97b5IQhZ3i7TMA"/>
    <m/>
    <m/>
    <m/>
    <m/>
    <m/>
    <m/>
    <m/>
    <m/>
    <s v="No"/>
    <n v="78"/>
    <m/>
    <m/>
    <s v="Commented Video"/>
    <x v="1"/>
    <s v="Enjoyed watching your vlog on Saturday evening in Durban, South Africa. We have fab sunshine days even though it is winter. You are right about the emotional roller coaster but as you say it is important to remain positive and kind."/>
    <s v="UC231SAu_r4ieV7M177NEedg"/>
    <s v="Diane James"/>
    <s v="http://www.youtube.com/channel/UC231SAu_r4ieV7M177NEedg"/>
    <m/>
    <s v="xZPSNornzmk"/>
    <s v="https://www.youtube.com/watch?v=xZPSNornzmk"/>
    <s v="none"/>
    <n v="0"/>
    <x v="75"/>
    <s v="30/05/2020 20:55:13"/>
    <m/>
    <m/>
    <s v=""/>
    <n v="1"/>
    <s v="1"/>
    <s v="1"/>
    <n v="4"/>
    <n v="9.75609756097561"/>
    <n v="0"/>
    <n v="0"/>
    <n v="0"/>
    <n v="0"/>
    <n v="37"/>
    <n v="90.2439024390244"/>
    <n v="41"/>
  </r>
  <r>
    <s v="UCra_RTJ8-u_qg7FEsTc3v_A"/>
    <s v="UCbUhO-tut97b5IQhZ3i7TMA"/>
    <m/>
    <m/>
    <m/>
    <m/>
    <m/>
    <m/>
    <m/>
    <m/>
    <s v="No"/>
    <n v="79"/>
    <m/>
    <m/>
    <s v="Commented Video"/>
    <x v="1"/>
    <s v="It&amp;#39;s lovely to hear the birds so much clearer these days without the planes flying around and the air smells so much fresher fab vlog love your roof garden  I always watch to the end too x love Simon is a brilliant film"/>
    <s v="UCra_RTJ8-u_qg7FEsTc3v_A"/>
    <s v="Belinda Neave"/>
    <s v="http://www.youtube.com/channel/UCra_RTJ8-u_qg7FEsTc3v_A"/>
    <m/>
    <s v="xZPSNornzmk"/>
    <s v="https://www.youtube.com/watch?v=xZPSNornzmk"/>
    <s v="none"/>
    <n v="0"/>
    <x v="76"/>
    <s v="30/05/2020 21:11:54"/>
    <m/>
    <m/>
    <s v=""/>
    <n v="2"/>
    <s v="1"/>
    <s v="1"/>
    <n v="6"/>
    <n v="13.333333333333334"/>
    <n v="1"/>
    <n v="2.2222222222222223"/>
    <n v="0"/>
    <n v="0"/>
    <n v="38"/>
    <n v="84.44444444444444"/>
    <n v="45"/>
  </r>
  <r>
    <s v="UCra_RTJ8-u_qg7FEsTc3v_A"/>
    <s v="UCbUhO-tut97b5IQhZ3i7TMA"/>
    <m/>
    <m/>
    <m/>
    <m/>
    <m/>
    <m/>
    <m/>
    <m/>
    <s v="No"/>
    <n v="80"/>
    <m/>
    <m/>
    <s v="Commented Video"/>
    <x v="1"/>
    <s v="I call it coronacoster up and down one minute crying the next happy sad exhausted  sort of vibe God I need a Gin 😉 yes please keep your Lidl haul going x"/>
    <s v="UCra_RTJ8-u_qg7FEsTc3v_A"/>
    <s v="Belinda Neave"/>
    <s v="http://www.youtube.com/channel/UCra_RTJ8-u_qg7FEsTc3v_A"/>
    <m/>
    <s v="xZPSNornzmk"/>
    <s v="https://www.youtube.com/watch?v=xZPSNornzmk"/>
    <s v="none"/>
    <n v="0"/>
    <x v="77"/>
    <s v="30/05/2020 21:18:32"/>
    <m/>
    <m/>
    <s v=""/>
    <n v="2"/>
    <s v="1"/>
    <s v="1"/>
    <n v="1"/>
    <n v="3.225806451612903"/>
    <n v="2"/>
    <n v="6.451612903225806"/>
    <n v="0"/>
    <n v="0"/>
    <n v="28"/>
    <n v="90.3225806451613"/>
    <n v="31"/>
  </r>
  <r>
    <s v="UCAgfa5wms3giPz-TJlvrupg"/>
    <s v="UCbUhO-tut97b5IQhZ3i7TMA"/>
    <m/>
    <m/>
    <m/>
    <m/>
    <m/>
    <m/>
    <m/>
    <m/>
    <s v="No"/>
    <n v="81"/>
    <m/>
    <m/>
    <s v="Commented Video"/>
    <x v="1"/>
    <s v="OMG the Footage on this Vlog was so unbelievable. I really enjoyed this one with all the nature and bird song and what you get upto in a day . You are looking great in Lockdown atm 🤣👍. Can you do more of these types of Vlogs PLEASE ? All the flowers around your walk were beautiful as well ."/>
    <s v="UCAgfa5wms3giPz-TJlvrupg"/>
    <s v="Jennifer Sherwood"/>
    <s v="http://www.youtube.com/channel/UCAgfa5wms3giPz-TJlvrupg"/>
    <m/>
    <s v="xZPSNornzmk"/>
    <s v="https://www.youtube.com/watch?v=xZPSNornzmk"/>
    <s v="none"/>
    <n v="0"/>
    <x v="78"/>
    <s v="30/05/2020 21:38:14"/>
    <m/>
    <m/>
    <s v=""/>
    <n v="1"/>
    <s v="1"/>
    <s v="1"/>
    <n v="4"/>
    <n v="7.142857142857143"/>
    <n v="1"/>
    <n v="1.7857142857142858"/>
    <n v="0"/>
    <n v="0"/>
    <n v="51"/>
    <n v="91.07142857142857"/>
    <n v="56"/>
  </r>
  <r>
    <s v="UCVca94o9ajc4K5O4TVzbgGg"/>
    <s v="UCbUhO-tut97b5IQhZ3i7TMA"/>
    <m/>
    <m/>
    <m/>
    <m/>
    <m/>
    <m/>
    <m/>
    <m/>
    <s v="No"/>
    <n v="82"/>
    <m/>
    <m/>
    <s v="Commented Video"/>
    <x v="1"/>
    <s v="so jealous of your home garden you have given me alot of new ideas thank you"/>
    <s v="UCVca94o9ajc4K5O4TVzbgGg"/>
    <s v="Heidi Avera"/>
    <s v="http://www.youtube.com/channel/UCVca94o9ajc4K5O4TVzbgGg"/>
    <m/>
    <s v="xZPSNornzmk"/>
    <s v="https://www.youtube.com/watch?v=xZPSNornzmk"/>
    <s v="none"/>
    <n v="0"/>
    <x v="79"/>
    <s v="30/05/2020 21:49:27"/>
    <m/>
    <m/>
    <s v=""/>
    <n v="1"/>
    <s v="1"/>
    <s v="1"/>
    <n v="1"/>
    <n v="6.25"/>
    <n v="1"/>
    <n v="6.25"/>
    <n v="0"/>
    <n v="0"/>
    <n v="14"/>
    <n v="87.5"/>
    <n v="16"/>
  </r>
  <r>
    <s v="UCBHiZ2I6P89WK8fMBnMcajw"/>
    <s v="UCbUhO-tut97b5IQhZ3i7TMA"/>
    <m/>
    <m/>
    <m/>
    <m/>
    <m/>
    <m/>
    <m/>
    <m/>
    <s v="No"/>
    <n v="83"/>
    <m/>
    <m/>
    <s v="Commented Video"/>
    <x v="1"/>
    <s v="I watched til the end. Looking forward to the pallet DIY. Another great video"/>
    <s v="UCBHiZ2I6P89WK8fMBnMcajw"/>
    <s v="Paula Hennell"/>
    <s v="http://www.youtube.com/channel/UCBHiZ2I6P89WK8fMBnMcajw"/>
    <m/>
    <s v="xZPSNornzmk"/>
    <s v="https://www.youtube.com/watch?v=xZPSNornzmk"/>
    <s v="none"/>
    <n v="0"/>
    <x v="80"/>
    <s v="30/05/2020 22:28:57"/>
    <m/>
    <m/>
    <s v=""/>
    <n v="1"/>
    <s v="1"/>
    <s v="1"/>
    <n v="1"/>
    <n v="7.142857142857143"/>
    <n v="0"/>
    <n v="0"/>
    <n v="0"/>
    <n v="0"/>
    <n v="13"/>
    <n v="92.85714285714286"/>
    <n v="14"/>
  </r>
  <r>
    <s v="UCB2xDM90FsYLtQZa8iben6w"/>
    <s v="UCbUhO-tut97b5IQhZ3i7TMA"/>
    <m/>
    <m/>
    <m/>
    <m/>
    <m/>
    <m/>
    <m/>
    <m/>
    <s v="No"/>
    <n v="84"/>
    <m/>
    <m/>
    <s v="Commented Video"/>
    <x v="1"/>
    <s v="👍💖👌of course, I got to the end, who wouldn&amp;#39;t, this was really lovely🥰"/>
    <s v="UCB2xDM90FsYLtQZa8iben6w"/>
    <s v="Rose Mary"/>
    <s v="http://www.youtube.com/channel/UCB2xDM90FsYLtQZa8iben6w"/>
    <m/>
    <s v="xZPSNornzmk"/>
    <s v="https://www.youtube.com/watch?v=xZPSNornzmk"/>
    <s v="none"/>
    <n v="0"/>
    <x v="81"/>
    <s v="30/05/2020 22:30:19"/>
    <m/>
    <m/>
    <s v=""/>
    <n v="1"/>
    <s v="1"/>
    <s v="1"/>
    <n v="1"/>
    <n v="6.666666666666667"/>
    <n v="0"/>
    <n v="0"/>
    <n v="0"/>
    <n v="0"/>
    <n v="14"/>
    <n v="93.33333333333333"/>
    <n v="15"/>
  </r>
  <r>
    <s v="UCtYUcIQ1g4KU-es2VAz7JtQ"/>
    <s v="UCbUhO-tut97b5IQhZ3i7TMA"/>
    <m/>
    <m/>
    <m/>
    <m/>
    <m/>
    <m/>
    <m/>
    <m/>
    <s v="No"/>
    <n v="85"/>
    <m/>
    <m/>
    <s v="Commented Video"/>
    <x v="1"/>
    <s v="Your gardens looking lovely! My geraniums haven&amp;#39;t bloomed yet just still green leaves?! Gardening has been my life saver during lockdown! Even started growing some fruit &amp;amp; veg! 🙂🙂🙂"/>
    <s v="UCtYUcIQ1g4KU-es2VAz7JtQ"/>
    <s v="Nina 123"/>
    <s v="http://www.youtube.com/channel/UCtYUcIQ1g4KU-es2VAz7JtQ"/>
    <m/>
    <s v="xZPSNornzmk"/>
    <s v="https://www.youtube.com/watch?v=xZPSNornzmk"/>
    <s v="none"/>
    <n v="0"/>
    <x v="82"/>
    <s v="30/05/2020 22:46:17"/>
    <m/>
    <m/>
    <s v=""/>
    <n v="1"/>
    <s v="1"/>
    <s v="1"/>
    <n v="2"/>
    <n v="6.666666666666667"/>
    <n v="0"/>
    <n v="0"/>
    <n v="0"/>
    <n v="0"/>
    <n v="28"/>
    <n v="93.33333333333333"/>
    <n v="30"/>
  </r>
  <r>
    <s v="UC_PZn0aPVrcSJ9upkA3kDXQ"/>
    <s v="UCbUhO-tut97b5IQhZ3i7TMA"/>
    <m/>
    <m/>
    <m/>
    <m/>
    <m/>
    <m/>
    <m/>
    <m/>
    <s v="No"/>
    <n v="86"/>
    <m/>
    <m/>
    <s v="Commented Video"/>
    <x v="1"/>
    <s v="Your roof garden is looking so lush. You really do have green fingers. I like how you treat yourself to flowers each week. When I went to an exhibition of Norman Rockwell paintings in Dulwich I saw a fox fast asleep on a trampoline. Some lovely houses around there."/>
    <s v="UC_PZn0aPVrcSJ9upkA3kDXQ"/>
    <s v="Shirley Dunn"/>
    <s v="http://www.youtube.com/channel/UC_PZn0aPVrcSJ9upkA3kDXQ"/>
    <m/>
    <s v="xZPSNornzmk"/>
    <s v="https://www.youtube.com/watch?v=xZPSNornzmk"/>
    <s v="none"/>
    <n v="0"/>
    <x v="83"/>
    <s v="31/05/2020 00:13:34"/>
    <m/>
    <m/>
    <s v=""/>
    <n v="1"/>
    <s v="1"/>
    <s v="1"/>
    <n v="4"/>
    <n v="8.16326530612245"/>
    <n v="0"/>
    <n v="0"/>
    <n v="0"/>
    <n v="0"/>
    <n v="45"/>
    <n v="91.83673469387755"/>
    <n v="49"/>
  </r>
  <r>
    <s v="UCZEUK7gTOg3jEw96Wj1YiyQ"/>
    <s v="UCbUhO-tut97b5IQhZ3i7TMA"/>
    <m/>
    <m/>
    <m/>
    <m/>
    <m/>
    <m/>
    <m/>
    <m/>
    <s v="No"/>
    <n v="87"/>
    <m/>
    <m/>
    <s v="Commented Video"/>
    <x v="1"/>
    <s v="I always watch til the end 🤗. I loved this video, such beautiful scenes and entertaining commentary from you, as always. I had a crappy start to the week, but I&amp;#39;ve pulled myself back to good spirits in the last few days. I&amp;#39;m worried about the knock-on effect that the eased restrictions will have on the number of cases over the next few weeks, so I&amp;#39;m personally still very much in isolation (which is taking a toll mentally). But we&amp;#39;ll get through this, it&amp;#39;s a bit of a rollercoaster like you said 💜."/>
    <s v="UCZEUK7gTOg3jEw96Wj1YiyQ"/>
    <s v="Kat Fangtastic"/>
    <s v="http://www.youtube.com/channel/UCZEUK7gTOg3jEw96Wj1YiyQ"/>
    <m/>
    <s v="xZPSNornzmk"/>
    <s v="https://www.youtube.com/watch?v=xZPSNornzmk"/>
    <s v="none"/>
    <n v="0"/>
    <x v="84"/>
    <s v="31/05/2020 00:21:28"/>
    <m/>
    <m/>
    <s v=""/>
    <n v="1"/>
    <s v="1"/>
    <s v="1"/>
    <n v="6"/>
    <n v="5.882352941176471"/>
    <n v="6"/>
    <n v="5.882352941176471"/>
    <n v="0"/>
    <n v="0"/>
    <n v="90"/>
    <n v="88.23529411764706"/>
    <n v="102"/>
  </r>
  <r>
    <s v="UC0g1YwKNzgOxNo75tTXolYA"/>
    <s v="UCbUhO-tut97b5IQhZ3i7TMA"/>
    <m/>
    <m/>
    <m/>
    <m/>
    <m/>
    <m/>
    <m/>
    <m/>
    <s v="No"/>
    <n v="88"/>
    <m/>
    <m/>
    <s v="Commented Video"/>
    <x v="1"/>
    <s v="I have felt really tired. Feel I am working more hours while im working from home. 10 oclock at night, Ill just have a look at my e-mails and get roped into putting stuff on their social media.&lt;br&gt;Plus I find it all quite stressful with whats going on right now. Your videos really help to calm and relax me. Thanks for all your hard work."/>
    <s v="UC0g1YwKNzgOxNo75tTXolYA"/>
    <s v="lovecara1"/>
    <s v="http://www.youtube.com/channel/UC0g1YwKNzgOxNo75tTXolYA"/>
    <m/>
    <s v="xZPSNornzmk"/>
    <s v="https://www.youtube.com/watch?v=xZPSNornzmk"/>
    <s v="none"/>
    <n v="0"/>
    <x v="85"/>
    <s v="31/05/2020 01:10:52"/>
    <m/>
    <m/>
    <s v=""/>
    <n v="1"/>
    <s v="1"/>
    <s v="1"/>
    <n v="3"/>
    <n v="4.411764705882353"/>
    <n v="3"/>
    <n v="4.411764705882353"/>
    <n v="0"/>
    <n v="0"/>
    <n v="62"/>
    <n v="91.17647058823529"/>
    <n v="68"/>
  </r>
  <r>
    <s v="UCy4vchV8fH1y73tBFK6MeSw"/>
    <s v="UCbUhO-tut97b5IQhZ3i7TMA"/>
    <m/>
    <m/>
    <m/>
    <m/>
    <m/>
    <m/>
    <m/>
    <m/>
    <s v="No"/>
    <n v="89"/>
    <m/>
    <m/>
    <s v="Commented Video"/>
    <x v="1"/>
    <s v="I like your video ht s good to watching your YouTube video ht s cool 😎 to watching your YouTube video ht s cool 😎 for your mr c from Nikki Thomson 😘 😘"/>
    <s v="UCy4vchV8fH1y73tBFK6MeSw"/>
    <s v="Nikki Thomson"/>
    <s v="http://www.youtube.com/channel/UCy4vchV8fH1y73tBFK6MeSw"/>
    <m/>
    <s v="xZPSNornzmk"/>
    <s v="https://www.youtube.com/watch?v=xZPSNornzmk"/>
    <s v="none"/>
    <n v="1"/>
    <x v="86"/>
    <s v="31/05/2020 00:47:10"/>
    <m/>
    <m/>
    <s v=""/>
    <n v="2"/>
    <s v="1"/>
    <s v="1"/>
    <n v="4"/>
    <n v="13.333333333333334"/>
    <n v="0"/>
    <n v="0"/>
    <n v="0"/>
    <n v="0"/>
    <n v="26"/>
    <n v="86.66666666666667"/>
    <n v="30"/>
  </r>
  <r>
    <s v="UCy4vchV8fH1y73tBFK6MeSw"/>
    <s v="UCbUhO-tut97b5IQhZ3i7TMA"/>
    <m/>
    <m/>
    <m/>
    <m/>
    <m/>
    <m/>
    <m/>
    <m/>
    <s v="No"/>
    <n v="90"/>
    <m/>
    <m/>
    <s v="Commented Video"/>
    <x v="1"/>
    <s v="I me ok 👌 and I watching YouTube video r your ok too I watching your to the end from Nikki Thomson 😘 😘"/>
    <s v="UCy4vchV8fH1y73tBFK6MeSw"/>
    <s v="Nikki Thomson"/>
    <s v="http://www.youtube.com/channel/UCy4vchV8fH1y73tBFK6MeSw"/>
    <m/>
    <s v="xZPSNornzmk"/>
    <s v="https://www.youtube.com/watch?v=xZPSNornzmk"/>
    <s v="none"/>
    <n v="0"/>
    <x v="87"/>
    <s v="31/05/2020 01:10:56"/>
    <m/>
    <m/>
    <s v=""/>
    <n v="2"/>
    <s v="1"/>
    <s v="1"/>
    <n v="0"/>
    <n v="0"/>
    <n v="0"/>
    <n v="0"/>
    <n v="0"/>
    <n v="0"/>
    <n v="21"/>
    <n v="100"/>
    <n v="21"/>
  </r>
  <r>
    <s v="UCR8erYjzdFG6pUs12wdE0Eg"/>
    <s v="UCbUhO-tut97b5IQhZ3i7TMA"/>
    <m/>
    <m/>
    <m/>
    <m/>
    <m/>
    <m/>
    <m/>
    <m/>
    <s v="No"/>
    <n v="91"/>
    <m/>
    <m/>
    <s v="Commented Video"/>
    <x v="1"/>
    <s v="Thank you so much for sharing the beautiful English countryside and flowers."/>
    <s v="UCR8erYjzdFG6pUs12wdE0Eg"/>
    <s v="Caroline Miles"/>
    <s v="http://www.youtube.com/channel/UCR8erYjzdFG6pUs12wdE0Eg"/>
    <m/>
    <s v="xZPSNornzmk"/>
    <s v="https://www.youtube.com/watch?v=xZPSNornzmk"/>
    <s v="none"/>
    <n v="0"/>
    <x v="88"/>
    <s v="31/05/2020 01:53:28"/>
    <m/>
    <m/>
    <s v=""/>
    <n v="1"/>
    <s v="1"/>
    <s v="1"/>
    <n v="2"/>
    <n v="16.666666666666668"/>
    <n v="0"/>
    <n v="0"/>
    <n v="0"/>
    <n v="0"/>
    <n v="10"/>
    <n v="83.33333333333333"/>
    <n v="12"/>
  </r>
  <r>
    <s v="UCpDXbt0pPAzy_Aoj-Ee873w"/>
    <s v="UCbUhO-tut97b5IQhZ3i7TMA"/>
    <m/>
    <m/>
    <m/>
    <m/>
    <m/>
    <m/>
    <m/>
    <m/>
    <s v="No"/>
    <n v="92"/>
    <m/>
    <m/>
    <s v="Commented Video"/>
    <x v="1"/>
    <s v="It&amp;#39;s been a rather tortureous week for America this past week. Cities are burning and soldiers are on many of our city streets: a policeman killed an African American man for no reason. Thousands are protesting in our cities. I&amp;#39;m trying to understand this horrifying epidemic of the virus and the ongoing killing our black citizens have been experiencing.  Listening to your blogs give me hope and lifts my spirits. Thank you for sharing your good sense and companionship with all of us followers."/>
    <s v="UCpDXbt0pPAzy_Aoj-Ee873w"/>
    <s v="Cheryl Gaynor"/>
    <s v="http://www.youtube.com/channel/UCpDXbt0pPAzy_Aoj-Ee873w"/>
    <m/>
    <s v="xZPSNornzmk"/>
    <s v="https://www.youtube.com/watch?v=xZPSNornzmk"/>
    <s v="none"/>
    <n v="0"/>
    <x v="89"/>
    <s v="31/05/2020 03:43:00"/>
    <m/>
    <m/>
    <s v=""/>
    <n v="1"/>
    <s v="1"/>
    <s v="1"/>
    <n v="2"/>
    <n v="2.272727272727273"/>
    <n v="7"/>
    <n v="7.954545454545454"/>
    <n v="0"/>
    <n v="0"/>
    <n v="79"/>
    <n v="89.77272727272727"/>
    <n v="88"/>
  </r>
  <r>
    <s v="UCMtOd4deYchj5X-2d7hh0Eg"/>
    <s v="UCbUhO-tut97b5IQhZ3i7TMA"/>
    <m/>
    <m/>
    <m/>
    <m/>
    <m/>
    <m/>
    <m/>
    <m/>
    <s v="No"/>
    <n v="93"/>
    <m/>
    <m/>
    <s v="Commented Video"/>
    <x v="1"/>
    <s v="Such beautiful houses love the blue shutters I was thinking that it looks like Dulwich even though I&amp;#39;ve never been but thats just how I imagined it would look then I saw the notice board with Dulwich on it haha made me giggle.  Lived away from London for so long it&amp;#39;s nice to do a virtual visit 😀 thank you for uplifting the mood again 😊 👍"/>
    <s v="UCMtOd4deYchj5X-2d7hh0Eg"/>
    <s v="merlinman44"/>
    <s v="http://www.youtube.com/channel/UCMtOd4deYchj5X-2d7hh0Eg"/>
    <m/>
    <s v="xZPSNornzmk"/>
    <s v="https://www.youtube.com/watch?v=xZPSNornzmk"/>
    <s v="none"/>
    <n v="0"/>
    <x v="90"/>
    <s v="31/05/2020 10:03:16"/>
    <m/>
    <m/>
    <s v=""/>
    <n v="1"/>
    <s v="1"/>
    <s v="1"/>
    <n v="6"/>
    <n v="8.823529411764707"/>
    <n v="0"/>
    <n v="0"/>
    <n v="0"/>
    <n v="0"/>
    <n v="62"/>
    <n v="91.17647058823529"/>
    <n v="68"/>
  </r>
  <r>
    <s v="UC_sK7dhnDJWilumRU19D7NA"/>
    <s v="UCbUhO-tut97b5IQhZ3i7TMA"/>
    <m/>
    <m/>
    <m/>
    <m/>
    <m/>
    <m/>
    <m/>
    <m/>
    <s v="No"/>
    <n v="94"/>
    <m/>
    <m/>
    <s v="Commented Video"/>
    <x v="1"/>
    <s v="Hi,have you ever tried Uk  brand faith in nature?"/>
    <s v="UC_sK7dhnDJWilumRU19D7NA"/>
    <s v="Pinella Franich"/>
    <s v="http://www.youtube.com/channel/UC_sK7dhnDJWilumRU19D7NA"/>
    <m/>
    <s v="xZPSNornzmk"/>
    <s v="https://www.youtube.com/watch?v=xZPSNornzmk"/>
    <s v="none"/>
    <n v="0"/>
    <x v="91"/>
    <s v="31/05/2020 14:34:03"/>
    <m/>
    <m/>
    <s v=""/>
    <n v="1"/>
    <s v="1"/>
    <s v="1"/>
    <n v="1"/>
    <n v="10"/>
    <n v="0"/>
    <n v="0"/>
    <n v="0"/>
    <n v="0"/>
    <n v="9"/>
    <n v="90"/>
    <n v="10"/>
  </r>
  <r>
    <s v="UChc7BnM-97wf6UKkeckiQlg"/>
    <s v="UCbUhO-tut97b5IQhZ3i7TMA"/>
    <m/>
    <m/>
    <m/>
    <m/>
    <m/>
    <m/>
    <m/>
    <m/>
    <s v="No"/>
    <n v="95"/>
    <m/>
    <m/>
    <s v="Commented Video"/>
    <x v="1"/>
    <s v="Watched to the end as always 👏🏻 really enjoy watching your vlogs 😊&lt;br&gt;Isobel Celine"/>
    <s v="UChc7BnM-97wf6UKkeckiQlg"/>
    <s v="Isobel Celine"/>
    <s v="http://www.youtube.com/channel/UChc7BnM-97wf6UKkeckiQlg"/>
    <m/>
    <s v="xZPSNornzmk"/>
    <s v="https://www.youtube.com/watch?v=xZPSNornzmk"/>
    <s v="none"/>
    <n v="0"/>
    <x v="92"/>
    <s v="31/05/2020 16:11:28"/>
    <m/>
    <m/>
    <s v=""/>
    <n v="1"/>
    <s v="1"/>
    <s v="1"/>
    <n v="1"/>
    <n v="7.142857142857143"/>
    <n v="0"/>
    <n v="0"/>
    <n v="0"/>
    <n v="0"/>
    <n v="13"/>
    <n v="92.85714285714286"/>
    <n v="14"/>
  </r>
  <r>
    <s v="UCK3EGVMfelUkWMnyAvmmipg"/>
    <s v="UCbUhO-tut97b5IQhZ3i7TMA"/>
    <m/>
    <m/>
    <m/>
    <m/>
    <m/>
    <m/>
    <m/>
    <m/>
    <s v="No"/>
    <n v="96"/>
    <m/>
    <m/>
    <s v="Commented Video"/>
    <x v="1"/>
    <s v="Keep up the Lidl hauls - wish we had one in Canada!  It seems like you are getting some great bargains! Nice to see you use Hasfit too!"/>
    <s v="UCK3EGVMfelUkWMnyAvmmipg"/>
    <s v="Violet Gem"/>
    <s v="http://www.youtube.com/channel/UCK3EGVMfelUkWMnyAvmmipg"/>
    <m/>
    <s v="xZPSNornzmk"/>
    <s v="https://www.youtube.com/watch?v=xZPSNornzmk"/>
    <s v="none"/>
    <n v="0"/>
    <x v="93"/>
    <s v="31/05/2020 17:45:12"/>
    <m/>
    <m/>
    <s v=""/>
    <n v="1"/>
    <s v="1"/>
    <s v="1"/>
    <n v="3"/>
    <n v="11.11111111111111"/>
    <n v="0"/>
    <n v="0"/>
    <n v="0"/>
    <n v="0"/>
    <n v="24"/>
    <n v="88.88888888888889"/>
    <n v="27"/>
  </r>
  <r>
    <s v="UCasRFL3j50VabkCHFMDrGyw"/>
    <s v="UCbUhO-tut97b5IQhZ3i7TMA"/>
    <m/>
    <m/>
    <m/>
    <m/>
    <m/>
    <m/>
    <m/>
    <m/>
    <s v="No"/>
    <n v="97"/>
    <m/>
    <m/>
    <s v="Commented Video"/>
    <x v="1"/>
    <s v="I am so lucky to be on bedroom floor with Mr Carrington. LOL."/>
    <s v="UCasRFL3j50VabkCHFMDrGyw"/>
    <s v="AuntyM66"/>
    <s v="http://www.youtube.com/channel/UCasRFL3j50VabkCHFMDrGyw"/>
    <m/>
    <s v="xZPSNornzmk"/>
    <s v="https://www.youtube.com/watch?v=xZPSNornzmk"/>
    <s v="none"/>
    <n v="0"/>
    <x v="94"/>
    <s v="31/05/2020 22:13:28"/>
    <m/>
    <m/>
    <s v=""/>
    <n v="1"/>
    <s v="1"/>
    <s v="1"/>
    <n v="1"/>
    <n v="7.6923076923076925"/>
    <n v="0"/>
    <n v="0"/>
    <n v="0"/>
    <n v="0"/>
    <n v="12"/>
    <n v="92.3076923076923"/>
    <n v="13"/>
  </r>
  <r>
    <s v="UCbUhO-tut97b5IQhZ3i7TMA"/>
    <s v="UCDeZ6HE0SS-Z-_otfYJds9w"/>
    <m/>
    <m/>
    <m/>
    <m/>
    <m/>
    <m/>
    <m/>
    <m/>
    <s v="Yes"/>
    <n v="98"/>
    <m/>
    <m/>
    <s v="Replied Comment"/>
    <x v="0"/>
    <s v="Poundstretcher! I don&amp;#39;t see why not :)"/>
    <s v="UCbUhO-tut97b5IQhZ3i7TMA"/>
    <s v="Mr Carrington"/>
    <s v="http://www.youtube.com/channel/UCbUhO-tut97b5IQhZ3i7TMA"/>
    <s v="UgxGnJb3wZy-l5HoKzR4AaABAg"/>
    <s v="xZPSNornzmk"/>
    <s v="https://www.youtube.com/watch?v=xZPSNornzmk"/>
    <s v="none"/>
    <n v="1"/>
    <x v="95"/>
    <d v="2020-01-06T01:57:33.000"/>
    <m/>
    <m/>
    <s v=""/>
    <n v="1"/>
    <s v="1"/>
    <s v="1"/>
    <n v="0"/>
    <n v="0"/>
    <n v="0"/>
    <n v="0"/>
    <n v="0"/>
    <n v="0"/>
    <n v="8"/>
    <n v="100"/>
    <n v="8"/>
  </r>
  <r>
    <s v="UCDeZ6HE0SS-Z-_otfYJds9w"/>
    <s v="UCDeZ6HE0SS-Z-_otfYJds9w"/>
    <m/>
    <m/>
    <m/>
    <m/>
    <m/>
    <m/>
    <m/>
    <m/>
    <s v="No"/>
    <n v="99"/>
    <m/>
    <m/>
    <s v="Replied Comment"/>
    <x v="0"/>
    <s v="@Mr Carrington Thanks"/>
    <s v="UCDeZ6HE0SS-Z-_otfYJds9w"/>
    <s v="Hazel Kinvig-Paul"/>
    <s v="http://www.youtube.com/channel/UCDeZ6HE0SS-Z-_otfYJds9w"/>
    <s v="UgxGnJb3wZy-l5HoKzR4AaABAg"/>
    <s v="xZPSNornzmk"/>
    <s v="https://www.youtube.com/watch?v=xZPSNornzmk"/>
    <s v="none"/>
    <n v="0"/>
    <x v="96"/>
    <d v="2020-01-06T12:06:40.000"/>
    <m/>
    <m/>
    <s v=""/>
    <n v="1"/>
    <s v="1"/>
    <s v="1"/>
    <n v="0"/>
    <n v="0"/>
    <n v="0"/>
    <n v="0"/>
    <n v="0"/>
    <n v="0"/>
    <n v="3"/>
    <n v="100"/>
    <n v="3"/>
  </r>
  <r>
    <s v="UCDeZ6HE0SS-Z-_otfYJds9w"/>
    <s v="UCbUhO-tut97b5IQhZ3i7TMA"/>
    <m/>
    <m/>
    <m/>
    <m/>
    <m/>
    <m/>
    <m/>
    <m/>
    <s v="Yes"/>
    <n v="100"/>
    <m/>
    <m/>
    <s v="Commented Video"/>
    <x v="1"/>
    <s v="I LOVE cherries, where did you get yours Iwan and can it stay in the pot, as I don&amp;#39;t have room for a full tree?  I am feeling rather guilty, as I am quite enjoying the lock-down, as nothing much is expected of me and my time!  I am finding it pretty relaxing!  I&amp;#39;m aware that I am lucky and that many people are suffering during forced time at home, and feel bad for them (hence the guilt).   Love the vlog, a great idea!  TFS, keep safe and stay well!  👍❤"/>
    <s v="UCDeZ6HE0SS-Z-_otfYJds9w"/>
    <s v="Hazel Kinvig-Paul"/>
    <s v="http://www.youtube.com/channel/UCDeZ6HE0SS-Z-_otfYJds9w"/>
    <m/>
    <s v="xZPSNornzmk"/>
    <s v="https://www.youtube.com/watch?v=xZPSNornzmk"/>
    <s v="none"/>
    <n v="0"/>
    <x v="97"/>
    <s v="31/05/2020 23:47:42"/>
    <m/>
    <m/>
    <s v=""/>
    <n v="1"/>
    <s v="1"/>
    <s v="1"/>
    <n v="8"/>
    <n v="8.421052631578947"/>
    <n v="4"/>
    <n v="4.2105263157894735"/>
    <n v="0"/>
    <n v="0"/>
    <n v="83"/>
    <n v="87.36842105263158"/>
    <n v="95"/>
  </r>
  <r>
    <s v="UCvWr2Az6LRelFYRHgwdRf9w"/>
    <s v="UCbUhO-tut97b5IQhZ3i7TMA"/>
    <m/>
    <m/>
    <m/>
    <m/>
    <m/>
    <m/>
    <m/>
    <m/>
    <s v="No"/>
    <n v="101"/>
    <m/>
    <m/>
    <s v="Commented Video"/>
    <x v="1"/>
    <s v="Just catching up on this lovely Monday morning. Wishing you a wonderful week xx"/>
    <s v="UCvWr2Az6LRelFYRHgwdRf9w"/>
    <s v="Life with Lisa"/>
    <s v="http://www.youtube.com/channel/UCvWr2Az6LRelFYRHgwdRf9w"/>
    <m/>
    <s v="xZPSNornzmk"/>
    <s v="https://www.youtube.com/watch?v=xZPSNornzmk"/>
    <s v="none"/>
    <n v="0"/>
    <x v="98"/>
    <d v="2020-01-06T08:06:45.000"/>
    <m/>
    <m/>
    <s v=""/>
    <n v="1"/>
    <s v="1"/>
    <s v="1"/>
    <n v="2"/>
    <n v="14.285714285714286"/>
    <n v="0"/>
    <n v="0"/>
    <n v="0"/>
    <n v="0"/>
    <n v="12"/>
    <n v="85.71428571428571"/>
    <n v="14"/>
  </r>
  <r>
    <s v="UCSporYyxSsMznLmirvplwJw"/>
    <s v="UCbUhO-tut97b5IQhZ3i7TMA"/>
    <m/>
    <m/>
    <m/>
    <m/>
    <m/>
    <m/>
    <m/>
    <m/>
    <s v="No"/>
    <n v="102"/>
    <m/>
    <m/>
    <s v="Commented Video"/>
    <x v="1"/>
    <s v="Got to the end. Nice legs. U got a like &amp;amp; subscribe."/>
    <s v="UCSporYyxSsMznLmirvplwJw"/>
    <s v="David Hargreaves"/>
    <s v="http://www.youtube.com/channel/UCSporYyxSsMznLmirvplwJw"/>
    <m/>
    <s v="xZPSNornzmk"/>
    <s v="https://www.youtube.com/watch?v=xZPSNornzmk"/>
    <s v="none"/>
    <n v="0"/>
    <x v="99"/>
    <d v="2020-01-06T12:23:18.000"/>
    <m/>
    <m/>
    <s v=""/>
    <n v="1"/>
    <s v="1"/>
    <s v="1"/>
    <n v="2"/>
    <n v="16.666666666666668"/>
    <n v="0"/>
    <n v="0"/>
    <n v="0"/>
    <n v="0"/>
    <n v="10"/>
    <n v="83.33333333333333"/>
    <n v="12"/>
  </r>
  <r>
    <s v="UCwOvzEJx5_czsWd7pHE1J9Q"/>
    <s v="UCbUhO-tut97b5IQhZ3i7TMA"/>
    <m/>
    <m/>
    <m/>
    <m/>
    <m/>
    <m/>
    <m/>
    <m/>
    <s v="No"/>
    <n v="103"/>
    <m/>
    <m/>
    <s v="Commented Video"/>
    <x v="1"/>
    <s v="This is so nice tagging along with your in your neighborhood. I love Foxes, Roses and Rhododendrons so this is right up my street! Wine and a facial is a happy ending."/>
    <s v="UCwOvzEJx5_czsWd7pHE1J9Q"/>
    <s v="Gloria Stroedecke"/>
    <s v="http://www.youtube.com/channel/UCwOvzEJx5_czsWd7pHE1J9Q"/>
    <m/>
    <s v="xZPSNornzmk"/>
    <s v="https://www.youtube.com/watch?v=xZPSNornzmk"/>
    <s v="none"/>
    <n v="0"/>
    <x v="100"/>
    <d v="2020-01-06T21:20:30.000"/>
    <m/>
    <m/>
    <s v=""/>
    <n v="1"/>
    <s v="1"/>
    <s v="1"/>
    <n v="4"/>
    <n v="12.5"/>
    <n v="0"/>
    <n v="0"/>
    <n v="0"/>
    <n v="0"/>
    <n v="28"/>
    <n v="87.5"/>
    <n v="32"/>
  </r>
  <r>
    <s v="UCRBXqBiHg9FGZXG119_L6Lg"/>
    <s v="UCbUhO-tut97b5IQhZ3i7TMA"/>
    <m/>
    <m/>
    <m/>
    <m/>
    <m/>
    <m/>
    <m/>
    <m/>
    <s v="No"/>
    <n v="104"/>
    <m/>
    <m/>
    <s v="Commented Video"/>
    <x v="1"/>
    <s v="I live in another big UK city and one of the positives of the last few months has been that I have discovered all the small green spaces nearby that in the past years I have driven past and not noticed. I&amp;#39;ve also discovered your channel and love your calm, positive vibes."/>
    <s v="UCRBXqBiHg9FGZXG119_L6Lg"/>
    <s v="City Desk452"/>
    <s v="http://www.youtube.com/channel/UCRBXqBiHg9FGZXG119_L6Lg"/>
    <m/>
    <s v="xZPSNornzmk"/>
    <s v="https://www.youtube.com/watch?v=xZPSNornzmk"/>
    <s v="none"/>
    <n v="0"/>
    <x v="101"/>
    <d v="2020-01-06T21:47:11.000"/>
    <m/>
    <m/>
    <s v=""/>
    <n v="1"/>
    <s v="1"/>
    <s v="1"/>
    <n v="4"/>
    <n v="7.407407407407407"/>
    <n v="0"/>
    <n v="0"/>
    <n v="0"/>
    <n v="0"/>
    <n v="50"/>
    <n v="92.5925925925926"/>
    <n v="54"/>
  </r>
  <r>
    <s v="UCBoeMYCVCwfFftwIOrzdY7g"/>
    <s v="UCbUhO-tut97b5IQhZ3i7TMA"/>
    <m/>
    <m/>
    <m/>
    <m/>
    <m/>
    <m/>
    <m/>
    <m/>
    <s v="No"/>
    <n v="105"/>
    <m/>
    <m/>
    <s v="Commented Video"/>
    <x v="1"/>
    <s v="How many jobs do u have whats ur main profession x"/>
    <s v="UCBoeMYCVCwfFftwIOrzdY7g"/>
    <s v="Ayesha F x"/>
    <s v="http://www.youtube.com/channel/UCBoeMYCVCwfFftwIOrzdY7g"/>
    <m/>
    <s v="xZPSNornzmk"/>
    <s v="https://www.youtube.com/watch?v=xZPSNornzmk"/>
    <s v="none"/>
    <n v="0"/>
    <x v="102"/>
    <d v="2020-02-06T13:36:53.000"/>
    <m/>
    <m/>
    <s v=""/>
    <n v="1"/>
    <s v="1"/>
    <s v="1"/>
    <n v="0"/>
    <n v="0"/>
    <n v="0"/>
    <n v="0"/>
    <n v="0"/>
    <n v="0"/>
    <n v="11"/>
    <n v="100"/>
    <n v="11"/>
  </r>
  <r>
    <s v="UC6FGmrJo8QpYHQnhGiboVrA"/>
    <s v="UCbUhO-tut97b5IQhZ3i7TMA"/>
    <m/>
    <m/>
    <m/>
    <m/>
    <m/>
    <m/>
    <m/>
    <m/>
    <s v="No"/>
    <n v="106"/>
    <m/>
    <m/>
    <s v="Commented Video"/>
    <x v="1"/>
    <s v="You’ve done so well with your garden! I agree, the Poundland bulbs have been fantastic! Xx"/>
    <s v="UC6FGmrJo8QpYHQnhGiboVrA"/>
    <s v="5am Jack"/>
    <s v="http://www.youtube.com/channel/UC6FGmrJo8QpYHQnhGiboVrA"/>
    <m/>
    <s v="xZPSNornzmk"/>
    <s v="https://www.youtube.com/watch?v=xZPSNornzmk"/>
    <s v="none"/>
    <n v="0"/>
    <x v="103"/>
    <d v="2020-02-06T16:07:09.000"/>
    <m/>
    <m/>
    <s v=""/>
    <n v="1"/>
    <s v="1"/>
    <s v="1"/>
    <n v="2"/>
    <n v="11.764705882352942"/>
    <n v="0"/>
    <n v="0"/>
    <n v="0"/>
    <n v="0"/>
    <n v="15"/>
    <n v="88.23529411764706"/>
    <n v="17"/>
  </r>
  <r>
    <s v="UCVenFdtes09KGZXQWlt1dhg"/>
    <s v="UCbUhO-tut97b5IQhZ3i7TMA"/>
    <m/>
    <m/>
    <m/>
    <m/>
    <m/>
    <m/>
    <m/>
    <m/>
    <s v="No"/>
    <n v="107"/>
    <m/>
    <m/>
    <s v="Commented Video"/>
    <x v="1"/>
    <s v="Great to actually see you go outside again, a nice calming vlog, really enjoyed this ."/>
    <s v="UCVenFdtes09KGZXQWlt1dhg"/>
    <s v="Ann Bartlett"/>
    <s v="http://www.youtube.com/channel/UCVenFdtes09KGZXQWlt1dhg"/>
    <m/>
    <s v="xZPSNornzmk"/>
    <s v="https://www.youtube.com/watch?v=xZPSNornzmk"/>
    <s v="none"/>
    <n v="0"/>
    <x v="104"/>
    <d v="2020-02-06T18:57:09.000"/>
    <m/>
    <m/>
    <s v=""/>
    <n v="1"/>
    <s v="1"/>
    <s v="1"/>
    <n v="4"/>
    <n v="26.666666666666668"/>
    <n v="0"/>
    <n v="0"/>
    <n v="0"/>
    <n v="0"/>
    <n v="11"/>
    <n v="73.33333333333333"/>
    <n v="15"/>
  </r>
  <r>
    <s v="UCvtyaiU7OgNdyAaMOfmzF0w"/>
    <s v="UCbUhO-tut97b5IQhZ3i7TMA"/>
    <m/>
    <m/>
    <m/>
    <m/>
    <m/>
    <m/>
    <m/>
    <m/>
    <s v="No"/>
    <n v="108"/>
    <m/>
    <m/>
    <s v="Commented Video"/>
    <x v="1"/>
    <s v="Sending much Love my Dear Friend , You have worked so hard over this strange time in Keeping our Spirits up . You need to relax a little rest and enjoy some time to yourself with your Loved One . Thank you for Helping us in Brightening our days , You are a Precious Gem . Keep safe much Love 💙🌻💙"/>
    <s v="UCvtyaiU7OgNdyAaMOfmzF0w"/>
    <s v="Scottish Heather"/>
    <s v="http://www.youtube.com/channel/UCvtyaiU7OgNdyAaMOfmzF0w"/>
    <m/>
    <s v="xZPSNornzmk"/>
    <s v="https://www.youtube.com/watch?v=xZPSNornzmk"/>
    <s v="none"/>
    <n v="0"/>
    <x v="105"/>
    <d v="2020-05-06T05:10:37.000"/>
    <m/>
    <m/>
    <s v=""/>
    <n v="1"/>
    <s v="1"/>
    <s v="1"/>
    <n v="10"/>
    <n v="18.181818181818183"/>
    <n v="2"/>
    <n v="3.6363636363636362"/>
    <n v="0"/>
    <n v="0"/>
    <n v="43"/>
    <n v="78.18181818181819"/>
    <n v="55"/>
  </r>
  <r>
    <s v="UC4bD2x-P1Ytc8GW3ud1_zCQ"/>
    <s v="UCbUhO-tut97b5IQhZ3i7TMA"/>
    <m/>
    <m/>
    <m/>
    <m/>
    <m/>
    <m/>
    <m/>
    <m/>
    <s v="No"/>
    <n v="109"/>
    <m/>
    <m/>
    <s v="Commented Video"/>
    <x v="1"/>
    <s v="I see others note the voice,a national treasure. That fox! You can see the difference with fox and the birds. The times they are a changing. Thank you."/>
    <s v="UC4bD2x-P1Ytc8GW3ud1_zCQ"/>
    <s v="Nancy Anne Berg"/>
    <s v="http://www.youtube.com/channel/UC4bD2x-P1Ytc8GW3ud1_zCQ"/>
    <m/>
    <s v="xZPSNornzmk"/>
    <s v="https://www.youtube.com/watch?v=xZPSNornzmk"/>
    <s v="none"/>
    <n v="0"/>
    <x v="106"/>
    <d v="2020-06-06T23:23:07.000"/>
    <m/>
    <m/>
    <s v=""/>
    <n v="1"/>
    <s v="1"/>
    <s v="1"/>
    <n v="2"/>
    <n v="6.896551724137931"/>
    <n v="0"/>
    <n v="0"/>
    <n v="0"/>
    <n v="0"/>
    <n v="27"/>
    <n v="93.10344827586206"/>
    <n v="29"/>
  </r>
  <r>
    <s v="UCgzeJtnw7ZrCBCMKSKJtDYA"/>
    <s v="UCbUhO-tut97b5IQhZ3i7TMA"/>
    <m/>
    <m/>
    <m/>
    <m/>
    <m/>
    <m/>
    <m/>
    <m/>
    <s v="No"/>
    <n v="110"/>
    <m/>
    <m/>
    <s v="Commented Video"/>
    <x v="1"/>
    <s v="I watch all of them as they keep me entertained and really amused so thank you ☺☺"/>
    <s v="UCgzeJtnw7ZrCBCMKSKJtDYA"/>
    <s v="susan m"/>
    <s v="http://www.youtube.com/channel/UCgzeJtnw7ZrCBCMKSKJtDYA"/>
    <m/>
    <s v="xZPSNornzmk"/>
    <s v="https://www.youtube.com/watch?v=xZPSNornzmk"/>
    <s v="none"/>
    <n v="0"/>
    <x v="107"/>
    <s v="14/06/2020 15:07:52"/>
    <m/>
    <m/>
    <s v=""/>
    <n v="1"/>
    <s v="1"/>
    <s v="1"/>
    <n v="1"/>
    <n v="6.25"/>
    <n v="0"/>
    <n v="0"/>
    <n v="0"/>
    <n v="0"/>
    <n v="15"/>
    <n v="93.75"/>
    <n v="16"/>
  </r>
  <r>
    <s v="UCOLOVs7HBYRbMIMiD7L3FpA"/>
    <s v="UCbUhO-tut97b5IQhZ3i7TMA"/>
    <m/>
    <m/>
    <m/>
    <m/>
    <m/>
    <m/>
    <m/>
    <m/>
    <s v="Yes"/>
    <n v="111"/>
    <m/>
    <m/>
    <s v="Commented Video"/>
    <x v="1"/>
    <s v="This is totally unrelated &lt;br&gt;But this is such a lovely you tube vlog&lt;br&gt;So felt a lovely story should be shared on here &lt;br&gt;I was watching Jeremy Vine just before and one of the news items was of a woman who saw a guy hatch chickens from supermarket eggs (free range obvs) and thought she would have a go &lt;br&gt;She bought six dick eggs from Waitrose and low and behold a few weeks later she hatched 3 of the six!!!!!&lt;br&gt;Wow what a lovely story 💕"/>
    <s v="UCOLOVs7HBYRbMIMiD7L3FpA"/>
    <s v="Natasha Jo"/>
    <s v="http://www.youtube.com/channel/UCOLOVs7HBYRbMIMiD7L3FpA"/>
    <m/>
    <s v="xZPSNornzmk"/>
    <s v="https://www.youtube.com/watch?v=xZPSNornzmk"/>
    <s v="none"/>
    <n v="1"/>
    <x v="108"/>
    <s v="15/06/2020 11:41:37"/>
    <m/>
    <m/>
    <s v=""/>
    <n v="2"/>
    <s v="1"/>
    <s v="1"/>
    <n v="5"/>
    <n v="5.555555555555555"/>
    <n v="1"/>
    <n v="1.1111111111111112"/>
    <n v="0"/>
    <n v="0"/>
    <n v="84"/>
    <n v="93.33333333333333"/>
    <n v="90"/>
  </r>
  <r>
    <s v="UCbUhO-tut97b5IQhZ3i7TMA"/>
    <s v="UCOLOVs7HBYRbMIMiD7L3FpA"/>
    <m/>
    <m/>
    <m/>
    <m/>
    <m/>
    <m/>
    <m/>
    <m/>
    <s v="Yes"/>
    <n v="112"/>
    <m/>
    <m/>
    <s v="Replied Comment"/>
    <x v="0"/>
    <s v="😂 that’s ok!"/>
    <s v="UCbUhO-tut97b5IQhZ3i7TMA"/>
    <s v="Mr Carrington"/>
    <s v="http://www.youtube.com/channel/UCbUhO-tut97b5IQhZ3i7TMA"/>
    <s v="UgzmXQnqlkls-vY2EgN4AaABAg"/>
    <s v="xZPSNornzmk"/>
    <s v="https://www.youtube.com/watch?v=xZPSNornzmk"/>
    <s v="none"/>
    <n v="0"/>
    <x v="109"/>
    <s v="15/06/2020 23:28:45"/>
    <m/>
    <m/>
    <s v=""/>
    <n v="1"/>
    <s v="1"/>
    <s v="1"/>
    <n v="0"/>
    <n v="0"/>
    <n v="0"/>
    <n v="0"/>
    <n v="0"/>
    <n v="0"/>
    <n v="3"/>
    <n v="100"/>
    <n v="3"/>
  </r>
  <r>
    <s v="UCOLOVs7HBYRbMIMiD7L3FpA"/>
    <s v="UCbUhO-tut97b5IQhZ3i7TMA"/>
    <m/>
    <m/>
    <m/>
    <m/>
    <m/>
    <m/>
    <m/>
    <m/>
    <s v="Yes"/>
    <n v="113"/>
    <m/>
    <m/>
    <s v="Commented Video"/>
    <x v="1"/>
    <s v="I’m so sorry mr carrington &lt;br&gt;God knows what happened &lt;br&gt;To my last message &lt;br&gt;It. Was totally spoiled &lt;br&gt;I meant DUCK EGGS &lt;br&gt;I’m so sorry &lt;br&gt;X"/>
    <s v="UCOLOVs7HBYRbMIMiD7L3FpA"/>
    <s v="Natasha Jo"/>
    <s v="http://www.youtube.com/channel/UCOLOVs7HBYRbMIMiD7L3FpA"/>
    <m/>
    <s v="xZPSNornzmk"/>
    <s v="https://www.youtube.com/watch?v=xZPSNornzmk"/>
    <s v="none"/>
    <n v="0"/>
    <x v="110"/>
    <s v="15/06/2020 23:01:25"/>
    <m/>
    <m/>
    <s v=""/>
    <n v="2"/>
    <s v="1"/>
    <s v="1"/>
    <n v="0"/>
    <n v="0"/>
    <n v="3"/>
    <n v="9.090909090909092"/>
    <n v="0"/>
    <n v="0"/>
    <n v="30"/>
    <n v="90.9090909090909"/>
    <n v="33"/>
  </r>
  <r>
    <s v="UCqvZ6Vaa888e_GpL6fpxl3Q"/>
    <s v="UCbUhO-tut97b5IQhZ3i7TMA"/>
    <m/>
    <m/>
    <m/>
    <m/>
    <m/>
    <m/>
    <m/>
    <m/>
    <s v="No"/>
    <n v="114"/>
    <m/>
    <m/>
    <s v="Commented Video"/>
    <x v="1"/>
    <s v="Oh my gosh you have cherry trees!! I live in San Diego Calif, I don&amp;#39;t know anyone who has cherry trees. I to have a balchony, mine is tiny and you inspired me to freshen it up and it&amp;#39;s beautiful😊 thank you."/>
    <s v="UCqvZ6Vaa888e_GpL6fpxl3Q"/>
    <s v="Jules Adams"/>
    <s v="http://www.youtube.com/channel/UCqvZ6Vaa888e_GpL6fpxl3Q"/>
    <m/>
    <s v="xZPSNornzmk"/>
    <s v="https://www.youtube.com/watch?v=xZPSNornzmk"/>
    <s v="none"/>
    <n v="0"/>
    <x v="111"/>
    <s v="26/06/2020 15:42:30"/>
    <m/>
    <m/>
    <s v=""/>
    <n v="1"/>
    <s v="1"/>
    <s v="1"/>
    <n v="2"/>
    <n v="4.3478260869565215"/>
    <n v="0"/>
    <n v="0"/>
    <n v="0"/>
    <n v="0"/>
    <n v="44"/>
    <n v="95.65217391304348"/>
    <n v="46"/>
  </r>
  <r>
    <s v="UCnwulj1jIA909cJ3VVg3o1A"/>
    <s v="UCbUhO-tut97b5IQhZ3i7TMA"/>
    <m/>
    <m/>
    <m/>
    <m/>
    <m/>
    <m/>
    <m/>
    <m/>
    <s v="No"/>
    <n v="115"/>
    <m/>
    <m/>
    <s v="Commented Video"/>
    <x v="1"/>
    <s v="I remember as a child hearing the birds and they where really noisy but sadly now they are alot less to hear how I wish for the maddening noise of the birds again"/>
    <s v="UCnwulj1jIA909cJ3VVg3o1A"/>
    <s v="louise lill"/>
    <s v="http://www.youtube.com/channel/UCnwulj1jIA909cJ3VVg3o1A"/>
    <m/>
    <s v="xZPSNornzmk"/>
    <s v="https://www.youtube.com/watch?v=xZPSNornzmk"/>
    <s v="none"/>
    <n v="0"/>
    <x v="112"/>
    <s v="29/06/2020 22:31:31"/>
    <m/>
    <m/>
    <s v=""/>
    <n v="1"/>
    <s v="1"/>
    <s v="1"/>
    <n v="0"/>
    <n v="0"/>
    <n v="4"/>
    <n v="12.121212121212121"/>
    <n v="0"/>
    <n v="0"/>
    <n v="29"/>
    <n v="87.87878787878788"/>
    <n v="33"/>
  </r>
  <r>
    <s v="UCkefMmtdrJyP-C7Ad6NrLFg"/>
    <s v="UCbUhO-tut97b5IQhZ3i7TMA"/>
    <m/>
    <m/>
    <m/>
    <m/>
    <m/>
    <m/>
    <m/>
    <m/>
    <s v="No"/>
    <n v="116"/>
    <m/>
    <m/>
    <s v="Commented Video"/>
    <x v="1"/>
    <s v="What was the beard cover ?"/>
    <s v="UCkefMmtdrJyP-C7Ad6NrLFg"/>
    <s v="Robert T"/>
    <s v="http://www.youtube.com/channel/UCkefMmtdrJyP-C7Ad6NrLFg"/>
    <m/>
    <s v="xZPSNornzmk"/>
    <s v="https://www.youtube.com/watch?v=xZPSNornzmk"/>
    <s v="none"/>
    <n v="0"/>
    <x v="113"/>
    <s v="30/06/2020 00:45:30"/>
    <m/>
    <m/>
    <s v=""/>
    <n v="1"/>
    <s v="1"/>
    <s v="1"/>
    <n v="0"/>
    <n v="0"/>
    <n v="0"/>
    <n v="0"/>
    <n v="0"/>
    <n v="0"/>
    <n v="5"/>
    <n v="100"/>
    <n v="5"/>
  </r>
  <r>
    <s v="UCLRGTuXc8ciIjEdKBIDhubw"/>
    <s v="UCbUhO-tut97b5IQhZ3i7TMA"/>
    <m/>
    <m/>
    <m/>
    <m/>
    <m/>
    <m/>
    <m/>
    <m/>
    <s v="No"/>
    <n v="117"/>
    <m/>
    <m/>
    <s v="Commented Video"/>
    <x v="1"/>
    <s v="&lt;a href=&quot;https://www.youtube.com/watch?v=xZPSNornzmk&amp;amp;t=2m14s&quot;&gt;2:14&lt;/a&gt; me too😂"/>
    <s v="UCLRGTuXc8ciIjEdKBIDhubw"/>
    <s v="NITHA PHILIP"/>
    <s v="http://www.youtube.com/channel/UCLRGTuXc8ciIjEdKBIDhubw"/>
    <m/>
    <s v="xZPSNornzmk"/>
    <s v="https://www.youtube.com/watch?v=xZPSNornzmk"/>
    <s v="none"/>
    <n v="0"/>
    <x v="114"/>
    <d v="2020-03-07T18:17:02.000"/>
    <s v=" https://www.youtube.com/watch?v=xZPSNornzmk&amp;amp;t=2m14s"/>
    <s v="youtube.com"/>
    <s v=""/>
    <n v="1"/>
    <s v="1"/>
    <s v="1"/>
    <n v="0"/>
    <n v="0"/>
    <n v="0"/>
    <n v="0"/>
    <n v="0"/>
    <n v="0"/>
    <n v="17"/>
    <n v="100"/>
    <n v="17"/>
  </r>
  <r>
    <s v="UCFbSWcllroKXQnzTpSOakvw"/>
    <s v="UCbUhO-tut97b5IQhZ3i7TMA"/>
    <m/>
    <m/>
    <m/>
    <m/>
    <m/>
    <m/>
    <m/>
    <m/>
    <s v="No"/>
    <n v="118"/>
    <m/>
    <m/>
    <s v="Commented Video"/>
    <x v="1"/>
    <s v="It is July 4 when I am watching this from Arizona. It is really hot and really scary here!"/>
    <s v="UCFbSWcllroKXQnzTpSOakvw"/>
    <s v="Shirley Breslow"/>
    <s v="http://www.youtube.com/channel/UCFbSWcllroKXQnzTpSOakvw"/>
    <m/>
    <s v="xZPSNornzmk"/>
    <s v="https://www.youtube.com/watch?v=xZPSNornzmk"/>
    <s v="none"/>
    <n v="0"/>
    <x v="115"/>
    <d v="2020-05-07T07:27:03.000"/>
    <m/>
    <m/>
    <s v=""/>
    <n v="1"/>
    <s v="1"/>
    <s v="1"/>
    <n v="1"/>
    <n v="5.2631578947368425"/>
    <n v="1"/>
    <n v="5.2631578947368425"/>
    <n v="0"/>
    <n v="0"/>
    <n v="17"/>
    <n v="89.47368421052632"/>
    <n v="19"/>
  </r>
  <r>
    <s v="UCO-JgfhMmVsLNl0Sa_MByyw"/>
    <s v="UCbUhO-tut97b5IQhZ3i7TMA"/>
    <m/>
    <m/>
    <m/>
    <m/>
    <m/>
    <m/>
    <m/>
    <m/>
    <s v="No"/>
    <n v="119"/>
    <m/>
    <m/>
    <s v="Commented Video"/>
    <x v="1"/>
    <s v="The beauty of nature, trees grass sun ocean wind and rain  birds singing, animals - beautiful fox by the way,  enjoying their environment and freedom is grounding. Lovely vlog Mr C, looking forward to  cosy autumn and winter videos/vlogs too"/>
    <s v="UCO-JgfhMmVsLNl0Sa_MByyw"/>
    <s v="Karen Tipping"/>
    <s v="http://www.youtube.com/channel/UCO-JgfhMmVsLNl0Sa_MByyw"/>
    <m/>
    <s v="xZPSNornzmk"/>
    <s v="https://www.youtube.com/watch?v=xZPSNornzmk"/>
    <s v="none"/>
    <n v="0"/>
    <x v="116"/>
    <d v="2020-06-07T14:57:08.000"/>
    <m/>
    <m/>
    <s v=""/>
    <n v="1"/>
    <s v="1"/>
    <s v="1"/>
    <n v="5"/>
    <n v="12.5"/>
    <n v="0"/>
    <n v="0"/>
    <n v="0"/>
    <n v="0"/>
    <n v="35"/>
    <n v="87.5"/>
    <n v="40"/>
  </r>
  <r>
    <s v="UCXNtFWiCBAQ5otAp0xj-ulw"/>
    <s v="UCbUhO-tut97b5IQhZ3i7TMA"/>
    <m/>
    <m/>
    <m/>
    <m/>
    <m/>
    <m/>
    <m/>
    <m/>
    <s v="No"/>
    <n v="120"/>
    <m/>
    <m/>
    <s v="Commented Video"/>
    <x v="1"/>
    <s v="Mr C....do you know how to change the color of your hydrangea to blue? Here is a link in case you are interested in having several pots of them in different colors: &lt;a href=&quot;https://www.gardeners.com/how-to/growing-blue-hydrangeas/8609.html&quot;&gt;https://www.gardeners.com/how-to/growing-blue-hydrangeas/8609.html&lt;/a&gt;"/>
    <s v="UCXNtFWiCBAQ5otAp0xj-ulw"/>
    <s v="vlmason"/>
    <s v="http://www.youtube.com/channel/UCXNtFWiCBAQ5otAp0xj-ulw"/>
    <m/>
    <s v="xZPSNornzmk"/>
    <s v="https://www.youtube.com/watch?v=xZPSNornzmk"/>
    <s v="none"/>
    <n v="0"/>
    <x v="117"/>
    <d v="2020-01-08T17:44:54.000"/>
    <s v=" https://www.gardeners.com/how-to/growing-blue-hydrangeas/8609.html https://www.gardeners.com/how-to/growing-blue-hydrangeas/8609.html"/>
    <s v="gardeners.com gardeners.com"/>
    <s v=""/>
    <n v="1"/>
    <s v="1"/>
    <s v="1"/>
    <n v="0"/>
    <n v="0"/>
    <n v="0"/>
    <n v="0"/>
    <n v="0"/>
    <n v="0"/>
    <n v="58"/>
    <n v="100"/>
    <n v="58"/>
  </r>
  <r>
    <s v="UCIE4eUMkEJAK3QS6GaRIHmQ"/>
    <s v="UCbUhO-tut97b5IQhZ3i7TMA"/>
    <m/>
    <m/>
    <m/>
    <m/>
    <m/>
    <m/>
    <m/>
    <m/>
    <s v="No"/>
    <n v="121"/>
    <m/>
    <m/>
    <s v="Commented Video"/>
    <x v="1"/>
    <s v="Is that Cherry"/>
    <s v="UCIE4eUMkEJAK3QS6GaRIHmQ"/>
    <s v="Gayle Sherman"/>
    <s v="http://www.youtube.com/channel/UCIE4eUMkEJAK3QS6GaRIHmQ"/>
    <m/>
    <s v="xZPSNornzmk"/>
    <s v="https://www.youtube.com/watch?v=xZPSNornzmk"/>
    <s v="none"/>
    <n v="0"/>
    <x v="118"/>
    <s v="20/09/2020 17:00:08"/>
    <m/>
    <m/>
    <s v=""/>
    <n v="1"/>
    <s v="1"/>
    <s v="1"/>
    <n v="0"/>
    <n v="0"/>
    <n v="0"/>
    <n v="0"/>
    <n v="0"/>
    <n v="0"/>
    <n v="3"/>
    <n v="100"/>
    <n v="3"/>
  </r>
  <r>
    <s v="UCk6d5gH6fxBQioxom4botkg"/>
    <s v="UCbUhO-tut97b5IQhZ3i7TMA"/>
    <m/>
    <m/>
    <m/>
    <m/>
    <m/>
    <m/>
    <m/>
    <m/>
    <s v="No"/>
    <n v="122"/>
    <m/>
    <m/>
    <s v="Commented Video"/>
    <x v="1"/>
    <s v="You hit the nail on the head with this covid situation . It has been extremely difficult and I&amp;#39;m commenting a year later ."/>
    <s v="UCk6d5gH6fxBQioxom4botkg"/>
    <s v="pinkshaz197"/>
    <s v="http://www.youtube.com/channel/UCk6d5gH6fxBQioxom4botkg"/>
    <m/>
    <s v="xZPSNornzmk"/>
    <s v="https://www.youtube.com/watch?v=xZPSNornzmk"/>
    <s v="none"/>
    <n v="0"/>
    <x v="119"/>
    <s v="31/03/2021 22:00:34"/>
    <m/>
    <m/>
    <s v=""/>
    <n v="2"/>
    <s v="1"/>
    <s v="1"/>
    <n v="0"/>
    <n v="0"/>
    <n v="1"/>
    <n v="4.166666666666667"/>
    <n v="0"/>
    <n v="0"/>
    <n v="23"/>
    <n v="95.83333333333333"/>
    <n v="24"/>
  </r>
  <r>
    <s v="UCk6d5gH6fxBQioxom4botkg"/>
    <s v="UCbUhO-tut97b5IQhZ3i7TMA"/>
    <m/>
    <m/>
    <m/>
    <m/>
    <m/>
    <m/>
    <m/>
    <m/>
    <s v="No"/>
    <n v="123"/>
    <m/>
    <m/>
    <s v="Commented Video"/>
    <x v="1"/>
    <s v="I did . You remind me of a bit of the very handsome George Micheal ."/>
    <s v="UCk6d5gH6fxBQioxom4botkg"/>
    <s v="pinkshaz197"/>
    <s v="http://www.youtube.com/channel/UCk6d5gH6fxBQioxom4botkg"/>
    <m/>
    <s v="xZPSNornzmk"/>
    <s v="https://www.youtube.com/watch?v=xZPSNornzmk"/>
    <s v="none"/>
    <n v="0"/>
    <x v="120"/>
    <s v="31/03/2021 22:02:32"/>
    <m/>
    <m/>
    <s v=""/>
    <n v="2"/>
    <s v="1"/>
    <s v="1"/>
    <n v="1"/>
    <n v="7.142857142857143"/>
    <n v="0"/>
    <n v="0"/>
    <n v="0"/>
    <n v="0"/>
    <n v="13"/>
    <n v="92.85714285714286"/>
    <n v="14"/>
  </r>
  <r>
    <s v="UC-Od6L4roEo7XHz7QqNCoGQ"/>
    <s v="UCbUhO-tut97b5IQhZ3i7TMA"/>
    <m/>
    <m/>
    <m/>
    <m/>
    <m/>
    <m/>
    <m/>
    <m/>
    <s v="No"/>
    <n v="124"/>
    <m/>
    <m/>
    <s v="Commented Video"/>
    <x v="1"/>
    <s v="Hi, are you sure your in the uk? I have not seen houses like that! Lol I’m in the south East. Not many videos I find from SE London.  Wow love the cherries"/>
    <s v="UC-Od6L4roEo7XHz7QqNCoGQ"/>
    <s v="Pauline Mcleggan"/>
    <s v="http://www.youtube.com/channel/UC-Od6L4roEo7XHz7QqNCoGQ"/>
    <m/>
    <s v="xZPSNornzmk"/>
    <s v="https://www.youtube.com/watch?v=xZPSNornzmk"/>
    <s v="none"/>
    <n v="0"/>
    <x v="121"/>
    <d v="2021-09-04T11:12:19.000"/>
    <m/>
    <m/>
    <s v=""/>
    <n v="1"/>
    <s v="1"/>
    <s v="1"/>
    <n v="3"/>
    <n v="8.823529411764707"/>
    <n v="0"/>
    <n v="0"/>
    <n v="0"/>
    <n v="0"/>
    <n v="31"/>
    <n v="91.17647058823529"/>
    <n v="34"/>
  </r>
  <r>
    <s v="UCaZU_VNXJa9GSxkI8zfF_bQ"/>
    <s v="UChCX4aOq9WdweUQFSkZEONw"/>
    <m/>
    <m/>
    <m/>
    <m/>
    <m/>
    <m/>
    <m/>
    <m/>
    <s v="No"/>
    <n v="125"/>
    <m/>
    <m/>
    <s v="Commented Video"/>
    <x v="1"/>
    <s v="অসাধারণ একটি ভিডিও"/>
    <s v="UCaZU_VNXJa9GSxkI8zfF_bQ"/>
    <s v="SmBillalOfficial"/>
    <s v="http://www.youtube.com/channel/UCaZU_VNXJa9GSxkI8zfF_bQ"/>
    <m/>
    <s v="1inpqIvABKc"/>
    <s v="https://www.youtube.com/watch?v=1inpqIvABKc"/>
    <s v="none"/>
    <n v="0"/>
    <x v="122"/>
    <d v="2020-03-10T23:34:39.000"/>
    <m/>
    <m/>
    <s v=""/>
    <n v="1"/>
    <s v="2"/>
    <s v="2"/>
    <n v="0"/>
    <n v="0"/>
    <n v="0"/>
    <n v="0"/>
    <n v="0"/>
    <n v="0"/>
    <n v="7"/>
    <n v="100"/>
    <n v="7"/>
  </r>
  <r>
    <s v="UCL1ld4KXrnzFjPbvrtKIaLA"/>
    <s v="UChCX4aOq9WdweUQFSkZEONw"/>
    <m/>
    <m/>
    <m/>
    <m/>
    <m/>
    <m/>
    <m/>
    <m/>
    <s v="No"/>
    <n v="126"/>
    <m/>
    <m/>
    <s v="Commented Video"/>
    <x v="1"/>
    <s v="বাহ্ অসাধারণ জায়গা অনেক ভালো লাগলো পরিবেশ টা মনোরম পরিবেশ"/>
    <s v="UCL1ld4KXrnzFjPbvrtKIaLA"/>
    <s v="SK ALAM VLOGS"/>
    <s v="http://www.youtube.com/channel/UCL1ld4KXrnzFjPbvrtKIaLA"/>
    <m/>
    <s v="1inpqIvABKc"/>
    <s v="https://www.youtube.com/watch?v=1inpqIvABKc"/>
    <s v="none"/>
    <n v="0"/>
    <x v="123"/>
    <d v="2020-03-10T23:39:08.000"/>
    <m/>
    <m/>
    <s v=""/>
    <n v="1"/>
    <s v="2"/>
    <s v="2"/>
    <n v="0"/>
    <n v="0"/>
    <n v="0"/>
    <n v="0"/>
    <n v="0"/>
    <n v="0"/>
    <n v="22"/>
    <n v="100"/>
    <n v="22"/>
  </r>
  <r>
    <s v="UCTg0ECFaM5xh7Tmcp3z19UQ"/>
    <s v="UChCX4aOq9WdweUQFSkZEONw"/>
    <m/>
    <m/>
    <m/>
    <m/>
    <m/>
    <m/>
    <m/>
    <m/>
    <s v="No"/>
    <n v="127"/>
    <m/>
    <m/>
    <s v="Commented Video"/>
    <x v="1"/>
    <s v="Wow! Very fantastic place..."/>
    <s v="UCTg0ECFaM5xh7Tmcp3z19UQ"/>
    <s v="Rabbir Halk"/>
    <s v="http://www.youtube.com/channel/UCTg0ECFaM5xh7Tmcp3z19UQ"/>
    <m/>
    <s v="1inpqIvABKc"/>
    <s v="https://www.youtube.com/watch?v=1inpqIvABKc"/>
    <s v="none"/>
    <n v="0"/>
    <x v="124"/>
    <d v="2020-03-10T23:40:45.000"/>
    <m/>
    <m/>
    <s v=""/>
    <n v="1"/>
    <s v="2"/>
    <s v="2"/>
    <n v="2"/>
    <n v="50"/>
    <n v="0"/>
    <n v="0"/>
    <n v="0"/>
    <n v="0"/>
    <n v="2"/>
    <n v="50"/>
    <n v="4"/>
  </r>
  <r>
    <s v="UCVfLDbf46CUW-zrx5yQrjgA"/>
    <s v="UChCX4aOq9WdweUQFSkZEONw"/>
    <m/>
    <m/>
    <m/>
    <m/>
    <m/>
    <m/>
    <m/>
    <m/>
    <s v="No"/>
    <n v="128"/>
    <m/>
    <m/>
    <s v="Commented Video"/>
    <x v="1"/>
    <s v="Amazing video beautiful place"/>
    <s v="UCVfLDbf46CUW-zrx5yQrjgA"/>
    <s v="Zaiqe Lahore De"/>
    <s v="http://www.youtube.com/channel/UCVfLDbf46CUW-zrx5yQrjgA"/>
    <m/>
    <s v="1inpqIvABKc"/>
    <s v="https://www.youtube.com/watch?v=1inpqIvABKc"/>
    <s v="none"/>
    <n v="0"/>
    <x v="125"/>
    <d v="2020-03-10T23:43:06.000"/>
    <m/>
    <m/>
    <s v=""/>
    <n v="1"/>
    <s v="2"/>
    <s v="2"/>
    <n v="2"/>
    <n v="50"/>
    <n v="0"/>
    <n v="0"/>
    <n v="0"/>
    <n v="0"/>
    <n v="2"/>
    <n v="50"/>
    <n v="4"/>
  </r>
  <r>
    <s v="UCIjIs0UtwQhHsD7o--IW0RA"/>
    <s v="UChCX4aOq9WdweUQFSkZEONw"/>
    <m/>
    <m/>
    <m/>
    <m/>
    <m/>
    <m/>
    <m/>
    <m/>
    <s v="No"/>
    <n v="129"/>
    <m/>
    <m/>
    <s v="Commented Video"/>
    <x v="1"/>
    <s v="wow nice place &lt;br&gt;Awesome views"/>
    <s v="UCIjIs0UtwQhHsD7o--IW0RA"/>
    <s v="sk Alam news"/>
    <s v="http://www.youtube.com/channel/UCIjIs0UtwQhHsD7o--IW0RA"/>
    <m/>
    <s v="1inpqIvABKc"/>
    <s v="https://www.youtube.com/watch?v=1inpqIvABKc"/>
    <s v="none"/>
    <n v="0"/>
    <x v="126"/>
    <d v="2020-03-10T23:49:07.000"/>
    <m/>
    <m/>
    <s v=""/>
    <n v="1"/>
    <s v="2"/>
    <s v="2"/>
    <n v="3"/>
    <n v="50"/>
    <n v="0"/>
    <n v="0"/>
    <n v="0"/>
    <n v="0"/>
    <n v="3"/>
    <n v="50"/>
    <n v="6"/>
  </r>
  <r>
    <s v="UCN0dKbQrLtK1-HCyQJAt0Mg"/>
    <s v="UCMbrctS0F7b4wcKJ2vjkBxw"/>
    <m/>
    <m/>
    <m/>
    <m/>
    <m/>
    <m/>
    <m/>
    <m/>
    <s v="No"/>
    <n v="130"/>
    <m/>
    <m/>
    <s v="Replied Comment"/>
    <x v="0"/>
    <s v="Darun tu garden ti ."/>
    <s v="UCN0dKbQrLtK1-HCyQJAt0Mg"/>
    <s v="lika akter"/>
    <s v="http://www.youtube.com/channel/UCN0dKbQrLtK1-HCyQJAt0Mg"/>
    <s v="UgzBoQBHNphQOIOTWo94AaABAg"/>
    <s v="1inpqIvABKc"/>
    <s v="https://www.youtube.com/watch?v=1inpqIvABKc"/>
    <s v="none"/>
    <n v="0"/>
    <x v="127"/>
    <d v="2020-04-10T10:10:21.000"/>
    <m/>
    <m/>
    <s v=""/>
    <n v="1"/>
    <s v="2"/>
    <s v="2"/>
    <n v="0"/>
    <n v="0"/>
    <n v="0"/>
    <n v="0"/>
    <n v="0"/>
    <n v="0"/>
    <n v="4"/>
    <n v="100"/>
    <n v="4"/>
  </r>
  <r>
    <s v="UCMbrctS0F7b4wcKJ2vjkBxw"/>
    <s v="UChCX4aOq9WdweUQFSkZEONw"/>
    <m/>
    <m/>
    <m/>
    <m/>
    <m/>
    <m/>
    <m/>
    <m/>
    <s v="No"/>
    <n v="131"/>
    <m/>
    <m/>
    <s v="Commented Video"/>
    <x v="1"/>
    <s v="Mashaallah apu kub shundor garden amader shate share korar jonno thank you jokon london jabo oboshoi deke ashbo"/>
    <s v="UCMbrctS0F7b4wcKJ2vjkBxw"/>
    <s v="Events of my life"/>
    <s v="http://www.youtube.com/channel/UCMbrctS0F7b4wcKJ2vjkBxw"/>
    <m/>
    <s v="1inpqIvABKc"/>
    <s v="https://www.youtube.com/watch?v=1inpqIvABKc"/>
    <s v="none"/>
    <n v="0"/>
    <x v="128"/>
    <d v="2020-04-10T01:01:35.000"/>
    <m/>
    <m/>
    <s v=""/>
    <n v="1"/>
    <s v="2"/>
    <s v="2"/>
    <n v="1"/>
    <n v="5.555555555555555"/>
    <n v="0"/>
    <n v="0"/>
    <n v="0"/>
    <n v="0"/>
    <n v="17"/>
    <n v="94.44444444444444"/>
    <n v="18"/>
  </r>
  <r>
    <s v="UCIMxSMWfV-JKLLOyclBmrPQ"/>
    <s v="UChCX4aOq9WdweUQFSkZEONw"/>
    <m/>
    <m/>
    <m/>
    <m/>
    <m/>
    <m/>
    <m/>
    <m/>
    <s v="No"/>
    <n v="132"/>
    <m/>
    <m/>
    <s v="Commented Video"/>
    <x v="1"/>
    <s v="Lk10 wow onek bar jete cheyesi jaoai holo onek shundor jayega thanks dosto for sharing 😍"/>
    <s v="UCIMxSMWfV-JKLLOyclBmrPQ"/>
    <s v="Koly’s Lifestyle UK"/>
    <s v="http://www.youtube.com/channel/UCIMxSMWfV-JKLLOyclBmrPQ"/>
    <m/>
    <s v="1inpqIvABKc"/>
    <s v="https://www.youtube.com/watch?v=1inpqIvABKc"/>
    <s v="none"/>
    <n v="0"/>
    <x v="129"/>
    <d v="2020-04-10T01:05:34.000"/>
    <m/>
    <m/>
    <s v=""/>
    <n v="1"/>
    <s v="2"/>
    <s v="2"/>
    <n v="1"/>
    <n v="6.666666666666667"/>
    <n v="0"/>
    <n v="0"/>
    <n v="0"/>
    <n v="0"/>
    <n v="14"/>
    <n v="93.33333333333333"/>
    <n v="15"/>
  </r>
  <r>
    <s v="UCX0jdsd691BolSCl3uCd2rA"/>
    <s v="UChCX4aOq9WdweUQFSkZEONw"/>
    <m/>
    <m/>
    <m/>
    <m/>
    <m/>
    <m/>
    <m/>
    <m/>
    <s v="No"/>
    <n v="133"/>
    <m/>
    <m/>
    <s v="Commented Video"/>
    <x v="1"/>
    <s v="খুব সুন্দর, খোলা মেলা জায়গায় টি।ভালো লাগলো আপু।"/>
    <s v="UCX0jdsd691BolSCl3uCd2rA"/>
    <s v="Sadia Deepa"/>
    <s v="http://www.youtube.com/channel/UCX0jdsd691BolSCl3uCd2rA"/>
    <m/>
    <s v="1inpqIvABKc"/>
    <s v="https://www.youtube.com/watch?v=1inpqIvABKc"/>
    <s v="none"/>
    <n v="0"/>
    <x v="130"/>
    <d v="2020-04-10T03:59:22.000"/>
    <m/>
    <m/>
    <s v=""/>
    <n v="1"/>
    <s v="2"/>
    <s v="2"/>
    <n v="0"/>
    <n v="0"/>
    <n v="0"/>
    <n v="0"/>
    <n v="0"/>
    <n v="0"/>
    <n v="18"/>
    <n v="100"/>
    <n v="18"/>
  </r>
  <r>
    <s v="UCRVdRLrGnsbmgmDN6N5xBYw"/>
    <s v="UChCX4aOq9WdweUQFSkZEONw"/>
    <m/>
    <m/>
    <m/>
    <m/>
    <m/>
    <m/>
    <m/>
    <m/>
    <s v="No"/>
    <n v="134"/>
    <m/>
    <m/>
    <s v="Commented Video"/>
    <x v="1"/>
    <s v="💓💓👌"/>
    <s v="UCRVdRLrGnsbmgmDN6N5xBYw"/>
    <s v="Mohua's Spice Kitchen &amp; Vlogs"/>
    <s v="http://www.youtube.com/channel/UCRVdRLrGnsbmgmDN6N5xBYw"/>
    <m/>
    <s v="1inpqIvABKc"/>
    <s v="https://www.youtube.com/watch?v=1inpqIvABKc"/>
    <s v="none"/>
    <n v="0"/>
    <x v="131"/>
    <d v="2020-04-10T04:49:21.000"/>
    <m/>
    <m/>
    <s v=""/>
    <n v="1"/>
    <s v="2"/>
    <s v="2"/>
    <n v="0"/>
    <n v="0"/>
    <n v="0"/>
    <n v="0"/>
    <n v="0"/>
    <n v="0"/>
    <n v="0"/>
    <n v="0"/>
    <n v="0"/>
  </r>
  <r>
    <s v="UCVWo8kvTSDWSICFECknClxQ"/>
    <s v="UChCX4aOq9WdweUQFSkZEONw"/>
    <m/>
    <m/>
    <m/>
    <m/>
    <m/>
    <m/>
    <m/>
    <m/>
    <s v="No"/>
    <n v="135"/>
    <m/>
    <m/>
    <s v="Commented Video"/>
    <x v="1"/>
    <s v="Beautiful place apu"/>
    <s v="UCVWo8kvTSDWSICFECknClxQ"/>
    <s v="Anowar280"/>
    <s v="http://www.youtube.com/channel/UCVWo8kvTSDWSICFECknClxQ"/>
    <m/>
    <s v="1inpqIvABKc"/>
    <s v="https://www.youtube.com/watch?v=1inpqIvABKc"/>
    <s v="none"/>
    <n v="0"/>
    <x v="132"/>
    <d v="2020-04-10T06:20:44.000"/>
    <m/>
    <m/>
    <s v=""/>
    <n v="1"/>
    <s v="2"/>
    <s v="2"/>
    <n v="1"/>
    <n v="33.333333333333336"/>
    <n v="0"/>
    <n v="0"/>
    <n v="0"/>
    <n v="0"/>
    <n v="2"/>
    <n v="66.66666666666667"/>
    <n v="3"/>
  </r>
  <r>
    <s v="UCKLYhAdMd8BrHelG05-fxMw"/>
    <s v="UChCX4aOq9WdweUQFSkZEONw"/>
    <m/>
    <m/>
    <m/>
    <m/>
    <m/>
    <m/>
    <m/>
    <m/>
    <s v="No"/>
    <n v="136"/>
    <m/>
    <m/>
    <s v="Commented Video"/>
    <x v="1"/>
    <s v="খুবই ভালো লাগলো আপু"/>
    <s v="UCKLYhAdMd8BrHelG05-fxMw"/>
    <s v="HM MEDIA PB"/>
    <s v="http://www.youtube.com/channel/UCKLYhAdMd8BrHelG05-fxMw"/>
    <m/>
    <s v="1inpqIvABKc"/>
    <s v="https://www.youtube.com/watch?v=1inpqIvABKc"/>
    <s v="none"/>
    <n v="0"/>
    <x v="133"/>
    <d v="2020-04-10T07:06:00.000"/>
    <m/>
    <m/>
    <s v=""/>
    <n v="1"/>
    <s v="2"/>
    <s v="2"/>
    <n v="0"/>
    <n v="0"/>
    <n v="0"/>
    <n v="0"/>
    <n v="0"/>
    <n v="0"/>
    <n v="7"/>
    <n v="100"/>
    <n v="7"/>
  </r>
  <r>
    <s v="UCKBQWlRCDdhVhVgngdupSXg"/>
    <s v="UChCX4aOq9WdweUQFSkZEONw"/>
    <m/>
    <m/>
    <m/>
    <m/>
    <m/>
    <m/>
    <m/>
    <m/>
    <s v="No"/>
    <n v="137"/>
    <m/>
    <m/>
    <s v="Commented Video"/>
    <x v="1"/>
    <s v="Breach ta khub shundor refreshing place"/>
    <s v="UCKBQWlRCDdhVhVgngdupSXg"/>
    <s v="Bangladeshi swedish mum"/>
    <s v="http://www.youtube.com/channel/UCKBQWlRCDdhVhVgngdupSXg"/>
    <m/>
    <s v="1inpqIvABKc"/>
    <s v="https://www.youtube.com/watch?v=1inpqIvABKc"/>
    <s v="none"/>
    <n v="0"/>
    <x v="134"/>
    <d v="2020-05-10T01:14:52.000"/>
    <m/>
    <m/>
    <s v=""/>
    <n v="1"/>
    <s v="2"/>
    <s v="2"/>
    <n v="1"/>
    <n v="16.666666666666668"/>
    <n v="1"/>
    <n v="16.666666666666668"/>
    <n v="0"/>
    <n v="0"/>
    <n v="4"/>
    <n v="66.66666666666667"/>
    <n v="6"/>
  </r>
  <r>
    <s v="UCnExUyxVK5ZUmul18inqnsA"/>
    <s v="UChCX4aOq9WdweUQFSkZEONw"/>
    <m/>
    <m/>
    <m/>
    <m/>
    <m/>
    <m/>
    <m/>
    <m/>
    <s v="No"/>
    <n v="138"/>
    <m/>
    <m/>
    <s v="Commented Video"/>
    <x v="1"/>
    <s v="Onek  sundor jaygata apu"/>
    <s v="UCnExUyxVK5ZUmul18inqnsA"/>
    <s v="Rikta's Lifestyle Austria"/>
    <s v="http://www.youtube.com/channel/UCnExUyxVK5ZUmul18inqnsA"/>
    <m/>
    <s v="1inpqIvABKc"/>
    <s v="https://www.youtube.com/watch?v=1inpqIvABKc"/>
    <s v="none"/>
    <n v="0"/>
    <x v="135"/>
    <d v="2020-05-10T05:49:42.000"/>
    <m/>
    <m/>
    <s v=""/>
    <n v="1"/>
    <s v="2"/>
    <s v="2"/>
    <n v="0"/>
    <n v="0"/>
    <n v="0"/>
    <n v="0"/>
    <n v="0"/>
    <n v="0"/>
    <n v="4"/>
    <n v="100"/>
    <n v="4"/>
  </r>
  <r>
    <s v="UCifnwNQdEJ-UlqVWRqQ5aEg"/>
    <s v="UChCX4aOq9WdweUQFSkZEONw"/>
    <m/>
    <m/>
    <m/>
    <m/>
    <m/>
    <m/>
    <m/>
    <m/>
    <s v="No"/>
    <n v="139"/>
    <m/>
    <m/>
    <s v="Commented Video"/>
    <x v="1"/>
    <s v="Very nice place I went there"/>
    <s v="UCifnwNQdEJ-UlqVWRqQ5aEg"/>
    <s v="Holy's Vlogs UK"/>
    <s v="http://www.youtube.com/channel/UCifnwNQdEJ-UlqVWRqQ5aEg"/>
    <m/>
    <s v="1inpqIvABKc"/>
    <s v="https://www.youtube.com/watch?v=1inpqIvABKc"/>
    <s v="none"/>
    <n v="0"/>
    <x v="136"/>
    <d v="2020-07-10T22:48:07.000"/>
    <m/>
    <m/>
    <s v=""/>
    <n v="1"/>
    <s v="2"/>
    <s v="2"/>
    <n v="1"/>
    <n v="16.666666666666668"/>
    <n v="0"/>
    <n v="0"/>
    <n v="0"/>
    <n v="0"/>
    <n v="5"/>
    <n v="83.33333333333333"/>
    <n v="6"/>
  </r>
  <r>
    <s v="UCnJ52lHH73iTys_MTWjLRUQ"/>
    <s v="UChCX4aOq9WdweUQFSkZEONw"/>
    <m/>
    <m/>
    <m/>
    <m/>
    <m/>
    <m/>
    <m/>
    <m/>
    <s v="No"/>
    <n v="140"/>
    <m/>
    <m/>
    <s v="Commented Video"/>
    <x v="1"/>
    <s v="মাশাআল্লাহ অসাধারণ সৌন্দর্য অনেক ভালো লাগলো আপু❤️👍👌"/>
    <s v="UCnJ52lHH73iTys_MTWjLRUQ"/>
    <s v="Bablu sumi Vlogs"/>
    <s v="http://www.youtube.com/channel/UCnJ52lHH73iTys_MTWjLRUQ"/>
    <m/>
    <s v="1inpqIvABKc"/>
    <s v="https://www.youtube.com/watch?v=1inpqIvABKc"/>
    <s v="none"/>
    <n v="0"/>
    <x v="137"/>
    <s v="21/11/2020 18:52:42"/>
    <m/>
    <m/>
    <s v=""/>
    <n v="1"/>
    <s v="2"/>
    <s v="2"/>
    <n v="0"/>
    <n v="0"/>
    <n v="0"/>
    <n v="0"/>
    <n v="0"/>
    <n v="0"/>
    <n v="19"/>
    <n v="100"/>
    <n v="19"/>
  </r>
  <r>
    <s v="UCLUgOZKSmgg64XBVzuCMgbw"/>
    <s v="UCt6mVizjtgC0naHMNZdzlXQ"/>
    <m/>
    <m/>
    <m/>
    <m/>
    <m/>
    <m/>
    <m/>
    <m/>
    <s v="No"/>
    <n v="141"/>
    <m/>
    <m/>
    <s v="Replied Comment"/>
    <x v="0"/>
    <s v="lovely view from the roof garden"/>
    <s v="UCLUgOZKSmgg64XBVzuCMgbw"/>
    <s v="Fahmina's creation 4"/>
    <s v="http://www.youtube.com/channel/UCLUgOZKSmgg64XBVzuCMgbw"/>
    <s v="UgznjzYqWDgcWEWb68J4AaABAg"/>
    <s v="1inpqIvABKc"/>
    <s v="https://www.youtube.com/watch?v=1inpqIvABKc"/>
    <s v="none"/>
    <n v="0"/>
    <x v="138"/>
    <d v="2021-11-04T10:16:56.000"/>
    <m/>
    <m/>
    <s v=""/>
    <n v="1"/>
    <s v="2"/>
    <s v="2"/>
    <n v="1"/>
    <n v="16.666666666666668"/>
    <n v="0"/>
    <n v="0"/>
    <n v="0"/>
    <n v="0"/>
    <n v="5"/>
    <n v="83.33333333333333"/>
    <n v="6"/>
  </r>
  <r>
    <s v="UC9IalNJ4G6skslmu1wtD-3Q"/>
    <s v="UCt6mVizjtgC0naHMNZdzlXQ"/>
    <m/>
    <m/>
    <m/>
    <m/>
    <m/>
    <m/>
    <m/>
    <m/>
    <s v="No"/>
    <n v="142"/>
    <m/>
    <m/>
    <s v="Replied Comment"/>
    <x v="0"/>
    <s v=":)"/>
    <s v="UC9IalNJ4G6skslmu1wtD-3Q"/>
    <s v="Fahmina's Creation 3"/>
    <s v="http://www.youtube.com/channel/UC9IalNJ4G6skslmu1wtD-3Q"/>
    <s v="UgznjzYqWDgcWEWb68J4AaABAg"/>
    <s v="1inpqIvABKc"/>
    <s v="https://www.youtube.com/watch?v=1inpqIvABKc"/>
    <s v="none"/>
    <n v="0"/>
    <x v="139"/>
    <d v="2021-11-04T10:17:06.000"/>
    <m/>
    <m/>
    <s v=""/>
    <n v="1"/>
    <s v="2"/>
    <s v="2"/>
    <n v="0"/>
    <n v="0"/>
    <n v="0"/>
    <n v="0"/>
    <n v="0"/>
    <n v="0"/>
    <n v="0"/>
    <n v="0"/>
    <n v="0"/>
  </r>
  <r>
    <s v="UCTaBfCRefmBOpPYSkeX1Wrg"/>
    <s v="UCt6mVizjtgC0naHMNZdzlXQ"/>
    <m/>
    <m/>
    <m/>
    <m/>
    <m/>
    <m/>
    <m/>
    <m/>
    <s v="No"/>
    <n v="143"/>
    <m/>
    <m/>
    <s v="Replied Comment"/>
    <x v="0"/>
    <s v=":)"/>
    <s v="UCTaBfCRefmBOpPYSkeX1Wrg"/>
    <s v="fahmina's Creation 5"/>
    <s v="http://www.youtube.com/channel/UCTaBfCRefmBOpPYSkeX1Wrg"/>
    <s v="UgznjzYqWDgcWEWb68J4AaABAg"/>
    <s v="1inpqIvABKc"/>
    <s v="https://www.youtube.com/watch?v=1inpqIvABKc"/>
    <s v="none"/>
    <n v="0"/>
    <x v="140"/>
    <d v="2021-11-04T10:17:14.000"/>
    <m/>
    <m/>
    <s v=""/>
    <n v="1"/>
    <s v="2"/>
    <s v="2"/>
    <n v="0"/>
    <n v="0"/>
    <n v="0"/>
    <n v="0"/>
    <n v="0"/>
    <n v="0"/>
    <n v="0"/>
    <n v="0"/>
    <n v="0"/>
  </r>
  <r>
    <s v="UCV1aB7zve3ENDC9jsKR9qBQ"/>
    <s v="UCt6mVizjtgC0naHMNZdzlXQ"/>
    <m/>
    <m/>
    <m/>
    <m/>
    <m/>
    <m/>
    <m/>
    <m/>
    <s v="No"/>
    <n v="144"/>
    <m/>
    <m/>
    <s v="Replied Comment"/>
    <x v="0"/>
    <s v=":)"/>
    <s v="UCV1aB7zve3ENDC9jsKR9qBQ"/>
    <s v="Fahmina's Creation 2"/>
    <s v="http://www.youtube.com/channel/UCV1aB7zve3ENDC9jsKR9qBQ"/>
    <s v="UgznjzYqWDgcWEWb68J4AaABAg"/>
    <s v="1inpqIvABKc"/>
    <s v="https://www.youtube.com/watch?v=1inpqIvABKc"/>
    <s v="none"/>
    <n v="0"/>
    <x v="141"/>
    <d v="2021-11-04T10:17:25.000"/>
    <m/>
    <m/>
    <s v=""/>
    <n v="1"/>
    <s v="2"/>
    <s v="2"/>
    <n v="0"/>
    <n v="0"/>
    <n v="0"/>
    <n v="0"/>
    <n v="0"/>
    <n v="0"/>
    <n v="0"/>
    <n v="0"/>
    <n v="0"/>
  </r>
  <r>
    <s v="UCt6mVizjtgC0naHMNZdzlXQ"/>
    <s v="UChCX4aOq9WdweUQFSkZEONw"/>
    <m/>
    <m/>
    <m/>
    <m/>
    <m/>
    <m/>
    <m/>
    <m/>
    <s v="No"/>
    <n v="145"/>
    <m/>
    <m/>
    <s v="Commented Video"/>
    <x v="1"/>
    <s v="Salam Apu, beautiful roof garden, thansk for sharing this with us."/>
    <s v="UCt6mVizjtgC0naHMNZdzlXQ"/>
    <s v="fahmina's Creation 1"/>
    <s v="http://www.youtube.com/channel/UCt6mVizjtgC0naHMNZdzlXQ"/>
    <m/>
    <s v="1inpqIvABKc"/>
    <s v="https://www.youtube.com/watch?v=1inpqIvABKc"/>
    <s v="none"/>
    <n v="0"/>
    <x v="142"/>
    <d v="2021-11-04T10:16:43.000"/>
    <m/>
    <m/>
    <s v=""/>
    <n v="1"/>
    <s v="2"/>
    <s v="2"/>
    <n v="1"/>
    <n v="9.090909090909092"/>
    <n v="0"/>
    <n v="0"/>
    <n v="0"/>
    <n v="0"/>
    <n v="10"/>
    <n v="90.9090909090909"/>
    <n v="11"/>
  </r>
  <r>
    <s v="UCaQrVRWCK80RV6MvW1_IqQg"/>
    <s v="UChCX4aOq9WdweUQFSkZEONw"/>
    <m/>
    <m/>
    <m/>
    <m/>
    <m/>
    <m/>
    <m/>
    <m/>
    <s v="No"/>
    <n v="146"/>
    <m/>
    <m/>
    <s v="Commented Video"/>
    <x v="1"/>
    <s v="Ma Sha Allah beautiful"/>
    <s v="UCaQrVRWCK80RV6MvW1_IqQg"/>
    <s v="Viral XShorifa"/>
    <s v="http://www.youtube.com/channel/UCaQrVRWCK80RV6MvW1_IqQg"/>
    <m/>
    <s v="1inpqIvABKc"/>
    <s v="https://www.youtube.com/watch?v=1inpqIvABKc"/>
    <s v="none"/>
    <n v="0"/>
    <x v="143"/>
    <d v="2021-11-04T10:45:36.000"/>
    <m/>
    <m/>
    <s v=""/>
    <n v="1"/>
    <s v="2"/>
    <s v="2"/>
    <n v="1"/>
    <n v="25"/>
    <n v="0"/>
    <n v="0"/>
    <n v="0"/>
    <n v="0"/>
    <n v="3"/>
    <n v="75"/>
    <n v="4"/>
  </r>
  <r>
    <s v="UChyp90H8k8phe8NyHICga7A"/>
    <s v="UChCX4aOq9WdweUQFSkZEONw"/>
    <m/>
    <m/>
    <m/>
    <m/>
    <m/>
    <m/>
    <m/>
    <m/>
    <s v="No"/>
    <n v="147"/>
    <m/>
    <m/>
    <s v="Commented Video"/>
    <x v="1"/>
    <s v="Beautiful sharing app I"/>
    <s v="UChyp90H8k8phe8NyHICga7A"/>
    <s v="Xshorifa’s Uk vlog"/>
    <s v="http://www.youtube.com/channel/UChyp90H8k8phe8NyHICga7A"/>
    <m/>
    <s v="1inpqIvABKc"/>
    <s v="https://www.youtube.com/watch?v=1inpqIvABKc"/>
    <s v="none"/>
    <n v="0"/>
    <x v="144"/>
    <d v="2021-11-04T10:45:58.000"/>
    <m/>
    <m/>
    <s v=""/>
    <n v="1"/>
    <s v="2"/>
    <s v="2"/>
    <n v="1"/>
    <n v="25"/>
    <n v="0"/>
    <n v="0"/>
    <n v="0"/>
    <n v="0"/>
    <n v="3"/>
    <n v="75"/>
    <n v="4"/>
  </r>
  <r>
    <s v="UCutUbh2IWWUOfCQo8ItFYzA"/>
    <s v="UChCX4aOq9WdweUQFSkZEONw"/>
    <m/>
    <m/>
    <m/>
    <m/>
    <m/>
    <m/>
    <m/>
    <m/>
    <s v="No"/>
    <n v="148"/>
    <m/>
    <m/>
    <s v="Commented Video"/>
    <x v="1"/>
    <s v="Nice"/>
    <s v="UCutUbh2IWWUOfCQo8ItFYzA"/>
    <s v="Shorifa Here"/>
    <s v="http://www.youtube.com/channel/UCutUbh2IWWUOfCQo8ItFYzA"/>
    <m/>
    <s v="1inpqIvABKc"/>
    <s v="https://www.youtube.com/watch?v=1inpqIvABKc"/>
    <s v="none"/>
    <n v="0"/>
    <x v="145"/>
    <d v="2021-11-04T10:46:38.000"/>
    <m/>
    <m/>
    <s v=""/>
    <n v="1"/>
    <s v="2"/>
    <s v="2"/>
    <n v="1"/>
    <n v="100"/>
    <n v="0"/>
    <n v="0"/>
    <n v="0"/>
    <n v="0"/>
    <n v="0"/>
    <n v="0"/>
    <n v="1"/>
  </r>
  <r>
    <s v="UCiPCWIXHW33J978AkHlI4CA"/>
    <s v="UChCX4aOq9WdweUQFSkZEONw"/>
    <m/>
    <m/>
    <m/>
    <m/>
    <m/>
    <m/>
    <m/>
    <m/>
    <s v="No"/>
    <n v="149"/>
    <m/>
    <m/>
    <s v="Commented Video"/>
    <x v="1"/>
    <s v="❤️"/>
    <s v="UCiPCWIXHW33J978AkHlI4CA"/>
    <s v="Shorifa Hussain Support"/>
    <s v="http://www.youtube.com/channel/UCiPCWIXHW33J978AkHlI4CA"/>
    <m/>
    <s v="1inpqIvABKc"/>
    <s v="https://www.youtube.com/watch?v=1inpqIvABKc"/>
    <s v="none"/>
    <n v="0"/>
    <x v="146"/>
    <d v="2021-11-04T10:46:49.000"/>
    <m/>
    <m/>
    <s v=""/>
    <n v="1"/>
    <s v="2"/>
    <s v="2"/>
    <n v="0"/>
    <n v="0"/>
    <n v="0"/>
    <n v="0"/>
    <n v="0"/>
    <n v="0"/>
    <n v="0"/>
    <n v="0"/>
    <n v="0"/>
  </r>
  <r>
    <s v="UCAB5EVEnYdjH3uHp_F5sCzA"/>
    <s v="UChCX4aOq9WdweUQFSkZEONw"/>
    <m/>
    <m/>
    <m/>
    <m/>
    <m/>
    <m/>
    <m/>
    <m/>
    <s v="No"/>
    <n v="150"/>
    <m/>
    <m/>
    <s v="Commented Video"/>
    <x v="1"/>
    <s v="Beautiful"/>
    <s v="UCAB5EVEnYdjH3uHp_F5sCzA"/>
    <s v="I’m Shorifa Hussain"/>
    <s v="http://www.youtube.com/channel/UCAB5EVEnYdjH3uHp_F5sCzA"/>
    <m/>
    <s v="1inpqIvABKc"/>
    <s v="https://www.youtube.com/watch?v=1inpqIvABKc"/>
    <s v="none"/>
    <n v="0"/>
    <x v="147"/>
    <d v="2021-11-04T10:54:58.000"/>
    <m/>
    <m/>
    <s v=""/>
    <n v="1"/>
    <s v="2"/>
    <s v="2"/>
    <n v="1"/>
    <n v="100"/>
    <n v="0"/>
    <n v="0"/>
    <n v="0"/>
    <n v="0"/>
    <n v="0"/>
    <n v="0"/>
    <n v="1"/>
  </r>
  <r>
    <s v="UCqUWRyjAHrd05fGUEDn9f9Q"/>
    <s v="UCN65cpvF729KocfXYsi_mVg"/>
    <m/>
    <m/>
    <m/>
    <m/>
    <m/>
    <m/>
    <m/>
    <m/>
    <s v="No"/>
    <n v="151"/>
    <m/>
    <m/>
    <s v="Replied Comment"/>
    <x v="0"/>
    <s v="🖒💖"/>
    <s v="UCqUWRyjAHrd05fGUEDn9f9Q"/>
    <s v="Shipa Begum"/>
    <s v="http://www.youtube.com/channel/UCqUWRyjAHrd05fGUEDn9f9Q"/>
    <s v="UgyzgE5woA7J2pcGcsB4AaABAg"/>
    <s v="1inpqIvABKc"/>
    <s v="https://www.youtube.com/watch?v=1inpqIvABKc"/>
    <s v="none"/>
    <n v="0"/>
    <x v="148"/>
    <d v="2021-11-04T11:21:16.000"/>
    <m/>
    <m/>
    <s v=""/>
    <n v="1"/>
    <s v="2"/>
    <s v="2"/>
    <n v="0"/>
    <n v="0"/>
    <n v="0"/>
    <n v="0"/>
    <n v="0"/>
    <n v="0"/>
    <n v="0"/>
    <n v="0"/>
    <n v="0"/>
  </r>
  <r>
    <s v="UC5rwdwwTgbjkIbUuHzNG8Jg"/>
    <s v="UCN65cpvF729KocfXYsi_mVg"/>
    <m/>
    <m/>
    <m/>
    <m/>
    <m/>
    <m/>
    <m/>
    <m/>
    <s v="No"/>
    <n v="152"/>
    <m/>
    <m/>
    <s v="Replied Comment"/>
    <x v="0"/>
    <s v="💖👌"/>
    <s v="UC5rwdwwTgbjkIbUuHzNG8Jg"/>
    <s v="Iqra Akther 3"/>
    <s v="http://www.youtube.com/channel/UC5rwdwwTgbjkIbUuHzNG8Jg"/>
    <s v="UgyzgE5woA7J2pcGcsB4AaABAg"/>
    <s v="1inpqIvABKc"/>
    <s v="https://www.youtube.com/watch?v=1inpqIvABKc"/>
    <s v="none"/>
    <n v="0"/>
    <x v="149"/>
    <d v="2021-11-04T11:24:30.000"/>
    <m/>
    <m/>
    <s v=""/>
    <n v="1"/>
    <s v="2"/>
    <s v="2"/>
    <n v="0"/>
    <n v="0"/>
    <n v="0"/>
    <n v="0"/>
    <n v="0"/>
    <n v="0"/>
    <n v="0"/>
    <n v="0"/>
    <n v="0"/>
  </r>
  <r>
    <s v="UCuWOnyHYdImx-991vy9fJgA"/>
    <s v="UCN65cpvF729KocfXYsi_mVg"/>
    <m/>
    <m/>
    <m/>
    <m/>
    <m/>
    <m/>
    <m/>
    <m/>
    <s v="No"/>
    <n v="153"/>
    <m/>
    <m/>
    <s v="Replied Comment"/>
    <x v="0"/>
    <s v="💖"/>
    <s v="UCuWOnyHYdImx-991vy9fJgA"/>
    <s v="Tania Akther"/>
    <s v="http://www.youtube.com/channel/UCuWOnyHYdImx-991vy9fJgA"/>
    <s v="UgyzgE5woA7J2pcGcsB4AaABAg"/>
    <s v="1inpqIvABKc"/>
    <s v="https://www.youtube.com/watch?v=1inpqIvABKc"/>
    <s v="none"/>
    <n v="0"/>
    <x v="150"/>
    <d v="2021-11-04T11:30:13.000"/>
    <m/>
    <m/>
    <s v=""/>
    <n v="1"/>
    <s v="2"/>
    <s v="2"/>
    <n v="0"/>
    <n v="0"/>
    <n v="0"/>
    <n v="0"/>
    <n v="0"/>
    <n v="0"/>
    <n v="0"/>
    <n v="0"/>
    <n v="0"/>
  </r>
  <r>
    <s v="UCXGDofo79BwPkpIbl3cRmQw"/>
    <s v="UCN65cpvF729KocfXYsi_mVg"/>
    <m/>
    <m/>
    <m/>
    <m/>
    <m/>
    <m/>
    <m/>
    <m/>
    <s v="No"/>
    <n v="154"/>
    <m/>
    <m/>
    <s v="Replied Comment"/>
    <x v="0"/>
    <s v="💖"/>
    <s v="UCXGDofo79BwPkpIbl3cRmQw"/>
    <s v="iqra 2"/>
    <s v="http://www.youtube.com/channel/UCXGDofo79BwPkpIbl3cRmQw"/>
    <s v="UgyzgE5woA7J2pcGcsB4AaABAg"/>
    <s v="1inpqIvABKc"/>
    <s v="https://www.youtube.com/watch?v=1inpqIvABKc"/>
    <s v="none"/>
    <n v="0"/>
    <x v="151"/>
    <d v="2021-11-04T11:33:31.000"/>
    <m/>
    <m/>
    <s v=""/>
    <n v="1"/>
    <s v="2"/>
    <s v="2"/>
    <n v="0"/>
    <n v="0"/>
    <n v="0"/>
    <n v="0"/>
    <n v="0"/>
    <n v="0"/>
    <n v="0"/>
    <n v="0"/>
    <n v="0"/>
  </r>
  <r>
    <s v="UCN65cpvF729KocfXYsi_mVg"/>
    <s v="UChCX4aOq9WdweUQFSkZEONw"/>
    <m/>
    <m/>
    <m/>
    <m/>
    <m/>
    <m/>
    <m/>
    <m/>
    <s v="No"/>
    <n v="155"/>
    <m/>
    <m/>
    <s v="Commented Video"/>
    <x v="1"/>
    <s v="MashAllah beautiful park 👍"/>
    <s v="UCN65cpvF729KocfXYsi_mVg"/>
    <s v="Iqra Vlogs Uk"/>
    <s v="http://www.youtube.com/channel/UCN65cpvF729KocfXYsi_mVg"/>
    <m/>
    <s v="1inpqIvABKc"/>
    <s v="https://www.youtube.com/watch?v=1inpqIvABKc"/>
    <s v="none"/>
    <n v="0"/>
    <x v="152"/>
    <d v="2021-11-04T11:18:23.000"/>
    <m/>
    <m/>
    <s v=""/>
    <n v="1"/>
    <s v="2"/>
    <s v="2"/>
    <n v="1"/>
    <n v="33.333333333333336"/>
    <n v="0"/>
    <n v="0"/>
    <n v="0"/>
    <n v="0"/>
    <n v="2"/>
    <n v="66.66666666666667"/>
    <n v="3"/>
  </r>
  <r>
    <s v="UCoRdQ_Kel_HD4gtBQlrWPCw"/>
    <s v="UChCX4aOq9WdweUQFSkZEONw"/>
    <m/>
    <m/>
    <m/>
    <m/>
    <m/>
    <m/>
    <m/>
    <m/>
    <s v="No"/>
    <n v="156"/>
    <m/>
    <m/>
    <s v="Commented Video"/>
    <x v="1"/>
    <s v="Nice sharing apu"/>
    <s v="UCoRdQ_Kel_HD4gtBQlrWPCw"/>
    <s v="R Recipes"/>
    <s v="http://www.youtube.com/channel/UCoRdQ_Kel_HD4gtBQlrWPCw"/>
    <m/>
    <s v="1inpqIvABKc"/>
    <s v="https://www.youtube.com/watch?v=1inpqIvABKc"/>
    <s v="none"/>
    <n v="0"/>
    <x v="153"/>
    <d v="2021-11-04T11:45:45.000"/>
    <m/>
    <m/>
    <s v=""/>
    <n v="1"/>
    <s v="2"/>
    <s v="2"/>
    <n v="1"/>
    <n v="33.333333333333336"/>
    <n v="0"/>
    <n v="0"/>
    <n v="0"/>
    <n v="0"/>
    <n v="2"/>
    <n v="66.66666666666667"/>
    <n v="3"/>
  </r>
  <r>
    <s v="UC8SNsXZlLVmlSoihrS71aPA"/>
    <s v="UC3YBngwt4LQe-upUMrs7-qA"/>
    <m/>
    <m/>
    <m/>
    <m/>
    <m/>
    <m/>
    <m/>
    <m/>
    <s v="No"/>
    <n v="157"/>
    <m/>
    <m/>
    <s v="Replied Comment"/>
    <x v="0"/>
    <s v="🌺🍳"/>
    <s v="UC8SNsXZlLVmlSoihrS71aPA"/>
    <s v="Fahid vlog uk World"/>
    <s v="http://www.youtube.com/channel/UC8SNsXZlLVmlSoihrS71aPA"/>
    <s v="UgxqEWDooqubKuymd4p4AaABAg"/>
    <s v="1inpqIvABKc"/>
    <s v="https://www.youtube.com/watch?v=1inpqIvABKc"/>
    <s v="none"/>
    <n v="0"/>
    <x v="154"/>
    <d v="2021-11-04T11:46:48.000"/>
    <m/>
    <m/>
    <s v=""/>
    <n v="1"/>
    <s v="2"/>
    <s v="2"/>
    <n v="0"/>
    <n v="0"/>
    <n v="0"/>
    <n v="0"/>
    <n v="0"/>
    <n v="0"/>
    <n v="0"/>
    <n v="0"/>
    <n v="0"/>
  </r>
  <r>
    <s v="UCoOeq6tszRGSiEO_8vkoutQ"/>
    <s v="UC3YBngwt4LQe-upUMrs7-qA"/>
    <m/>
    <m/>
    <m/>
    <m/>
    <m/>
    <m/>
    <m/>
    <m/>
    <s v="No"/>
    <n v="158"/>
    <m/>
    <m/>
    <s v="Replied Comment"/>
    <x v="0"/>
    <s v="👍☘"/>
    <s v="UCoOeq6tszRGSiEO_8vkoutQ"/>
    <s v="Raisa Chowdhury"/>
    <s v="http://www.youtube.com/channel/UCoOeq6tszRGSiEO_8vkoutQ"/>
    <s v="UgxqEWDooqubKuymd4p4AaABAg"/>
    <s v="1inpqIvABKc"/>
    <s v="https://www.youtube.com/watch?v=1inpqIvABKc"/>
    <s v="none"/>
    <n v="0"/>
    <x v="155"/>
    <d v="2021-11-04T11:46:49.000"/>
    <m/>
    <m/>
    <s v=""/>
    <n v="1"/>
    <s v="2"/>
    <s v="2"/>
    <n v="0"/>
    <n v="0"/>
    <n v="0"/>
    <n v="0"/>
    <n v="0"/>
    <n v="0"/>
    <n v="0"/>
    <n v="0"/>
    <n v="0"/>
  </r>
  <r>
    <s v="UCuEqaAu_SjfAY4-RMJq4rGQ"/>
    <s v="UC3YBngwt4LQe-upUMrs7-qA"/>
    <m/>
    <m/>
    <m/>
    <m/>
    <m/>
    <m/>
    <m/>
    <m/>
    <s v="No"/>
    <n v="159"/>
    <m/>
    <m/>
    <s v="Replied Comment"/>
    <x v="0"/>
    <s v="💐👍"/>
    <s v="UCuEqaAu_SjfAY4-RMJq4rGQ"/>
    <s v="Farjana Chowdhury"/>
    <s v="http://www.youtube.com/channel/UCuEqaAu_SjfAY4-RMJq4rGQ"/>
    <s v="UgxqEWDooqubKuymd4p4AaABAg"/>
    <s v="1inpqIvABKc"/>
    <s v="https://www.youtube.com/watch?v=1inpqIvABKc"/>
    <s v="none"/>
    <n v="0"/>
    <x v="156"/>
    <d v="2021-11-04T11:46:50.000"/>
    <m/>
    <m/>
    <s v=""/>
    <n v="1"/>
    <s v="2"/>
    <s v="2"/>
    <n v="0"/>
    <n v="0"/>
    <n v="0"/>
    <n v="0"/>
    <n v="0"/>
    <n v="0"/>
    <n v="0"/>
    <n v="0"/>
    <n v="0"/>
  </r>
  <r>
    <s v="UCIYnQZAI433GJKJqhdr_6Mw"/>
    <s v="UC3YBngwt4LQe-upUMrs7-qA"/>
    <m/>
    <m/>
    <m/>
    <m/>
    <m/>
    <m/>
    <m/>
    <m/>
    <s v="No"/>
    <n v="160"/>
    <m/>
    <m/>
    <s v="Replied Comment"/>
    <x v="0"/>
    <s v="💐💐"/>
    <s v="UCIYnQZAI433GJKJqhdr_6Mw"/>
    <s v="Ruhul islam 1"/>
    <s v="http://www.youtube.com/channel/UCIYnQZAI433GJKJqhdr_6Mw"/>
    <s v="UgxqEWDooqubKuymd4p4AaABAg"/>
    <s v="1inpqIvABKc"/>
    <s v="https://www.youtube.com/watch?v=1inpqIvABKc"/>
    <s v="none"/>
    <n v="0"/>
    <x v="157"/>
    <d v="2021-11-04T11:46:51.000"/>
    <m/>
    <m/>
    <s v=""/>
    <n v="1"/>
    <s v="2"/>
    <s v="2"/>
    <n v="0"/>
    <n v="0"/>
    <n v="0"/>
    <n v="0"/>
    <n v="0"/>
    <n v="0"/>
    <n v="0"/>
    <n v="0"/>
    <n v="0"/>
  </r>
  <r>
    <s v="UC3YBngwt4LQe-upUMrs7-qA"/>
    <s v="UChCX4aOq9WdweUQFSkZEONw"/>
    <m/>
    <m/>
    <m/>
    <m/>
    <m/>
    <m/>
    <m/>
    <m/>
    <s v="No"/>
    <n v="161"/>
    <m/>
    <m/>
    <s v="Commented Video"/>
    <x v="1"/>
    <s v="nice sharing"/>
    <s v="UC3YBngwt4LQe-upUMrs7-qA"/>
    <s v="Raina's Mini world"/>
    <s v="http://www.youtube.com/channel/UC3YBngwt4LQe-upUMrs7-qA"/>
    <m/>
    <s v="1inpqIvABKc"/>
    <s v="https://www.youtube.com/watch?v=1inpqIvABKc"/>
    <s v="none"/>
    <n v="0"/>
    <x v="158"/>
    <d v="2021-11-04T11:45:46.000"/>
    <m/>
    <m/>
    <s v=""/>
    <n v="1"/>
    <s v="2"/>
    <s v="2"/>
    <n v="1"/>
    <n v="50"/>
    <n v="0"/>
    <n v="0"/>
    <n v="0"/>
    <n v="0"/>
    <n v="1"/>
    <n v="50"/>
    <n v="2"/>
  </r>
  <r>
    <s v="UC-m58WoB59jbQ7eCLqdwMDA"/>
    <s v="UCt33zV2vZmhZJUWgLEMjx6w"/>
    <m/>
    <m/>
    <m/>
    <m/>
    <m/>
    <m/>
    <m/>
    <m/>
    <s v="No"/>
    <n v="162"/>
    <m/>
    <m/>
    <s v="Replied Comment"/>
    <x v="0"/>
    <s v="Mashallah  beautiful HW"/>
    <s v="UC-m58WoB59jbQ7eCLqdwMDA"/>
    <s v="raju miah"/>
    <s v="http://www.youtube.com/channel/UC-m58WoB59jbQ7eCLqdwMDA"/>
    <s v="Ugxv_AHI6yegY2-8V6N4AaABAg"/>
    <s v="1inpqIvABKc"/>
    <s v="https://www.youtube.com/watch?v=1inpqIvABKc"/>
    <s v="none"/>
    <n v="0"/>
    <x v="159"/>
    <d v="2021-11-04T12:02:05.000"/>
    <m/>
    <m/>
    <s v=""/>
    <n v="1"/>
    <s v="2"/>
    <s v="2"/>
    <n v="1"/>
    <n v="33.333333333333336"/>
    <n v="0"/>
    <n v="0"/>
    <n v="0"/>
    <n v="0"/>
    <n v="2"/>
    <n v="66.66666666666667"/>
    <n v="3"/>
  </r>
  <r>
    <s v="UC3QAEUb-78-9WR5oRjzK6LQ"/>
    <s v="UCt33zV2vZmhZJUWgLEMjx6w"/>
    <m/>
    <m/>
    <m/>
    <m/>
    <m/>
    <m/>
    <m/>
    <m/>
    <s v="No"/>
    <n v="163"/>
    <m/>
    <m/>
    <s v="Replied Comment"/>
    <x v="0"/>
    <s v="Mashallah beautiful HW"/>
    <s v="UC3QAEUb-78-9WR5oRjzK6LQ"/>
    <s v="Aayan Chaudhury"/>
    <s v="http://www.youtube.com/channel/UC3QAEUb-78-9WR5oRjzK6LQ"/>
    <s v="Ugxv_AHI6yegY2-8V6N4AaABAg"/>
    <s v="1inpqIvABKc"/>
    <s v="https://www.youtube.com/watch?v=1inpqIvABKc"/>
    <s v="none"/>
    <n v="0"/>
    <x v="160"/>
    <d v="2021-11-04T12:08:32.000"/>
    <m/>
    <m/>
    <s v=""/>
    <n v="1"/>
    <s v="2"/>
    <s v="2"/>
    <n v="1"/>
    <n v="33.333333333333336"/>
    <n v="0"/>
    <n v="0"/>
    <n v="0"/>
    <n v="0"/>
    <n v="2"/>
    <n v="66.66666666666667"/>
    <n v="3"/>
  </r>
  <r>
    <s v="UCexPcgS5YwEpk9tGUQFuQbg"/>
    <s v="UCt33zV2vZmhZJUWgLEMjx6w"/>
    <m/>
    <m/>
    <m/>
    <m/>
    <m/>
    <m/>
    <m/>
    <m/>
    <s v="No"/>
    <n v="164"/>
    <m/>
    <m/>
    <s v="Replied Comment"/>
    <x v="0"/>
    <s v="Beautiful HW"/>
    <s v="UCexPcgS5YwEpk9tGUQFuQbg"/>
    <s v="Mr vlogger"/>
    <s v="http://www.youtube.com/channel/UCexPcgS5YwEpk9tGUQFuQbg"/>
    <s v="Ugxv_AHI6yegY2-8V6N4AaABAg"/>
    <s v="1inpqIvABKc"/>
    <s v="https://www.youtube.com/watch?v=1inpqIvABKc"/>
    <s v="none"/>
    <n v="0"/>
    <x v="161"/>
    <d v="2021-11-04T12:17:11.000"/>
    <m/>
    <m/>
    <s v=""/>
    <n v="1"/>
    <s v="2"/>
    <s v="2"/>
    <n v="1"/>
    <n v="50"/>
    <n v="0"/>
    <n v="0"/>
    <n v="0"/>
    <n v="0"/>
    <n v="1"/>
    <n v="50"/>
    <n v="2"/>
  </r>
  <r>
    <s v="UC1E9RN8uVLv22LJu2HovsNQ"/>
    <s v="UCt33zV2vZmhZJUWgLEMjx6w"/>
    <m/>
    <m/>
    <m/>
    <m/>
    <m/>
    <m/>
    <m/>
    <m/>
    <s v="No"/>
    <n v="165"/>
    <m/>
    <m/>
    <s v="Replied Comment"/>
    <x v="0"/>
    <s v="Very nice"/>
    <s v="UC1E9RN8uVLv22LJu2HovsNQ"/>
    <s v="HamzaShipa Chaudhury"/>
    <s v="http://www.youtube.com/channel/UC1E9RN8uVLv22LJu2HovsNQ"/>
    <s v="Ugxv_AHI6yegY2-8V6N4AaABAg"/>
    <s v="1inpqIvABKc"/>
    <s v="https://www.youtube.com/watch?v=1inpqIvABKc"/>
    <s v="none"/>
    <n v="0"/>
    <x v="162"/>
    <d v="2021-11-04T12:17:21.000"/>
    <m/>
    <m/>
    <s v=""/>
    <n v="1"/>
    <s v="2"/>
    <s v="2"/>
    <n v="1"/>
    <n v="50"/>
    <n v="0"/>
    <n v="0"/>
    <n v="0"/>
    <n v="0"/>
    <n v="1"/>
    <n v="50"/>
    <n v="2"/>
  </r>
  <r>
    <s v="UCt33zV2vZmhZJUWgLEMjx6w"/>
    <s v="UChCX4aOq9WdweUQFSkZEONw"/>
    <m/>
    <m/>
    <m/>
    <m/>
    <m/>
    <m/>
    <m/>
    <m/>
    <s v="No"/>
    <n v="166"/>
    <m/>
    <m/>
    <s v="Commented Video"/>
    <x v="1"/>
    <s v="Mashallah very nice sharing"/>
    <s v="UCt33zV2vZmhZJUWgLEMjx6w"/>
    <s v="Hamza's World"/>
    <s v="http://www.youtube.com/channel/UCt33zV2vZmhZJUWgLEMjx6w"/>
    <m/>
    <s v="1inpqIvABKc"/>
    <s v="https://www.youtube.com/watch?v=1inpqIvABKc"/>
    <s v="none"/>
    <n v="0"/>
    <x v="163"/>
    <d v="2021-11-04T11:47:43.000"/>
    <m/>
    <m/>
    <s v=""/>
    <n v="1"/>
    <s v="2"/>
    <s v="2"/>
    <n v="1"/>
    <n v="25"/>
    <n v="0"/>
    <n v="0"/>
    <n v="0"/>
    <n v="0"/>
    <n v="3"/>
    <n v="75"/>
    <n v="4"/>
  </r>
  <r>
    <s v="UCTbFzUA5kbLE-JO7xhNpAbA"/>
    <s v="UChCX4aOq9WdweUQFSkZEONw"/>
    <m/>
    <m/>
    <m/>
    <m/>
    <m/>
    <m/>
    <m/>
    <m/>
    <s v="No"/>
    <n v="167"/>
    <m/>
    <m/>
    <s v="Commented Video"/>
    <x v="1"/>
    <s v="Beautiful sharing"/>
    <s v="UCTbFzUA5kbLE-JO7xhNpAbA"/>
    <s v="R Recipes3"/>
    <s v="http://www.youtube.com/channel/UCTbFzUA5kbLE-JO7xhNpAbA"/>
    <m/>
    <s v="1inpqIvABKc"/>
    <s v="https://www.youtube.com/watch?v=1inpqIvABKc"/>
    <s v="none"/>
    <n v="0"/>
    <x v="164"/>
    <d v="2021-11-04T12:08:54.000"/>
    <m/>
    <m/>
    <s v=""/>
    <n v="1"/>
    <s v="2"/>
    <s v="2"/>
    <n v="1"/>
    <n v="50"/>
    <n v="0"/>
    <n v="0"/>
    <n v="0"/>
    <n v="0"/>
    <n v="1"/>
    <n v="50"/>
    <n v="2"/>
  </r>
  <r>
    <s v="UCVvZhdlLqApr-IaFZn-PmCw"/>
    <s v="UChCX4aOq9WdweUQFSkZEONw"/>
    <m/>
    <m/>
    <m/>
    <m/>
    <m/>
    <m/>
    <m/>
    <m/>
    <s v="No"/>
    <n v="168"/>
    <m/>
    <m/>
    <s v="Commented Video"/>
    <x v="1"/>
    <s v="👌😍"/>
    <s v="UCVvZhdlLqApr-IaFZn-PmCw"/>
    <s v="R Recipes4"/>
    <s v="http://www.youtube.com/channel/UCVvZhdlLqApr-IaFZn-PmCw"/>
    <m/>
    <s v="1inpqIvABKc"/>
    <s v="https://www.youtube.com/watch?v=1inpqIvABKc"/>
    <s v="none"/>
    <n v="0"/>
    <x v="165"/>
    <d v="2021-11-04T12:23:14.000"/>
    <m/>
    <m/>
    <s v=""/>
    <n v="1"/>
    <s v="2"/>
    <s v="2"/>
    <n v="0"/>
    <n v="0"/>
    <n v="0"/>
    <n v="0"/>
    <n v="0"/>
    <n v="0"/>
    <n v="0"/>
    <n v="0"/>
    <n v="0"/>
  </r>
  <r>
    <s v="UCRWVRshFnDKbA4qpoFdOGiw"/>
    <s v="UChCX4aOq9WdweUQFSkZEONw"/>
    <m/>
    <m/>
    <m/>
    <m/>
    <m/>
    <m/>
    <m/>
    <m/>
    <s v="No"/>
    <n v="169"/>
    <m/>
    <m/>
    <s v="Commented Video"/>
    <x v="1"/>
    <s v="💖💖"/>
    <s v="UCRWVRshFnDKbA4qpoFdOGiw"/>
    <s v="R Recipes5"/>
    <s v="http://www.youtube.com/channel/UCRWVRshFnDKbA4qpoFdOGiw"/>
    <m/>
    <s v="1inpqIvABKc"/>
    <s v="https://www.youtube.com/watch?v=1inpqIvABKc"/>
    <s v="none"/>
    <n v="0"/>
    <x v="166"/>
    <d v="2021-11-04T12:27:26.000"/>
    <m/>
    <m/>
    <s v=""/>
    <n v="1"/>
    <s v="2"/>
    <s v="2"/>
    <n v="0"/>
    <n v="0"/>
    <n v="0"/>
    <n v="0"/>
    <n v="0"/>
    <n v="0"/>
    <n v="0"/>
    <n v="0"/>
    <n v="0"/>
  </r>
  <r>
    <s v="UC7bgOwCD0IJGIWpOJCPtAbQ"/>
    <s v="UChCX4aOq9WdweUQFSkZEONw"/>
    <m/>
    <m/>
    <m/>
    <m/>
    <m/>
    <m/>
    <m/>
    <m/>
    <s v="No"/>
    <n v="170"/>
    <m/>
    <m/>
    <s v="Commented Video"/>
    <x v="1"/>
    <s v="MashaAllah beautiful sharing apu 😍👌"/>
    <s v="UC7bgOwCD0IJGIWpOJCPtAbQ"/>
    <s v="R Recipes &amp; Vlogs"/>
    <s v="http://www.youtube.com/channel/UC7bgOwCD0IJGIWpOJCPtAbQ"/>
    <m/>
    <s v="1inpqIvABKc"/>
    <s v="https://www.youtube.com/watch?v=1inpqIvABKc"/>
    <s v="none"/>
    <n v="0"/>
    <x v="167"/>
    <d v="2021-11-04T12:36:59.000"/>
    <m/>
    <m/>
    <s v=""/>
    <n v="1"/>
    <s v="2"/>
    <s v="2"/>
    <n v="1"/>
    <n v="25"/>
    <n v="0"/>
    <n v="0"/>
    <n v="0"/>
    <n v="0"/>
    <n v="3"/>
    <n v="75"/>
    <n v="4"/>
  </r>
  <r>
    <s v="UCgZeHhFlTwp92lwf6MMPb3A"/>
    <s v="UChCX4aOq9WdweUQFSkZEONw"/>
    <m/>
    <m/>
    <m/>
    <m/>
    <m/>
    <m/>
    <m/>
    <m/>
    <s v="No"/>
    <n v="171"/>
    <m/>
    <m/>
    <s v="Commented Video"/>
    <x v="1"/>
    <s v="MashaAllah beautiful sharing ❤ 😍"/>
    <s v="UCgZeHhFlTwp92lwf6MMPb3A"/>
    <s v="Aklima's Cooking &amp; Vlogs UK"/>
    <s v="http://www.youtube.com/channel/UCgZeHhFlTwp92lwf6MMPb3A"/>
    <m/>
    <s v="1inpqIvABKc"/>
    <s v="https://www.youtube.com/watch?v=1inpqIvABKc"/>
    <s v="none"/>
    <n v="0"/>
    <x v="168"/>
    <d v="2021-11-04T13:24:58.000"/>
    <m/>
    <m/>
    <s v=""/>
    <n v="1"/>
    <s v="2"/>
    <s v="2"/>
    <n v="1"/>
    <n v="33.333333333333336"/>
    <n v="0"/>
    <n v="0"/>
    <n v="0"/>
    <n v="0"/>
    <n v="2"/>
    <n v="66.66666666666667"/>
    <n v="3"/>
  </r>
  <r>
    <s v="UC7ho2K2f3M4xbOVqSAKPmMQ"/>
    <s v="UChCX4aOq9WdweUQFSkZEONw"/>
    <m/>
    <m/>
    <m/>
    <m/>
    <m/>
    <m/>
    <m/>
    <m/>
    <s v="No"/>
    <n v="172"/>
    <m/>
    <m/>
    <s v="Commented Video"/>
    <x v="1"/>
    <s v="Wow beautiful sharing 💓"/>
    <s v="UC7ho2K2f3M4xbOVqSAKPmMQ"/>
    <s v="Aklima's cooking"/>
    <s v="http://www.youtube.com/channel/UC7ho2K2f3M4xbOVqSAKPmMQ"/>
    <m/>
    <s v="1inpqIvABKc"/>
    <s v="https://www.youtube.com/watch?v=1inpqIvABKc"/>
    <s v="none"/>
    <n v="0"/>
    <x v="169"/>
    <d v="2021-11-04T13:26:03.000"/>
    <m/>
    <m/>
    <s v=""/>
    <n v="1"/>
    <s v="2"/>
    <s v="2"/>
    <n v="2"/>
    <n v="66.66666666666667"/>
    <n v="0"/>
    <n v="0"/>
    <n v="0"/>
    <n v="0"/>
    <n v="1"/>
    <n v="33.333333333333336"/>
    <n v="3"/>
  </r>
  <r>
    <s v="UCwIzw2Vt5qz1Tz8FgDhSuhw"/>
    <s v="UChCX4aOq9WdweUQFSkZEONw"/>
    <m/>
    <m/>
    <m/>
    <m/>
    <m/>
    <m/>
    <m/>
    <m/>
    <s v="No"/>
    <n v="173"/>
    <m/>
    <m/>
    <s v="Commented Video"/>
    <x v="1"/>
    <s v="Wow beautiful sharing"/>
    <s v="UCwIzw2Vt5qz1Tz8FgDhSuhw"/>
    <s v="Ziha C"/>
    <s v="http://www.youtube.com/channel/UCwIzw2Vt5qz1Tz8FgDhSuhw"/>
    <m/>
    <s v="1inpqIvABKc"/>
    <s v="https://www.youtube.com/watch?v=1inpqIvABKc"/>
    <s v="none"/>
    <n v="0"/>
    <x v="170"/>
    <d v="2021-11-04T13:26:11.000"/>
    <m/>
    <m/>
    <s v=""/>
    <n v="1"/>
    <s v="2"/>
    <s v="2"/>
    <n v="2"/>
    <n v="66.66666666666667"/>
    <n v="0"/>
    <n v="0"/>
    <n v="0"/>
    <n v="0"/>
    <n v="1"/>
    <n v="33.333333333333336"/>
    <n v="3"/>
  </r>
  <r>
    <s v="UCrW7iZNB1JWfjaIbHwFcr8w"/>
    <s v="UChCX4aOq9WdweUQFSkZEONw"/>
    <m/>
    <m/>
    <m/>
    <m/>
    <m/>
    <m/>
    <m/>
    <m/>
    <s v="No"/>
    <n v="174"/>
    <m/>
    <m/>
    <s v="Commented Video"/>
    <x v="1"/>
    <s v="Wow beautiful place"/>
    <s v="UCrW7iZNB1JWfjaIbHwFcr8w"/>
    <s v="Nasima Begum"/>
    <s v="http://www.youtube.com/channel/UCrW7iZNB1JWfjaIbHwFcr8w"/>
    <m/>
    <s v="1inpqIvABKc"/>
    <s v="https://www.youtube.com/watch?v=1inpqIvABKc"/>
    <s v="none"/>
    <n v="0"/>
    <x v="171"/>
    <d v="2021-11-04T13:30:38.000"/>
    <m/>
    <m/>
    <s v=""/>
    <n v="1"/>
    <s v="2"/>
    <s v="2"/>
    <n v="2"/>
    <n v="66.66666666666667"/>
    <n v="0"/>
    <n v="0"/>
    <n v="0"/>
    <n v="0"/>
    <n v="1"/>
    <n v="33.333333333333336"/>
    <n v="3"/>
  </r>
  <r>
    <s v="UCWDYHHAXGht21SY23VjkGkA"/>
    <s v="UChCX4aOq9WdweUQFSkZEONw"/>
    <m/>
    <m/>
    <m/>
    <m/>
    <m/>
    <m/>
    <m/>
    <m/>
    <s v="No"/>
    <n v="175"/>
    <m/>
    <m/>
    <s v="Commented Video"/>
    <x v="1"/>
    <s v="Wow beautiful sharing thanks"/>
    <s v="UCWDYHHAXGht21SY23VjkGkA"/>
    <s v="Tanni 1"/>
    <s v="http://www.youtube.com/channel/UCWDYHHAXGht21SY23VjkGkA"/>
    <m/>
    <s v="1inpqIvABKc"/>
    <s v="https://www.youtube.com/watch?v=1inpqIvABKc"/>
    <s v="none"/>
    <n v="0"/>
    <x v="172"/>
    <d v="2021-11-04T13:31:31.000"/>
    <m/>
    <m/>
    <s v=""/>
    <n v="1"/>
    <s v="2"/>
    <s v="2"/>
    <n v="2"/>
    <n v="50"/>
    <n v="0"/>
    <n v="0"/>
    <n v="0"/>
    <n v="0"/>
    <n v="2"/>
    <n v="50"/>
    <n v="4"/>
  </r>
  <r>
    <s v="UCzjAxoGGrW5N2D3L-znZs8g"/>
    <s v="UCc5qSD99fsedz_bPujJzZMQ"/>
    <m/>
    <m/>
    <m/>
    <m/>
    <m/>
    <m/>
    <m/>
    <m/>
    <s v="No"/>
    <n v="176"/>
    <m/>
    <m/>
    <s v="Replied Comment"/>
    <x v="0"/>
    <s v="Awesome ❤️❤️❤️"/>
    <s v="UCzjAxoGGrW5N2D3L-znZs8g"/>
    <s v="Rainbow Lobstar"/>
    <s v="http://www.youtube.com/channel/UCzjAxoGGrW5N2D3L-znZs8g"/>
    <s v="UgwB5w4BZZRInAF12Jl4AaABAg"/>
    <s v="1inpqIvABKc"/>
    <s v="https://www.youtube.com/watch?v=1inpqIvABKc"/>
    <s v="none"/>
    <n v="0"/>
    <x v="173"/>
    <d v="2021-11-04T14:11:21.000"/>
    <m/>
    <m/>
    <s v=""/>
    <n v="1"/>
    <s v="2"/>
    <s v="2"/>
    <n v="1"/>
    <n v="100"/>
    <n v="0"/>
    <n v="0"/>
    <n v="0"/>
    <n v="0"/>
    <n v="0"/>
    <n v="0"/>
    <n v="1"/>
  </r>
  <r>
    <s v="UCp5Kag4sWxCTN_eARh8QKLw"/>
    <s v="UCc5qSD99fsedz_bPujJzZMQ"/>
    <m/>
    <m/>
    <m/>
    <m/>
    <m/>
    <m/>
    <m/>
    <m/>
    <s v="No"/>
    <n v="177"/>
    <m/>
    <m/>
    <s v="Replied Comment"/>
    <x v="0"/>
    <s v="Wow"/>
    <s v="UCp5Kag4sWxCTN_eARh8QKLw"/>
    <s v="Tasnim Chowdhury"/>
    <s v="http://www.youtube.com/channel/UCp5Kag4sWxCTN_eARh8QKLw"/>
    <s v="UgwB5w4BZZRInAF12Jl4AaABAg"/>
    <s v="1inpqIvABKc"/>
    <s v="https://www.youtube.com/watch?v=1inpqIvABKc"/>
    <s v="none"/>
    <n v="0"/>
    <x v="174"/>
    <d v="2021-11-04T14:11:34.000"/>
    <m/>
    <m/>
    <s v=""/>
    <n v="1"/>
    <s v="2"/>
    <s v="2"/>
    <n v="1"/>
    <n v="100"/>
    <n v="0"/>
    <n v="0"/>
    <n v="0"/>
    <n v="0"/>
    <n v="0"/>
    <n v="0"/>
    <n v="1"/>
  </r>
  <r>
    <s v="UC341eEWmNYqF24Gzvlc4fkA"/>
    <s v="UCc5qSD99fsedz_bPujJzZMQ"/>
    <m/>
    <m/>
    <m/>
    <m/>
    <m/>
    <m/>
    <m/>
    <m/>
    <s v="No"/>
    <n v="178"/>
    <m/>
    <m/>
    <s v="Replied Comment"/>
    <x v="0"/>
    <s v="👌👌👌"/>
    <s v="UC341eEWmNYqF24Gzvlc4fkA"/>
    <s v="Ami bd Traditional"/>
    <s v="http://www.youtube.com/channel/UC341eEWmNYqF24Gzvlc4fkA"/>
    <s v="UgwB5w4BZZRInAF12Jl4AaABAg"/>
    <s v="1inpqIvABKc"/>
    <s v="https://www.youtube.com/watch?v=1inpqIvABKc"/>
    <s v="none"/>
    <n v="0"/>
    <x v="175"/>
    <d v="2021-11-04T14:21:55.000"/>
    <m/>
    <m/>
    <s v=""/>
    <n v="1"/>
    <s v="2"/>
    <s v="2"/>
    <n v="0"/>
    <n v="0"/>
    <n v="0"/>
    <n v="0"/>
    <n v="0"/>
    <n v="0"/>
    <n v="0"/>
    <n v="0"/>
    <n v="0"/>
  </r>
  <r>
    <s v="UCO0IBwnxH5xOXKwBn-kV5xg"/>
    <s v="UCc5qSD99fsedz_bPujJzZMQ"/>
    <m/>
    <m/>
    <m/>
    <m/>
    <m/>
    <m/>
    <m/>
    <m/>
    <s v="No"/>
    <n v="179"/>
    <m/>
    <m/>
    <s v="Replied Comment"/>
    <x v="0"/>
    <s v="Wow 😍😍😍"/>
    <s v="UCO0IBwnxH5xOXKwBn-kV5xg"/>
    <s v="তাসনিম ১"/>
    <s v="http://www.youtube.com/channel/UCO0IBwnxH5xOXKwBn-kV5xg"/>
    <s v="UgwB5w4BZZRInAF12Jl4AaABAg"/>
    <s v="1inpqIvABKc"/>
    <s v="https://www.youtube.com/watch?v=1inpqIvABKc"/>
    <s v="none"/>
    <n v="0"/>
    <x v="176"/>
    <d v="2021-11-04T14:22:34.000"/>
    <m/>
    <m/>
    <s v=""/>
    <n v="1"/>
    <s v="2"/>
    <s v="2"/>
    <n v="1"/>
    <n v="100"/>
    <n v="0"/>
    <n v="0"/>
    <n v="0"/>
    <n v="0"/>
    <n v="0"/>
    <n v="0"/>
    <n v="1"/>
  </r>
  <r>
    <s v="UCc5qSD99fsedz_bPujJzZMQ"/>
    <s v="UChCX4aOq9WdweUQFSkZEONw"/>
    <m/>
    <m/>
    <m/>
    <m/>
    <m/>
    <m/>
    <m/>
    <m/>
    <s v="No"/>
    <n v="180"/>
    <m/>
    <m/>
    <s v="Commented Video"/>
    <x v="1"/>
    <s v="Nice place thanks for sharing ❤️❤️❤️"/>
    <s v="UCc5qSD99fsedz_bPujJzZMQ"/>
    <s v="Bd Traditional cuisine"/>
    <s v="http://www.youtube.com/channel/UCc5qSD99fsedz_bPujJzZMQ"/>
    <m/>
    <s v="1inpqIvABKc"/>
    <s v="https://www.youtube.com/watch?v=1inpqIvABKc"/>
    <s v="none"/>
    <n v="0"/>
    <x v="177"/>
    <d v="2021-11-04T14:10:52.000"/>
    <m/>
    <m/>
    <s v=""/>
    <n v="1"/>
    <s v="2"/>
    <s v="2"/>
    <n v="1"/>
    <n v="20"/>
    <n v="0"/>
    <n v="0"/>
    <n v="0"/>
    <n v="0"/>
    <n v="4"/>
    <n v="80"/>
    <n v="5"/>
  </r>
  <r>
    <s v="UCtJhSmj-ROvwOTPQWkFAWDA"/>
    <s v="UChCX4aOq9WdweUQFSkZEONw"/>
    <m/>
    <m/>
    <m/>
    <m/>
    <m/>
    <m/>
    <m/>
    <m/>
    <s v="No"/>
    <n v="181"/>
    <m/>
    <m/>
    <s v="Commented Video"/>
    <x v="1"/>
    <s v="Mashallah s"/>
    <s v="UCtJhSmj-ROvwOTPQWkFAWDA"/>
    <s v="safa jannat"/>
    <s v="http://www.youtube.com/channel/UCtJhSmj-ROvwOTPQWkFAWDA"/>
    <m/>
    <s v="1inpqIvABKc"/>
    <s v="https://www.youtube.com/watch?v=1inpqIvABKc"/>
    <s v="none"/>
    <n v="0"/>
    <x v="178"/>
    <d v="2021-11-04T15:06:06.000"/>
    <m/>
    <m/>
    <s v=""/>
    <n v="1"/>
    <s v="2"/>
    <s v="2"/>
    <n v="0"/>
    <n v="0"/>
    <n v="0"/>
    <n v="0"/>
    <n v="0"/>
    <n v="0"/>
    <n v="2"/>
    <n v="100"/>
    <n v="2"/>
  </r>
  <r>
    <s v="UCSKt8QeRDca9r-7vuo_DAzA"/>
    <s v="UChCX4aOq9WdweUQFSkZEONw"/>
    <m/>
    <m/>
    <m/>
    <m/>
    <m/>
    <m/>
    <m/>
    <m/>
    <s v="No"/>
    <n v="182"/>
    <m/>
    <m/>
    <s v="Commented Video"/>
    <x v="1"/>
    <s v="MashaAllah s"/>
    <s v="UCSKt8QeRDca9r-7vuo_DAzA"/>
    <s v="Ayham Ayham"/>
    <s v="http://www.youtube.com/channel/UCSKt8QeRDca9r-7vuo_DAzA"/>
    <m/>
    <s v="1inpqIvABKc"/>
    <s v="https://www.youtube.com/watch?v=1inpqIvABKc"/>
    <s v="none"/>
    <n v="0"/>
    <x v="179"/>
    <d v="2021-11-04T15:06:12.000"/>
    <m/>
    <m/>
    <s v=""/>
    <n v="1"/>
    <s v="2"/>
    <s v="2"/>
    <n v="0"/>
    <n v="0"/>
    <n v="0"/>
    <n v="0"/>
    <n v="0"/>
    <n v="0"/>
    <n v="2"/>
    <n v="100"/>
    <n v="2"/>
  </r>
  <r>
    <s v="UCz2qV_1MldBmv5SjKib7dOQ"/>
    <s v="UChCX4aOq9WdweUQFSkZEONw"/>
    <m/>
    <m/>
    <m/>
    <m/>
    <m/>
    <m/>
    <m/>
    <m/>
    <s v="No"/>
    <n v="183"/>
    <m/>
    <m/>
    <s v="Commented Video"/>
    <x v="1"/>
    <s v="MashaAllah"/>
    <s v="UCz2qV_1MldBmv5SjKib7dOQ"/>
    <s v="Shova’s Life in London"/>
    <s v="http://www.youtube.com/channel/UCz2qV_1MldBmv5SjKib7dOQ"/>
    <m/>
    <s v="1inpqIvABKc"/>
    <s v="https://www.youtube.com/watch?v=1inpqIvABKc"/>
    <s v="none"/>
    <n v="0"/>
    <x v="180"/>
    <d v="2021-11-04T15:07:54.000"/>
    <m/>
    <m/>
    <s v=""/>
    <n v="1"/>
    <s v="2"/>
    <s v="2"/>
    <n v="0"/>
    <n v="0"/>
    <n v="0"/>
    <n v="0"/>
    <n v="0"/>
    <n v="0"/>
    <n v="1"/>
    <n v="100"/>
    <n v="1"/>
  </r>
  <r>
    <s v="UCU2lp9qQZQ_Pc1gxOKmGr3w"/>
    <s v="UChCX4aOq9WdweUQFSkZEONw"/>
    <m/>
    <m/>
    <m/>
    <m/>
    <m/>
    <m/>
    <m/>
    <m/>
    <s v="No"/>
    <n v="184"/>
    <m/>
    <m/>
    <s v="Commented Video"/>
    <x v="1"/>
    <s v="Wow nice"/>
    <s v="UCU2lp9qQZQ_Pc1gxOKmGr3w"/>
    <s v="SAIMA'S Recipe"/>
    <s v="http://www.youtube.com/channel/UCU2lp9qQZQ_Pc1gxOKmGr3w"/>
    <m/>
    <s v="1inpqIvABKc"/>
    <s v="https://www.youtube.com/watch?v=1inpqIvABKc"/>
    <s v="none"/>
    <n v="0"/>
    <x v="181"/>
    <d v="2021-11-04T15:58:34.000"/>
    <m/>
    <m/>
    <s v=""/>
    <n v="1"/>
    <s v="2"/>
    <s v="2"/>
    <n v="2"/>
    <n v="100"/>
    <n v="0"/>
    <n v="0"/>
    <n v="0"/>
    <n v="0"/>
    <n v="0"/>
    <n v="0"/>
    <n v="2"/>
  </r>
  <r>
    <s v="UCdQf4jE-n-sNoMO5h4GeEiA"/>
    <s v="UC95j9mAz4GoXln_4lriXTUg"/>
    <m/>
    <m/>
    <m/>
    <m/>
    <m/>
    <m/>
    <m/>
    <m/>
    <s v="No"/>
    <n v="185"/>
    <m/>
    <m/>
    <s v="Commented Video"/>
    <x v="1"/>
    <s v="Fab!"/>
    <s v="UCdQf4jE-n-sNoMO5h4GeEiA"/>
    <s v="Hugo Izarra"/>
    <s v="http://www.youtube.com/channel/UCdQf4jE-n-sNoMO5h4GeEiA"/>
    <m/>
    <s v="4Xrg5FtQnp4"/>
    <s v="https://www.youtube.com/watch?v=4Xrg5FtQnp4"/>
    <s v="none"/>
    <n v="2"/>
    <x v="182"/>
    <d v="2006-11-08T11:04:09.000"/>
    <m/>
    <m/>
    <s v=""/>
    <n v="1"/>
    <s v="10"/>
    <s v="10"/>
    <n v="0"/>
    <n v="0"/>
    <n v="0"/>
    <n v="0"/>
    <n v="0"/>
    <n v="0"/>
    <n v="1"/>
    <n v="100"/>
    <n v="1"/>
  </r>
  <r>
    <s v="UChTbuHXKgkoM-TTUIXk_TUQ"/>
    <s v="UC95j9mAz4GoXln_4lriXTUg"/>
    <m/>
    <m/>
    <m/>
    <m/>
    <m/>
    <m/>
    <m/>
    <m/>
    <s v="No"/>
    <n v="186"/>
    <m/>
    <m/>
    <s v="Commented Video"/>
    <x v="1"/>
    <s v="Lovely! Too sad about the quality :o(_x000d__x000a_Oh my, wasn&amp;#39;t that Anita?"/>
    <s v="UChTbuHXKgkoM-TTUIXk_TUQ"/>
    <s v="Bissen"/>
    <s v="http://www.youtube.com/channel/UChTbuHXKgkoM-TTUIXk_TUQ"/>
    <m/>
    <s v="4Xrg5FtQnp4"/>
    <s v="https://www.youtube.com/watch?v=4Xrg5FtQnp4"/>
    <s v="none"/>
    <n v="8"/>
    <x v="183"/>
    <d v="2006-12-08T14:36:56.000"/>
    <m/>
    <m/>
    <s v=""/>
    <n v="1"/>
    <s v="10"/>
    <s v="10"/>
    <n v="1"/>
    <n v="7.142857142857143"/>
    <n v="1"/>
    <n v="7.142857142857143"/>
    <n v="0"/>
    <n v="0"/>
    <n v="12"/>
    <n v="85.71428571428571"/>
    <n v="14"/>
  </r>
  <r>
    <s v="UCtHjq0NaBsADlvSVS8GhW8g"/>
    <s v="UC95j9mAz4GoXln_4lriXTUg"/>
    <m/>
    <m/>
    <m/>
    <m/>
    <m/>
    <m/>
    <m/>
    <m/>
    <s v="No"/>
    <n v="187"/>
    <m/>
    <m/>
    <s v="Commented Video"/>
    <x v="1"/>
    <s v="BWAAAAH!!!!_x000d__x000a_Great!"/>
    <s v="UCtHjq0NaBsADlvSVS8GhW8g"/>
    <s v="Spiccatoarco"/>
    <s v="http://www.youtube.com/channel/UCtHjq0NaBsADlvSVS8GhW8g"/>
    <m/>
    <s v="4Xrg5FtQnp4"/>
    <s v="https://www.youtube.com/watch?v=4Xrg5FtQnp4"/>
    <s v="none"/>
    <n v="1"/>
    <x v="184"/>
    <d v="2007-05-04T03:29:15.000"/>
    <m/>
    <m/>
    <s v=""/>
    <n v="1"/>
    <s v="10"/>
    <s v="10"/>
    <n v="1"/>
    <n v="50"/>
    <n v="0"/>
    <n v="0"/>
    <n v="0"/>
    <n v="0"/>
    <n v="1"/>
    <n v="50"/>
    <n v="2"/>
  </r>
  <r>
    <s v="UC2HVaXfIcE8UnoQ-jRy9TFQ"/>
    <s v="UC95j9mAz4GoXln_4lriXTUg"/>
    <m/>
    <m/>
    <m/>
    <m/>
    <m/>
    <m/>
    <m/>
    <m/>
    <s v="No"/>
    <n v="188"/>
    <m/>
    <m/>
    <s v="Commented Video"/>
    <x v="1"/>
    <s v="Totally agree. That was so deep and nice said by you."/>
    <s v="UC2HVaXfIcE8UnoQ-jRy9TFQ"/>
    <s v="possibletrees"/>
    <s v="http://www.youtube.com/channel/UC2HVaXfIcE8UnoQ-jRy9TFQ"/>
    <m/>
    <s v="4Xrg5FtQnp4"/>
    <s v="https://www.youtube.com/watch?v=4Xrg5FtQnp4"/>
    <s v="none"/>
    <n v="1"/>
    <x v="185"/>
    <s v="14/08/2007 18:19:30"/>
    <m/>
    <m/>
    <s v=""/>
    <n v="1"/>
    <s v="10"/>
    <s v="10"/>
    <n v="1"/>
    <n v="9.090909090909092"/>
    <n v="0"/>
    <n v="0"/>
    <n v="0"/>
    <n v="0"/>
    <n v="10"/>
    <n v="90.9090909090909"/>
    <n v="11"/>
  </r>
  <r>
    <s v="UCFhtQ0tFevJqQEeOuOMAOsw"/>
    <s v="UC95j9mAz4GoXln_4lriXTUg"/>
    <m/>
    <m/>
    <m/>
    <m/>
    <m/>
    <m/>
    <m/>
    <m/>
    <s v="No"/>
    <n v="189"/>
    <m/>
    <m/>
    <s v="Commented Video"/>
    <x v="1"/>
    <s v="where are brian, roger and john? didn&amp;#39;t they attend their own parties? where are they?!"/>
    <s v="UCFhtQ0tFevJqQEeOuOMAOsw"/>
    <s v="Marina Savira"/>
    <s v="http://www.youtube.com/channel/UCFhtQ0tFevJqQEeOuOMAOsw"/>
    <m/>
    <s v="4Xrg5FtQnp4"/>
    <s v="https://www.youtube.com/watch?v=4Xrg5FtQnp4"/>
    <s v="none"/>
    <n v="5"/>
    <x v="186"/>
    <s v="28/12/2007 07:54:03"/>
    <m/>
    <m/>
    <s v=""/>
    <n v="1"/>
    <s v="10"/>
    <s v="10"/>
    <n v="0"/>
    <n v="0"/>
    <n v="0"/>
    <n v="0"/>
    <n v="0"/>
    <n v="0"/>
    <n v="17"/>
    <n v="100"/>
    <n v="17"/>
  </r>
  <r>
    <s v="UCVn2V_pYYlCd6CqJkqyaaLQ"/>
    <s v="UC_oviaw9ahW727hLmffGXlQ"/>
    <m/>
    <m/>
    <m/>
    <m/>
    <m/>
    <m/>
    <m/>
    <m/>
    <s v="No"/>
    <n v="190"/>
    <m/>
    <m/>
    <s v="Replied Comment"/>
    <x v="0"/>
    <s v="Please, who were the pedaphiles?"/>
    <s v="UCVn2V_pYYlCd6CqJkqyaaLQ"/>
    <s v="She'aShaunna Egling"/>
    <s v="http://www.youtube.com/channel/UCVn2V_pYYlCd6CqJkqyaaLQ"/>
    <s v="Ugx5DVa66wrVe1hl4Ix4AaABAg"/>
    <s v="4Xrg5FtQnp4"/>
    <s v="https://www.youtube.com/watch?v=4Xrg5FtQnp4"/>
    <s v="none"/>
    <n v="1"/>
    <x v="187"/>
    <s v="17/08/2019 08:43:50"/>
    <m/>
    <m/>
    <s v=""/>
    <n v="1"/>
    <s v="10"/>
    <s v="10"/>
    <n v="0"/>
    <n v="0"/>
    <n v="0"/>
    <n v="0"/>
    <n v="0"/>
    <n v="0"/>
    <n v="5"/>
    <n v="100"/>
    <n v="5"/>
  </r>
  <r>
    <s v="UC_oviaw9ahW727hLmffGXlQ"/>
    <s v="UC95j9mAz4GoXln_4lriXTUg"/>
    <m/>
    <m/>
    <m/>
    <m/>
    <m/>
    <m/>
    <m/>
    <m/>
    <s v="No"/>
    <n v="191"/>
    <m/>
    <m/>
    <s v="Commented Video"/>
    <x v="1"/>
    <s v="that was interesting but Gary Glitter spoilt it at the end down with child molesting paidaphiles."/>
    <s v="UC_oviaw9ahW727hLmffGXlQ"/>
    <s v="Anna Gianneli"/>
    <s v="http://www.youtube.com/channel/UC_oviaw9ahW727hLmffGXlQ"/>
    <m/>
    <s v="4Xrg5FtQnp4"/>
    <s v="https://www.youtube.com/watch?v=4Xrg5FtQnp4"/>
    <s v="none"/>
    <n v="5"/>
    <x v="188"/>
    <d v="2008-05-01T22:00:29.000"/>
    <m/>
    <m/>
    <s v=""/>
    <n v="1"/>
    <s v="10"/>
    <s v="10"/>
    <n v="2"/>
    <n v="12.5"/>
    <n v="0"/>
    <n v="0"/>
    <n v="0"/>
    <n v="0"/>
    <n v="14"/>
    <n v="87.5"/>
    <n v="16"/>
  </r>
  <r>
    <s v="UC3kfqm6Vm5uMvY0VHBIKEfA"/>
    <s v="UC95j9mAz4GoXln_4lriXTUg"/>
    <m/>
    <m/>
    <m/>
    <m/>
    <m/>
    <m/>
    <m/>
    <m/>
    <s v="No"/>
    <n v="192"/>
    <m/>
    <m/>
    <s v="Commented Video"/>
    <x v="1"/>
    <s v="haha street-porter"/>
    <s v="UC3kfqm6Vm5uMvY0VHBIKEfA"/>
    <s v="cheekyegg"/>
    <s v="http://www.youtube.com/channel/UC3kfqm6Vm5uMvY0VHBIKEfA"/>
    <m/>
    <s v="4Xrg5FtQnp4"/>
    <s v="https://www.youtube.com/watch?v=4Xrg5FtQnp4"/>
    <s v="none"/>
    <n v="1"/>
    <x v="189"/>
    <s v="25/09/2009 00:09:38"/>
    <m/>
    <m/>
    <s v=""/>
    <n v="1"/>
    <s v="10"/>
    <s v="10"/>
    <n v="0"/>
    <n v="0"/>
    <n v="0"/>
    <n v="0"/>
    <n v="0"/>
    <n v="0"/>
    <n v="3"/>
    <n v="100"/>
    <n v="3"/>
  </r>
  <r>
    <s v="UCLJytBq-KA6g_dX8bdxIlXg"/>
    <s v="UC95j9mAz4GoXln_4lriXTUg"/>
    <m/>
    <m/>
    <m/>
    <m/>
    <m/>
    <m/>
    <m/>
    <m/>
    <s v="No"/>
    <n v="193"/>
    <m/>
    <m/>
    <s v="Commented Video"/>
    <x v="1"/>
    <s v="Is that Kash Freddie´s sister? LOL She looks like her..."/>
    <s v="UCLJytBq-KA6g_dX8bdxIlXg"/>
    <s v="K T"/>
    <s v="http://www.youtube.com/channel/UCLJytBq-KA6g_dX8bdxIlXg"/>
    <m/>
    <s v="4Xrg5FtQnp4"/>
    <s v="https://www.youtube.com/watch?v=4Xrg5FtQnp4"/>
    <s v="none"/>
    <n v="1"/>
    <x v="190"/>
    <d v="2010-04-07T13:54:04.000"/>
    <m/>
    <m/>
    <s v=""/>
    <n v="1"/>
    <s v="10"/>
    <s v="10"/>
    <n v="1"/>
    <n v="9.090909090909092"/>
    <n v="0"/>
    <n v="0"/>
    <n v="0"/>
    <n v="0"/>
    <n v="10"/>
    <n v="90.9090909090909"/>
    <n v="11"/>
  </r>
  <r>
    <s v="UCVn2V_pYYlCd6CqJkqyaaLQ"/>
    <s v="UCV-utTCw1S6-VHQP8lmyk2A"/>
    <m/>
    <m/>
    <m/>
    <m/>
    <m/>
    <m/>
    <m/>
    <m/>
    <s v="No"/>
    <n v="194"/>
    <m/>
    <m/>
    <s v="Replied Comment"/>
    <x v="0"/>
    <s v="So, PLEASE, WHO IS SAMANTHA FOX?"/>
    <s v="UCVn2V_pYYlCd6CqJkqyaaLQ"/>
    <s v="She'aShaunna Egling"/>
    <s v="http://www.youtube.com/channel/UCVn2V_pYYlCd6CqJkqyaaLQ"/>
    <s v="UgwBrVcVNrVo-LTcC6V4AaABAg"/>
    <s v="4Xrg5FtQnp4"/>
    <s v="https://www.youtube.com/watch?v=4Xrg5FtQnp4"/>
    <s v="none"/>
    <n v="1"/>
    <x v="191"/>
    <s v="17/08/2019 08:42:43"/>
    <m/>
    <m/>
    <s v=""/>
    <n v="2"/>
    <s v="10"/>
    <s v="10"/>
    <n v="0"/>
    <n v="0"/>
    <n v="0"/>
    <n v="0"/>
    <n v="0"/>
    <n v="0"/>
    <n v="6"/>
    <n v="100"/>
    <n v="6"/>
  </r>
  <r>
    <s v="UCdNIJJdRr6E2v3AB4Q2bWug"/>
    <s v="UCV-utTCw1S6-VHQP8lmyk2A"/>
    <m/>
    <m/>
    <m/>
    <m/>
    <m/>
    <m/>
    <m/>
    <m/>
    <s v="No"/>
    <n v="195"/>
    <m/>
    <m/>
    <s v="Replied Comment"/>
    <x v="0"/>
    <s v="@She&amp;#39;aShaunna Egling a page 3 model for the sun newspaper aka get ya tits out type !! lol"/>
    <s v="UCdNIJJdRr6E2v3AB4Q2bWug"/>
    <s v="Mark Brydon-Taylor"/>
    <s v="http://www.youtube.com/channel/UCdNIJJdRr6E2v3AB4Q2bWug"/>
    <s v="UgwBrVcVNrVo-LTcC6V4AaABAg"/>
    <s v="4Xrg5FtQnp4"/>
    <s v="https://www.youtube.com/watch?v=4Xrg5FtQnp4"/>
    <s v="none"/>
    <n v="1"/>
    <x v="192"/>
    <s v="23/08/2020 06:02:08"/>
    <m/>
    <m/>
    <s v=""/>
    <n v="1"/>
    <s v="10"/>
    <s v="10"/>
    <n v="0"/>
    <n v="0"/>
    <n v="0"/>
    <n v="0"/>
    <n v="0"/>
    <n v="0"/>
    <n v="19"/>
    <n v="100"/>
    <n v="19"/>
  </r>
  <r>
    <s v="UCVn2V_pYYlCd6CqJkqyaaLQ"/>
    <s v="UCV-utTCw1S6-VHQP8lmyk2A"/>
    <m/>
    <m/>
    <m/>
    <m/>
    <m/>
    <m/>
    <m/>
    <m/>
    <s v="No"/>
    <n v="196"/>
    <m/>
    <m/>
    <s v="Replied Comment"/>
    <x v="0"/>
    <s v="@Mark Brydon-Taylor Oh, thanks."/>
    <s v="UCVn2V_pYYlCd6CqJkqyaaLQ"/>
    <s v="She'aShaunna Egling"/>
    <s v="http://www.youtube.com/channel/UCVn2V_pYYlCd6CqJkqyaaLQ"/>
    <s v="UgwBrVcVNrVo-LTcC6V4AaABAg"/>
    <s v="4Xrg5FtQnp4"/>
    <s v="https://www.youtube.com/watch?v=4Xrg5FtQnp4"/>
    <s v="none"/>
    <n v="0"/>
    <x v="193"/>
    <s v="23/08/2020 08:42:02"/>
    <m/>
    <m/>
    <s v=""/>
    <n v="2"/>
    <s v="10"/>
    <s v="10"/>
    <n v="0"/>
    <n v="0"/>
    <n v="0"/>
    <n v="0"/>
    <n v="0"/>
    <n v="0"/>
    <n v="5"/>
    <n v="100"/>
    <n v="5"/>
  </r>
  <r>
    <s v="UCV-utTCw1S6-VHQP8lmyk2A"/>
    <s v="UC95j9mAz4GoXln_4lriXTUg"/>
    <m/>
    <m/>
    <m/>
    <m/>
    <m/>
    <m/>
    <m/>
    <m/>
    <s v="No"/>
    <n v="197"/>
    <m/>
    <m/>
    <s v="Commented Video"/>
    <x v="1"/>
    <s v="Samantha Fox_x000a_OMFG!!!!!"/>
    <s v="UCV-utTCw1S6-VHQP8lmyk2A"/>
    <s v="John Garcia"/>
    <s v="http://www.youtube.com/channel/UCV-utTCw1S6-VHQP8lmyk2A"/>
    <m/>
    <s v="4Xrg5FtQnp4"/>
    <s v="https://www.youtube.com/watch?v=4Xrg5FtQnp4"/>
    <s v="none"/>
    <n v="2"/>
    <x v="194"/>
    <s v="28/08/2010 06:15:42"/>
    <m/>
    <m/>
    <s v=""/>
    <n v="2"/>
    <s v="10"/>
    <s v="10"/>
    <n v="0"/>
    <n v="0"/>
    <n v="0"/>
    <n v="0"/>
    <n v="0"/>
    <n v="0"/>
    <n v="3"/>
    <n v="100"/>
    <n v="3"/>
  </r>
  <r>
    <s v="UCV-utTCw1S6-VHQP8lmyk2A"/>
    <s v="UC95j9mAz4GoXln_4lriXTUg"/>
    <m/>
    <m/>
    <m/>
    <m/>
    <m/>
    <m/>
    <m/>
    <m/>
    <s v="No"/>
    <n v="198"/>
    <m/>
    <m/>
    <s v="Commented Video"/>
    <x v="1"/>
    <s v="@queenofhunter93 they were late_x000a_lol"/>
    <s v="UCV-utTCw1S6-VHQP8lmyk2A"/>
    <s v="John Garcia"/>
    <s v="http://www.youtube.com/channel/UCV-utTCw1S6-VHQP8lmyk2A"/>
    <m/>
    <s v="4Xrg5FtQnp4"/>
    <s v="https://www.youtube.com/watch?v=4Xrg5FtQnp4"/>
    <s v="none"/>
    <n v="1"/>
    <x v="195"/>
    <d v="2011-08-02T02:15:52.000"/>
    <m/>
    <m/>
    <s v=""/>
    <n v="2"/>
    <s v="10"/>
    <s v="10"/>
    <n v="0"/>
    <n v="0"/>
    <n v="0"/>
    <n v="0"/>
    <n v="0"/>
    <n v="0"/>
    <n v="5"/>
    <n v="100"/>
    <n v="5"/>
  </r>
  <r>
    <s v="UCVn2V_pYYlCd6CqJkqyaaLQ"/>
    <s v="UCEYHBM1qWwP5Pi-r1dWyQWw"/>
    <m/>
    <m/>
    <m/>
    <m/>
    <m/>
    <m/>
    <m/>
    <m/>
    <s v="No"/>
    <n v="199"/>
    <m/>
    <m/>
    <s v="Replied Comment"/>
    <x v="0"/>
    <s v="If you are NOT kidding, I say: LUCKY YOU!!!"/>
    <s v="UCVn2V_pYYlCd6CqJkqyaaLQ"/>
    <s v="She'aShaunna Egling"/>
    <s v="http://www.youtube.com/channel/UCVn2V_pYYlCd6CqJkqyaaLQ"/>
    <s v="UgwAJC2CEN5BLTgBUQF4AaABAg"/>
    <s v="4Xrg5FtQnp4"/>
    <s v="https://www.youtube.com/watch?v=4Xrg5FtQnp4"/>
    <s v="none"/>
    <n v="1"/>
    <x v="196"/>
    <s v="17/08/2019 08:41:55"/>
    <m/>
    <m/>
    <s v=""/>
    <n v="1"/>
    <s v="10"/>
    <s v="10"/>
    <n v="1"/>
    <n v="11.11111111111111"/>
    <n v="0"/>
    <n v="0"/>
    <n v="0"/>
    <n v="0"/>
    <n v="8"/>
    <n v="88.88888888888889"/>
    <n v="9"/>
  </r>
  <r>
    <s v="UCEYHBM1qWwP5Pi-r1dWyQWw"/>
    <s v="UC95j9mAz4GoXln_4lriXTUg"/>
    <m/>
    <m/>
    <m/>
    <m/>
    <m/>
    <m/>
    <m/>
    <m/>
    <s v="No"/>
    <n v="200"/>
    <m/>
    <m/>
    <s v="Commented Video"/>
    <x v="1"/>
    <s v="Thanks for the memory - I was there - remember it well."/>
    <s v="UCEYHBM1qWwP5Pi-r1dWyQWw"/>
    <s v="Navigator Systems Ltd"/>
    <s v="http://www.youtube.com/channel/UCEYHBM1qWwP5Pi-r1dWyQWw"/>
    <m/>
    <s v="4Xrg5FtQnp4"/>
    <s v="https://www.youtube.com/watch?v=4Xrg5FtQnp4"/>
    <s v="none"/>
    <n v="6"/>
    <x v="197"/>
    <s v="16/06/2011 09:53:11"/>
    <m/>
    <m/>
    <s v=""/>
    <n v="1"/>
    <s v="10"/>
    <s v="10"/>
    <n v="1"/>
    <n v="10"/>
    <n v="0"/>
    <n v="0"/>
    <n v="0"/>
    <n v="0"/>
    <n v="9"/>
    <n v="90"/>
    <n v="10"/>
  </r>
  <r>
    <s v="UCKumGTtkau9hmTf2VZDD6Iw"/>
    <s v="UC95j9mAz4GoXln_4lriXTUg"/>
    <m/>
    <m/>
    <m/>
    <m/>
    <m/>
    <m/>
    <m/>
    <m/>
    <s v="No"/>
    <n v="201"/>
    <m/>
    <m/>
    <s v="Commented Video"/>
    <x v="1"/>
    <s v="How pervy was that reporter lol!"/>
    <s v="UCKumGTtkau9hmTf2VZDD6Iw"/>
    <s v="JAS BARN"/>
    <s v="http://www.youtube.com/channel/UCKumGTtkau9hmTf2VZDD6Iw"/>
    <m/>
    <s v="4Xrg5FtQnp4"/>
    <s v="https://www.youtube.com/watch?v=4Xrg5FtQnp4"/>
    <s v="none"/>
    <n v="7"/>
    <x v="198"/>
    <s v="25/05/2012 13:31:06"/>
    <m/>
    <m/>
    <s v=""/>
    <n v="1"/>
    <s v="10"/>
    <s v="10"/>
    <n v="0"/>
    <n v="0"/>
    <n v="0"/>
    <n v="0"/>
    <n v="0"/>
    <n v="0"/>
    <n v="6"/>
    <n v="100"/>
    <n v="6"/>
  </r>
  <r>
    <s v="UCdNIJJdRr6E2v3AB4Q2bWug"/>
    <s v="UCobpsc_hSlCbNJr4FCBfuRw"/>
    <m/>
    <m/>
    <m/>
    <m/>
    <m/>
    <m/>
    <m/>
    <m/>
    <s v="No"/>
    <n v="202"/>
    <m/>
    <m/>
    <s v="Replied Comment"/>
    <x v="0"/>
    <s v="gary glitter is i agree!!!"/>
    <s v="UCdNIJJdRr6E2v3AB4Q2bWug"/>
    <s v="Mark Brydon-Taylor"/>
    <s v="http://www.youtube.com/channel/UCdNIJJdRr6E2v3AB4Q2bWug"/>
    <s v="UgyrOmlEH2L_DYSO0F14AaABAg"/>
    <s v="4Xrg5FtQnp4"/>
    <s v="https://www.youtube.com/watch?v=4Xrg5FtQnp4"/>
    <s v="none"/>
    <n v="0"/>
    <x v="199"/>
    <s v="23/08/2020 06:02:52"/>
    <m/>
    <m/>
    <s v=""/>
    <n v="1"/>
    <s v="10"/>
    <s v="10"/>
    <n v="1"/>
    <n v="20"/>
    <n v="0"/>
    <n v="0"/>
    <n v="0"/>
    <n v="0"/>
    <n v="4"/>
    <n v="80"/>
    <n v="5"/>
  </r>
  <r>
    <s v="UCobpsc_hSlCbNJr4FCBfuRw"/>
    <s v="UC95j9mAz4GoXln_4lriXTUg"/>
    <m/>
    <m/>
    <m/>
    <m/>
    <m/>
    <m/>
    <m/>
    <m/>
    <s v="No"/>
    <n v="203"/>
    <m/>
    <m/>
    <s v="Commented Video"/>
    <x v="1"/>
    <s v="Disgusting"/>
    <s v="UCobpsc_hSlCbNJr4FCBfuRw"/>
    <s v="deborah Rogers"/>
    <s v="http://www.youtube.com/channel/UCobpsc_hSlCbNJr4FCBfuRw"/>
    <m/>
    <s v="4Xrg5FtQnp4"/>
    <s v="https://www.youtube.com/watch?v=4Xrg5FtQnp4"/>
    <s v="none"/>
    <n v="4"/>
    <x v="200"/>
    <d v="2018-12-02T16:54:54.000"/>
    <m/>
    <m/>
    <s v=""/>
    <n v="1"/>
    <s v="10"/>
    <s v="10"/>
    <n v="0"/>
    <n v="0"/>
    <n v="1"/>
    <n v="100"/>
    <n v="0"/>
    <n v="0"/>
    <n v="0"/>
    <n v="0"/>
    <n v="1"/>
  </r>
  <r>
    <s v="UCtET7CbkrvUSjYF5jAzXZFg"/>
    <s v="UC95j9mAz4GoXln_4lriXTUg"/>
    <m/>
    <m/>
    <m/>
    <m/>
    <m/>
    <m/>
    <m/>
    <m/>
    <s v="No"/>
    <n v="204"/>
    <m/>
    <m/>
    <s v="Commented Video"/>
    <x v="1"/>
    <s v="Samantha Fox was shitfaced!! 😂😂"/>
    <s v="UCtET7CbkrvUSjYF5jAzXZFg"/>
    <s v="Lucy Potter"/>
    <s v="http://www.youtube.com/channel/UCtET7CbkrvUSjYF5jAzXZFg"/>
    <m/>
    <s v="4Xrg5FtQnp4"/>
    <s v="https://www.youtube.com/watch?v=4Xrg5FtQnp4"/>
    <s v="none"/>
    <n v="3"/>
    <x v="201"/>
    <d v="2018-03-12T21:27:49.000"/>
    <m/>
    <m/>
    <s v=""/>
    <n v="1"/>
    <s v="10"/>
    <s v="10"/>
    <n v="0"/>
    <n v="0"/>
    <n v="0"/>
    <n v="0"/>
    <n v="0"/>
    <n v="0"/>
    <n v="4"/>
    <n v="100"/>
    <n v="4"/>
  </r>
  <r>
    <s v="UCVn2V_pYYlCd6CqJkqyaaLQ"/>
    <s v="UC95j9mAz4GoXln_4lriXTUg"/>
    <m/>
    <m/>
    <m/>
    <m/>
    <m/>
    <m/>
    <m/>
    <m/>
    <s v="No"/>
    <n v="205"/>
    <m/>
    <m/>
    <s v="Commented Video"/>
    <x v="1"/>
    <s v="Wish the quality&lt;br&gt;of the pictures were better. 8/2019"/>
    <s v="UCVn2V_pYYlCd6CqJkqyaaLQ"/>
    <s v="She'aShaunna Egling"/>
    <s v="http://www.youtube.com/channel/UCVn2V_pYYlCd6CqJkqyaaLQ"/>
    <m/>
    <s v="4Xrg5FtQnp4"/>
    <s v="https://www.youtube.com/watch?v=4Xrg5FtQnp4"/>
    <s v="none"/>
    <n v="2"/>
    <x v="202"/>
    <s v="17/08/2019 08:47:28"/>
    <m/>
    <m/>
    <s v=""/>
    <n v="1"/>
    <s v="10"/>
    <s v="10"/>
    <n v="1"/>
    <n v="9.090909090909092"/>
    <n v="0"/>
    <n v="0"/>
    <n v="0"/>
    <n v="0"/>
    <n v="10"/>
    <n v="90.9090909090909"/>
    <n v="11"/>
  </r>
  <r>
    <s v="UCbUhO-tut97b5IQhZ3i7TMA"/>
    <s v="UC-QTPk_pUbp__wG6aw-Z40g"/>
    <m/>
    <m/>
    <m/>
    <m/>
    <m/>
    <m/>
    <m/>
    <m/>
    <s v="Yes"/>
    <n v="206"/>
    <m/>
    <m/>
    <s v="Replied Comment"/>
    <x v="0"/>
    <s v="Thanks Julie! :)"/>
    <s v="UCbUhO-tut97b5IQhZ3i7TMA"/>
    <s v="Mr Carrington"/>
    <s v="http://www.youtube.com/channel/UCbUhO-tut97b5IQhZ3i7TMA"/>
    <s v="UgzUTPGn3JU8qVdUcep4AaABAg"/>
    <s v="DrCnSoZUXAc"/>
    <s v="https://www.youtube.com/watch?v=DrCnSoZUXAc"/>
    <s v="none"/>
    <n v="0"/>
    <x v="203"/>
    <d v="2018-07-06T19:52:10.000"/>
    <m/>
    <m/>
    <s v=""/>
    <n v="1"/>
    <s v="1"/>
    <s v="1"/>
    <n v="0"/>
    <n v="0"/>
    <n v="0"/>
    <n v="0"/>
    <n v="0"/>
    <n v="0"/>
    <n v="2"/>
    <n v="100"/>
    <n v="2"/>
  </r>
  <r>
    <s v="UC-QTPk_pUbp__wG6aw-Z40g"/>
    <s v="UCbUhO-tut97b5IQhZ3i7TMA"/>
    <m/>
    <m/>
    <m/>
    <m/>
    <m/>
    <m/>
    <m/>
    <m/>
    <s v="Yes"/>
    <n v="207"/>
    <m/>
    <m/>
    <s v="Commented Video"/>
    <x v="1"/>
    <s v="It&amp;#39;s starting to look very smart up there x"/>
    <s v="UC-QTPk_pUbp__wG6aw-Z40g"/>
    <s v="Julia Nuttall"/>
    <s v="http://www.youtube.com/channel/UC-QTPk_pUbp__wG6aw-Z40g"/>
    <m/>
    <s v="DrCnSoZUXAc"/>
    <s v="https://www.youtube.com/watch?v=DrCnSoZUXAc"/>
    <s v="none"/>
    <n v="0"/>
    <x v="204"/>
    <d v="2018-07-06T19:42:53.000"/>
    <m/>
    <m/>
    <s v=""/>
    <n v="1"/>
    <s v="1"/>
    <s v="1"/>
    <n v="1"/>
    <n v="9.090909090909092"/>
    <n v="0"/>
    <n v="0"/>
    <n v="0"/>
    <n v="0"/>
    <n v="10"/>
    <n v="90.9090909090909"/>
    <n v="11"/>
  </r>
  <r>
    <s v="UCbUhO-tut97b5IQhZ3i7TMA"/>
    <s v="UCyaAYT6sffU8Z4o4ADkSadA"/>
    <m/>
    <m/>
    <m/>
    <m/>
    <m/>
    <m/>
    <m/>
    <m/>
    <s v="Yes"/>
    <n v="208"/>
    <m/>
    <m/>
    <s v="Replied Comment"/>
    <x v="0"/>
    <s v="Thanks Jane, that&amp;#39;s made my day! :)"/>
    <s v="UCbUhO-tut97b5IQhZ3i7TMA"/>
    <s v="Mr Carrington"/>
    <s v="http://www.youtube.com/channel/UCbUhO-tut97b5IQhZ3i7TMA"/>
    <s v="UgygnqH8rmno-CWbLSN4AaABAg"/>
    <s v="DrCnSoZUXAc"/>
    <s v="https://www.youtube.com/watch?v=DrCnSoZUXAc"/>
    <s v="none"/>
    <n v="0"/>
    <x v="205"/>
    <d v="2018-07-06T19:51:44.000"/>
    <m/>
    <m/>
    <s v=""/>
    <n v="1"/>
    <s v="1"/>
    <s v="1"/>
    <n v="0"/>
    <n v="0"/>
    <n v="0"/>
    <n v="0"/>
    <n v="0"/>
    <n v="0"/>
    <n v="8"/>
    <n v="100"/>
    <n v="8"/>
  </r>
  <r>
    <s v="UCEig_3HhFVw-cFgABX1AP8Q"/>
    <s v="UCyaAYT6sffU8Z4o4ADkSadA"/>
    <m/>
    <m/>
    <m/>
    <m/>
    <m/>
    <m/>
    <m/>
    <m/>
    <s v="No"/>
    <n v="209"/>
    <m/>
    <m/>
    <s v="Replied Comment"/>
    <x v="0"/>
    <s v="Jane Rea me too ."/>
    <s v="UCEig_3HhFVw-cFgABX1AP8Q"/>
    <s v="gratitude"/>
    <s v="http://www.youtube.com/channel/UCEig_3HhFVw-cFgABX1AP8Q"/>
    <s v="UgygnqH8rmno-CWbLSN4AaABAg"/>
    <s v="DrCnSoZUXAc"/>
    <s v="https://www.youtube.com/watch?v=DrCnSoZUXAc"/>
    <s v="none"/>
    <n v="0"/>
    <x v="206"/>
    <d v="2018-10-06T18:50:53.000"/>
    <m/>
    <m/>
    <s v=""/>
    <n v="1"/>
    <s v="1"/>
    <s v="1"/>
    <n v="0"/>
    <n v="0"/>
    <n v="0"/>
    <n v="0"/>
    <n v="0"/>
    <n v="0"/>
    <n v="4"/>
    <n v="100"/>
    <n v="4"/>
  </r>
  <r>
    <s v="UCyaAYT6sffU8Z4o4ADkSadA"/>
    <s v="UCbUhO-tut97b5IQhZ3i7TMA"/>
    <m/>
    <m/>
    <m/>
    <m/>
    <m/>
    <m/>
    <m/>
    <m/>
    <s v="Yes"/>
    <n v="210"/>
    <m/>
    <m/>
    <s v="Commented Video"/>
    <x v="1"/>
    <s v="Recently found your channel and subscribed, really enjoying your videos. Liking the look you are creating in roof garden."/>
    <s v="UCyaAYT6sffU8Z4o4ADkSadA"/>
    <s v="Jane Elizabeth"/>
    <s v="http://www.youtube.com/channel/UCyaAYT6sffU8Z4o4ADkSadA"/>
    <m/>
    <s v="DrCnSoZUXAc"/>
    <s v="https://www.youtube.com/watch?v=DrCnSoZUXAc"/>
    <s v="none"/>
    <n v="1"/>
    <x v="207"/>
    <d v="2018-07-06T19:51:03.000"/>
    <m/>
    <m/>
    <s v=""/>
    <n v="1"/>
    <s v="1"/>
    <s v="1"/>
    <n v="2"/>
    <n v="10.526315789473685"/>
    <n v="0"/>
    <n v="0"/>
    <n v="0"/>
    <n v="0"/>
    <n v="17"/>
    <n v="89.47368421052632"/>
    <n v="19"/>
  </r>
  <r>
    <s v="UCbUhO-tut97b5IQhZ3i7TMA"/>
    <s v="UCF6USIs0g35mtnmdSlfeBgw"/>
    <m/>
    <m/>
    <m/>
    <m/>
    <m/>
    <m/>
    <m/>
    <m/>
    <s v="Yes"/>
    <n v="211"/>
    <m/>
    <m/>
    <s v="Replied Comment"/>
    <x v="0"/>
    <s v="Absolutely! I&amp;#39;m so pleased with how its turned out! :)"/>
    <s v="UCbUhO-tut97b5IQhZ3i7TMA"/>
    <s v="Mr Carrington"/>
    <s v="http://www.youtube.com/channel/UCbUhO-tut97b5IQhZ3i7TMA"/>
    <s v="UgzEC1cGx5Lpqdz7ukV4AaABAg"/>
    <s v="DrCnSoZUXAc"/>
    <s v="https://www.youtube.com/watch?v=DrCnSoZUXAc"/>
    <s v="none"/>
    <n v="0"/>
    <x v="208"/>
    <d v="2018-07-06T22:53:25.000"/>
    <m/>
    <m/>
    <s v=""/>
    <n v="1"/>
    <s v="1"/>
    <s v="1"/>
    <n v="1"/>
    <n v="9.090909090909092"/>
    <n v="0"/>
    <n v="0"/>
    <n v="0"/>
    <n v="0"/>
    <n v="10"/>
    <n v="90.9090909090909"/>
    <n v="11"/>
  </r>
  <r>
    <s v="UCF6USIs0g35mtnmdSlfeBgw"/>
    <s v="UCbUhO-tut97b5IQhZ3i7TMA"/>
    <m/>
    <m/>
    <m/>
    <m/>
    <m/>
    <m/>
    <m/>
    <m/>
    <s v="Yes"/>
    <n v="212"/>
    <m/>
    <m/>
    <s v="Commented Video"/>
    <x v="1"/>
    <s v="It&amp;#39;s amazing how changing the colours can make such a big difference, loving the look cant wait till part 2."/>
    <s v="UCF6USIs0g35mtnmdSlfeBgw"/>
    <s v="DebbieAS68"/>
    <s v="http://www.youtube.com/channel/UCF6USIs0g35mtnmdSlfeBgw"/>
    <m/>
    <s v="DrCnSoZUXAc"/>
    <s v="https://www.youtube.com/watch?v=DrCnSoZUXAc"/>
    <s v="none"/>
    <n v="0"/>
    <x v="209"/>
    <d v="2018-07-06T19:59:30.000"/>
    <m/>
    <m/>
    <s v=""/>
    <n v="1"/>
    <s v="1"/>
    <s v="1"/>
    <n v="2"/>
    <n v="9.090909090909092"/>
    <n v="0"/>
    <n v="0"/>
    <n v="0"/>
    <n v="0"/>
    <n v="20"/>
    <n v="90.9090909090909"/>
    <n v="22"/>
  </r>
  <r>
    <s v="UCbUhO-tut97b5IQhZ3i7TMA"/>
    <s v="UCcFd9I2HYUSYVnquX0vG_ew"/>
    <m/>
    <m/>
    <m/>
    <m/>
    <m/>
    <m/>
    <m/>
    <m/>
    <s v="Yes"/>
    <n v="213"/>
    <m/>
    <m/>
    <s v="Replied Comment"/>
    <x v="0"/>
    <s v="I&amp;#39;m so pleased! Thank you so much! :)"/>
    <s v="UCbUhO-tut97b5IQhZ3i7TMA"/>
    <s v="Mr Carrington"/>
    <s v="http://www.youtube.com/channel/UCbUhO-tut97b5IQhZ3i7TMA"/>
    <s v="UgwaJtW3pDHIbBW-YSx4AaABAg"/>
    <s v="DrCnSoZUXAc"/>
    <s v="https://www.youtube.com/watch?v=DrCnSoZUXAc"/>
    <s v="none"/>
    <n v="0"/>
    <x v="210"/>
    <d v="2018-07-06T22:53:41.000"/>
    <m/>
    <m/>
    <s v=""/>
    <n v="1"/>
    <s v="1"/>
    <s v="1"/>
    <n v="2"/>
    <n v="22.22222222222222"/>
    <n v="0"/>
    <n v="0"/>
    <n v="0"/>
    <n v="0"/>
    <n v="7"/>
    <n v="77.77777777777777"/>
    <n v="9"/>
  </r>
  <r>
    <s v="UCcFd9I2HYUSYVnquX0vG_ew"/>
    <s v="UCbUhO-tut97b5IQhZ3i7TMA"/>
    <m/>
    <m/>
    <m/>
    <m/>
    <m/>
    <m/>
    <m/>
    <m/>
    <s v="Yes"/>
    <n v="214"/>
    <m/>
    <m/>
    <s v="Commented Video"/>
    <x v="1"/>
    <s v="I&amp;#39;ve really enjoyed this. Great video"/>
    <s v="UCcFd9I2HYUSYVnquX0vG_ew"/>
    <s v="Adrian A"/>
    <s v="http://www.youtube.com/channel/UCcFd9I2HYUSYVnquX0vG_ew"/>
    <m/>
    <s v="DrCnSoZUXAc"/>
    <s v="https://www.youtube.com/watch?v=DrCnSoZUXAc"/>
    <s v="none"/>
    <n v="0"/>
    <x v="211"/>
    <d v="2018-07-06T20:01:06.000"/>
    <m/>
    <m/>
    <s v=""/>
    <n v="1"/>
    <s v="1"/>
    <s v="1"/>
    <n v="2"/>
    <n v="25"/>
    <n v="0"/>
    <n v="0"/>
    <n v="0"/>
    <n v="0"/>
    <n v="6"/>
    <n v="75"/>
    <n v="8"/>
  </r>
  <r>
    <s v="UCbUhO-tut97b5IQhZ3i7TMA"/>
    <s v="UCk2jTZx_6EYAq9RqZuwe-8g"/>
    <m/>
    <m/>
    <m/>
    <m/>
    <m/>
    <m/>
    <m/>
    <m/>
    <s v="Yes"/>
    <n v="215"/>
    <m/>
    <m/>
    <s v="Replied Comment"/>
    <x v="0"/>
    <s v="Thanks so much Mary! I&amp;#39;m so excited for phase 2!! :)"/>
    <s v="UCbUhO-tut97b5IQhZ3i7TMA"/>
    <s v="Mr Carrington"/>
    <s v="http://www.youtube.com/channel/UCbUhO-tut97b5IQhZ3i7TMA"/>
    <s v="Ugx5Ru2knQHtGgCDfB54AaABAg"/>
    <s v="DrCnSoZUXAc"/>
    <s v="https://www.youtube.com/watch?v=DrCnSoZUXAc"/>
    <s v="none"/>
    <n v="0"/>
    <x v="212"/>
    <d v="2018-07-06T22:54:38.000"/>
    <m/>
    <m/>
    <s v=""/>
    <n v="1"/>
    <s v="1"/>
    <s v="1"/>
    <n v="1"/>
    <n v="8.333333333333334"/>
    <n v="0"/>
    <n v="0"/>
    <n v="0"/>
    <n v="0"/>
    <n v="11"/>
    <n v="91.66666666666667"/>
    <n v="12"/>
  </r>
  <r>
    <s v="UCk2jTZx_6EYAq9RqZuwe-8g"/>
    <s v="UCbUhO-tut97b5IQhZ3i7TMA"/>
    <m/>
    <m/>
    <m/>
    <m/>
    <m/>
    <m/>
    <m/>
    <m/>
    <s v="Yes"/>
    <n v="216"/>
    <m/>
    <m/>
    <s v="Commented Video"/>
    <x v="1"/>
    <s v="Hi u did a real good job painting the roof terrace I love it. Can’t wait to see the rest of it 💖 Mary"/>
    <s v="UCk2jTZx_6EYAq9RqZuwe-8g"/>
    <s v="Mary Connelly"/>
    <s v="http://www.youtube.com/channel/UCk2jTZx_6EYAq9RqZuwe-8g"/>
    <m/>
    <s v="DrCnSoZUXAc"/>
    <s v="https://www.youtube.com/watch?v=DrCnSoZUXAc"/>
    <s v="none"/>
    <n v="0"/>
    <x v="213"/>
    <d v="2018-07-06T20:29:03.000"/>
    <m/>
    <m/>
    <s v=""/>
    <n v="1"/>
    <s v="1"/>
    <s v="1"/>
    <n v="2"/>
    <n v="8.333333333333334"/>
    <n v="0"/>
    <n v="0"/>
    <n v="0"/>
    <n v="0"/>
    <n v="22"/>
    <n v="91.66666666666667"/>
    <n v="24"/>
  </r>
  <r>
    <s v="UC2x7dMM9VJRnK8Raixibi-g"/>
    <s v="UC2x7dMM9VJRnK8Raixibi-g"/>
    <m/>
    <m/>
    <m/>
    <m/>
    <m/>
    <m/>
    <m/>
    <m/>
    <s v="No"/>
    <n v="217"/>
    <m/>
    <m/>
    <s v="Replied Comment"/>
    <x v="0"/>
    <s v="Ps. Loved the bloopers at the end 😆"/>
    <s v="UC2x7dMM9VJRnK8Raixibi-g"/>
    <s v="G"/>
    <s v="http://www.youtube.com/channel/UC2x7dMM9VJRnK8Raixibi-g"/>
    <s v="UgytkhC6FujsnMsqC_d4AaABAg"/>
    <s v="DrCnSoZUXAc"/>
    <s v="https://www.youtube.com/watch?v=DrCnSoZUXAc"/>
    <s v="none"/>
    <n v="0"/>
    <x v="214"/>
    <d v="2018-07-06T22:24:41.000"/>
    <m/>
    <m/>
    <s v=""/>
    <n v="1"/>
    <s v="1"/>
    <s v="1"/>
    <n v="1"/>
    <n v="14.285714285714286"/>
    <n v="0"/>
    <n v="0"/>
    <n v="0"/>
    <n v="0"/>
    <n v="6"/>
    <n v="85.71428571428571"/>
    <n v="7"/>
  </r>
  <r>
    <s v="UCbUhO-tut97b5IQhZ3i7TMA"/>
    <s v="UC2x7dMM9VJRnK8Raixibi-g"/>
    <m/>
    <m/>
    <m/>
    <m/>
    <m/>
    <m/>
    <m/>
    <m/>
    <s v="Yes"/>
    <n v="218"/>
    <m/>
    <m/>
    <s v="Replied Comment"/>
    <x v="0"/>
    <s v="Thanks so much! I wasn&amp;#39;t sure about the black but really pleased with how it turned out! :)"/>
    <s v="UCbUhO-tut97b5IQhZ3i7TMA"/>
    <s v="Mr Carrington"/>
    <s v="http://www.youtube.com/channel/UCbUhO-tut97b5IQhZ3i7TMA"/>
    <s v="UgytkhC6FujsnMsqC_d4AaABAg"/>
    <s v="DrCnSoZUXAc"/>
    <s v="https://www.youtube.com/watch?v=DrCnSoZUXAc"/>
    <s v="none"/>
    <n v="0"/>
    <x v="215"/>
    <d v="2018-07-06T22:57:06.000"/>
    <m/>
    <m/>
    <s v=""/>
    <n v="1"/>
    <s v="1"/>
    <s v="1"/>
    <n v="1"/>
    <n v="5.2631578947368425"/>
    <n v="0"/>
    <n v="0"/>
    <n v="0"/>
    <n v="0"/>
    <n v="18"/>
    <n v="94.73684210526316"/>
    <n v="19"/>
  </r>
  <r>
    <s v="UC2x7dMM9VJRnK8Raixibi-g"/>
    <s v="UCbUhO-tut97b5IQhZ3i7TMA"/>
    <m/>
    <m/>
    <m/>
    <m/>
    <m/>
    <m/>
    <m/>
    <m/>
    <s v="Yes"/>
    <n v="219"/>
    <m/>
    <m/>
    <s v="Commented Video"/>
    <x v="1"/>
    <s v="Can’t wait to see the final outcome! It’s already looking so lush! I wasn’t sure about the black stain, as the original/natural colour of the wood looked so delicate, but it’s turned out so nicely and looks even better than before!! Which part of London do you live in if you don’t mind me asking? X"/>
    <s v="UC2x7dMM9VJRnK8Raixibi-g"/>
    <s v="G"/>
    <s v="http://www.youtube.com/channel/UC2x7dMM9VJRnK8Raixibi-g"/>
    <m/>
    <s v="DrCnSoZUXAc"/>
    <s v="https://www.youtube.com/watch?v=DrCnSoZUXAc"/>
    <s v="none"/>
    <n v="0"/>
    <x v="216"/>
    <d v="2018-07-06T22:23:50.000"/>
    <m/>
    <m/>
    <s v=""/>
    <n v="1"/>
    <s v="1"/>
    <s v="1"/>
    <n v="4"/>
    <n v="6.451612903225806"/>
    <n v="1"/>
    <n v="1.6129032258064515"/>
    <n v="0"/>
    <n v="0"/>
    <n v="57"/>
    <n v="91.93548387096774"/>
    <n v="62"/>
  </r>
  <r>
    <s v="UCbUhO-tut97b5IQhZ3i7TMA"/>
    <s v="UCOGV31ex45w5pPqimC19FRQ"/>
    <m/>
    <m/>
    <m/>
    <m/>
    <m/>
    <m/>
    <m/>
    <m/>
    <s v="Yes"/>
    <n v="220"/>
    <m/>
    <m/>
    <s v="Replied Comment"/>
    <x v="0"/>
    <s v="Thank you so much! I&amp;#39;m so excited for the next phase. Going to Ikea next week!! :)"/>
    <s v="UCbUhO-tut97b5IQhZ3i7TMA"/>
    <s v="Mr Carrington"/>
    <s v="http://www.youtube.com/channel/UCbUhO-tut97b5IQhZ3i7TMA"/>
    <s v="UgxBJpnzj9YSbET9Nd14AaABAg"/>
    <s v="DrCnSoZUXAc"/>
    <s v="https://www.youtube.com/watch?v=DrCnSoZUXAc"/>
    <s v="none"/>
    <n v="0"/>
    <x v="217"/>
    <d v="2018-07-06T22:57:49.000"/>
    <m/>
    <m/>
    <s v=""/>
    <n v="1"/>
    <s v="1"/>
    <s v="1"/>
    <n v="2"/>
    <n v="11.11111111111111"/>
    <n v="0"/>
    <n v="0"/>
    <n v="0"/>
    <n v="0"/>
    <n v="16"/>
    <n v="88.88888888888889"/>
    <n v="18"/>
  </r>
  <r>
    <s v="UCOGV31ex45w5pPqimC19FRQ"/>
    <s v="UCbUhO-tut97b5IQhZ3i7TMA"/>
    <m/>
    <m/>
    <m/>
    <m/>
    <m/>
    <m/>
    <m/>
    <m/>
    <s v="Yes"/>
    <n v="221"/>
    <m/>
    <m/>
    <s v="Commented Video"/>
    <x v="1"/>
    <s v="This is amazing! I can’t wait for part 2"/>
    <s v="UCOGV31ex45w5pPqimC19FRQ"/>
    <s v="Ryan and Aiden"/>
    <s v="http://www.youtube.com/channel/UCOGV31ex45w5pPqimC19FRQ"/>
    <m/>
    <s v="DrCnSoZUXAc"/>
    <s v="https://www.youtube.com/watch?v=DrCnSoZUXAc"/>
    <s v="none"/>
    <n v="0"/>
    <x v="218"/>
    <d v="2018-07-06T22:30:38.000"/>
    <m/>
    <m/>
    <s v=""/>
    <n v="1"/>
    <s v="1"/>
    <s v="1"/>
    <n v="1"/>
    <n v="10"/>
    <n v="0"/>
    <n v="0"/>
    <n v="0"/>
    <n v="0"/>
    <n v="9"/>
    <n v="90"/>
    <n v="10"/>
  </r>
  <r>
    <s v="UCbUhO-tut97b5IQhZ3i7TMA"/>
    <s v="UCuvdLbHHa8fkjnGnNskRR-g"/>
    <m/>
    <m/>
    <m/>
    <m/>
    <m/>
    <m/>
    <m/>
    <m/>
    <s v="Yes"/>
    <n v="222"/>
    <m/>
    <m/>
    <s v="Replied Comment"/>
    <x v="0"/>
    <s v="Thank you so much lovely! I&amp;#39;m so excited for the next phase :)"/>
    <s v="UCbUhO-tut97b5IQhZ3i7TMA"/>
    <s v="Mr Carrington"/>
    <s v="http://www.youtube.com/channel/UCbUhO-tut97b5IQhZ3i7TMA"/>
    <s v="UgyIxTwVQXlL-yeApol4AaABAg"/>
    <s v="DrCnSoZUXAc"/>
    <s v="https://www.youtube.com/watch?v=DrCnSoZUXAc"/>
    <s v="none"/>
    <n v="0"/>
    <x v="219"/>
    <d v="2018-07-06T22:58:19.000"/>
    <m/>
    <m/>
    <s v=""/>
    <n v="1"/>
    <s v="1"/>
    <s v="1"/>
    <n v="3"/>
    <n v="21.428571428571427"/>
    <n v="0"/>
    <n v="0"/>
    <n v="0"/>
    <n v="0"/>
    <n v="11"/>
    <n v="78.57142857142857"/>
    <n v="14"/>
  </r>
  <r>
    <s v="UCuvdLbHHa8fkjnGnNskRR-g"/>
    <s v="UCbUhO-tut97b5IQhZ3i7TMA"/>
    <m/>
    <m/>
    <m/>
    <m/>
    <m/>
    <m/>
    <m/>
    <m/>
    <s v="Yes"/>
    <n v="223"/>
    <m/>
    <m/>
    <s v="Commented Video"/>
    <x v="1"/>
    <s v="Yes!!! Love this series - looking good. Can’t wait to see the next part and finished result ❤️"/>
    <s v="UCuvdLbHHa8fkjnGnNskRR-g"/>
    <s v="My Model Mummy VLog"/>
    <s v="http://www.youtube.com/channel/UCuvdLbHHa8fkjnGnNskRR-g"/>
    <m/>
    <s v="DrCnSoZUXAc"/>
    <s v="https://www.youtube.com/watch?v=DrCnSoZUXAc"/>
    <s v="none"/>
    <n v="0"/>
    <x v="220"/>
    <d v="2018-07-06T22:32:04.000"/>
    <m/>
    <m/>
    <s v=""/>
    <n v="1"/>
    <s v="1"/>
    <s v="1"/>
    <n v="2"/>
    <n v="11.764705882352942"/>
    <n v="0"/>
    <n v="0"/>
    <n v="0"/>
    <n v="0"/>
    <n v="15"/>
    <n v="88.23529411764706"/>
    <n v="17"/>
  </r>
  <r>
    <s v="UCbUhO-tut97b5IQhZ3i7TMA"/>
    <s v="UC0FGMT9-z6z5VpnolP6Iu4A"/>
    <m/>
    <m/>
    <m/>
    <m/>
    <m/>
    <m/>
    <m/>
    <m/>
    <s v="Yes"/>
    <n v="224"/>
    <m/>
    <m/>
    <s v="Replied Comment"/>
    <x v="0"/>
    <s v="Me too! And that&amp;#39;s happened to me before! Got loads left in both tins :)"/>
    <s v="UCbUhO-tut97b5IQhZ3i7TMA"/>
    <s v="Mr Carrington"/>
    <s v="http://www.youtube.com/channel/UCbUhO-tut97b5IQhZ3i7TMA"/>
    <s v="UgxWNYyNp6MFIPPQjqd4AaABAg"/>
    <s v="DrCnSoZUXAc"/>
    <s v="https://www.youtube.com/watch?v=DrCnSoZUXAc"/>
    <s v="none"/>
    <n v="0"/>
    <x v="221"/>
    <d v="2018-07-06T22:58:40.000"/>
    <m/>
    <m/>
    <s v=""/>
    <n v="1"/>
    <s v="1"/>
    <s v="1"/>
    <n v="0"/>
    <n v="0"/>
    <n v="0"/>
    <n v="0"/>
    <n v="0"/>
    <n v="0"/>
    <n v="16"/>
    <n v="100"/>
    <n v="16"/>
  </r>
  <r>
    <s v="UC0FGMT9-z6z5VpnolP6Iu4A"/>
    <s v="UCbUhO-tut97b5IQhZ3i7TMA"/>
    <m/>
    <m/>
    <m/>
    <m/>
    <m/>
    <m/>
    <m/>
    <m/>
    <s v="Yes"/>
    <n v="225"/>
    <m/>
    <m/>
    <s v="Commented Video"/>
    <x v="1"/>
    <s v="Thought the paint would no way complete the job"/>
    <s v="UC0FGMT9-z6z5VpnolP6Iu4A"/>
    <s v="Colleen"/>
    <s v="http://www.youtube.com/channel/UC0FGMT9-z6z5VpnolP6Iu4A"/>
    <m/>
    <s v="DrCnSoZUXAc"/>
    <s v="https://www.youtube.com/watch?v=DrCnSoZUXAc"/>
    <s v="none"/>
    <n v="0"/>
    <x v="222"/>
    <d v="2018-07-06T22:41:52.000"/>
    <m/>
    <m/>
    <s v=""/>
    <n v="1"/>
    <s v="1"/>
    <s v="1"/>
    <n v="0"/>
    <n v="0"/>
    <n v="0"/>
    <n v="0"/>
    <n v="0"/>
    <n v="0"/>
    <n v="9"/>
    <n v="100"/>
    <n v="9"/>
  </r>
  <r>
    <s v="UCbUhO-tut97b5IQhZ3i7TMA"/>
    <s v="UCh0VGauCghebPXCxT2p8HYw"/>
    <m/>
    <m/>
    <m/>
    <m/>
    <m/>
    <m/>
    <m/>
    <m/>
    <s v="Yes"/>
    <n v="226"/>
    <m/>
    <m/>
    <s v="Replied Comment"/>
    <x v="0"/>
    <s v="Thanks so much! Update will be up in the next couple of weeks :)"/>
    <s v="UCbUhO-tut97b5IQhZ3i7TMA"/>
    <s v="Mr Carrington"/>
    <s v="http://www.youtube.com/channel/UCbUhO-tut97b5IQhZ3i7TMA"/>
    <s v="UgzpLhmQCQ0xbiBPWNp4AaABAg"/>
    <s v="DrCnSoZUXAc"/>
    <s v="https://www.youtube.com/watch?v=DrCnSoZUXAc"/>
    <s v="none"/>
    <n v="0"/>
    <x v="223"/>
    <d v="2018-08-06T23:41:45.000"/>
    <m/>
    <m/>
    <s v=""/>
    <n v="1"/>
    <s v="1"/>
    <s v="1"/>
    <n v="0"/>
    <n v="0"/>
    <n v="0"/>
    <n v="0"/>
    <n v="0"/>
    <n v="0"/>
    <n v="13"/>
    <n v="100"/>
    <n v="13"/>
  </r>
  <r>
    <s v="UCh0VGauCghebPXCxT2p8HYw"/>
    <s v="UCbUhO-tut97b5IQhZ3i7TMA"/>
    <m/>
    <m/>
    <m/>
    <m/>
    <m/>
    <m/>
    <m/>
    <m/>
    <s v="Yes"/>
    <n v="227"/>
    <m/>
    <m/>
    <s v="Commented Video"/>
    <x v="1"/>
    <s v="Looking good x can&amp;#39;t wait to see it finished x👍👍❤"/>
    <s v="UCh0VGauCghebPXCxT2p8HYw"/>
    <s v="Toni Nesbeth"/>
    <s v="http://www.youtube.com/channel/UCh0VGauCghebPXCxT2p8HYw"/>
    <m/>
    <s v="DrCnSoZUXAc"/>
    <s v="https://www.youtube.com/watch?v=DrCnSoZUXAc"/>
    <s v="none"/>
    <n v="0"/>
    <x v="224"/>
    <d v="2018-08-06T00:25:42.000"/>
    <m/>
    <m/>
    <s v=""/>
    <n v="1"/>
    <s v="1"/>
    <s v="1"/>
    <n v="1"/>
    <n v="8.333333333333334"/>
    <n v="0"/>
    <n v="0"/>
    <n v="0"/>
    <n v="0"/>
    <n v="11"/>
    <n v="91.66666666666667"/>
    <n v="12"/>
  </r>
  <r>
    <s v="UCbUhO-tut97b5IQhZ3i7TMA"/>
    <s v="UCe4qQgOK8eDYeJC4xSfKocg"/>
    <m/>
    <m/>
    <m/>
    <m/>
    <m/>
    <m/>
    <m/>
    <m/>
    <s v="Yes"/>
    <n v="228"/>
    <m/>
    <m/>
    <s v="Replied Comment"/>
    <x v="0"/>
    <s v="I&amp;#39;m going to do that tomorrow! :)"/>
    <s v="UCbUhO-tut97b5IQhZ3i7TMA"/>
    <s v="Mr Carrington"/>
    <s v="http://www.youtube.com/channel/UCbUhO-tut97b5IQhZ3i7TMA"/>
    <s v="UgwVxqQg9GM7S-xnX1N4AaABAg"/>
    <s v="DrCnSoZUXAc"/>
    <s v="https://www.youtube.com/watch?v=DrCnSoZUXAc"/>
    <s v="none"/>
    <n v="0"/>
    <x v="225"/>
    <d v="2018-08-06T23:40:26.000"/>
    <m/>
    <m/>
    <s v=""/>
    <n v="1"/>
    <s v="1"/>
    <s v="1"/>
    <n v="0"/>
    <n v="0"/>
    <n v="0"/>
    <n v="0"/>
    <n v="0"/>
    <n v="0"/>
    <n v="8"/>
    <n v="100"/>
    <n v="8"/>
  </r>
  <r>
    <s v="UCe4qQgOK8eDYeJC4xSfKocg"/>
    <s v="UCbUhO-tut97b5IQhZ3i7TMA"/>
    <m/>
    <m/>
    <m/>
    <m/>
    <m/>
    <m/>
    <m/>
    <m/>
    <s v="Yes"/>
    <n v="229"/>
    <m/>
    <m/>
    <s v="Commented Video"/>
    <x v="1"/>
    <s v="🤗, &lt;br&gt;The deck looks fantastic!!! Great job!  Did you also use thr black deck stain on the top of the bench as well?  Love to see the next videos."/>
    <s v="UCe4qQgOK8eDYeJC4xSfKocg"/>
    <s v="Crystal Frager"/>
    <s v="http://www.youtube.com/channel/UCe4qQgOK8eDYeJC4xSfKocg"/>
    <m/>
    <s v="DrCnSoZUXAc"/>
    <s v="https://www.youtube.com/watch?v=DrCnSoZUXAc"/>
    <s v="none"/>
    <n v="0"/>
    <x v="226"/>
    <d v="2018-08-06T03:15:17.000"/>
    <m/>
    <m/>
    <s v=""/>
    <n v="1"/>
    <s v="1"/>
    <s v="1"/>
    <n v="5"/>
    <n v="17.24137931034483"/>
    <n v="1"/>
    <n v="3.4482758620689653"/>
    <n v="0"/>
    <n v="0"/>
    <n v="23"/>
    <n v="79.3103448275862"/>
    <n v="29"/>
  </r>
  <r>
    <s v="UCbUhO-tut97b5IQhZ3i7TMA"/>
    <s v="UChLhOc-pRi5xxIT9Nt2pA3Q"/>
    <m/>
    <m/>
    <m/>
    <m/>
    <m/>
    <m/>
    <m/>
    <m/>
    <s v="Yes"/>
    <n v="230"/>
    <m/>
    <m/>
    <s v="Replied Comment"/>
    <x v="0"/>
    <s v="haha hopefully the update will be coming in the next couple of weeks! :)"/>
    <s v="UCbUhO-tut97b5IQhZ3i7TMA"/>
    <s v="Mr Carrington"/>
    <s v="http://www.youtube.com/channel/UCbUhO-tut97b5IQhZ3i7TMA"/>
    <s v="UgybQexTXtVrG6BJg0p4AaABAg"/>
    <s v="DrCnSoZUXAc"/>
    <s v="https://www.youtube.com/watch?v=DrCnSoZUXAc"/>
    <s v="none"/>
    <n v="0"/>
    <x v="227"/>
    <d v="2018-08-06T23:38:32.000"/>
    <m/>
    <m/>
    <s v=""/>
    <n v="1"/>
    <s v="1"/>
    <s v="1"/>
    <n v="0"/>
    <n v="0"/>
    <n v="0"/>
    <n v="0"/>
    <n v="0"/>
    <n v="0"/>
    <n v="13"/>
    <n v="100"/>
    <n v="13"/>
  </r>
  <r>
    <s v="UChLhOc-pRi5xxIT9Nt2pA3Q"/>
    <s v="UCbUhO-tut97b5IQhZ3i7TMA"/>
    <m/>
    <m/>
    <m/>
    <m/>
    <m/>
    <m/>
    <m/>
    <m/>
    <s v="Yes"/>
    <n v="231"/>
    <m/>
    <m/>
    <s v="Commented Video"/>
    <x v="1"/>
    <s v="Haha at the bloopers at the end! I can’t wait to see the balcony make over result 💕"/>
    <s v="UChLhOc-pRi5xxIT9Nt2pA3Q"/>
    <s v="cathyloves"/>
    <s v="http://www.youtube.com/channel/UChLhOc-pRi5xxIT9Nt2pA3Q"/>
    <m/>
    <s v="DrCnSoZUXAc"/>
    <s v="https://www.youtube.com/watch?v=DrCnSoZUXAc"/>
    <s v="none"/>
    <n v="0"/>
    <x v="228"/>
    <d v="2018-08-06T13:41:25.000"/>
    <m/>
    <m/>
    <s v=""/>
    <n v="1"/>
    <s v="1"/>
    <s v="1"/>
    <n v="0"/>
    <n v="0"/>
    <n v="0"/>
    <n v="0"/>
    <n v="0"/>
    <n v="0"/>
    <n v="18"/>
    <n v="100"/>
    <n v="18"/>
  </r>
  <r>
    <s v="UCbUhO-tut97b5IQhZ3i7TMA"/>
    <s v="UCbdgG3KDHsSRSDbI-4zR-eQ"/>
    <m/>
    <m/>
    <m/>
    <m/>
    <m/>
    <m/>
    <m/>
    <m/>
    <s v="Yes"/>
    <n v="232"/>
    <m/>
    <m/>
    <s v="Replied Comment"/>
    <x v="0"/>
    <s v="Thank you!! :)"/>
    <s v="UCbUhO-tut97b5IQhZ3i7TMA"/>
    <s v="Mr Carrington"/>
    <s v="http://www.youtube.com/channel/UCbUhO-tut97b5IQhZ3i7TMA"/>
    <s v="UgwLovBVNjaUAlDxHiN4AaABAg"/>
    <s v="DrCnSoZUXAc"/>
    <s v="https://www.youtube.com/watch?v=DrCnSoZUXAc"/>
    <s v="none"/>
    <n v="0"/>
    <x v="229"/>
    <d v="2018-08-06T23:43:41.000"/>
    <m/>
    <m/>
    <s v=""/>
    <n v="1"/>
    <s v="1"/>
    <s v="1"/>
    <n v="1"/>
    <n v="50"/>
    <n v="0"/>
    <n v="0"/>
    <n v="0"/>
    <n v="0"/>
    <n v="1"/>
    <n v="50"/>
    <n v="2"/>
  </r>
  <r>
    <s v="UCbdgG3KDHsSRSDbI-4zR-eQ"/>
    <s v="UCbUhO-tut97b5IQhZ3i7TMA"/>
    <m/>
    <m/>
    <m/>
    <m/>
    <m/>
    <m/>
    <m/>
    <m/>
    <s v="Yes"/>
    <n v="233"/>
    <m/>
    <m/>
    <s v="Commented Video"/>
    <x v="1"/>
    <s v="i loveeeeeeeeeeeeeee"/>
    <s v="UCbdgG3KDHsSRSDbI-4zR-eQ"/>
    <s v="Maxine So Bless"/>
    <s v="http://www.youtube.com/channel/UCbdgG3KDHsSRSDbI-4zR-eQ"/>
    <m/>
    <s v="DrCnSoZUXAc"/>
    <s v="https://www.youtube.com/watch?v=DrCnSoZUXAc"/>
    <s v="none"/>
    <n v="0"/>
    <x v="230"/>
    <d v="2018-08-06T21:59:04.000"/>
    <m/>
    <m/>
    <s v=""/>
    <n v="1"/>
    <s v="1"/>
    <s v="1"/>
    <n v="0"/>
    <n v="0"/>
    <n v="0"/>
    <n v="0"/>
    <n v="0"/>
    <n v="0"/>
    <n v="2"/>
    <n v="100"/>
    <n v="2"/>
  </r>
  <r>
    <s v="UCbUhO-tut97b5IQhZ3i7TMA"/>
    <s v="UCpC_rJRy9KIHkIqB-KuOIHA"/>
    <m/>
    <m/>
    <m/>
    <m/>
    <m/>
    <m/>
    <m/>
    <m/>
    <s v="Yes"/>
    <n v="234"/>
    <m/>
    <m/>
    <s v="Replied Comment"/>
    <x v="0"/>
    <s v="Thanks for the tip! I&amp;#39;m so pleased with how they&amp;#39;ve turned out :)"/>
    <s v="UCbUhO-tut97b5IQhZ3i7TMA"/>
    <s v="Mr Carrington"/>
    <s v="http://www.youtube.com/channel/UCbUhO-tut97b5IQhZ3i7TMA"/>
    <s v="UgzwkbGWEtGi40Jjgr54AaABAg"/>
    <s v="DrCnSoZUXAc"/>
    <s v="https://www.youtube.com/watch?v=DrCnSoZUXAc"/>
    <s v="none"/>
    <n v="0"/>
    <x v="231"/>
    <d v="2018-09-06T11:50:31.000"/>
    <m/>
    <m/>
    <s v=""/>
    <n v="1"/>
    <s v="1"/>
    <s v="1"/>
    <n v="1"/>
    <n v="6.25"/>
    <n v="0"/>
    <n v="0"/>
    <n v="0"/>
    <n v="0"/>
    <n v="15"/>
    <n v="93.75"/>
    <n v="16"/>
  </r>
  <r>
    <s v="UCpC_rJRy9KIHkIqB-KuOIHA"/>
    <s v="UCbUhO-tut97b5IQhZ3i7TMA"/>
    <m/>
    <m/>
    <m/>
    <m/>
    <m/>
    <m/>
    <m/>
    <m/>
    <s v="Yes"/>
    <n v="235"/>
    <m/>
    <m/>
    <s v="Commented Video"/>
    <x v="1"/>
    <s v="Oh hun, you should have used a roll-on to have an even and faster paint job! But well done on colour choices!"/>
    <s v="UCpC_rJRy9KIHkIqB-KuOIHA"/>
    <s v="rayzorhead"/>
    <s v="http://www.youtube.com/channel/UCpC_rJRy9KIHkIqB-KuOIHA"/>
    <m/>
    <s v="DrCnSoZUXAc"/>
    <s v="https://www.youtube.com/watch?v=DrCnSoZUXAc"/>
    <s v="none"/>
    <n v="0"/>
    <x v="232"/>
    <d v="2018-09-06T09:52:45.000"/>
    <m/>
    <m/>
    <s v=""/>
    <n v="1"/>
    <s v="1"/>
    <s v="1"/>
    <n v="2"/>
    <n v="8.695652173913043"/>
    <n v="0"/>
    <n v="0"/>
    <n v="0"/>
    <n v="0"/>
    <n v="21"/>
    <n v="91.30434782608695"/>
    <n v="23"/>
  </r>
  <r>
    <s v="UCbUhO-tut97b5IQhZ3i7TMA"/>
    <s v="UC3novV_JXrsNhBjA8lF8rlQ"/>
    <m/>
    <m/>
    <m/>
    <m/>
    <m/>
    <m/>
    <m/>
    <m/>
    <s v="Yes"/>
    <n v="236"/>
    <m/>
    <m/>
    <s v="Replied Comment"/>
    <x v="0"/>
    <s v="It was a challenge. I&amp;#39;m so pleased with it. Update coming soon :)"/>
    <s v="UCbUhO-tut97b5IQhZ3i7TMA"/>
    <s v="Mr Carrington"/>
    <s v="http://www.youtube.com/channel/UCbUhO-tut97b5IQhZ3i7TMA"/>
    <s v="UgyxcpAPZ0upEsCvAJp4AaABAg"/>
    <s v="DrCnSoZUXAc"/>
    <s v="https://www.youtube.com/watch?v=DrCnSoZUXAc"/>
    <s v="none"/>
    <n v="0"/>
    <x v="233"/>
    <d v="2018-11-06T22:12:59.000"/>
    <m/>
    <m/>
    <s v=""/>
    <n v="1"/>
    <s v="1"/>
    <s v="1"/>
    <n v="1"/>
    <n v="7.142857142857143"/>
    <n v="0"/>
    <n v="0"/>
    <n v="0"/>
    <n v="0"/>
    <n v="13"/>
    <n v="92.85714285714286"/>
    <n v="14"/>
  </r>
  <r>
    <s v="UC3novV_JXrsNhBjA8lF8rlQ"/>
    <s v="UCbUhO-tut97b5IQhZ3i7TMA"/>
    <m/>
    <m/>
    <m/>
    <m/>
    <m/>
    <m/>
    <m/>
    <m/>
    <s v="Yes"/>
    <n v="237"/>
    <m/>
    <m/>
    <s v="Commented Video"/>
    <x v="1"/>
    <s v="loved the way the deck turned out.. it’s not easy doin it all by yourself.. can’t wait to see the end result.."/>
    <s v="UC3novV_JXrsNhBjA8lF8rlQ"/>
    <s v="SD Bella"/>
    <s v="http://www.youtube.com/channel/UC3novV_JXrsNhBjA8lF8rlQ"/>
    <m/>
    <s v="DrCnSoZUXAc"/>
    <s v="https://www.youtube.com/watch?v=DrCnSoZUXAc"/>
    <s v="none"/>
    <n v="0"/>
    <x v="234"/>
    <d v="2018-10-06T18:00:21.000"/>
    <m/>
    <m/>
    <s v=""/>
    <n v="1"/>
    <s v="1"/>
    <s v="1"/>
    <n v="2"/>
    <n v="8.333333333333334"/>
    <n v="0"/>
    <n v="0"/>
    <n v="0"/>
    <n v="0"/>
    <n v="22"/>
    <n v="91.66666666666667"/>
    <n v="24"/>
  </r>
  <r>
    <s v="UCbUhO-tut97b5IQhZ3i7TMA"/>
    <s v="UCEig_3HhFVw-cFgABX1AP8Q"/>
    <m/>
    <m/>
    <m/>
    <m/>
    <m/>
    <m/>
    <m/>
    <m/>
    <s v="Yes"/>
    <n v="238"/>
    <m/>
    <m/>
    <s v="Replied Comment"/>
    <x v="0"/>
    <s v="Thanks so much! :)"/>
    <s v="UCbUhO-tut97b5IQhZ3i7TMA"/>
    <s v="Mr Carrington"/>
    <s v="http://www.youtube.com/channel/UCbUhO-tut97b5IQhZ3i7TMA"/>
    <s v="UgxOU8eJd3-rYE8G8oJ4AaABAg"/>
    <s v="DrCnSoZUXAc"/>
    <s v="https://www.youtube.com/watch?v=DrCnSoZUXAc"/>
    <s v="none"/>
    <n v="0"/>
    <x v="235"/>
    <d v="2018-11-06T22:13:30.000"/>
    <m/>
    <m/>
    <s v=""/>
    <n v="1"/>
    <s v="1"/>
    <s v="1"/>
    <n v="0"/>
    <n v="0"/>
    <n v="0"/>
    <n v="0"/>
    <n v="0"/>
    <n v="0"/>
    <n v="3"/>
    <n v="100"/>
    <n v="3"/>
  </r>
  <r>
    <s v="UCEig_3HhFVw-cFgABX1AP8Q"/>
    <s v="UCbUhO-tut97b5IQhZ3i7TMA"/>
    <m/>
    <m/>
    <m/>
    <m/>
    <m/>
    <m/>
    <m/>
    <m/>
    <s v="Yes"/>
    <n v="239"/>
    <m/>
    <m/>
    <s v="Commented Video"/>
    <x v="1"/>
    <s v="Beautiful well done you ."/>
    <s v="UCEig_3HhFVw-cFgABX1AP8Q"/>
    <s v="gratitude"/>
    <s v="http://www.youtube.com/channel/UCEig_3HhFVw-cFgABX1AP8Q"/>
    <m/>
    <s v="DrCnSoZUXAc"/>
    <s v="https://www.youtube.com/watch?v=DrCnSoZUXAc"/>
    <s v="none"/>
    <n v="0"/>
    <x v="236"/>
    <d v="2018-10-06T18:52:19.000"/>
    <m/>
    <m/>
    <s v=""/>
    <n v="1"/>
    <s v="1"/>
    <s v="1"/>
    <n v="2"/>
    <n v="50"/>
    <n v="0"/>
    <n v="0"/>
    <n v="0"/>
    <n v="0"/>
    <n v="2"/>
    <n v="50"/>
    <n v="4"/>
  </r>
  <r>
    <s v="UCbUhO-tut97b5IQhZ3i7TMA"/>
    <s v="UCw7KE_bnWCU7Ax0rglxmTYw"/>
    <m/>
    <m/>
    <m/>
    <m/>
    <m/>
    <m/>
    <m/>
    <m/>
    <s v="Yes"/>
    <n v="240"/>
    <m/>
    <m/>
    <s v="Replied Comment"/>
    <x v="0"/>
    <s v="Thank you!! :)"/>
    <s v="UCbUhO-tut97b5IQhZ3i7TMA"/>
    <s v="Mr Carrington"/>
    <s v="http://www.youtube.com/channel/UCbUhO-tut97b5IQhZ3i7TMA"/>
    <s v="UgxGqyhS6R67gkBrWlR4AaABAg"/>
    <s v="DrCnSoZUXAc"/>
    <s v="https://www.youtube.com/watch?v=DrCnSoZUXAc"/>
    <s v="none"/>
    <n v="1"/>
    <x v="237"/>
    <d v="2018-11-06T22:13:39.000"/>
    <m/>
    <m/>
    <s v=""/>
    <n v="1"/>
    <s v="1"/>
    <s v="1"/>
    <n v="1"/>
    <n v="50"/>
    <n v="0"/>
    <n v="0"/>
    <n v="0"/>
    <n v="0"/>
    <n v="1"/>
    <n v="50"/>
    <n v="2"/>
  </r>
  <r>
    <s v="UCw7KE_bnWCU7Ax0rglxmTYw"/>
    <s v="UCbUhO-tut97b5IQhZ3i7TMA"/>
    <m/>
    <m/>
    <m/>
    <m/>
    <m/>
    <m/>
    <m/>
    <m/>
    <s v="Yes"/>
    <n v="241"/>
    <m/>
    <m/>
    <s v="Commented Video"/>
    <x v="1"/>
    <s v="Super cool! I like 👍"/>
    <s v="UCw7KE_bnWCU7Ax0rglxmTYw"/>
    <s v="Treasures of Plantz"/>
    <s v="http://www.youtube.com/channel/UCw7KE_bnWCU7Ax0rglxmTYw"/>
    <m/>
    <s v="DrCnSoZUXAc"/>
    <s v="https://www.youtube.com/watch?v=DrCnSoZUXAc"/>
    <s v="none"/>
    <n v="0"/>
    <x v="238"/>
    <d v="2018-10-06T19:29:57.000"/>
    <m/>
    <m/>
    <s v=""/>
    <n v="1"/>
    <s v="1"/>
    <s v="1"/>
    <n v="3"/>
    <n v="75"/>
    <n v="0"/>
    <n v="0"/>
    <n v="0"/>
    <n v="0"/>
    <n v="1"/>
    <n v="25"/>
    <n v="4"/>
  </r>
  <r>
    <s v="UCbUhO-tut97b5IQhZ3i7TMA"/>
    <s v="UCuEDulggvlV91U-c0w9pCzg"/>
    <m/>
    <m/>
    <m/>
    <m/>
    <m/>
    <m/>
    <m/>
    <m/>
    <s v="Yes"/>
    <n v="242"/>
    <m/>
    <m/>
    <s v="Replied Comment"/>
    <x v="0"/>
    <s v="Thanks so much! I&amp;#39;m so pleased with how they turned out :)"/>
    <s v="UCbUhO-tut97b5IQhZ3i7TMA"/>
    <s v="Mr Carrington"/>
    <s v="http://www.youtube.com/channel/UCbUhO-tut97b5IQhZ3i7TMA"/>
    <s v="Ugz-7wzo0gv0f4icSeR4AaABAg"/>
    <s v="DrCnSoZUXAc"/>
    <s v="https://www.youtube.com/watch?v=DrCnSoZUXAc"/>
    <s v="none"/>
    <n v="0"/>
    <x v="239"/>
    <d v="2018-11-06T23:03:45.000"/>
    <m/>
    <m/>
    <s v=""/>
    <n v="1"/>
    <s v="1"/>
    <s v="1"/>
    <n v="1"/>
    <n v="7.6923076923076925"/>
    <n v="0"/>
    <n v="0"/>
    <n v="0"/>
    <n v="0"/>
    <n v="12"/>
    <n v="92.3076923076923"/>
    <n v="13"/>
  </r>
  <r>
    <s v="UCuEDulggvlV91U-c0w9pCzg"/>
    <s v="UCuEDulggvlV91U-c0w9pCzg"/>
    <m/>
    <m/>
    <m/>
    <m/>
    <m/>
    <m/>
    <m/>
    <m/>
    <s v="No"/>
    <n v="243"/>
    <m/>
    <m/>
    <s v="Replied Comment"/>
    <x v="0"/>
    <s v="Mr Carrington can’t wait to see the end results"/>
    <s v="UCuEDulggvlV91U-c0w9pCzg"/>
    <s v="Nadia"/>
    <s v="http://www.youtube.com/channel/UCuEDulggvlV91U-c0w9pCzg"/>
    <s v="Ugz-7wzo0gv0f4icSeR4AaABAg"/>
    <s v="DrCnSoZUXAc"/>
    <s v="https://www.youtube.com/watch?v=DrCnSoZUXAc"/>
    <s v="none"/>
    <n v="0"/>
    <x v="240"/>
    <d v="2018-11-06T23:08:04.000"/>
    <m/>
    <m/>
    <s v=""/>
    <n v="1"/>
    <s v="1"/>
    <s v="1"/>
    <n v="0"/>
    <n v="0"/>
    <n v="0"/>
    <n v="0"/>
    <n v="0"/>
    <n v="0"/>
    <n v="10"/>
    <n v="100"/>
    <n v="10"/>
  </r>
  <r>
    <s v="UCuEDulggvlV91U-c0w9pCzg"/>
    <s v="UCbUhO-tut97b5IQhZ3i7TMA"/>
    <m/>
    <m/>
    <m/>
    <m/>
    <m/>
    <m/>
    <m/>
    <m/>
    <s v="Yes"/>
    <n v="244"/>
    <m/>
    <m/>
    <s v="Commented Video"/>
    <x v="1"/>
    <s v="i love the color choices it looks really nice.."/>
    <s v="UCuEDulggvlV91U-c0w9pCzg"/>
    <s v="Nadia"/>
    <s v="http://www.youtube.com/channel/UCuEDulggvlV91U-c0w9pCzg"/>
    <m/>
    <s v="DrCnSoZUXAc"/>
    <s v="https://www.youtube.com/watch?v=DrCnSoZUXAc"/>
    <s v="none"/>
    <n v="0"/>
    <x v="241"/>
    <d v="2018-11-06T22:33:10.000"/>
    <m/>
    <m/>
    <s v=""/>
    <n v="1"/>
    <s v="1"/>
    <s v="1"/>
    <n v="2"/>
    <n v="22.22222222222222"/>
    <n v="0"/>
    <n v="0"/>
    <n v="0"/>
    <n v="0"/>
    <n v="7"/>
    <n v="77.77777777777777"/>
    <n v="9"/>
  </r>
  <r>
    <s v="UCbUhO-tut97b5IQhZ3i7TMA"/>
    <s v="UCQE1mw-rq5UI9dyIB6klLtg"/>
    <m/>
    <m/>
    <m/>
    <m/>
    <m/>
    <m/>
    <m/>
    <m/>
    <s v="Yes"/>
    <n v="245"/>
    <m/>
    <m/>
    <s v="Replied Comment"/>
    <x v="0"/>
    <s v="Thanks so much, can&amp;#39;t wait! :)"/>
    <s v="UCbUhO-tut97b5IQhZ3i7TMA"/>
    <s v="Mr Carrington"/>
    <s v="http://www.youtube.com/channel/UCbUhO-tut97b5IQhZ3i7TMA"/>
    <s v="Ugy_uSConYrHTezzrTJ4AaABAg"/>
    <s v="DrCnSoZUXAc"/>
    <s v="https://www.youtube.com/watch?v=DrCnSoZUXAc"/>
    <s v="none"/>
    <n v="0"/>
    <x v="242"/>
    <s v="13/06/2018 19:35:04"/>
    <m/>
    <m/>
    <s v=""/>
    <n v="1"/>
    <s v="1"/>
    <s v="1"/>
    <n v="0"/>
    <n v="0"/>
    <n v="0"/>
    <n v="0"/>
    <n v="0"/>
    <n v="0"/>
    <n v="7"/>
    <n v="100"/>
    <n v="7"/>
  </r>
  <r>
    <s v="UCQE1mw-rq5UI9dyIB6klLtg"/>
    <s v="UCbUhO-tut97b5IQhZ3i7TMA"/>
    <m/>
    <m/>
    <m/>
    <m/>
    <m/>
    <m/>
    <m/>
    <m/>
    <s v="Yes"/>
    <n v="246"/>
    <m/>
    <m/>
    <s v="Commented Video"/>
    <x v="1"/>
    <s v="Going to be fab when it’s finished ..."/>
    <s v="UCQE1mw-rq5UI9dyIB6klLtg"/>
    <s v="carol ann phillips"/>
    <s v="http://www.youtube.com/channel/UCQE1mw-rq5UI9dyIB6klLtg"/>
    <m/>
    <s v="DrCnSoZUXAc"/>
    <s v="https://www.youtube.com/watch?v=DrCnSoZUXAc"/>
    <s v="none"/>
    <n v="0"/>
    <x v="243"/>
    <d v="2018-12-06T00:16:24.000"/>
    <m/>
    <m/>
    <s v=""/>
    <n v="1"/>
    <s v="1"/>
    <s v="1"/>
    <n v="0"/>
    <n v="0"/>
    <n v="0"/>
    <n v="0"/>
    <n v="0"/>
    <n v="0"/>
    <n v="8"/>
    <n v="100"/>
    <n v="8"/>
  </r>
  <r>
    <s v="UCbUhO-tut97b5IQhZ3i7TMA"/>
    <s v="UC6KdutTO5KbpvRWwbYKg7Ag"/>
    <m/>
    <m/>
    <m/>
    <m/>
    <m/>
    <m/>
    <m/>
    <m/>
    <s v="Yes"/>
    <n v="247"/>
    <m/>
    <m/>
    <s v="Replied Comment"/>
    <x v="0"/>
    <s v="haha it&amp;#39;s a game changer! :)"/>
    <s v="UCbUhO-tut97b5IQhZ3i7TMA"/>
    <s v="Mr Carrington"/>
    <s v="http://www.youtube.com/channel/UCbUhO-tut97b5IQhZ3i7TMA"/>
    <s v="UgzRZn9SoYWBEMXvgwd4AaABAg"/>
    <s v="DrCnSoZUXAc"/>
    <s v="https://www.youtube.com/watch?v=DrCnSoZUXAc"/>
    <s v="none"/>
    <n v="0"/>
    <x v="244"/>
    <s v="13/06/2018 19:41:17"/>
    <m/>
    <m/>
    <s v=""/>
    <n v="1"/>
    <s v="1"/>
    <s v="1"/>
    <n v="0"/>
    <n v="0"/>
    <n v="0"/>
    <n v="0"/>
    <n v="0"/>
    <n v="0"/>
    <n v="7"/>
    <n v="100"/>
    <n v="7"/>
  </r>
  <r>
    <s v="UC6KdutTO5KbpvRWwbYKg7Ag"/>
    <s v="UCbUhO-tut97b5IQhZ3i7TMA"/>
    <m/>
    <m/>
    <m/>
    <m/>
    <m/>
    <m/>
    <m/>
    <m/>
    <s v="Yes"/>
    <n v="248"/>
    <m/>
    <m/>
    <s v="Commented Video"/>
    <x v="1"/>
    <s v="Omg an outside hoover. I&amp;#39;m in heaven😇"/>
    <s v="UC6KdutTO5KbpvRWwbYKg7Ag"/>
    <s v="Lyndsey Williams"/>
    <s v="http://www.youtube.com/channel/UC6KdutTO5KbpvRWwbYKg7Ag"/>
    <m/>
    <s v="DrCnSoZUXAc"/>
    <s v="https://www.youtube.com/watch?v=DrCnSoZUXAc"/>
    <s v="none"/>
    <n v="1"/>
    <x v="245"/>
    <d v="2018-12-06T18:52:20.000"/>
    <m/>
    <m/>
    <s v=""/>
    <n v="1"/>
    <s v="1"/>
    <s v="1"/>
    <n v="1"/>
    <n v="11.11111111111111"/>
    <n v="0"/>
    <n v="0"/>
    <n v="0"/>
    <n v="0"/>
    <n v="8"/>
    <n v="88.88888888888889"/>
    <n v="9"/>
  </r>
  <r>
    <s v="UCbUhO-tut97b5IQhZ3i7TMA"/>
    <s v="UCYjfdF0L_mjxIK_zIQdurhA"/>
    <m/>
    <m/>
    <m/>
    <m/>
    <m/>
    <m/>
    <m/>
    <m/>
    <s v="Yes"/>
    <n v="249"/>
    <m/>
    <m/>
    <s v="Replied Comment"/>
    <x v="0"/>
    <s v="Thank you so much - update coming in the next couple of weeks! :)"/>
    <s v="UCbUhO-tut97b5IQhZ3i7TMA"/>
    <s v="Mr Carrington"/>
    <s v="http://www.youtube.com/channel/UCbUhO-tut97b5IQhZ3i7TMA"/>
    <s v="UgwHQrGqqFx_v33WWB94AaABAg"/>
    <s v="DrCnSoZUXAc"/>
    <s v="https://www.youtube.com/watch?v=DrCnSoZUXAc"/>
    <s v="none"/>
    <n v="0"/>
    <x v="246"/>
    <s v="13/06/2018 19:43:16"/>
    <m/>
    <m/>
    <s v=""/>
    <n v="1"/>
    <s v="1"/>
    <s v="1"/>
    <n v="1"/>
    <n v="8.333333333333334"/>
    <n v="0"/>
    <n v="0"/>
    <n v="0"/>
    <n v="0"/>
    <n v="11"/>
    <n v="91.66666666666667"/>
    <n v="12"/>
  </r>
  <r>
    <s v="UCYjfdF0L_mjxIK_zIQdurhA"/>
    <s v="UCbUhO-tut97b5IQhZ3i7TMA"/>
    <m/>
    <m/>
    <m/>
    <m/>
    <m/>
    <m/>
    <m/>
    <m/>
    <s v="Yes"/>
    <n v="250"/>
    <m/>
    <m/>
    <s v="Commented Video"/>
    <x v="1"/>
    <s v="Looks so good already!"/>
    <s v="UCYjfdF0L_mjxIK_zIQdurhA"/>
    <s v="Bonnie C"/>
    <s v="http://www.youtube.com/channel/UCYjfdF0L_mjxIK_zIQdurhA"/>
    <m/>
    <s v="DrCnSoZUXAc"/>
    <s v="https://www.youtube.com/watch?v=DrCnSoZUXAc"/>
    <s v="none"/>
    <n v="0"/>
    <x v="247"/>
    <s v="13/06/2018 11:29:03"/>
    <m/>
    <m/>
    <s v=""/>
    <n v="1"/>
    <s v="1"/>
    <s v="1"/>
    <n v="1"/>
    <n v="25"/>
    <n v="0"/>
    <n v="0"/>
    <n v="0"/>
    <n v="0"/>
    <n v="3"/>
    <n v="75"/>
    <n v="4"/>
  </r>
  <r>
    <s v="UCbUhO-tut97b5IQhZ3i7TMA"/>
    <s v="UCuBQNGcpjZ71xJP-0E5Sx0g"/>
    <m/>
    <m/>
    <m/>
    <m/>
    <m/>
    <m/>
    <m/>
    <m/>
    <s v="Yes"/>
    <n v="251"/>
    <m/>
    <m/>
    <s v="Replied Comment"/>
    <x v="0"/>
    <s v="Thank you so much! It was a long day :)"/>
    <s v="UCbUhO-tut97b5IQhZ3i7TMA"/>
    <s v="Mr Carrington"/>
    <s v="http://www.youtube.com/channel/UCbUhO-tut97b5IQhZ3i7TMA"/>
    <s v="UgxDLNr_R9elJgRKNtp4AaABAg"/>
    <s v="DrCnSoZUXAc"/>
    <s v="https://www.youtube.com/watch?v=DrCnSoZUXAc"/>
    <s v="none"/>
    <n v="0"/>
    <x v="248"/>
    <s v="15/06/2018 19:07:55"/>
    <m/>
    <m/>
    <s v=""/>
    <n v="1"/>
    <s v="1"/>
    <s v="1"/>
    <n v="1"/>
    <n v="11.11111111111111"/>
    <n v="0"/>
    <n v="0"/>
    <n v="0"/>
    <n v="0"/>
    <n v="8"/>
    <n v="88.88888888888889"/>
    <n v="9"/>
  </r>
  <r>
    <s v="UCuBQNGcpjZ71xJP-0E5Sx0g"/>
    <s v="UCbUhO-tut97b5IQhZ3i7TMA"/>
    <m/>
    <m/>
    <m/>
    <m/>
    <m/>
    <m/>
    <m/>
    <m/>
    <s v="Yes"/>
    <n v="252"/>
    <m/>
    <m/>
    <s v="Commented Video"/>
    <x v="1"/>
    <s v="Looks beautiful! You should be proud"/>
    <s v="UCuBQNGcpjZ71xJP-0E5Sx0g"/>
    <s v="Lara Muria"/>
    <s v="http://www.youtube.com/channel/UCuBQNGcpjZ71xJP-0E5Sx0g"/>
    <m/>
    <s v="DrCnSoZUXAc"/>
    <s v="https://www.youtube.com/watch?v=DrCnSoZUXAc"/>
    <s v="none"/>
    <n v="0"/>
    <x v="249"/>
    <s v="14/06/2018 23:28:05"/>
    <m/>
    <m/>
    <s v=""/>
    <n v="1"/>
    <s v="1"/>
    <s v="1"/>
    <n v="2"/>
    <n v="33.333333333333336"/>
    <n v="0"/>
    <n v="0"/>
    <n v="0"/>
    <n v="0"/>
    <n v="4"/>
    <n v="66.66666666666667"/>
    <n v="6"/>
  </r>
  <r>
    <s v="UCXEkJLv-N3HPqDf7IRuD2Bw"/>
    <s v="UCbUhO-tut97b5IQhZ3i7TMA"/>
    <m/>
    <m/>
    <m/>
    <m/>
    <m/>
    <m/>
    <m/>
    <m/>
    <s v="No"/>
    <n v="253"/>
    <m/>
    <m/>
    <s v="Commented Video"/>
    <x v="1"/>
    <s v="Wow this looks great, just found your channel and loving all the plant and outdoor tips! I&amp;#39;ve just moved into my own place with a little decking area and looking to create a container garden so this is great inspiration!"/>
    <s v="UCXEkJLv-N3HPqDf7IRuD2Bw"/>
    <s v="Rachel C"/>
    <s v="http://www.youtube.com/channel/UCXEkJLv-N3HPqDf7IRuD2Bw"/>
    <m/>
    <s v="DrCnSoZUXAc"/>
    <s v="https://www.youtube.com/watch?v=DrCnSoZUXAc"/>
    <s v="none"/>
    <n v="2"/>
    <x v="250"/>
    <s v="16/06/2018 19:33:33"/>
    <m/>
    <m/>
    <s v=""/>
    <n v="1"/>
    <s v="1"/>
    <s v="1"/>
    <n v="5"/>
    <n v="11.904761904761905"/>
    <n v="0"/>
    <n v="0"/>
    <n v="0"/>
    <n v="0"/>
    <n v="37"/>
    <n v="88.0952380952381"/>
    <n v="42"/>
  </r>
  <r>
    <s v="UCbUhO-tut97b5IQhZ3i7TMA"/>
    <s v="UC6_Uo8QjKzEpLF_JYX_vtQA"/>
    <m/>
    <m/>
    <m/>
    <m/>
    <m/>
    <m/>
    <m/>
    <m/>
    <s v="Yes"/>
    <n v="254"/>
    <m/>
    <m/>
    <s v="Replied Comment"/>
    <x v="0"/>
    <s v="Thanks, I&amp;#39;m so pleased with it! :)"/>
    <s v="UCbUhO-tut97b5IQhZ3i7TMA"/>
    <s v="Mr Carrington"/>
    <s v="http://www.youtube.com/channel/UCbUhO-tut97b5IQhZ3i7TMA"/>
    <s v="UgwJrnyHPD7Ige29KrF4AaABAg"/>
    <s v="DrCnSoZUXAc"/>
    <s v="https://www.youtube.com/watch?v=DrCnSoZUXAc"/>
    <s v="none"/>
    <n v="1"/>
    <x v="251"/>
    <s v="21/06/2018 20:23:47"/>
    <m/>
    <m/>
    <s v=""/>
    <n v="1"/>
    <s v="1"/>
    <s v="1"/>
    <n v="1"/>
    <n v="12.5"/>
    <n v="0"/>
    <n v="0"/>
    <n v="0"/>
    <n v="0"/>
    <n v="7"/>
    <n v="87.5"/>
    <n v="8"/>
  </r>
  <r>
    <s v="UC6_Uo8QjKzEpLF_JYX_vtQA"/>
    <s v="UCbUhO-tut97b5IQhZ3i7TMA"/>
    <m/>
    <m/>
    <m/>
    <m/>
    <m/>
    <m/>
    <m/>
    <m/>
    <s v="Yes"/>
    <n v="255"/>
    <m/>
    <m/>
    <s v="Commented Video"/>
    <x v="1"/>
    <s v="This was so relaxing the decking looked fab x"/>
    <s v="UC6_Uo8QjKzEpLF_JYX_vtQA"/>
    <s v="Caroline Mumzie"/>
    <s v="http://www.youtube.com/channel/UC6_Uo8QjKzEpLF_JYX_vtQA"/>
    <m/>
    <s v="DrCnSoZUXAc"/>
    <s v="https://www.youtube.com/watch?v=DrCnSoZUXAc"/>
    <s v="none"/>
    <n v="0"/>
    <x v="252"/>
    <s v="20/06/2018 04:29:07"/>
    <m/>
    <m/>
    <s v=""/>
    <n v="1"/>
    <s v="1"/>
    <s v="1"/>
    <n v="0"/>
    <n v="0"/>
    <n v="0"/>
    <n v="0"/>
    <n v="0"/>
    <n v="0"/>
    <n v="9"/>
    <n v="100"/>
    <n v="9"/>
  </r>
  <r>
    <s v="UC_jZHGrm8gs-ZyUKcEG4o-w"/>
    <s v="UCbUhO-tut97b5IQhZ3i7TMA"/>
    <m/>
    <m/>
    <m/>
    <m/>
    <m/>
    <m/>
    <m/>
    <m/>
    <s v="No"/>
    <n v="256"/>
    <m/>
    <m/>
    <s v="Commented Video"/>
    <x v="1"/>
    <s v="Well done for all your hard work I can’t wait for part 2 it’s all so lovely . Love this new video nice to meet you mr Carrington ."/>
    <s v="UC_jZHGrm8gs-ZyUKcEG4o-w"/>
    <s v="Julie Davies"/>
    <s v="http://www.youtube.com/channel/UC_jZHGrm8gs-ZyUKcEG4o-w"/>
    <m/>
    <s v="DrCnSoZUXAc"/>
    <s v="https://www.youtube.com/watch?v=DrCnSoZUXAc"/>
    <s v="none"/>
    <n v="0"/>
    <x v="253"/>
    <s v="13/07/2018 22:48:10"/>
    <m/>
    <m/>
    <s v=""/>
    <n v="1"/>
    <s v="1"/>
    <s v="1"/>
    <n v="5"/>
    <n v="17.24137931034483"/>
    <n v="1"/>
    <n v="3.4482758620689653"/>
    <n v="0"/>
    <n v="0"/>
    <n v="23"/>
    <n v="79.3103448275862"/>
    <n v="29"/>
  </r>
  <r>
    <s v="UCbUhO-tut97b5IQhZ3i7TMA"/>
    <s v="UCeYgGyfOAbHNFRlWAvI6SWg"/>
    <m/>
    <m/>
    <m/>
    <m/>
    <m/>
    <m/>
    <m/>
    <m/>
    <s v="Yes"/>
    <n v="257"/>
    <m/>
    <m/>
    <s v="Replied Comment"/>
    <x v="0"/>
    <s v="Thanks so much Farhat! Great to have you here :)"/>
    <s v="UCbUhO-tut97b5IQhZ3i7TMA"/>
    <s v="Mr Carrington"/>
    <s v="http://www.youtube.com/channel/UCbUhO-tut97b5IQhZ3i7TMA"/>
    <s v="UgwPD8X74-Obbk0S7HZ4AaABAg"/>
    <s v="DrCnSoZUXAc"/>
    <s v="https://www.youtube.com/watch?v=DrCnSoZUXAc"/>
    <s v="none"/>
    <n v="1"/>
    <x v="254"/>
    <s v="29/07/2018 11:22:12"/>
    <m/>
    <m/>
    <s v=""/>
    <n v="1"/>
    <s v="1"/>
    <s v="1"/>
    <n v="1"/>
    <n v="11.11111111111111"/>
    <n v="0"/>
    <n v="0"/>
    <n v="0"/>
    <n v="0"/>
    <n v="8"/>
    <n v="88.88888888888889"/>
    <n v="9"/>
  </r>
  <r>
    <s v="UCeYgGyfOAbHNFRlWAvI6SWg"/>
    <s v="UCbUhO-tut97b5IQhZ3i7TMA"/>
    <m/>
    <m/>
    <m/>
    <m/>
    <m/>
    <m/>
    <m/>
    <m/>
    <s v="Yes"/>
    <n v="258"/>
    <m/>
    <m/>
    <s v="Commented Video"/>
    <x v="1"/>
    <s v="Grand job Mr Carrington!😃 Can’t wait to see the end result . I popped over from Kate’s channel yesterday and decided to subscribe here too. &lt;br&gt;😊"/>
    <s v="UCeYgGyfOAbHNFRlWAvI6SWg"/>
    <s v="Farhat Choudhry"/>
    <s v="http://www.youtube.com/channel/UCeYgGyfOAbHNFRlWAvI6SWg"/>
    <m/>
    <s v="DrCnSoZUXAc"/>
    <s v="https://www.youtube.com/watch?v=DrCnSoZUXAc"/>
    <s v="none"/>
    <n v="0"/>
    <x v="255"/>
    <s v="28/07/2018 22:35:26"/>
    <m/>
    <m/>
    <s v=""/>
    <n v="1"/>
    <s v="1"/>
    <s v="1"/>
    <n v="1"/>
    <n v="3.7037037037037037"/>
    <n v="0"/>
    <n v="0"/>
    <n v="0"/>
    <n v="0"/>
    <n v="26"/>
    <n v="96.29629629629629"/>
    <n v="27"/>
  </r>
  <r>
    <s v="UC3hqX3Q46tFKo5aQX3JhBDw"/>
    <s v="UCbUhO-tut97b5IQhZ3i7TMA"/>
    <m/>
    <m/>
    <m/>
    <m/>
    <m/>
    <m/>
    <m/>
    <m/>
    <s v="No"/>
    <n v="259"/>
    <m/>
    <m/>
    <s v="Commented Video"/>
    <x v="1"/>
    <s v="👏🏻 Que gran trabajo te quedo estupendo 👌🏻 valió la pena tanto esfuerzo ."/>
    <s v="UC3hqX3Q46tFKo5aQX3JhBDw"/>
    <s v="Hilda G"/>
    <s v="http://www.youtube.com/channel/UC3hqX3Q46tFKo5aQX3JhBDw"/>
    <m/>
    <s v="DrCnSoZUXAc"/>
    <s v="https://www.youtube.com/watch?v=DrCnSoZUXAc"/>
    <s v="none"/>
    <n v="0"/>
    <x v="256"/>
    <d v="2018-05-09T22:54:38.000"/>
    <m/>
    <m/>
    <s v=""/>
    <n v="2"/>
    <s v="1"/>
    <s v="1"/>
    <n v="0"/>
    <n v="0"/>
    <n v="0"/>
    <n v="0"/>
    <n v="0"/>
    <n v="0"/>
    <n v="11"/>
    <n v="100"/>
    <n v="11"/>
  </r>
  <r>
    <s v="UC3hqX3Q46tFKo5aQX3JhBDw"/>
    <s v="UCbUhO-tut97b5IQhZ3i7TMA"/>
    <m/>
    <m/>
    <m/>
    <m/>
    <m/>
    <m/>
    <m/>
    <m/>
    <s v="No"/>
    <n v="260"/>
    <m/>
    <m/>
    <s v="Commented Video"/>
    <x v="1"/>
    <s v="Pobrecito 😔 cómo sufriste con tantos ruidos pero me encanto cuando decidiste ir por un trago 🍷🤣👌🏻."/>
    <s v="UC3hqX3Q46tFKo5aQX3JhBDw"/>
    <s v="Hilda G"/>
    <s v="http://www.youtube.com/channel/UC3hqX3Q46tFKo5aQX3JhBDw"/>
    <m/>
    <s v="DrCnSoZUXAc"/>
    <s v="https://www.youtube.com/watch?v=DrCnSoZUXAc"/>
    <s v="none"/>
    <n v="0"/>
    <x v="257"/>
    <d v="2018-05-09T22:57:16.000"/>
    <m/>
    <m/>
    <s v=""/>
    <n v="2"/>
    <s v="1"/>
    <s v="1"/>
    <n v="0"/>
    <n v="0"/>
    <n v="0"/>
    <n v="0"/>
    <n v="0"/>
    <n v="0"/>
    <n v="15"/>
    <n v="100"/>
    <n v="15"/>
  </r>
  <r>
    <s v="UCw0MJZLkswfPRPeJAQzt7Wg"/>
    <s v="UCbUhO-tut97b5IQhZ3i7TMA"/>
    <m/>
    <m/>
    <m/>
    <m/>
    <m/>
    <m/>
    <m/>
    <m/>
    <s v="No"/>
    <n v="261"/>
    <m/>
    <m/>
    <s v="Commented Video"/>
    <x v="1"/>
    <s v="I know I’m a bit late but I haven’t seen your black deck floor yet but I got excited when I heard you mention it because my mother saw a black front porch floor in a magazine.  She bought a shitty fixer upper and she painted the floor in her study black!  It was gorgeous!! And to address a question fro a previous video I have no qualms about admitting I went Skipping or dumpster diving and scored a pair of posh curtain hooks from an online store called Restoraton Hardware. I really want to go again because I’ve been seeing videos by ladies who gave found Mulberry and Louis Vuitton bags!!"/>
    <s v="UCw0MJZLkswfPRPeJAQzt7Wg"/>
    <s v="M O N K E Y - T R I A L . . ."/>
    <s v="http://www.youtube.com/channel/UCw0MJZLkswfPRPeJAQzt7Wg"/>
    <m/>
    <s v="DrCnSoZUXAc"/>
    <s v="https://www.youtube.com/watch?v=DrCnSoZUXAc"/>
    <s v="none"/>
    <n v="0"/>
    <x v="258"/>
    <s v="26/09/2018 13:47:11"/>
    <m/>
    <m/>
    <s v=""/>
    <n v="1"/>
    <s v="1"/>
    <s v="1"/>
    <n v="3"/>
    <n v="2.608695652173913"/>
    <n v="1"/>
    <n v="0.8695652173913043"/>
    <n v="0"/>
    <n v="0"/>
    <n v="111"/>
    <n v="96.52173913043478"/>
    <n v="115"/>
  </r>
  <r>
    <s v="UChib_9Y23CKeur7sLMZxQgA"/>
    <s v="UCbUhO-tut97b5IQhZ3i7TMA"/>
    <m/>
    <m/>
    <m/>
    <m/>
    <m/>
    <m/>
    <m/>
    <m/>
    <s v="No"/>
    <n v="262"/>
    <m/>
    <m/>
    <s v="Commented Video"/>
    <x v="1"/>
    <s v="Looks great I used the black ash but in the cuprinol &amp;quot;ducksback&amp;quot;  for my fencing around the house and it really comes up lovely   . Great job !, love that private  space you have here .. 👍❤️🌵"/>
    <s v="UChib_9Y23CKeur7sLMZxQgA"/>
    <s v="Sandra Mullen"/>
    <s v="http://www.youtube.com/channel/UChib_9Y23CKeur7sLMZxQgA"/>
    <m/>
    <s v="DrCnSoZUXAc"/>
    <s v="https://www.youtube.com/watch?v=DrCnSoZUXAc"/>
    <s v="none"/>
    <n v="0"/>
    <x v="259"/>
    <s v="18/11/2018 14:19:56"/>
    <m/>
    <m/>
    <s v=""/>
    <n v="1"/>
    <s v="1"/>
    <s v="1"/>
    <n v="4"/>
    <n v="11.428571428571429"/>
    <n v="0"/>
    <n v="0"/>
    <n v="0"/>
    <n v="0"/>
    <n v="31"/>
    <n v="88.57142857142857"/>
    <n v="35"/>
  </r>
  <r>
    <s v="UCbUhO-tut97b5IQhZ3i7TMA"/>
    <s v="UCY5Jm-GIiyVMQCnZqMaB6Hw"/>
    <m/>
    <m/>
    <m/>
    <m/>
    <m/>
    <m/>
    <m/>
    <m/>
    <s v="Yes"/>
    <n v="263"/>
    <m/>
    <m/>
    <s v="Replied Comment"/>
    <x v="0"/>
    <s v="Thank you Sue! :)"/>
    <s v="UCbUhO-tut97b5IQhZ3i7TMA"/>
    <s v="Mr Carrington"/>
    <s v="http://www.youtube.com/channel/UCbUhO-tut97b5IQhZ3i7TMA"/>
    <s v="Ugy6_t44CIaDXvuG2iR4AaABAg"/>
    <s v="DrCnSoZUXAc"/>
    <s v="https://www.youtube.com/watch?v=DrCnSoZUXAc"/>
    <s v="none"/>
    <n v="0"/>
    <x v="260"/>
    <s v="18/02/2019 20:50:39"/>
    <m/>
    <m/>
    <s v=""/>
    <n v="1"/>
    <s v="1"/>
    <s v="1"/>
    <n v="1"/>
    <n v="33.333333333333336"/>
    <n v="1"/>
    <n v="33.333333333333336"/>
    <n v="0"/>
    <n v="0"/>
    <n v="1"/>
    <n v="33.333333333333336"/>
    <n v="3"/>
  </r>
  <r>
    <s v="UCY5Jm-GIiyVMQCnZqMaB6Hw"/>
    <s v="UCbUhO-tut97b5IQhZ3i7TMA"/>
    <m/>
    <m/>
    <m/>
    <m/>
    <m/>
    <m/>
    <m/>
    <m/>
    <s v="Yes"/>
    <n v="264"/>
    <m/>
    <m/>
    <s v="Commented Video"/>
    <x v="1"/>
    <s v="Loved the colours of the roof decking and fence xxx &lt;br&gt;Giggle at the outtakes 😂😂😂"/>
    <s v="UCY5Jm-GIiyVMQCnZqMaB6Hw"/>
    <s v="Sue Thomas"/>
    <s v="http://www.youtube.com/channel/UCY5Jm-GIiyVMQCnZqMaB6Hw"/>
    <m/>
    <s v="DrCnSoZUXAc"/>
    <s v="https://www.youtube.com/watch?v=DrCnSoZUXAc"/>
    <s v="none"/>
    <n v="0"/>
    <x v="261"/>
    <s v="18/02/2019 19:25:12"/>
    <m/>
    <m/>
    <s v=""/>
    <n v="1"/>
    <s v="1"/>
    <s v="1"/>
    <n v="1"/>
    <n v="6.666666666666667"/>
    <n v="0"/>
    <n v="0"/>
    <n v="0"/>
    <n v="0"/>
    <n v="14"/>
    <n v="93.33333333333333"/>
    <n v="15"/>
  </r>
  <r>
    <s v="UCGpYX63VUgJswqgDiB1QDGw"/>
    <s v="UCbUhO-tut97b5IQhZ3i7TMA"/>
    <m/>
    <m/>
    <m/>
    <m/>
    <m/>
    <m/>
    <m/>
    <m/>
    <s v="No"/>
    <n v="265"/>
    <m/>
    <m/>
    <s v="Commented Video"/>
    <x v="1"/>
    <s v="So creative ❤️u inspired me me with my terrace, can’t wait to see more"/>
    <s v="UCGpYX63VUgJswqgDiB1QDGw"/>
    <s v="Sally Odeh"/>
    <s v="http://www.youtube.com/channel/UCGpYX63VUgJswqgDiB1QDGw"/>
    <m/>
    <s v="DrCnSoZUXAc"/>
    <s v="https://www.youtube.com/watch?v=DrCnSoZUXAc"/>
    <s v="none"/>
    <n v="0"/>
    <x v="262"/>
    <d v="2019-04-08T16:00:49.000"/>
    <m/>
    <m/>
    <s v=""/>
    <n v="1"/>
    <s v="1"/>
    <s v="1"/>
    <n v="1"/>
    <n v="6.666666666666667"/>
    <n v="0"/>
    <n v="0"/>
    <n v="0"/>
    <n v="0"/>
    <n v="14"/>
    <n v="93.33333333333333"/>
    <n v="15"/>
  </r>
  <r>
    <s v="UC6XBJ-9A_b-3_zxuX17sbIQ"/>
    <s v="UCbUhO-tut97b5IQhZ3i7TMA"/>
    <m/>
    <m/>
    <m/>
    <m/>
    <m/>
    <m/>
    <m/>
    <m/>
    <s v="No"/>
    <n v="266"/>
    <m/>
    <m/>
    <s v="Commented Video"/>
    <x v="1"/>
    <s v="So nice!! It inspired me for my rooftop garder too!"/>
    <s v="UC6XBJ-9A_b-3_zxuX17sbIQ"/>
    <s v="Nadia S"/>
    <s v="http://www.youtube.com/channel/UC6XBJ-9A_b-3_zxuX17sbIQ"/>
    <m/>
    <s v="DrCnSoZUXAc"/>
    <s v="https://www.youtube.com/watch?v=DrCnSoZUXAc"/>
    <s v="none"/>
    <n v="1"/>
    <x v="263"/>
    <s v="22/01/2021 04:16:26"/>
    <m/>
    <m/>
    <s v=""/>
    <n v="1"/>
    <s v="1"/>
    <s v="1"/>
    <n v="1"/>
    <n v="10"/>
    <n v="0"/>
    <n v="0"/>
    <n v="0"/>
    <n v="0"/>
    <n v="9"/>
    <n v="90"/>
    <n v="10"/>
  </r>
  <r>
    <s v="UChI-cTok8fJePnryAd0mTvQ"/>
    <s v="UC0GVapQzfTeJ67hf2-y1_0g"/>
    <m/>
    <m/>
    <m/>
    <m/>
    <m/>
    <m/>
    <m/>
    <m/>
    <s v="Yes"/>
    <n v="267"/>
    <m/>
    <m/>
    <s v="Replied Comment"/>
    <x v="0"/>
    <s v="i have to say i like this place better now for views only...but the sky garden is a place you can really hang out and eat and see the garden area etc -"/>
    <s v="UChI-cTok8fJePnryAd0mTvQ"/>
    <s v="Lifestyle Hal"/>
    <s v="http://www.youtube.com/channel/UChI-cTok8fJePnryAd0mTvQ"/>
    <s v="UgwlOiN-qrqJ6OKcxaZ4AaABAg"/>
    <s v="vWMAV6nNPbo"/>
    <s v="https://www.youtube.com/watch?v=vWMAV6nNPbo"/>
    <s v="none"/>
    <n v="1"/>
    <x v="264"/>
    <d v="2019-01-05T19:37:21.000"/>
    <m/>
    <m/>
    <s v=""/>
    <n v="1"/>
    <s v="8"/>
    <s v="8"/>
    <n v="2"/>
    <n v="6.0606060606060606"/>
    <n v="1"/>
    <n v="3.0303030303030303"/>
    <n v="0"/>
    <n v="0"/>
    <n v="30"/>
    <n v="90.9090909090909"/>
    <n v="33"/>
  </r>
  <r>
    <s v="UC0GVapQzfTeJ67hf2-y1_0g"/>
    <s v="UChI-cTok8fJePnryAd0mTvQ"/>
    <m/>
    <m/>
    <m/>
    <m/>
    <m/>
    <m/>
    <m/>
    <m/>
    <s v="Yes"/>
    <n v="268"/>
    <m/>
    <m/>
    <s v="Commented Video"/>
    <x v="1"/>
    <s v="Sky Garden is much better for views 360 and is free"/>
    <s v="UC0GVapQzfTeJ67hf2-y1_0g"/>
    <s v="Acreative A"/>
    <s v="http://www.youtube.com/channel/UC0GVapQzfTeJ67hf2-y1_0g"/>
    <m/>
    <s v="vWMAV6nNPbo"/>
    <s v="https://www.youtube.com/watch?v=vWMAV6nNPbo"/>
    <s v="none"/>
    <n v="1"/>
    <x v="265"/>
    <s v="29/04/2019 21:18:29"/>
    <m/>
    <m/>
    <s v=""/>
    <n v="1"/>
    <s v="8"/>
    <s v="8"/>
    <n v="2"/>
    <n v="18.181818181818183"/>
    <n v="0"/>
    <n v="0"/>
    <n v="0"/>
    <n v="0"/>
    <n v="9"/>
    <n v="81.81818181818181"/>
    <n v="11"/>
  </r>
  <r>
    <s v="UC-V27PAFkljYNHVsWz4a8Mw"/>
    <s v="UCGZQ0gB3nM3CLYiDahlMKjA"/>
    <m/>
    <m/>
    <m/>
    <m/>
    <m/>
    <m/>
    <m/>
    <m/>
    <s v="No"/>
    <n v="269"/>
    <m/>
    <m/>
    <s v="Replied Comment"/>
    <x v="0"/>
    <s v="@Lifestyle Hal hahaha he a hater. Nice video bro"/>
    <s v="UC-V27PAFkljYNHVsWz4a8Mw"/>
    <s v="Abdi Hassan"/>
    <s v="http://www.youtube.com/channel/UC-V27PAFkljYNHVsWz4a8Mw"/>
    <s v="UgytbzyH5G4RJQJvMCB4AaABAg"/>
    <s v="vWMAV6nNPbo"/>
    <s v="https://www.youtube.com/watch?v=vWMAV6nNPbo"/>
    <s v="none"/>
    <n v="0"/>
    <x v="266"/>
    <d v="2020-03-12T11:57:50.000"/>
    <m/>
    <m/>
    <s v=""/>
    <n v="2"/>
    <s v="8"/>
    <s v="8"/>
    <n v="1"/>
    <n v="11.11111111111111"/>
    <n v="1"/>
    <n v="11.11111111111111"/>
    <n v="0"/>
    <n v="0"/>
    <n v="7"/>
    <n v="77.77777777777777"/>
    <n v="9"/>
  </r>
  <r>
    <s v="UC-V27PAFkljYNHVsWz4a8Mw"/>
    <s v="UCGZQ0gB3nM3CLYiDahlMKjA"/>
    <m/>
    <m/>
    <m/>
    <m/>
    <m/>
    <m/>
    <m/>
    <m/>
    <s v="No"/>
    <n v="270"/>
    <m/>
    <m/>
    <s v="Replied Comment"/>
    <x v="0"/>
    <s v="@Lifestyle Hal thank you for plugging the location though man. Will definitely go when it reopens"/>
    <s v="UC-V27PAFkljYNHVsWz4a8Mw"/>
    <s v="Abdi Hassan"/>
    <s v="http://www.youtube.com/channel/UC-V27PAFkljYNHVsWz4a8Mw"/>
    <s v="UgytbzyH5G4RJQJvMCB4AaABAg"/>
    <s v="vWMAV6nNPbo"/>
    <s v="https://www.youtube.com/watch?v=vWMAV6nNPbo"/>
    <s v="none"/>
    <n v="0"/>
    <x v="267"/>
    <d v="2020-03-12T14:37:55.000"/>
    <m/>
    <m/>
    <s v=""/>
    <n v="2"/>
    <s v="8"/>
    <s v="8"/>
    <n v="1"/>
    <n v="6.25"/>
    <n v="0"/>
    <n v="0"/>
    <n v="0"/>
    <n v="0"/>
    <n v="15"/>
    <n v="93.75"/>
    <n v="16"/>
  </r>
  <r>
    <s v="UChI-cTok8fJePnryAd0mTvQ"/>
    <s v="UCGZQ0gB3nM3CLYiDahlMKjA"/>
    <m/>
    <m/>
    <m/>
    <m/>
    <m/>
    <m/>
    <m/>
    <m/>
    <s v="Yes"/>
    <n v="271"/>
    <m/>
    <m/>
    <s v="Replied Comment"/>
    <x v="0"/>
    <s v="nah"/>
    <s v="UChI-cTok8fJePnryAd0mTvQ"/>
    <s v="Lifestyle Hal"/>
    <s v="http://www.youtube.com/channel/UChI-cTok8fJePnryAd0mTvQ"/>
    <s v="UgytbzyH5G4RJQJvMCB4AaABAg"/>
    <s v="vWMAV6nNPbo"/>
    <s v="https://www.youtube.com/watch?v=vWMAV6nNPbo"/>
    <s v="none"/>
    <n v="1"/>
    <x v="268"/>
    <d v="2020-02-03T16:14:36.000"/>
    <m/>
    <m/>
    <s v=""/>
    <n v="2"/>
    <s v="8"/>
    <s v="8"/>
    <n v="0"/>
    <n v="0"/>
    <n v="0"/>
    <n v="0"/>
    <n v="0"/>
    <n v="0"/>
    <n v="1"/>
    <n v="100"/>
    <n v="1"/>
  </r>
  <r>
    <s v="UChI-cTok8fJePnryAd0mTvQ"/>
    <s v="UCGZQ0gB3nM3CLYiDahlMKjA"/>
    <m/>
    <m/>
    <m/>
    <m/>
    <m/>
    <m/>
    <m/>
    <m/>
    <s v="Yes"/>
    <n v="272"/>
    <m/>
    <m/>
    <s v="Replied Comment"/>
    <x v="0"/>
    <s v="@Abdi Hassan  i dont worry over those fools"/>
    <s v="UChI-cTok8fJePnryAd0mTvQ"/>
    <s v="Lifestyle Hal"/>
    <s v="http://www.youtube.com/channel/UChI-cTok8fJePnryAd0mTvQ"/>
    <s v="UgytbzyH5G4RJQJvMCB4AaABAg"/>
    <s v="vWMAV6nNPbo"/>
    <s v="https://www.youtube.com/watch?v=vWMAV6nNPbo"/>
    <s v="none"/>
    <n v="1"/>
    <x v="269"/>
    <d v="2020-03-12T14:08:39.000"/>
    <m/>
    <m/>
    <s v=""/>
    <n v="2"/>
    <s v="8"/>
    <s v="8"/>
    <n v="0"/>
    <n v="0"/>
    <n v="1"/>
    <n v="12.5"/>
    <n v="0"/>
    <n v="0"/>
    <n v="7"/>
    <n v="87.5"/>
    <n v="8"/>
  </r>
  <r>
    <s v="UCGZQ0gB3nM3CLYiDahlMKjA"/>
    <s v="UChI-cTok8fJePnryAd0mTvQ"/>
    <m/>
    <m/>
    <m/>
    <m/>
    <m/>
    <m/>
    <m/>
    <m/>
    <s v="Yes"/>
    <n v="273"/>
    <m/>
    <m/>
    <s v="Commented Video"/>
    <x v="1"/>
    <s v="Too much talking and your face too much time. You should show more about what you are talking about"/>
    <s v="UCGZQ0gB3nM3CLYiDahlMKjA"/>
    <s v="jgmaio"/>
    <s v="http://www.youtube.com/channel/UCGZQ0gB3nM3CLYiDahlMKjA"/>
    <m/>
    <s v="vWMAV6nNPbo"/>
    <s v="https://www.youtube.com/watch?v=vWMAV6nNPbo"/>
    <s v="none"/>
    <n v="0"/>
    <x v="270"/>
    <d v="2020-01-03T18:30:39.000"/>
    <m/>
    <m/>
    <s v=""/>
    <n v="1"/>
    <s v="8"/>
    <s v="8"/>
    <n v="0"/>
    <n v="0"/>
    <n v="0"/>
    <n v="0"/>
    <n v="0"/>
    <n v="0"/>
    <n v="19"/>
    <n v="100"/>
    <n v="19"/>
  </r>
  <r>
    <s v="UCW4JMrzXnCzdNw2B37IcOFA"/>
    <s v="UChI-cTok8fJePnryAd0mTvQ"/>
    <m/>
    <m/>
    <m/>
    <m/>
    <m/>
    <m/>
    <m/>
    <m/>
    <s v="No"/>
    <n v="274"/>
    <m/>
    <m/>
    <s v="Commented Video"/>
    <x v="1"/>
    <s v="Thanks for a nice vodeo."/>
    <s v="UCW4JMrzXnCzdNw2B37IcOFA"/>
    <s v="MR Craft dotcom"/>
    <s v="http://www.youtube.com/channel/UCW4JMrzXnCzdNw2B37IcOFA"/>
    <m/>
    <s v="vWMAV6nNPbo"/>
    <s v="https://www.youtube.com/watch?v=vWMAV6nNPbo"/>
    <s v="none"/>
    <n v="1"/>
    <x v="271"/>
    <s v="24/04/2020 05:00:29"/>
    <m/>
    <m/>
    <s v=""/>
    <n v="1"/>
    <s v="8"/>
    <s v="8"/>
    <n v="1"/>
    <n v="20"/>
    <n v="0"/>
    <n v="0"/>
    <n v="0"/>
    <n v="0"/>
    <n v="4"/>
    <n v="80"/>
    <n v="5"/>
  </r>
  <r>
    <s v="UCbUhO-tut97b5IQhZ3i7TMA"/>
    <s v="UC4TTpP-AWKZAFdkVT1_bPgw"/>
    <m/>
    <m/>
    <m/>
    <m/>
    <m/>
    <m/>
    <m/>
    <m/>
    <s v="Yes"/>
    <n v="275"/>
    <m/>
    <m/>
    <s v="Replied Comment"/>
    <x v="0"/>
    <s v="Thank you! :)"/>
    <s v="UCbUhO-tut97b5IQhZ3i7TMA"/>
    <s v="Mr Carrington"/>
    <s v="http://www.youtube.com/channel/UCbUhO-tut97b5IQhZ3i7TMA"/>
    <s v="UgxcdaZcIkrdJqdPpbJ4AaABAg"/>
    <s v="DrCnSoZUXAc"/>
    <s v="https://www.youtube.com/watch?v=DrCnSoZUXAc"/>
    <s v="none"/>
    <n v="1"/>
    <x v="272"/>
    <s v="23/08/2018 23:08:44"/>
    <m/>
    <m/>
    <s v=""/>
    <n v="1"/>
    <s v="1"/>
    <s v="1"/>
    <n v="1"/>
    <n v="50"/>
    <n v="0"/>
    <n v="0"/>
    <n v="0"/>
    <n v="0"/>
    <n v="1"/>
    <n v="50"/>
    <n v="2"/>
  </r>
  <r>
    <s v="UC4TTpP-AWKZAFdkVT1_bPgw"/>
    <s v="UCbUhO-tut97b5IQhZ3i7TMA"/>
    <m/>
    <m/>
    <m/>
    <m/>
    <m/>
    <m/>
    <m/>
    <m/>
    <s v="Yes"/>
    <n v="276"/>
    <m/>
    <m/>
    <s v="Commented Video"/>
    <x v="1"/>
    <s v="Good job..!"/>
    <s v="UC4TTpP-AWKZAFdkVT1_bPgw"/>
    <s v="SN Happy lands."/>
    <s v="http://www.youtube.com/channel/UC4TTpP-AWKZAFdkVT1_bPgw"/>
    <m/>
    <s v="DrCnSoZUXAc"/>
    <s v="https://www.youtube.com/watch?v=DrCnSoZUXAc"/>
    <s v="none"/>
    <n v="0"/>
    <x v="273"/>
    <s v="22/08/2018 19:04:21"/>
    <m/>
    <m/>
    <s v=""/>
    <n v="2"/>
    <s v="1"/>
    <s v="1"/>
    <n v="1"/>
    <n v="50"/>
    <n v="0"/>
    <n v="0"/>
    <n v="0"/>
    <n v="0"/>
    <n v="1"/>
    <n v="50"/>
    <n v="2"/>
  </r>
  <r>
    <s v="UC4TTpP-AWKZAFdkVT1_bPgw"/>
    <s v="UCbUhO-tut97b5IQhZ3i7TMA"/>
    <m/>
    <m/>
    <m/>
    <m/>
    <m/>
    <m/>
    <m/>
    <m/>
    <s v="Yes"/>
    <n v="277"/>
    <m/>
    <m/>
    <s v="Commented Video"/>
    <x v="1"/>
    <s v="👍👍👍👍👍👍👍👍👩👩😁😁😁"/>
    <s v="UC4TTpP-AWKZAFdkVT1_bPgw"/>
    <s v="SN Happy lands."/>
    <s v="http://www.youtube.com/channel/UC4TTpP-AWKZAFdkVT1_bPgw"/>
    <m/>
    <s v="-EA6GvKa0EA"/>
    <s v="https://www.youtube.com/watch?v=-EA6GvKa0EA"/>
    <s v="none"/>
    <n v="0"/>
    <x v="274"/>
    <d v="2018-03-09T15:54:37.000"/>
    <m/>
    <m/>
    <s v=""/>
    <n v="2"/>
    <s v="1"/>
    <s v="1"/>
    <n v="0"/>
    <n v="0"/>
    <n v="0"/>
    <n v="0"/>
    <n v="0"/>
    <n v="0"/>
    <n v="0"/>
    <n v="0"/>
    <n v="0"/>
  </r>
  <r>
    <s v="UCdAAVvZcpM_6oW16Eh2Jpgg"/>
    <s v="UCbUhO-tut97b5IQhZ3i7TMA"/>
    <m/>
    <m/>
    <m/>
    <m/>
    <m/>
    <m/>
    <m/>
    <m/>
    <s v="No"/>
    <n v="278"/>
    <m/>
    <m/>
    <s v="Commented Video"/>
    <x v="1"/>
    <s v="Love the video. Followed you on IG. ☺"/>
    <s v="UCdAAVvZcpM_6oW16Eh2Jpgg"/>
    <s v="Lewis W"/>
    <s v="http://www.youtube.com/channel/UCdAAVvZcpM_6oW16Eh2Jpgg"/>
    <m/>
    <s v="-EA6GvKa0EA"/>
    <s v="https://www.youtube.com/watch?v=-EA6GvKa0EA"/>
    <s v="none"/>
    <n v="2"/>
    <x v="275"/>
    <d v="2018-03-09T18:07:52.000"/>
    <m/>
    <m/>
    <s v=""/>
    <n v="1"/>
    <s v="1"/>
    <s v="1"/>
    <n v="1"/>
    <n v="14.285714285714286"/>
    <n v="0"/>
    <n v="0"/>
    <n v="0"/>
    <n v="0"/>
    <n v="6"/>
    <n v="85.71428571428571"/>
    <n v="7"/>
  </r>
  <r>
    <s v="UC9zezKVUM8gUGYQNJZQz4PQ"/>
    <s v="UCbUhO-tut97b5IQhZ3i7TMA"/>
    <m/>
    <m/>
    <m/>
    <m/>
    <m/>
    <m/>
    <m/>
    <m/>
    <s v="No"/>
    <n v="279"/>
    <m/>
    <m/>
    <s v="Commented Video"/>
    <x v="1"/>
    <s v="Great videos. 💎💎💎"/>
    <s v="UC9zezKVUM8gUGYQNJZQz4PQ"/>
    <s v="Bobby Rudman"/>
    <s v="http://www.youtube.com/channel/UC9zezKVUM8gUGYQNJZQz4PQ"/>
    <m/>
    <s v="-EA6GvKa0EA"/>
    <s v="https://www.youtube.com/watch?v=-EA6GvKa0EA"/>
    <s v="none"/>
    <n v="0"/>
    <x v="276"/>
    <d v="2018-03-09T21:28:27.000"/>
    <m/>
    <m/>
    <s v=""/>
    <n v="1"/>
    <s v="1"/>
    <s v="1"/>
    <n v="1"/>
    <n v="50"/>
    <n v="0"/>
    <n v="0"/>
    <n v="0"/>
    <n v="0"/>
    <n v="1"/>
    <n v="50"/>
    <n v="2"/>
  </r>
  <r>
    <s v="UCj-XJ0Br72D9LCQGjWJpfCQ"/>
    <s v="UCbUhO-tut97b5IQhZ3i7TMA"/>
    <m/>
    <m/>
    <m/>
    <m/>
    <m/>
    <m/>
    <m/>
    <m/>
    <s v="No"/>
    <n v="280"/>
    <m/>
    <m/>
    <s v="Commented Video"/>
    <x v="1"/>
    <s v="Good job!"/>
    <s v="UCj-XJ0Br72D9LCQGjWJpfCQ"/>
    <s v="Cynthia Lenz"/>
    <s v="http://www.youtube.com/channel/UCj-XJ0Br72D9LCQGjWJpfCQ"/>
    <m/>
    <s v="-EA6GvKa0EA"/>
    <s v="https://www.youtube.com/watch?v=-EA6GvKa0EA"/>
    <s v="none"/>
    <n v="0"/>
    <x v="277"/>
    <d v="2018-04-09T12:25:18.000"/>
    <m/>
    <m/>
    <s v=""/>
    <n v="1"/>
    <s v="1"/>
    <s v="1"/>
    <n v="1"/>
    <n v="50"/>
    <n v="0"/>
    <n v="0"/>
    <n v="0"/>
    <n v="0"/>
    <n v="1"/>
    <n v="50"/>
    <n v="2"/>
  </r>
  <r>
    <s v="UCKO5k9-UdH6bjVafQWC6_pA"/>
    <s v="UCbUhO-tut97b5IQhZ3i7TMA"/>
    <m/>
    <m/>
    <m/>
    <m/>
    <m/>
    <m/>
    <m/>
    <m/>
    <s v="No"/>
    <n v="281"/>
    <m/>
    <m/>
    <s v="Commented Video"/>
    <x v="1"/>
    <s v="Love all the lighting especially the Lidl bulb lights and the palm tree"/>
    <s v="UCKO5k9-UdH6bjVafQWC6_pA"/>
    <s v="Alison Sargeant"/>
    <s v="http://www.youtube.com/channel/UCKO5k9-UdH6bjVafQWC6_pA"/>
    <m/>
    <s v="-EA6GvKa0EA"/>
    <s v="https://www.youtube.com/watch?v=-EA6GvKa0EA"/>
    <s v="none"/>
    <n v="2"/>
    <x v="278"/>
    <d v="2018-04-09T14:57:37.000"/>
    <m/>
    <m/>
    <s v=""/>
    <n v="1"/>
    <s v="1"/>
    <s v="1"/>
    <n v="1"/>
    <n v="7.6923076923076925"/>
    <n v="0"/>
    <n v="0"/>
    <n v="0"/>
    <n v="0"/>
    <n v="12"/>
    <n v="92.3076923076923"/>
    <n v="13"/>
  </r>
  <r>
    <s v="UC74JtQ2kUOGNYk2CKC6ICDw"/>
    <s v="UCbUhO-tut97b5IQhZ3i7TMA"/>
    <m/>
    <m/>
    <m/>
    <m/>
    <m/>
    <m/>
    <m/>
    <m/>
    <s v="No"/>
    <n v="282"/>
    <m/>
    <m/>
    <s v="Commented Video"/>
    <x v="1"/>
    <s v="Hey friend I love this channel.,Beautiful design support my channel."/>
    <s v="UC74JtQ2kUOGNYk2CKC6ICDw"/>
    <s v="Jik mik daily life"/>
    <s v="http://www.youtube.com/channel/UC74JtQ2kUOGNYk2CKC6ICDw"/>
    <m/>
    <s v="-EA6GvKa0EA"/>
    <s v="https://www.youtube.com/watch?v=-EA6GvKa0EA"/>
    <s v="none"/>
    <n v="1"/>
    <x v="279"/>
    <d v="2018-04-09T17:12:10.000"/>
    <m/>
    <m/>
    <s v=""/>
    <n v="1"/>
    <s v="1"/>
    <s v="1"/>
    <n v="3"/>
    <n v="27.272727272727273"/>
    <n v="0"/>
    <n v="0"/>
    <n v="0"/>
    <n v="0"/>
    <n v="8"/>
    <n v="72.72727272727273"/>
    <n v="11"/>
  </r>
  <r>
    <s v="UCbUhO-tut97b5IQhZ3i7TMA"/>
    <s v="UCMavrp4EnHaop5NsO49PSWQ"/>
    <m/>
    <m/>
    <m/>
    <m/>
    <m/>
    <m/>
    <m/>
    <m/>
    <s v="Yes"/>
    <n v="283"/>
    <m/>
    <m/>
    <s v="Replied Comment"/>
    <x v="0"/>
    <s v="Oh wow! Sounds like a busy garden haha :)"/>
    <s v="UCbUhO-tut97b5IQhZ3i7TMA"/>
    <s v="Mr Carrington"/>
    <s v="http://www.youtube.com/channel/UCbUhO-tut97b5IQhZ3i7TMA"/>
    <s v="UgwfbQpWx37tRpt-qHV4AaABAg"/>
    <s v="-EA6GvKa0EA"/>
    <s v="https://www.youtube.com/watch?v=-EA6GvKa0EA"/>
    <s v="none"/>
    <n v="0"/>
    <x v="280"/>
    <d v="2018-05-09T19:28:41.000"/>
    <m/>
    <m/>
    <s v=""/>
    <n v="1"/>
    <s v="1"/>
    <s v="1"/>
    <n v="2"/>
    <n v="25"/>
    <n v="0"/>
    <n v="0"/>
    <n v="0"/>
    <n v="0"/>
    <n v="6"/>
    <n v="75"/>
    <n v="8"/>
  </r>
  <r>
    <s v="UCMavrp4EnHaop5NsO49PSWQ"/>
    <s v="UCbUhO-tut97b5IQhZ3i7TMA"/>
    <m/>
    <m/>
    <m/>
    <m/>
    <m/>
    <m/>
    <m/>
    <m/>
    <s v="Yes"/>
    <n v="284"/>
    <m/>
    <m/>
    <s v="Commented Video"/>
    <x v="1"/>
    <s v="Oh wow!  I just love how your roof terrace turned out, it&amp;#39;s gorgeous!  I could live on it!  I need to move to a cooler climate.  Here in Florida there are so many bugs, frogs, lizards and snakes who take up residence in our outdoor plants....yuck!   In the meantime, I&amp;#39;ll live vicariously through your pest free garden!"/>
    <s v="UCMavrp4EnHaop5NsO49PSWQ"/>
    <s v="Jeanne Walter"/>
    <s v="http://www.youtube.com/channel/UCMavrp4EnHaop5NsO49PSWQ"/>
    <m/>
    <s v="-EA6GvKa0EA"/>
    <s v="https://www.youtube.com/watch?v=-EA6GvKa0EA"/>
    <s v="none"/>
    <n v="0"/>
    <x v="281"/>
    <d v="2018-04-09T17:34:56.000"/>
    <m/>
    <m/>
    <s v=""/>
    <n v="1"/>
    <s v="1"/>
    <s v="1"/>
    <n v="4"/>
    <n v="6.451612903225806"/>
    <n v="2"/>
    <n v="3.225806451612903"/>
    <n v="0"/>
    <n v="0"/>
    <n v="56"/>
    <n v="90.3225806451613"/>
    <n v="62"/>
  </r>
  <r>
    <s v="UCbUhO-tut97b5IQhZ3i7TMA"/>
    <s v="UCXcl157VymrO9vRNg1nDMfQ"/>
    <m/>
    <m/>
    <m/>
    <m/>
    <m/>
    <m/>
    <m/>
    <m/>
    <s v="Yes"/>
    <n v="285"/>
    <m/>
    <m/>
    <s v="Replied Comment"/>
    <x v="0"/>
    <s v="haha thanks Kate! Now I&amp;#39;ve cleared some space maybe I should get a hot tub like you!? :)"/>
    <s v="UCbUhO-tut97b5IQhZ3i7TMA"/>
    <s v="Mr Carrington"/>
    <s v="http://www.youtube.com/channel/UCbUhO-tut97b5IQhZ3i7TMA"/>
    <s v="UgwIYc8jcEHBDd4caMF4AaABAg"/>
    <s v="DrCnSoZUXAc"/>
    <s v="https://www.youtube.com/watch?v=DrCnSoZUXAc"/>
    <s v="none"/>
    <n v="1"/>
    <x v="282"/>
    <d v="2018-07-06T22:55:01.000"/>
    <m/>
    <m/>
    <s v=""/>
    <n v="2"/>
    <s v="1"/>
    <s v="1"/>
    <n v="3"/>
    <n v="15.789473684210526"/>
    <n v="0"/>
    <n v="0"/>
    <n v="0"/>
    <n v="0"/>
    <n v="16"/>
    <n v="84.21052631578948"/>
    <n v="19"/>
  </r>
  <r>
    <s v="UCXcl157VymrO9vRNg1nDMfQ"/>
    <s v="UCbUhO-tut97b5IQhZ3i7TMA"/>
    <m/>
    <m/>
    <m/>
    <m/>
    <m/>
    <m/>
    <m/>
    <m/>
    <s v="Yes"/>
    <n v="286"/>
    <m/>
    <m/>
    <s v="Commented Video"/>
    <x v="1"/>
    <s v="Hello! It looks great! Loved the bloopers bit at the end 😂🍦"/>
    <s v="UCXcl157VymrO9vRNg1nDMfQ"/>
    <s v="Kate McCabe"/>
    <s v="http://www.youtube.com/channel/UCXcl157VymrO9vRNg1nDMfQ"/>
    <m/>
    <s v="DrCnSoZUXAc"/>
    <s v="https://www.youtube.com/watch?v=DrCnSoZUXAc"/>
    <s v="none"/>
    <n v="5"/>
    <x v="283"/>
    <d v="2018-07-06T20:50:27.000"/>
    <m/>
    <m/>
    <s v=""/>
    <n v="2"/>
    <s v="1"/>
    <s v="1"/>
    <n v="2"/>
    <n v="18.181818181818183"/>
    <n v="0"/>
    <n v="0"/>
    <n v="0"/>
    <n v="0"/>
    <n v="9"/>
    <n v="81.81818181818181"/>
    <n v="11"/>
  </r>
  <r>
    <s v="UCbUhO-tut97b5IQhZ3i7TMA"/>
    <s v="UCXcl157VymrO9vRNg1nDMfQ"/>
    <m/>
    <m/>
    <m/>
    <m/>
    <m/>
    <m/>
    <m/>
    <m/>
    <s v="Yes"/>
    <n v="287"/>
    <m/>
    <m/>
    <s v="Replied Comment"/>
    <x v="0"/>
    <s v="Ahh thank you! It was a killer :)"/>
    <s v="UCbUhO-tut97b5IQhZ3i7TMA"/>
    <s v="Mr Carrington"/>
    <s v="http://www.youtube.com/channel/UCbUhO-tut97b5IQhZ3i7TMA"/>
    <s v="UgxqE7PJFIPZcNQXrLB4AaABAg"/>
    <s v="-EA6GvKa0EA"/>
    <s v="https://www.youtube.com/watch?v=-EA6GvKa0EA"/>
    <s v="none"/>
    <n v="0"/>
    <x v="284"/>
    <d v="2018-05-09T19:29:28.000"/>
    <m/>
    <m/>
    <s v=""/>
    <n v="2"/>
    <s v="1"/>
    <s v="1"/>
    <n v="1"/>
    <n v="14.285714285714286"/>
    <n v="1"/>
    <n v="14.285714285714286"/>
    <n v="0"/>
    <n v="0"/>
    <n v="5"/>
    <n v="71.42857142857143"/>
    <n v="7"/>
  </r>
  <r>
    <s v="UCXcl157VymrO9vRNg1nDMfQ"/>
    <s v="UCbUhO-tut97b5IQhZ3i7TMA"/>
    <m/>
    <m/>
    <m/>
    <m/>
    <m/>
    <m/>
    <m/>
    <m/>
    <s v="Yes"/>
    <n v="288"/>
    <m/>
    <m/>
    <s v="Commented Video"/>
    <x v="1"/>
    <s v="It looks amazing! You are so clever! 😁🌵❤️"/>
    <s v="UCXcl157VymrO9vRNg1nDMfQ"/>
    <s v="Kate McCabe"/>
    <s v="http://www.youtube.com/channel/UCXcl157VymrO9vRNg1nDMfQ"/>
    <m/>
    <s v="-EA6GvKa0EA"/>
    <s v="https://www.youtube.com/watch?v=-EA6GvKa0EA"/>
    <s v="none"/>
    <n v="2"/>
    <x v="285"/>
    <d v="2018-04-09T23:23:09.000"/>
    <m/>
    <m/>
    <s v=""/>
    <n v="2"/>
    <s v="1"/>
    <s v="1"/>
    <n v="2"/>
    <n v="28.571428571428573"/>
    <n v="0"/>
    <n v="0"/>
    <n v="0"/>
    <n v="0"/>
    <n v="5"/>
    <n v="71.42857142857143"/>
    <n v="7"/>
  </r>
  <r>
    <s v="UCbUhO-tut97b5IQhZ3i7TMA"/>
    <s v="UCNeUHjjDcVrn3-JbArGhNwg"/>
    <m/>
    <m/>
    <m/>
    <m/>
    <m/>
    <m/>
    <m/>
    <m/>
    <s v="Yes"/>
    <n v="289"/>
    <m/>
    <m/>
    <s v="Replied Comment"/>
    <x v="0"/>
    <s v="thank you so much :)"/>
    <s v="UCbUhO-tut97b5IQhZ3i7TMA"/>
    <s v="Mr Carrington"/>
    <s v="http://www.youtube.com/channel/UCbUhO-tut97b5IQhZ3i7TMA"/>
    <s v="UgzaTelS7f817XP6dZ54AaABAg"/>
    <s v="-EA6GvKa0EA"/>
    <s v="https://www.youtube.com/watch?v=-EA6GvKa0EA"/>
    <s v="none"/>
    <n v="0"/>
    <x v="286"/>
    <d v="2018-11-09T20:18:05.000"/>
    <m/>
    <m/>
    <s v=""/>
    <n v="1"/>
    <s v="1"/>
    <s v="1"/>
    <n v="1"/>
    <n v="25"/>
    <n v="0"/>
    <n v="0"/>
    <n v="0"/>
    <n v="0"/>
    <n v="3"/>
    <n v="75"/>
    <n v="4"/>
  </r>
  <r>
    <s v="UCNeUHjjDcVrn3-JbArGhNwg"/>
    <s v="UCbUhO-tut97b5IQhZ3i7TMA"/>
    <m/>
    <m/>
    <m/>
    <m/>
    <m/>
    <m/>
    <m/>
    <m/>
    <s v="Yes"/>
    <n v="290"/>
    <m/>
    <m/>
    <s v="Commented Video"/>
    <x v="1"/>
    <s v="This was a long time coming and you did a great job! The terrace seems like a relaxing place to wind down and enjoy a drink at the end of a long day, or who am I kidding, any ole time is a good time for a drink. LOL The best part is that you did it using so little money.  I love that you&amp;#39;re a bargain shopper and love your videos overall."/>
    <s v="UCNeUHjjDcVrn3-JbArGhNwg"/>
    <s v="C"/>
    <s v="http://www.youtube.com/channel/UCNeUHjjDcVrn3-JbArGhNwg"/>
    <m/>
    <s v="-EA6GvKa0EA"/>
    <s v="https://www.youtube.com/watch?v=-EA6GvKa0EA"/>
    <s v="none"/>
    <n v="0"/>
    <x v="287"/>
    <d v="2018-10-09T00:20:43.000"/>
    <m/>
    <m/>
    <s v=""/>
    <n v="1"/>
    <s v="1"/>
    <s v="1"/>
    <n v="8"/>
    <n v="10.666666666666666"/>
    <n v="0"/>
    <n v="0"/>
    <n v="0"/>
    <n v="0"/>
    <n v="67"/>
    <n v="89.33333333333333"/>
    <n v="75"/>
  </r>
  <r>
    <s v="UC6LaBZ_TUJkyYifcxZ1hTcw"/>
    <s v="UCbUhO-tut97b5IQhZ3i7TMA"/>
    <m/>
    <m/>
    <m/>
    <m/>
    <m/>
    <m/>
    <m/>
    <m/>
    <s v="No"/>
    <n v="291"/>
    <m/>
    <m/>
    <s v="Commented Video"/>
    <x v="1"/>
    <s v="Loving your roof terrace at night beautifully lit up...I&amp;#39;d sit out there with a nice coffee or a glass of wine and some soothing music...great job!!"/>
    <s v="UC6LaBZ_TUJkyYifcxZ1hTcw"/>
    <s v="DebsLuvsMusic"/>
    <s v="http://www.youtube.com/channel/UC6LaBZ_TUJkyYifcxZ1hTcw"/>
    <m/>
    <s v="-EA6GvKa0EA"/>
    <s v="https://www.youtube.com/watch?v=-EA6GvKa0EA"/>
    <s v="none"/>
    <n v="0"/>
    <x v="288"/>
    <s v="16/09/2018 21:46:18"/>
    <m/>
    <m/>
    <s v=""/>
    <n v="1"/>
    <s v="1"/>
    <s v="1"/>
    <n v="4"/>
    <n v="13.333333333333334"/>
    <n v="0"/>
    <n v="0"/>
    <n v="0"/>
    <n v="0"/>
    <n v="26"/>
    <n v="86.66666666666667"/>
    <n v="30"/>
  </r>
  <r>
    <s v="UCbUhO-tut97b5IQhZ3i7TMA"/>
    <s v="UCKrWCbIKAdCU2KifXPioi0g"/>
    <m/>
    <m/>
    <m/>
    <m/>
    <m/>
    <m/>
    <m/>
    <m/>
    <s v="Yes"/>
    <n v="292"/>
    <m/>
    <m/>
    <s v="Replied Comment"/>
    <x v="0"/>
    <s v="Thank you so much! Welcome Mandy :)"/>
    <s v="UCbUhO-tut97b5IQhZ3i7TMA"/>
    <s v="Mr Carrington"/>
    <s v="http://www.youtube.com/channel/UCbUhO-tut97b5IQhZ3i7TMA"/>
    <s v="Ugx4Gl_v70Q-AQFgZ2x4AaABAg"/>
    <s v="-EA6GvKa0EA"/>
    <s v="https://www.youtube.com/watch?v=-EA6GvKa0EA"/>
    <s v="none"/>
    <n v="0"/>
    <x v="289"/>
    <d v="2018-03-10T15:04:53.000"/>
    <m/>
    <m/>
    <s v=""/>
    <n v="1"/>
    <s v="1"/>
    <s v="1"/>
    <n v="2"/>
    <n v="33.333333333333336"/>
    <n v="0"/>
    <n v="0"/>
    <n v="0"/>
    <n v="0"/>
    <n v="4"/>
    <n v="66.66666666666667"/>
    <n v="6"/>
  </r>
  <r>
    <s v="UCKrWCbIKAdCU2KifXPioi0g"/>
    <s v="UCbUhO-tut97b5IQhZ3i7TMA"/>
    <m/>
    <m/>
    <m/>
    <m/>
    <m/>
    <m/>
    <m/>
    <m/>
    <s v="Yes"/>
    <n v="293"/>
    <m/>
    <m/>
    <s v="Commented Video"/>
    <x v="1"/>
    <s v="just joined your channel love the roof garden it looks amazing well done."/>
    <s v="UCKrWCbIKAdCU2KifXPioi0g"/>
    <s v="countrybobbins"/>
    <s v="http://www.youtube.com/channel/UCKrWCbIKAdCU2KifXPioi0g"/>
    <m/>
    <s v="-EA6GvKa0EA"/>
    <s v="https://www.youtube.com/watch?v=-EA6GvKa0EA"/>
    <s v="none"/>
    <n v="0"/>
    <x v="290"/>
    <d v="2018-03-10T06:36:13.000"/>
    <m/>
    <m/>
    <s v=""/>
    <n v="1"/>
    <s v="1"/>
    <s v="1"/>
    <n v="3"/>
    <n v="23.076923076923077"/>
    <n v="0"/>
    <n v="0"/>
    <n v="0"/>
    <n v="0"/>
    <n v="10"/>
    <n v="76.92307692307692"/>
    <n v="13"/>
  </r>
  <r>
    <s v="UCbUhO-tut97b5IQhZ3i7TMA"/>
    <s v="UCg8gJerTFALveG4XDXHw-QQ"/>
    <m/>
    <m/>
    <m/>
    <m/>
    <m/>
    <m/>
    <m/>
    <m/>
    <s v="Yes"/>
    <n v="294"/>
    <m/>
    <m/>
    <s v="Replied Comment"/>
    <x v="0"/>
    <s v="Ahh thanks Laura! :)"/>
    <s v="UCbUhO-tut97b5IQhZ3i7TMA"/>
    <s v="Mr Carrington"/>
    <s v="http://www.youtube.com/channel/UCbUhO-tut97b5IQhZ3i7TMA"/>
    <s v="Ugwm2o2xwKA-eSxXlQh4AaABAg"/>
    <s v="-EA6GvKa0EA"/>
    <s v="https://www.youtube.com/watch?v=-EA6GvKa0EA"/>
    <s v="none"/>
    <n v="1"/>
    <x v="291"/>
    <d v="2018-06-10T16:42:42.000"/>
    <m/>
    <m/>
    <s v=""/>
    <n v="1"/>
    <s v="1"/>
    <s v="1"/>
    <n v="0"/>
    <n v="0"/>
    <n v="0"/>
    <n v="0"/>
    <n v="0"/>
    <n v="0"/>
    <n v="3"/>
    <n v="100"/>
    <n v="3"/>
  </r>
  <r>
    <s v="UCg8gJerTFALveG4XDXHw-QQ"/>
    <s v="UCbUhO-tut97b5IQhZ3i7TMA"/>
    <m/>
    <m/>
    <m/>
    <m/>
    <m/>
    <m/>
    <m/>
    <m/>
    <s v="Yes"/>
    <n v="295"/>
    <m/>
    <m/>
    <s v="Commented Video"/>
    <x v="1"/>
    <s v="Oh my God, You are SO BEAUTIFUL. I realise that’s not the norm to say to a man but you’re so lovely. Gorgeous decoration by the way. Very &lt;a href=&quot;http://stylish.xxx/&quot;&gt;stylish.xxx&lt;/a&gt;"/>
    <s v="UCg8gJerTFALveG4XDXHw-QQ"/>
    <s v="Laura Filby"/>
    <s v="http://www.youtube.com/channel/UCg8gJerTFALveG4XDXHw-QQ"/>
    <m/>
    <s v="-EA6GvKa0EA"/>
    <s v="https://www.youtube.com/watch?v=-EA6GvKa0EA"/>
    <s v="none"/>
    <n v="0"/>
    <x v="292"/>
    <d v="2018-06-10T12:09:13.000"/>
    <s v=" http://stylish.xxx/"/>
    <s v="stylish.xxx"/>
    <s v=""/>
    <n v="1"/>
    <s v="1"/>
    <s v="1"/>
    <n v="5"/>
    <n v="13.157894736842104"/>
    <n v="0"/>
    <n v="0"/>
    <n v="0"/>
    <n v="0"/>
    <n v="33"/>
    <n v="86.84210526315789"/>
    <n v="38"/>
  </r>
  <r>
    <s v="UCbUhO-tut97b5IQhZ3i7TMA"/>
    <s v="UC-t7W0TO210XGhyZdTcUEZw"/>
    <m/>
    <m/>
    <m/>
    <m/>
    <m/>
    <m/>
    <m/>
    <m/>
    <s v="Yes"/>
    <n v="296"/>
    <m/>
    <m/>
    <s v="Replied Comment"/>
    <x v="0"/>
    <s v="Thank you Julia! :)"/>
    <s v="UCbUhO-tut97b5IQhZ3i7TMA"/>
    <s v="Mr Carrington"/>
    <s v="http://www.youtube.com/channel/UCbUhO-tut97b5IQhZ3i7TMA"/>
    <s v="UgwZiaJtrZPD8IgN5yt4AaABAg"/>
    <s v="-EA6GvKa0EA"/>
    <s v="https://www.youtube.com/watch?v=-EA6GvKa0EA"/>
    <s v="none"/>
    <n v="0"/>
    <x v="293"/>
    <d v="2018-07-10T22:26:34.000"/>
    <m/>
    <m/>
    <s v=""/>
    <n v="1"/>
    <s v="1"/>
    <s v="1"/>
    <n v="1"/>
    <n v="33.333333333333336"/>
    <n v="0"/>
    <n v="0"/>
    <n v="0"/>
    <n v="0"/>
    <n v="2"/>
    <n v="66.66666666666667"/>
    <n v="3"/>
  </r>
  <r>
    <s v="UC-t7W0TO210XGhyZdTcUEZw"/>
    <s v="UCbUhO-tut97b5IQhZ3i7TMA"/>
    <m/>
    <m/>
    <m/>
    <m/>
    <m/>
    <m/>
    <m/>
    <m/>
    <s v="Yes"/>
    <n v="297"/>
    <m/>
    <m/>
    <s v="Commented Video"/>
    <x v="1"/>
    <s v="I only just started watching your video&amp;#39;s and I love them and your roof garden is beautiful really enjoy watching you xxx"/>
    <s v="UC-t7W0TO210XGhyZdTcUEZw"/>
    <s v="julia arthur"/>
    <s v="http://www.youtube.com/channel/UC-t7W0TO210XGhyZdTcUEZw"/>
    <m/>
    <s v="-EA6GvKa0EA"/>
    <s v="https://www.youtube.com/watch?v=-EA6GvKa0EA"/>
    <s v="none"/>
    <n v="1"/>
    <x v="294"/>
    <d v="2018-07-10T00:13:41.000"/>
    <m/>
    <m/>
    <s v=""/>
    <n v="1"/>
    <s v="1"/>
    <s v="1"/>
    <n v="3"/>
    <n v="12.5"/>
    <n v="0"/>
    <n v="0"/>
    <n v="0"/>
    <n v="0"/>
    <n v="21"/>
    <n v="87.5"/>
    <n v="24"/>
  </r>
  <r>
    <s v="UCTMI-Ibj-RffeLY6xdTkgWA"/>
    <s v="UCbUhO-tut97b5IQhZ3i7TMA"/>
    <m/>
    <m/>
    <m/>
    <m/>
    <m/>
    <m/>
    <m/>
    <m/>
    <s v="No"/>
    <n v="298"/>
    <m/>
    <m/>
    <s v="Commented Video"/>
    <x v="1"/>
    <s v="love it"/>
    <s v="UCTMI-Ibj-RffeLY6xdTkgWA"/>
    <s v="diane randell"/>
    <s v="http://www.youtube.com/channel/UCTMI-Ibj-RffeLY6xdTkgWA"/>
    <m/>
    <s v="-EA6GvKa0EA"/>
    <s v="https://www.youtube.com/watch?v=-EA6GvKa0EA"/>
    <s v="none"/>
    <n v="0"/>
    <x v="295"/>
    <s v="15/10/2018 23:51:17"/>
    <m/>
    <m/>
    <s v=""/>
    <n v="1"/>
    <s v="1"/>
    <s v="1"/>
    <n v="1"/>
    <n v="50"/>
    <n v="0"/>
    <n v="0"/>
    <n v="0"/>
    <n v="0"/>
    <n v="1"/>
    <n v="50"/>
    <n v="2"/>
  </r>
  <r>
    <s v="UCITip3VvBZWu8_PlXbYT_FQ"/>
    <s v="UCbUhO-tut97b5IQhZ3i7TMA"/>
    <m/>
    <m/>
    <m/>
    <m/>
    <m/>
    <m/>
    <m/>
    <m/>
    <s v="No"/>
    <n v="299"/>
    <m/>
    <m/>
    <s v="Commented Video"/>
    <x v="1"/>
    <s v="Wow looks amazing xxx"/>
    <s v="UCITip3VvBZWu8_PlXbYT_FQ"/>
    <s v="Lorna Harkin"/>
    <s v="http://www.youtube.com/channel/UCITip3VvBZWu8_PlXbYT_FQ"/>
    <m/>
    <s v="-EA6GvKa0EA"/>
    <s v="https://www.youtube.com/watch?v=-EA6GvKa0EA"/>
    <s v="none"/>
    <n v="0"/>
    <x v="296"/>
    <s v="20/10/2018 20:59:30"/>
    <m/>
    <m/>
    <s v=""/>
    <n v="1"/>
    <s v="1"/>
    <s v="1"/>
    <n v="2"/>
    <n v="50"/>
    <n v="0"/>
    <n v="0"/>
    <n v="0"/>
    <n v="0"/>
    <n v="2"/>
    <n v="50"/>
    <n v="4"/>
  </r>
  <r>
    <s v="UCbUhO-tut97b5IQhZ3i7TMA"/>
    <s v="UC_8NfH_wP6quvlyspts1r5g"/>
    <m/>
    <m/>
    <m/>
    <m/>
    <m/>
    <m/>
    <m/>
    <m/>
    <s v="Yes"/>
    <n v="300"/>
    <m/>
    <m/>
    <s v="Replied Comment"/>
    <x v="0"/>
    <s v="Thank you Leeza :)"/>
    <s v="UCbUhO-tut97b5IQhZ3i7TMA"/>
    <s v="Mr Carrington"/>
    <s v="http://www.youtube.com/channel/UCbUhO-tut97b5IQhZ3i7TMA"/>
    <s v="UgwnKn6rcmV1AFvGqzZ4AaABAg"/>
    <s v="-EA6GvKa0EA"/>
    <s v="https://www.youtube.com/watch?v=-EA6GvKa0EA"/>
    <s v="none"/>
    <n v="0"/>
    <x v="297"/>
    <s v="29/10/2018 23:43:05"/>
    <m/>
    <m/>
    <s v=""/>
    <n v="1"/>
    <s v="1"/>
    <s v="1"/>
    <n v="1"/>
    <n v="33.333333333333336"/>
    <n v="0"/>
    <n v="0"/>
    <n v="0"/>
    <n v="0"/>
    <n v="2"/>
    <n v="66.66666666666667"/>
    <n v="3"/>
  </r>
  <r>
    <s v="UC_8NfH_wP6quvlyspts1r5g"/>
    <s v="UCbUhO-tut97b5IQhZ3i7TMA"/>
    <m/>
    <m/>
    <m/>
    <m/>
    <m/>
    <m/>
    <m/>
    <m/>
    <s v="Yes"/>
    <n v="301"/>
    <m/>
    <m/>
    <s v="Commented Video"/>
    <x v="1"/>
    <s v="INSPIRATIONAL 💕💕💕💕"/>
    <s v="UC_8NfH_wP6quvlyspts1r5g"/>
    <s v="Leeza Sims"/>
    <s v="http://www.youtube.com/channel/UC_8NfH_wP6quvlyspts1r5g"/>
    <m/>
    <s v="-EA6GvKa0EA"/>
    <s v="https://www.youtube.com/watch?v=-EA6GvKa0EA"/>
    <s v="none"/>
    <n v="0"/>
    <x v="298"/>
    <s v="29/10/2018 13:11:31"/>
    <m/>
    <m/>
    <s v=""/>
    <n v="1"/>
    <s v="1"/>
    <s v="1"/>
    <n v="1"/>
    <n v="100"/>
    <n v="0"/>
    <n v="0"/>
    <n v="0"/>
    <n v="0"/>
    <n v="0"/>
    <n v="0"/>
    <n v="1"/>
  </r>
  <r>
    <s v="UCbUhO-tut97b5IQhZ3i7TMA"/>
    <s v="UCBOXk97g9e7s1c8BCKJB9Dw"/>
    <m/>
    <m/>
    <m/>
    <m/>
    <m/>
    <m/>
    <m/>
    <m/>
    <s v="Yes"/>
    <n v="302"/>
    <m/>
    <m/>
    <s v="Replied Comment"/>
    <x v="0"/>
    <s v="I&amp;#39;m from Shropshire but I&amp;#39;ve lived in London for over 10 years now :)"/>
    <s v="UCbUhO-tut97b5IQhZ3i7TMA"/>
    <s v="Mr Carrington"/>
    <s v="http://www.youtube.com/channel/UCbUhO-tut97b5IQhZ3i7TMA"/>
    <s v="UgxrvZgLhsu4g30ccgt4AaABAg"/>
    <s v="-EA6GvKa0EA"/>
    <s v="https://www.youtube.com/watch?v=-EA6GvKa0EA"/>
    <s v="none"/>
    <n v="0"/>
    <x v="299"/>
    <d v="2018-11-11T22:49:40.000"/>
    <m/>
    <m/>
    <s v=""/>
    <n v="1"/>
    <s v="1"/>
    <s v="1"/>
    <n v="0"/>
    <n v="0"/>
    <n v="0"/>
    <n v="0"/>
    <n v="0"/>
    <n v="0"/>
    <n v="17"/>
    <n v="100"/>
    <n v="17"/>
  </r>
  <r>
    <s v="UCBOXk97g9e7s1c8BCKJB9Dw"/>
    <s v="UCbUhO-tut97b5IQhZ3i7TMA"/>
    <m/>
    <m/>
    <m/>
    <m/>
    <m/>
    <m/>
    <m/>
    <m/>
    <s v="Yes"/>
    <n v="303"/>
    <m/>
    <m/>
    <s v="Commented Video"/>
    <x v="1"/>
    <s v="What part of England is your accent from? It&amp;#39;s nice."/>
    <s v="UCBOXk97g9e7s1c8BCKJB9Dw"/>
    <s v="Deborah McLean"/>
    <s v="http://www.youtube.com/channel/UCBOXk97g9e7s1c8BCKJB9Dw"/>
    <m/>
    <s v="-EA6GvKa0EA"/>
    <s v="https://www.youtube.com/watch?v=-EA6GvKa0EA"/>
    <s v="none"/>
    <n v="0"/>
    <x v="300"/>
    <d v="2018-11-11T15:12:24.000"/>
    <m/>
    <m/>
    <s v=""/>
    <n v="1"/>
    <s v="1"/>
    <s v="1"/>
    <n v="1"/>
    <n v="8.333333333333334"/>
    <n v="0"/>
    <n v="0"/>
    <n v="0"/>
    <n v="0"/>
    <n v="11"/>
    <n v="91.66666666666667"/>
    <n v="12"/>
  </r>
  <r>
    <s v="UCc4LJ1SpCAiSwgWLW6q5wQQ"/>
    <s v="UCbUhO-tut97b5IQhZ3i7TMA"/>
    <m/>
    <m/>
    <m/>
    <m/>
    <m/>
    <m/>
    <m/>
    <m/>
    <s v="No"/>
    <n v="304"/>
    <m/>
    <m/>
    <s v="Commented Video"/>
    <x v="1"/>
    <s v="Very  interesting and smart lighting  ideas..."/>
    <s v="UCc4LJ1SpCAiSwgWLW6q5wQQ"/>
    <s v="Jo Dhavi"/>
    <s v="http://www.youtube.com/channel/UCc4LJ1SpCAiSwgWLW6q5wQQ"/>
    <m/>
    <s v="-EA6GvKa0EA"/>
    <s v="https://www.youtube.com/watch?v=-EA6GvKa0EA"/>
    <s v="none"/>
    <n v="0"/>
    <x v="301"/>
    <s v="15/11/2018 16:26:31"/>
    <m/>
    <m/>
    <s v=""/>
    <n v="1"/>
    <s v="1"/>
    <s v="1"/>
    <n v="2"/>
    <n v="33.333333333333336"/>
    <n v="0"/>
    <n v="0"/>
    <n v="0"/>
    <n v="0"/>
    <n v="4"/>
    <n v="66.66666666666667"/>
    <n v="6"/>
  </r>
  <r>
    <s v="UCOXY5z_dylCePULXreqnayw"/>
    <s v="UCbUhO-tut97b5IQhZ3i7TMA"/>
    <m/>
    <m/>
    <m/>
    <m/>
    <m/>
    <m/>
    <m/>
    <m/>
    <s v="No"/>
    <n v="305"/>
    <m/>
    <m/>
    <s v="Commented Video"/>
    <x v="1"/>
    <s v="💝 All"/>
    <s v="UCOXY5z_dylCePULXreqnayw"/>
    <s v="Petra Zapata"/>
    <s v="http://www.youtube.com/channel/UCOXY5z_dylCePULXreqnayw"/>
    <m/>
    <s v="-EA6GvKa0EA"/>
    <s v="https://www.youtube.com/watch?v=-EA6GvKa0EA"/>
    <s v="none"/>
    <n v="0"/>
    <x v="302"/>
    <s v="16/11/2018 04:01:37"/>
    <m/>
    <m/>
    <s v=""/>
    <n v="1"/>
    <s v="1"/>
    <s v="1"/>
    <n v="0"/>
    <n v="0"/>
    <n v="0"/>
    <n v="0"/>
    <n v="0"/>
    <n v="0"/>
    <n v="1"/>
    <n v="100"/>
    <n v="1"/>
  </r>
  <r>
    <s v="UC9YfOfWjjwGjFdtkEO_dDZA"/>
    <s v="UCbUhO-tut97b5IQhZ3i7TMA"/>
    <m/>
    <m/>
    <m/>
    <m/>
    <m/>
    <m/>
    <m/>
    <m/>
    <s v="No"/>
    <n v="306"/>
    <m/>
    <m/>
    <s v="Commented Video"/>
    <x v="1"/>
    <s v="This is amazing! X"/>
    <s v="UC9YfOfWjjwGjFdtkEO_dDZA"/>
    <s v="vmajavestergaard"/>
    <s v="http://www.youtube.com/channel/UC9YfOfWjjwGjFdtkEO_dDZA"/>
    <m/>
    <s v="-EA6GvKa0EA"/>
    <s v="https://www.youtube.com/watch?v=-EA6GvKa0EA"/>
    <s v="none"/>
    <n v="0"/>
    <x v="303"/>
    <s v="17/11/2018 13:21:03"/>
    <m/>
    <m/>
    <s v=""/>
    <n v="1"/>
    <s v="1"/>
    <s v="1"/>
    <n v="1"/>
    <n v="25"/>
    <n v="0"/>
    <n v="0"/>
    <n v="0"/>
    <n v="0"/>
    <n v="3"/>
    <n v="75"/>
    <n v="4"/>
  </r>
  <r>
    <s v="UCbUhO-tut97b5IQhZ3i7TMA"/>
    <s v="UCie6mkyR-OwL_Dta8C8C4tA"/>
    <m/>
    <m/>
    <m/>
    <m/>
    <m/>
    <m/>
    <m/>
    <m/>
    <s v="Yes"/>
    <n v="307"/>
    <m/>
    <m/>
    <s v="Replied Comment"/>
    <x v="0"/>
    <s v="Thank you :)"/>
    <s v="UCbUhO-tut97b5IQhZ3i7TMA"/>
    <s v="Mr Carrington"/>
    <s v="http://www.youtube.com/channel/UCbUhO-tut97b5IQhZ3i7TMA"/>
    <s v="UgwBUqhoZD3bn40Qo9x4AaABAg"/>
    <s v="-EA6GvKa0EA"/>
    <s v="https://www.youtube.com/watch?v=-EA6GvKa0EA"/>
    <s v="none"/>
    <n v="0"/>
    <x v="304"/>
    <s v="26/11/2018 20:38:51"/>
    <m/>
    <m/>
    <s v=""/>
    <n v="1"/>
    <s v="1"/>
    <s v="1"/>
    <n v="1"/>
    <n v="50"/>
    <n v="0"/>
    <n v="0"/>
    <n v="0"/>
    <n v="0"/>
    <n v="1"/>
    <n v="50"/>
    <n v="2"/>
  </r>
  <r>
    <s v="UCie6mkyR-OwL_Dta8C8C4tA"/>
    <s v="UCbUhO-tut97b5IQhZ3i7TMA"/>
    <m/>
    <m/>
    <m/>
    <m/>
    <m/>
    <m/>
    <m/>
    <m/>
    <s v="Yes"/>
    <n v="308"/>
    <m/>
    <m/>
    <s v="Commented Video"/>
    <x v="1"/>
    <s v="Hello there. Your roof terrace is so stylish 👍"/>
    <s v="UCie6mkyR-OwL_Dta8C8C4tA"/>
    <s v="Orchid"/>
    <s v="http://www.youtube.com/channel/UCie6mkyR-OwL_Dta8C8C4tA"/>
    <m/>
    <s v="-EA6GvKa0EA"/>
    <s v="https://www.youtube.com/watch?v=-EA6GvKa0EA"/>
    <s v="none"/>
    <n v="0"/>
    <x v="305"/>
    <s v="26/11/2018 06:51:05"/>
    <m/>
    <m/>
    <s v=""/>
    <n v="1"/>
    <s v="1"/>
    <s v="1"/>
    <n v="1"/>
    <n v="12.5"/>
    <n v="0"/>
    <n v="0"/>
    <n v="0"/>
    <n v="0"/>
    <n v="7"/>
    <n v="87.5"/>
    <n v="8"/>
  </r>
  <r>
    <s v="UCwbeXhIuQcw0x_2ciSHffvg"/>
    <s v="UCbUhO-tut97b5IQhZ3i7TMA"/>
    <m/>
    <m/>
    <m/>
    <m/>
    <m/>
    <m/>
    <m/>
    <m/>
    <s v="No"/>
    <n v="309"/>
    <m/>
    <m/>
    <s v="Commented Video"/>
    <x v="1"/>
    <s v="I loved your pop of light accents throughout your terrace. Everything is so chic in a manly way😜I love your pots, mirrors and decorations. You have an eye for creating vignettes. Please make another video after your baby plants have matured and you have more greenery.🌳💕🌳💕"/>
    <s v="UCwbeXhIuQcw0x_2ciSHffvg"/>
    <s v="Mar Garcia"/>
    <s v="http://www.youtube.com/channel/UCwbeXhIuQcw0x_2ciSHffvg"/>
    <m/>
    <s v="-EA6GvKa0EA"/>
    <s v="https://www.youtube.com/watch?v=-EA6GvKa0EA"/>
    <s v="none"/>
    <n v="0"/>
    <x v="306"/>
    <s v="30/11/2018 04:49:51"/>
    <m/>
    <m/>
    <s v=""/>
    <n v="1"/>
    <s v="1"/>
    <s v="1"/>
    <n v="3"/>
    <n v="6.382978723404255"/>
    <n v="0"/>
    <n v="0"/>
    <n v="0"/>
    <n v="0"/>
    <n v="44"/>
    <n v="93.61702127659575"/>
    <n v="47"/>
  </r>
  <r>
    <s v="UCKs0kpPRJzJN6-51UZIr99Q"/>
    <s v="UCbUhO-tut97b5IQhZ3i7TMA"/>
    <m/>
    <m/>
    <m/>
    <m/>
    <m/>
    <m/>
    <m/>
    <m/>
    <s v="No"/>
    <n v="310"/>
    <m/>
    <m/>
    <s v="Commented Video"/>
    <x v="1"/>
    <s v="Totally love your roof top garden, My favourite items are all the lights, love the £5 lantern, and the bar.. i thought wow what a great bar item and then you said it, You have inspired me to go and sort ours out when the sun goes down as its too hot where we live ..thanks for sharing great idea&amp;#39;s :-)"/>
    <s v="UCKs0kpPRJzJN6-51UZIr99Q"/>
    <s v="Carrie D"/>
    <s v="http://www.youtube.com/channel/UCKs0kpPRJzJN6-51UZIr99Q"/>
    <m/>
    <s v="-EA6GvKa0EA"/>
    <s v="https://www.youtube.com/watch?v=-EA6GvKa0EA"/>
    <s v="none"/>
    <n v="0"/>
    <x v="307"/>
    <d v="2019-06-01T07:06:53.000"/>
    <m/>
    <m/>
    <s v=""/>
    <n v="1"/>
    <s v="1"/>
    <s v="1"/>
    <n v="7"/>
    <n v="11.290322580645162"/>
    <n v="0"/>
    <n v="0"/>
    <n v="0"/>
    <n v="0"/>
    <n v="55"/>
    <n v="88.70967741935483"/>
    <n v="62"/>
  </r>
  <r>
    <s v="UCEHb8tvFjA0pUXCEDXuntvA"/>
    <s v="UCbUhO-tut97b5IQhZ3i7TMA"/>
    <m/>
    <m/>
    <m/>
    <m/>
    <m/>
    <m/>
    <m/>
    <m/>
    <s v="No"/>
    <n v="311"/>
    <m/>
    <m/>
    <s v="Commented Video"/>
    <x v="1"/>
    <s v="Absolutely stunning"/>
    <s v="UCEHb8tvFjA0pUXCEDXuntvA"/>
    <s v="Ruban S"/>
    <s v="http://www.youtube.com/channel/UCEHb8tvFjA0pUXCEDXuntvA"/>
    <m/>
    <s v="-EA6GvKa0EA"/>
    <s v="https://www.youtube.com/watch?v=-EA6GvKa0EA"/>
    <s v="none"/>
    <n v="2"/>
    <x v="308"/>
    <s v="13/01/2019 07:05:33"/>
    <m/>
    <m/>
    <s v=""/>
    <n v="1"/>
    <s v="1"/>
    <s v="1"/>
    <n v="1"/>
    <n v="50"/>
    <n v="0"/>
    <n v="0"/>
    <n v="0"/>
    <n v="0"/>
    <n v="1"/>
    <n v="50"/>
    <n v="2"/>
  </r>
  <r>
    <s v="UCbUhO-tut97b5IQhZ3i7TMA"/>
    <s v="UCCV1EKfwQz_fQxhdV24brOg"/>
    <m/>
    <m/>
    <m/>
    <m/>
    <m/>
    <m/>
    <m/>
    <m/>
    <s v="Yes"/>
    <n v="312"/>
    <m/>
    <m/>
    <s v="Replied Comment"/>
    <x v="0"/>
    <s v="It was a gamble but I love it now :)"/>
    <s v="UCbUhO-tut97b5IQhZ3i7TMA"/>
    <s v="Mr Carrington"/>
    <s v="http://www.youtube.com/channel/UCbUhO-tut97b5IQhZ3i7TMA"/>
    <s v="Ugz79E5bCVCFjI4aJCV4AaABAg"/>
    <s v="DrCnSoZUXAc"/>
    <s v="https://www.youtube.com/watch?v=DrCnSoZUXAc"/>
    <s v="none"/>
    <n v="0"/>
    <x v="309"/>
    <s v="16/01/2019 23:30:42"/>
    <m/>
    <m/>
    <s v=""/>
    <n v="1"/>
    <s v="1"/>
    <s v="1"/>
    <n v="1"/>
    <n v="11.11111111111111"/>
    <n v="0"/>
    <n v="0"/>
    <n v="0"/>
    <n v="0"/>
    <n v="8"/>
    <n v="88.88888888888889"/>
    <n v="9"/>
  </r>
  <r>
    <s v="UCCV1EKfwQz_fQxhdV24brOg"/>
    <s v="UCbUhO-tut97b5IQhZ3i7TMA"/>
    <m/>
    <m/>
    <m/>
    <m/>
    <m/>
    <m/>
    <m/>
    <m/>
    <s v="Yes"/>
    <n v="313"/>
    <m/>
    <m/>
    <s v="Commented Video"/>
    <x v="1"/>
    <s v="Too funny at the end. Was not sure about the black stain but it does look good."/>
    <s v="UCCV1EKfwQz_fQxhdV24brOg"/>
    <s v="Karen Roberton"/>
    <s v="http://www.youtube.com/channel/UCCV1EKfwQz_fQxhdV24brOg"/>
    <m/>
    <s v="DrCnSoZUXAc"/>
    <s v="https://www.youtube.com/watch?v=DrCnSoZUXAc"/>
    <s v="none"/>
    <n v="0"/>
    <x v="310"/>
    <s v="16/01/2019 16:34:39"/>
    <m/>
    <m/>
    <s v=""/>
    <n v="2"/>
    <s v="1"/>
    <s v="1"/>
    <n v="1"/>
    <n v="5.882352941176471"/>
    <n v="2"/>
    <n v="11.764705882352942"/>
    <n v="0"/>
    <n v="0"/>
    <n v="14"/>
    <n v="82.3529411764706"/>
    <n v="17"/>
  </r>
  <r>
    <s v="UCCV1EKfwQz_fQxhdV24brOg"/>
    <s v="UCbUhO-tut97b5IQhZ3i7TMA"/>
    <m/>
    <m/>
    <m/>
    <m/>
    <m/>
    <m/>
    <m/>
    <m/>
    <s v="Yes"/>
    <n v="314"/>
    <m/>
    <m/>
    <s v="Commented Video"/>
    <x v="1"/>
    <s v="It is fantastic. That black stain is amazing. Loving all the lights.  The morror is genious"/>
    <s v="UCCV1EKfwQz_fQxhdV24brOg"/>
    <s v="Karen Roberton"/>
    <s v="http://www.youtube.com/channel/UCCV1EKfwQz_fQxhdV24brOg"/>
    <m/>
    <s v="-EA6GvKa0EA"/>
    <s v="https://www.youtube.com/watch?v=-EA6GvKa0EA"/>
    <s v="none"/>
    <n v="0"/>
    <x v="311"/>
    <s v="16/01/2019 16:45:49"/>
    <m/>
    <m/>
    <s v=""/>
    <n v="2"/>
    <s v="1"/>
    <s v="1"/>
    <n v="3"/>
    <n v="18.75"/>
    <n v="1"/>
    <n v="6.25"/>
    <n v="0"/>
    <n v="0"/>
    <n v="12"/>
    <n v="75"/>
    <n v="16"/>
  </r>
  <r>
    <s v="UCKN54OahwwhsC4xBTsQ43nA"/>
    <s v="UCbUhO-tut97b5IQhZ3i7TMA"/>
    <m/>
    <m/>
    <m/>
    <m/>
    <m/>
    <m/>
    <m/>
    <m/>
    <s v="No"/>
    <n v="315"/>
    <m/>
    <m/>
    <s v="Commented Video"/>
    <x v="1"/>
    <s v="Extremely rude of your neighbour to not discuss the wall with you before construction started. &lt;br&gt;But you turned an unpleasant situation into an awesome makeover! Well done!"/>
    <s v="UCKN54OahwwhsC4xBTsQ43nA"/>
    <s v="Catherine P"/>
    <s v="http://www.youtube.com/channel/UCKN54OahwwhsC4xBTsQ43nA"/>
    <m/>
    <s v="DrCnSoZUXAc"/>
    <s v="https://www.youtube.com/watch?v=DrCnSoZUXAc"/>
    <s v="none"/>
    <n v="1"/>
    <x v="312"/>
    <d v="2019-03-02T00:51:35.000"/>
    <m/>
    <m/>
    <s v=""/>
    <n v="2"/>
    <s v="1"/>
    <s v="1"/>
    <n v="2"/>
    <n v="7.142857142857143"/>
    <n v="2"/>
    <n v="7.142857142857143"/>
    <n v="0"/>
    <n v="0"/>
    <n v="24"/>
    <n v="85.71428571428571"/>
    <n v="28"/>
  </r>
  <r>
    <s v="UCKN54OahwwhsC4xBTsQ43nA"/>
    <s v="UCbUhO-tut97b5IQhZ3i7TMA"/>
    <m/>
    <m/>
    <m/>
    <m/>
    <m/>
    <m/>
    <m/>
    <m/>
    <s v="No"/>
    <n v="316"/>
    <m/>
    <m/>
    <s v="Commented Video"/>
    <x v="1"/>
    <s v="Be so relaxing during the day, sitting there. At night, it&amp;#39;s a mix between romantic &amp;amp; magical. You did an amazing job! Love it so much!"/>
    <s v="UCKN54OahwwhsC4xBTsQ43nA"/>
    <s v="Catherine P"/>
    <s v="http://www.youtube.com/channel/UCKN54OahwwhsC4xBTsQ43nA"/>
    <m/>
    <s v="-EA6GvKa0EA"/>
    <s v="https://www.youtube.com/watch?v=-EA6GvKa0EA"/>
    <s v="none"/>
    <n v="0"/>
    <x v="313"/>
    <s v="15/02/2019 08:04:53"/>
    <m/>
    <m/>
    <s v=""/>
    <n v="2"/>
    <s v="1"/>
    <s v="1"/>
    <n v="4"/>
    <n v="14.285714285714286"/>
    <n v="0"/>
    <n v="0"/>
    <n v="0"/>
    <n v="0"/>
    <n v="24"/>
    <n v="85.71428571428571"/>
    <n v="28"/>
  </r>
  <r>
    <s v="UCeUT7kK3p2Hr5yF54feUmMQ"/>
    <s v="UCbUhO-tut97b5IQhZ3i7TMA"/>
    <m/>
    <m/>
    <m/>
    <m/>
    <m/>
    <m/>
    <m/>
    <m/>
    <s v="No"/>
    <n v="317"/>
    <m/>
    <m/>
    <s v="Commented Video"/>
    <x v="1"/>
    <s v="Wow that black ash is awesome with the Flint grey. Now you can add colours with rugs"/>
    <s v="UCeUT7kK3p2Hr5yF54feUmMQ"/>
    <s v="Christine Matias"/>
    <s v="http://www.youtube.com/channel/UCeUT7kK3p2Hr5yF54feUmMQ"/>
    <m/>
    <s v="DrCnSoZUXAc"/>
    <s v="https://www.youtube.com/watch?v=DrCnSoZUXAc"/>
    <s v="none"/>
    <n v="0"/>
    <x v="314"/>
    <s v="28/02/2019 12:40:38"/>
    <m/>
    <m/>
    <s v=""/>
    <n v="2"/>
    <s v="1"/>
    <s v="1"/>
    <n v="2"/>
    <n v="11.764705882352942"/>
    <n v="0"/>
    <n v="0"/>
    <n v="0"/>
    <n v="0"/>
    <n v="15"/>
    <n v="88.23529411764706"/>
    <n v="17"/>
  </r>
  <r>
    <s v="UCeUT7kK3p2Hr5yF54feUmMQ"/>
    <s v="UCbUhO-tut97b5IQhZ3i7TMA"/>
    <m/>
    <m/>
    <m/>
    <m/>
    <m/>
    <m/>
    <m/>
    <m/>
    <s v="No"/>
    <n v="318"/>
    <m/>
    <m/>
    <s v="Commented Video"/>
    <x v="1"/>
    <s v="You have done such an amazing job I adore all the lights and mirrors . I am a great fan of lights wrapped around the plants"/>
    <s v="UCeUT7kK3p2Hr5yF54feUmMQ"/>
    <s v="Christine Matias"/>
    <s v="http://www.youtube.com/channel/UCeUT7kK3p2Hr5yF54feUmMQ"/>
    <m/>
    <s v="-EA6GvKa0EA"/>
    <s v="https://www.youtube.com/watch?v=-EA6GvKa0EA"/>
    <s v="none"/>
    <n v="3"/>
    <x v="315"/>
    <s v="28/02/2019 12:56:26"/>
    <m/>
    <m/>
    <s v=""/>
    <n v="2"/>
    <s v="1"/>
    <s v="1"/>
    <n v="3"/>
    <n v="12"/>
    <n v="0"/>
    <n v="0"/>
    <n v="0"/>
    <n v="0"/>
    <n v="22"/>
    <n v="88"/>
    <n v="25"/>
  </r>
  <r>
    <s v="UCgVOtYfjX191hZ_2brCXTqg"/>
    <s v="UCbUhO-tut97b5IQhZ3i7TMA"/>
    <m/>
    <m/>
    <m/>
    <m/>
    <m/>
    <m/>
    <m/>
    <m/>
    <s v="No"/>
    <n v="319"/>
    <m/>
    <m/>
    <s v="Commented Video"/>
    <x v="1"/>
    <s v="What&amp;#39;s not to love?  I love it all but I think the most useful thing for me would be the storage bench on casters.  I am going to make one for my area!  Thanks for the idea."/>
    <s v="UCgVOtYfjX191hZ_2brCXTqg"/>
    <s v="faerianne"/>
    <s v="http://www.youtube.com/channel/UCgVOtYfjX191hZ_2brCXTqg"/>
    <m/>
    <s v="-EA6GvKa0EA"/>
    <s v="https://www.youtube.com/watch?v=-EA6GvKa0EA"/>
    <s v="none"/>
    <n v="0"/>
    <x v="316"/>
    <s v="15/03/2019 00:09:16"/>
    <m/>
    <m/>
    <s v=""/>
    <n v="1"/>
    <s v="1"/>
    <s v="1"/>
    <n v="3"/>
    <n v="7.6923076923076925"/>
    <n v="0"/>
    <n v="0"/>
    <n v="0"/>
    <n v="0"/>
    <n v="36"/>
    <n v="92.3076923076923"/>
    <n v="39"/>
  </r>
  <r>
    <s v="UCobOGMv5B48aFldlU_DuKtw"/>
    <s v="UCbUhO-tut97b5IQhZ3i7TMA"/>
    <m/>
    <m/>
    <m/>
    <m/>
    <m/>
    <m/>
    <m/>
    <m/>
    <s v="No"/>
    <n v="320"/>
    <m/>
    <m/>
    <s v="Commented Video"/>
    <x v="1"/>
    <s v="looks fab. Well done!!"/>
    <s v="UCobOGMv5B48aFldlU_DuKtw"/>
    <s v="Jessica April"/>
    <s v="http://www.youtube.com/channel/UCobOGMv5B48aFldlU_DuKtw"/>
    <m/>
    <s v="-EA6GvKa0EA"/>
    <s v="https://www.youtube.com/watch?v=-EA6GvKa0EA"/>
    <s v="none"/>
    <n v="0"/>
    <x v="317"/>
    <s v="16/03/2019 06:00:25"/>
    <m/>
    <m/>
    <s v=""/>
    <n v="1"/>
    <s v="1"/>
    <s v="1"/>
    <n v="1"/>
    <n v="25"/>
    <n v="0"/>
    <n v="0"/>
    <n v="0"/>
    <n v="0"/>
    <n v="3"/>
    <n v="75"/>
    <n v="4"/>
  </r>
  <r>
    <s v="UClnyhAF3jx8wP1b4vUB1VKw"/>
    <s v="UCbUhO-tut97b5IQhZ3i7TMA"/>
    <m/>
    <m/>
    <m/>
    <m/>
    <m/>
    <m/>
    <m/>
    <m/>
    <s v="No"/>
    <n v="321"/>
    <m/>
    <m/>
    <s v="Commented Video"/>
    <x v="1"/>
    <s v="Loved this video what great ideas for a small space.  I have a patio area that will be transformed with your ideas, thank you for sharing xxxxxx"/>
    <s v="UClnyhAF3jx8wP1b4vUB1VKw"/>
    <s v="Nikola Bailey"/>
    <s v="http://www.youtube.com/channel/UClnyhAF3jx8wP1b4vUB1VKw"/>
    <m/>
    <s v="-EA6GvKa0EA"/>
    <s v="https://www.youtube.com/watch?v=-EA6GvKa0EA"/>
    <s v="none"/>
    <n v="0"/>
    <x v="318"/>
    <s v="26/03/2019 06:01:15"/>
    <m/>
    <m/>
    <s v=""/>
    <n v="1"/>
    <s v="1"/>
    <s v="1"/>
    <n v="3"/>
    <n v="11.11111111111111"/>
    <n v="0"/>
    <n v="0"/>
    <n v="0"/>
    <n v="0"/>
    <n v="24"/>
    <n v="88.88888888888889"/>
    <n v="27"/>
  </r>
  <r>
    <s v="UCOvlIAKZAkZiIcx_FH99u-g"/>
    <s v="UCbUhO-tut97b5IQhZ3i7TMA"/>
    <m/>
    <m/>
    <m/>
    <m/>
    <m/>
    <m/>
    <m/>
    <m/>
    <s v="No"/>
    <n v="322"/>
    <m/>
    <m/>
    <s v="Commented Video"/>
    <x v="1"/>
    <s v="Looking beautiful......!! 🌷🌿🌵☘🌹🍁🥀🌺🌻🌼😊😊😊😊❤❤❤."/>
    <s v="UCOvlIAKZAkZiIcx_FH99u-g"/>
    <s v="pixy Roy"/>
    <s v="http://www.youtube.com/channel/UCOvlIAKZAkZiIcx_FH99u-g"/>
    <m/>
    <s v="-EA6GvKa0EA"/>
    <s v="https://www.youtube.com/watch?v=-EA6GvKa0EA"/>
    <s v="none"/>
    <n v="0"/>
    <x v="319"/>
    <s v="27/03/2019 18:32:10"/>
    <m/>
    <m/>
    <s v=""/>
    <n v="1"/>
    <s v="1"/>
    <s v="1"/>
    <n v="1"/>
    <n v="50"/>
    <n v="0"/>
    <n v="0"/>
    <n v="0"/>
    <n v="0"/>
    <n v="1"/>
    <n v="50"/>
    <n v="2"/>
  </r>
  <r>
    <s v="UCZwIyhTg6Rv6LpsAuLQsxEg"/>
    <s v="UCbUhO-tut97b5IQhZ3i7TMA"/>
    <m/>
    <m/>
    <m/>
    <m/>
    <m/>
    <m/>
    <m/>
    <m/>
    <s v="No"/>
    <n v="323"/>
    <m/>
    <m/>
    <s v="Commented Video"/>
    <x v="1"/>
    <s v="You are very creative, &amp;amp; it turned out very nice. Greetings from Ohio!"/>
    <s v="UCZwIyhTg6Rv6LpsAuLQsxEg"/>
    <s v="Amazing Grace Empowerment Ministries, Inc."/>
    <s v="http://www.youtube.com/channel/UCZwIyhTg6Rv6LpsAuLQsxEg"/>
    <m/>
    <s v="-EA6GvKa0EA"/>
    <s v="https://www.youtube.com/watch?v=-EA6GvKa0EA"/>
    <s v="none"/>
    <n v="0"/>
    <x v="320"/>
    <s v="13/07/2019 16:46:17"/>
    <m/>
    <m/>
    <s v=""/>
    <n v="1"/>
    <s v="1"/>
    <s v="1"/>
    <n v="2"/>
    <n v="15.384615384615385"/>
    <n v="0"/>
    <n v="0"/>
    <n v="0"/>
    <n v="0"/>
    <n v="11"/>
    <n v="84.61538461538461"/>
    <n v="13"/>
  </r>
  <r>
    <s v="UCGC0LRO29Pl3QgzQwkLqIIg"/>
    <s v="UCbUhO-tut97b5IQhZ3i7TMA"/>
    <m/>
    <m/>
    <m/>
    <m/>
    <m/>
    <m/>
    <m/>
    <m/>
    <s v="No"/>
    <n v="324"/>
    <m/>
    <m/>
    <s v="Commented Video"/>
    <x v="1"/>
    <s v="Suzanne here, love your terrace at nite, awesome"/>
    <s v="UCGC0LRO29Pl3QgzQwkLqIIg"/>
    <s v="anthony lewis"/>
    <s v="http://www.youtube.com/channel/UCGC0LRO29Pl3QgzQwkLqIIg"/>
    <m/>
    <s v="-EA6GvKa0EA"/>
    <s v="https://www.youtube.com/watch?v=-EA6GvKa0EA"/>
    <s v="none"/>
    <n v="0"/>
    <x v="321"/>
    <d v="2019-08-09T03:47:13.000"/>
    <m/>
    <m/>
    <s v=""/>
    <n v="1"/>
    <s v="1"/>
    <s v="1"/>
    <n v="2"/>
    <n v="25"/>
    <n v="0"/>
    <n v="0"/>
    <n v="0"/>
    <n v="0"/>
    <n v="6"/>
    <n v="75"/>
    <n v="8"/>
  </r>
  <r>
    <s v="UCWgPxK9Ku1E8XMqrYJErutQ"/>
    <s v="UCbUhO-tut97b5IQhZ3i7TMA"/>
    <m/>
    <m/>
    <m/>
    <m/>
    <m/>
    <m/>
    <m/>
    <m/>
    <s v="No"/>
    <n v="325"/>
    <m/>
    <m/>
    <s v="Commented Video"/>
    <x v="1"/>
    <s v="The roof top garden looks lovely! Really like your storage on wheels,great idea 😊"/>
    <s v="UCWgPxK9Ku1E8XMqrYJErutQ"/>
    <s v="Terri Oakley"/>
    <s v="http://www.youtube.com/channel/UCWgPxK9Ku1E8XMqrYJErutQ"/>
    <m/>
    <s v="-EA6GvKa0EA"/>
    <s v="https://www.youtube.com/watch?v=-EA6GvKa0EA"/>
    <s v="none"/>
    <n v="0"/>
    <x v="322"/>
    <d v="2019-04-10T13:45:08.000"/>
    <m/>
    <m/>
    <s v=""/>
    <n v="1"/>
    <s v="1"/>
    <s v="1"/>
    <n v="4"/>
    <n v="28.571428571428573"/>
    <n v="0"/>
    <n v="0"/>
    <n v="0"/>
    <n v="0"/>
    <n v="10"/>
    <n v="71.42857142857143"/>
    <n v="14"/>
  </r>
  <r>
    <s v="UCjof3SIQuiUyMWY-J_sqdaQ"/>
    <s v="UCbUhO-tut97b5IQhZ3i7TMA"/>
    <m/>
    <m/>
    <m/>
    <m/>
    <m/>
    <m/>
    <m/>
    <m/>
    <s v="No"/>
    <n v="326"/>
    <m/>
    <m/>
    <s v="Commented Video"/>
    <x v="1"/>
    <s v="I just recently discovered your channel (after moving to London from Australia) and have been binging quite a few of your video. I really like your friendly and calm personality, it&amp;#39;s refreshing to see youtubers who are not over the top. I have been taking notes on your tips for places to go for good but cheap buys :)&lt;br&gt;&lt;br&gt;&lt;br&gt;Love how your terrace has turned out, it&amp;#39;s such a cozy and rustic piece of oasis. Funny that you mentioned squirrels, have you had any trouble with them eating your plants? I planted some fleshy succulents out on my terrace and they keep getting eaten. Would love some tips if you&amp;#39;ve had similar problems."/>
    <s v="UCjof3SIQuiUyMWY-J_sqdaQ"/>
    <s v="shufify"/>
    <s v="http://www.youtube.com/channel/UCjof3SIQuiUyMWY-J_sqdaQ"/>
    <m/>
    <s v="-EA6GvKa0EA"/>
    <s v="https://www.youtube.com/watch?v=-EA6GvKa0EA"/>
    <s v="none"/>
    <n v="0"/>
    <x v="323"/>
    <d v="2019-11-10T12:03:00.000"/>
    <m/>
    <m/>
    <s v=""/>
    <n v="1"/>
    <s v="1"/>
    <s v="1"/>
    <n v="10"/>
    <n v="8.264462809917354"/>
    <n v="4"/>
    <n v="3.3057851239669422"/>
    <n v="0"/>
    <n v="0"/>
    <n v="107"/>
    <n v="88.4297520661157"/>
    <n v="121"/>
  </r>
  <r>
    <s v="UCdPAbvhCW7vHSvUtN9_Kd3g"/>
    <s v="UCbUhO-tut97b5IQhZ3i7TMA"/>
    <m/>
    <m/>
    <m/>
    <m/>
    <m/>
    <m/>
    <m/>
    <m/>
    <s v="No"/>
    <n v="327"/>
    <m/>
    <m/>
    <s v="Commented Video"/>
    <x v="1"/>
    <s v="Alright Mr. Carrington, I see you!&lt;br&gt;Love your terrace makeover and your choice of music. Yep, you be jammin!!!"/>
    <s v="UCdPAbvhCW7vHSvUtN9_Kd3g"/>
    <s v="cc31952"/>
    <s v="http://www.youtube.com/channel/UCdPAbvhCW7vHSvUtN9_Kd3g"/>
    <m/>
    <s v="-EA6GvKa0EA"/>
    <s v="https://www.youtube.com/watch?v=-EA6GvKa0EA"/>
    <s v="none"/>
    <n v="0"/>
    <x v="324"/>
    <s v="13/10/2019 23:46:27"/>
    <m/>
    <m/>
    <s v=""/>
    <n v="1"/>
    <s v="1"/>
    <s v="1"/>
    <n v="1"/>
    <n v="5"/>
    <n v="0"/>
    <n v="0"/>
    <n v="0"/>
    <n v="0"/>
    <n v="19"/>
    <n v="95"/>
    <n v="20"/>
  </r>
  <r>
    <s v="UCX9oRY8OjlzVjQfx98TvZ0g"/>
    <s v="UCbUhO-tut97b5IQhZ3i7TMA"/>
    <m/>
    <m/>
    <m/>
    <m/>
    <m/>
    <m/>
    <m/>
    <m/>
    <s v="No"/>
    <n v="328"/>
    <m/>
    <m/>
    <s v="Commented Video"/>
    <x v="1"/>
    <s v="💐❤️💐. Love all of it its amazing"/>
    <s v="UCX9oRY8OjlzVjQfx98TvZ0g"/>
    <s v="Nan Ov4"/>
    <s v="http://www.youtube.com/channel/UCX9oRY8OjlzVjQfx98TvZ0g"/>
    <m/>
    <s v="-EA6GvKa0EA"/>
    <s v="https://www.youtube.com/watch?v=-EA6GvKa0EA"/>
    <s v="none"/>
    <n v="0"/>
    <x v="325"/>
    <s v="23/01/2020 10:20:40"/>
    <m/>
    <m/>
    <s v=""/>
    <n v="1"/>
    <s v="1"/>
    <s v="1"/>
    <n v="2"/>
    <n v="33.333333333333336"/>
    <n v="0"/>
    <n v="0"/>
    <n v="0"/>
    <n v="0"/>
    <n v="4"/>
    <n v="66.66666666666667"/>
    <n v="6"/>
  </r>
  <r>
    <s v="UCrtIh-s_or9ND_qGxMA3uFA"/>
    <s v="UCbUhO-tut97b5IQhZ3i7TMA"/>
    <m/>
    <m/>
    <m/>
    <m/>
    <m/>
    <m/>
    <m/>
    <m/>
    <s v="No"/>
    <n v="329"/>
    <m/>
    <m/>
    <s v="Commented Video"/>
    <x v="1"/>
    <s v="Your roof garden looks wonderful--those cherries! And where did you find that pony! I hear you about the emotional see-saw; I agree it can be helpful to do without our phones and laptops for a bit of a break. I hope you&amp;#39;re doing okay.  Enjoy the weekend and we&amp;#39;ll see you next time. Who doesn&amp;#39;t watch til the end?? You&amp;#39;re refreshing."/>
    <s v="UCrtIh-s_or9ND_qGxMA3uFA"/>
    <s v="Sue Cox"/>
    <s v="http://www.youtube.com/channel/UCrtIh-s_or9ND_qGxMA3uFA"/>
    <m/>
    <s v="xZPSNornzmk"/>
    <s v="https://www.youtube.com/watch?v=xZPSNornzmk"/>
    <s v="none"/>
    <n v="0"/>
    <x v="326"/>
    <s v="30/05/2020 16:29:27"/>
    <m/>
    <m/>
    <s v=""/>
    <n v="2"/>
    <s v="1"/>
    <s v="1"/>
    <n v="4"/>
    <n v="5.633802816901408"/>
    <n v="1"/>
    <n v="1.408450704225352"/>
    <n v="0"/>
    <n v="0"/>
    <n v="66"/>
    <n v="92.95774647887323"/>
    <n v="71"/>
  </r>
  <r>
    <s v="UCrtIh-s_or9ND_qGxMA3uFA"/>
    <s v="UCbUhO-tut97b5IQhZ3i7TMA"/>
    <m/>
    <m/>
    <m/>
    <m/>
    <m/>
    <m/>
    <m/>
    <m/>
    <s v="No"/>
    <n v="330"/>
    <m/>
    <m/>
    <s v="Commented Video"/>
    <x v="1"/>
    <s v="A lot of hard work and it&amp;#39;s paid off beautifully.  Well done."/>
    <s v="UCrtIh-s_or9ND_qGxMA3uFA"/>
    <s v="Sue Cox"/>
    <s v="http://www.youtube.com/channel/UCrtIh-s_or9ND_qGxMA3uFA"/>
    <m/>
    <s v="-EA6GvKa0EA"/>
    <s v="https://www.youtube.com/watch?v=-EA6GvKa0EA"/>
    <s v="none"/>
    <n v="0"/>
    <x v="327"/>
    <s v="15/02/2020 01:07:56"/>
    <m/>
    <m/>
    <s v=""/>
    <n v="2"/>
    <s v="1"/>
    <s v="1"/>
    <n v="3"/>
    <n v="21.428571428571427"/>
    <n v="1"/>
    <n v="7.142857142857143"/>
    <n v="0"/>
    <n v="0"/>
    <n v="10"/>
    <n v="71.42857142857143"/>
    <n v="14"/>
  </r>
  <r>
    <s v="UC1P9bd9bB4zhpXUnrdRNK8A"/>
    <s v="UCbUhO-tut97b5IQhZ3i7TMA"/>
    <m/>
    <m/>
    <m/>
    <m/>
    <m/>
    <m/>
    <m/>
    <m/>
    <s v="No"/>
    <n v="331"/>
    <m/>
    <m/>
    <s v="Commented Video"/>
    <x v="1"/>
    <s v="You look damn good.."/>
    <s v="UC1P9bd9bB4zhpXUnrdRNK8A"/>
    <s v="JAYANTA"/>
    <s v="http://www.youtube.com/channel/UC1P9bd9bB4zhpXUnrdRNK8A"/>
    <m/>
    <s v="-EA6GvKa0EA"/>
    <s v="https://www.youtube.com/watch?v=-EA6GvKa0EA"/>
    <s v="none"/>
    <n v="0"/>
    <x v="328"/>
    <s v="15/02/2020 15:40:23"/>
    <m/>
    <m/>
    <s v=""/>
    <n v="1"/>
    <s v="1"/>
    <s v="1"/>
    <n v="1"/>
    <n v="25"/>
    <n v="1"/>
    <n v="25"/>
    <n v="0"/>
    <n v="0"/>
    <n v="2"/>
    <n v="50"/>
    <n v="4"/>
  </r>
  <r>
    <s v="UCSz5lUKM8Jp96XOgK656krg"/>
    <s v="UCbUhO-tut97b5IQhZ3i7TMA"/>
    <m/>
    <m/>
    <m/>
    <m/>
    <m/>
    <m/>
    <m/>
    <m/>
    <s v="No"/>
    <n v="332"/>
    <m/>
    <m/>
    <s v="Commented Video"/>
    <x v="1"/>
    <s v="Looks very good Mr. Carrington! Also I love the way you speak. Great content on your channel!"/>
    <s v="UCSz5lUKM8Jp96XOgK656krg"/>
    <s v="S Sri"/>
    <s v="http://www.youtube.com/channel/UCSz5lUKM8Jp96XOgK656krg"/>
    <m/>
    <s v="-EA6GvKa0EA"/>
    <s v="https://www.youtube.com/watch?v=-EA6GvKa0EA"/>
    <s v="none"/>
    <n v="0"/>
    <x v="329"/>
    <s v="21/02/2020 17:11:14"/>
    <m/>
    <m/>
    <s v=""/>
    <n v="1"/>
    <s v="1"/>
    <s v="1"/>
    <n v="3"/>
    <n v="17.647058823529413"/>
    <n v="0"/>
    <n v="0"/>
    <n v="0"/>
    <n v="0"/>
    <n v="14"/>
    <n v="82.3529411764706"/>
    <n v="17"/>
  </r>
  <r>
    <s v="UC85xVGPQ85WjcdYrihWL-Ig"/>
    <s v="UCbUhO-tut97b5IQhZ3i7TMA"/>
    <m/>
    <m/>
    <m/>
    <m/>
    <m/>
    <m/>
    <m/>
    <m/>
    <s v="No"/>
    <n v="333"/>
    <m/>
    <m/>
    <s v="Commented Video"/>
    <x v="1"/>
    <s v="Lovely to see how it all started 👍🏼"/>
    <s v="UC85xVGPQ85WjcdYrihWL-Ig"/>
    <s v="Roxane Meunier"/>
    <s v="http://www.youtube.com/channel/UC85xVGPQ85WjcdYrihWL-Ig"/>
    <m/>
    <s v="DrCnSoZUXAc"/>
    <s v="https://www.youtube.com/watch?v=DrCnSoZUXAc"/>
    <s v="none"/>
    <n v="0"/>
    <x v="330"/>
    <s v="26/06/2020 11:30:46"/>
    <m/>
    <m/>
    <s v=""/>
    <n v="2"/>
    <s v="1"/>
    <s v="1"/>
    <n v="1"/>
    <n v="14.285714285714286"/>
    <n v="0"/>
    <n v="0"/>
    <n v="0"/>
    <n v="0"/>
    <n v="6"/>
    <n v="85.71428571428571"/>
    <n v="7"/>
  </r>
  <r>
    <s v="UC85xVGPQ85WjcdYrihWL-Ig"/>
    <s v="UCbUhO-tut97b5IQhZ3i7TMA"/>
    <m/>
    <m/>
    <m/>
    <m/>
    <m/>
    <m/>
    <m/>
    <m/>
    <s v="No"/>
    <n v="334"/>
    <m/>
    <m/>
    <s v="Commented Video"/>
    <x v="1"/>
    <s v="I am so jealous of your rooftop garden.&lt;br&gt;Ive seen the 2020 version, but its nice to go back and see how it started. Good job!!"/>
    <s v="UC85xVGPQ85WjcdYrihWL-Ig"/>
    <s v="Roxane Meunier"/>
    <s v="http://www.youtube.com/channel/UC85xVGPQ85WjcdYrihWL-Ig"/>
    <m/>
    <s v="-EA6GvKa0EA"/>
    <s v="https://www.youtube.com/watch?v=-EA6GvKa0EA"/>
    <s v="none"/>
    <n v="0"/>
    <x v="331"/>
    <s v="16/06/2020 14:29:21"/>
    <m/>
    <m/>
    <s v=""/>
    <n v="2"/>
    <s v="1"/>
    <s v="1"/>
    <n v="2"/>
    <n v="7.407407407407407"/>
    <n v="1"/>
    <n v="3.7037037037037037"/>
    <n v="0"/>
    <n v="0"/>
    <n v="24"/>
    <n v="88.88888888888889"/>
    <n v="27"/>
  </r>
  <r>
    <s v="UCcE-JknRjqBO8qHhDoparhg"/>
    <s v="UCbUhO-tut97b5IQhZ3i7TMA"/>
    <m/>
    <m/>
    <m/>
    <m/>
    <m/>
    <m/>
    <m/>
    <m/>
    <s v="No"/>
    <n v="335"/>
    <m/>
    <m/>
    <s v="Commented Video"/>
    <x v="1"/>
    <s v="That turned out just stunning. So relaxing. Watching the sun go down, having a glass of white wine amongst the plants. My reading nook."/>
    <s v="UCcE-JknRjqBO8qHhDoparhg"/>
    <s v="Little Dotti"/>
    <s v="http://www.youtube.com/channel/UCcE-JknRjqBO8qHhDoparhg"/>
    <m/>
    <s v="-EA6GvKa0EA"/>
    <s v="https://www.youtube.com/watch?v=-EA6GvKa0EA"/>
    <s v="none"/>
    <n v="1"/>
    <x v="332"/>
    <d v="2020-06-07T02:50:50.000"/>
    <m/>
    <m/>
    <s v=""/>
    <n v="1"/>
    <s v="1"/>
    <s v="1"/>
    <n v="1"/>
    <n v="4.166666666666667"/>
    <n v="0"/>
    <n v="0"/>
    <n v="0"/>
    <n v="0"/>
    <n v="23"/>
    <n v="95.83333333333333"/>
    <n v="24"/>
  </r>
  <r>
    <s v="UCxfWedwukITiorRl7cCz3lw"/>
    <s v="UCbUhO-tut97b5IQhZ3i7TMA"/>
    <m/>
    <m/>
    <m/>
    <m/>
    <m/>
    <m/>
    <m/>
    <m/>
    <s v="No"/>
    <n v="336"/>
    <m/>
    <m/>
    <s v="Commented Video"/>
    <x v="1"/>
    <s v="Thank you so much for this video.  I&amp;#39;ve not seen any help on challenging tiny spaces before and this is just the perfect inspiration for my own itsy bitsy courtyard.  I love how you have gone &amp;#39;up&amp;#39; with your make over, adding lights at height and proportionate accessories.  You are also so smiley...I like that. xxx"/>
    <s v="UCxfWedwukITiorRl7cCz3lw"/>
    <s v="Angie Lowe"/>
    <s v="http://www.youtube.com/channel/UCxfWedwukITiorRl7cCz3lw"/>
    <m/>
    <s v="-EA6GvKa0EA"/>
    <s v="https://www.youtube.com/watch?v=-EA6GvKa0EA"/>
    <s v="none"/>
    <n v="0"/>
    <x v="333"/>
    <d v="2021-12-06T22:07:47.000"/>
    <m/>
    <m/>
    <s v=""/>
    <n v="1"/>
    <s v="1"/>
    <s v="1"/>
    <n v="5"/>
    <n v="8.19672131147541"/>
    <n v="1"/>
    <n v="1.639344262295082"/>
    <n v="0"/>
    <n v="0"/>
    <n v="55"/>
    <n v="90.1639344262295"/>
    <n v="61"/>
  </r>
  <r>
    <s v="UCbUhO-tut97b5IQhZ3i7TMA"/>
    <s v="UCIDayX8LE21U6poqP1Ipf6Q"/>
    <m/>
    <m/>
    <m/>
    <m/>
    <m/>
    <m/>
    <m/>
    <m/>
    <s v="Yes"/>
    <n v="337"/>
    <m/>
    <m/>
    <s v="Replied Comment"/>
    <x v="0"/>
    <s v="Flying tiger but it was a long time ago I’m afraid!"/>
    <s v="UCbUhO-tut97b5IQhZ3i7TMA"/>
    <s v="Mr Carrington"/>
    <s v="http://www.youtube.com/channel/UCbUhO-tut97b5IQhZ3i7TMA"/>
    <s v="Ugwb0mD1W7or-_s1sAV4AaABAg"/>
    <s v="-EA6GvKa0EA"/>
    <s v="https://www.youtube.com/watch?v=-EA6GvKa0EA"/>
    <s v="none"/>
    <n v="0"/>
    <x v="334"/>
    <s v="17/07/2021 09:50:20"/>
    <m/>
    <m/>
    <s v=""/>
    <n v="1"/>
    <s v="1"/>
    <s v="1"/>
    <n v="0"/>
    <n v="0"/>
    <n v="1"/>
    <n v="8.333333333333334"/>
    <n v="0"/>
    <n v="0"/>
    <n v="11"/>
    <n v="91.66666666666667"/>
    <n v="12"/>
  </r>
  <r>
    <s v="UCIDayX8LE21U6poqP1Ipf6Q"/>
    <s v="UCIDayX8LE21U6poqP1Ipf6Q"/>
    <m/>
    <m/>
    <m/>
    <m/>
    <m/>
    <m/>
    <m/>
    <m/>
    <s v="No"/>
    <n v="338"/>
    <m/>
    <m/>
    <s v="Replied Comment"/>
    <x v="0"/>
    <s v="@Mr Carrington Wow thanks for answering! I know you have a lot of vids and therefore probably a lot of comments, so it means a lot. You&amp;#39;ve earned a subscriber :)"/>
    <s v="UCIDayX8LE21U6poqP1Ipf6Q"/>
    <s v="trashlen"/>
    <s v="http://www.youtube.com/channel/UCIDayX8LE21U6poqP1Ipf6Q"/>
    <s v="Ugwb0mD1W7or-_s1sAV4AaABAg"/>
    <s v="-EA6GvKa0EA"/>
    <s v="https://www.youtube.com/watch?v=-EA6GvKa0EA"/>
    <s v="none"/>
    <n v="0"/>
    <x v="335"/>
    <s v="17/07/2021 09:58:12"/>
    <m/>
    <m/>
    <s v=""/>
    <n v="1"/>
    <s v="1"/>
    <s v="1"/>
    <n v="1"/>
    <n v="3.125"/>
    <n v="0"/>
    <n v="0"/>
    <n v="0"/>
    <n v="0"/>
    <n v="31"/>
    <n v="96.875"/>
    <n v="32"/>
  </r>
  <r>
    <s v="UCIDayX8LE21U6poqP1Ipf6Q"/>
    <s v="UCbUhO-tut97b5IQhZ3i7TMA"/>
    <m/>
    <m/>
    <m/>
    <m/>
    <m/>
    <m/>
    <m/>
    <m/>
    <s v="Yes"/>
    <n v="339"/>
    <m/>
    <m/>
    <s v="Commented Video"/>
    <x v="1"/>
    <s v="Where did you get the bar from? I think you said &amp;quot;Tiger&amp;quot; but I&amp;#39;m not entirely sure and couldn&amp;#39;t find anything on google. Thanks!"/>
    <s v="UCIDayX8LE21U6poqP1Ipf6Q"/>
    <s v="trashlen"/>
    <s v="http://www.youtube.com/channel/UCIDayX8LE21U6poqP1Ipf6Q"/>
    <m/>
    <s v="-EA6GvKa0EA"/>
    <s v="https://www.youtube.com/watch?v=-EA6GvKa0EA"/>
    <s v="none"/>
    <n v="0"/>
    <x v="336"/>
    <s v="16/07/2021 10:15:34"/>
    <m/>
    <m/>
    <s v=""/>
    <n v="1"/>
    <s v="1"/>
    <s v="1"/>
    <n v="0"/>
    <n v="0"/>
    <n v="0"/>
    <n v="0"/>
    <n v="0"/>
    <n v="0"/>
    <n v="30"/>
    <n v="100"/>
    <n v="30"/>
  </r>
  <r>
    <s v="UCUDWzsyamgNaQLBtCA8snUw"/>
    <s v="UCgnm8eOSP2muRSWY3JJqZ6Q"/>
    <m/>
    <m/>
    <m/>
    <m/>
    <m/>
    <m/>
    <m/>
    <m/>
    <s v="No"/>
    <n v="340"/>
    <m/>
    <m/>
    <s v="Commented Video"/>
    <x v="1"/>
    <s v="👍"/>
    <s v="UCUDWzsyamgNaQLBtCA8snUw"/>
    <s v="Zara R"/>
    <s v="http://www.youtube.com/channel/UCUDWzsyamgNaQLBtCA8snUw"/>
    <m/>
    <s v="z_W3kQxvRqY"/>
    <s v="https://www.youtube.com/watch?v=z_W3kQxvRqY"/>
    <s v="none"/>
    <n v="1"/>
    <x v="337"/>
    <s v="22/09/2020 23:56:14"/>
    <m/>
    <m/>
    <s v=""/>
    <n v="1"/>
    <s v="9"/>
    <s v="9"/>
    <n v="0"/>
    <n v="0"/>
    <n v="0"/>
    <n v="0"/>
    <n v="0"/>
    <n v="0"/>
    <n v="0"/>
    <n v="0"/>
    <n v="0"/>
  </r>
  <r>
    <s v="UCgnm8eOSP2muRSWY3JJqZ6Q"/>
    <s v="UC5BNlWKYh5VCnPNxK16NfTQ"/>
    <m/>
    <m/>
    <m/>
    <m/>
    <m/>
    <m/>
    <m/>
    <m/>
    <s v="Yes"/>
    <n v="341"/>
    <m/>
    <m/>
    <s v="Replied Comment"/>
    <x v="0"/>
    <s v="I agree. This is a stunning part of London"/>
    <s v="UCgnm8eOSP2muRSWY3JJqZ6Q"/>
    <s v="In Search of Ambience"/>
    <s v="http://www.youtube.com/channel/UCgnm8eOSP2muRSWY3JJqZ6Q"/>
    <s v="UgxhopzfxtWTPhNw0514AaABAg"/>
    <s v="z_W3kQxvRqY"/>
    <s v="https://www.youtube.com/watch?v=z_W3kQxvRqY"/>
    <s v="none"/>
    <n v="0"/>
    <x v="338"/>
    <s v="26/09/2020 11:26:54"/>
    <m/>
    <m/>
    <s v=""/>
    <n v="1"/>
    <s v="9"/>
    <s v="9"/>
    <n v="1"/>
    <n v="11.11111111111111"/>
    <n v="0"/>
    <n v="0"/>
    <n v="0"/>
    <n v="0"/>
    <n v="8"/>
    <n v="88.88888888888889"/>
    <n v="9"/>
  </r>
  <r>
    <s v="UC5BNlWKYh5VCnPNxK16NfTQ"/>
    <s v="UCgnm8eOSP2muRSWY3JJqZ6Q"/>
    <m/>
    <m/>
    <m/>
    <m/>
    <m/>
    <m/>
    <m/>
    <m/>
    <s v="Yes"/>
    <n v="342"/>
    <m/>
    <m/>
    <s v="Commented Video"/>
    <x v="1"/>
    <s v="very nice, i see some spot interesting for architecture photography"/>
    <s v="UC5BNlWKYh5VCnPNxK16NfTQ"/>
    <s v="EarthCirconference By OB"/>
    <s v="http://www.youtube.com/channel/UC5BNlWKYh5VCnPNxK16NfTQ"/>
    <m/>
    <s v="z_W3kQxvRqY"/>
    <s v="https://www.youtube.com/watch?v=z_W3kQxvRqY"/>
    <s v="none"/>
    <n v="1"/>
    <x v="339"/>
    <s v="26/09/2020 08:32:26"/>
    <m/>
    <m/>
    <s v=""/>
    <n v="1"/>
    <s v="9"/>
    <s v="9"/>
    <n v="2"/>
    <n v="20"/>
    <n v="0"/>
    <n v="0"/>
    <n v="0"/>
    <n v="0"/>
    <n v="8"/>
    <n v="80"/>
    <n v="10"/>
  </r>
  <r>
    <s v="UCjJC-AYgE01N7cgK18k2u4g"/>
    <s v="UCgnm8eOSP2muRSWY3JJqZ6Q"/>
    <m/>
    <m/>
    <m/>
    <m/>
    <m/>
    <m/>
    <m/>
    <m/>
    <s v="No"/>
    <n v="343"/>
    <m/>
    <m/>
    <s v="Commented Video"/>
    <x v="1"/>
    <s v="Would like to do this route, pity it cuts off a few times so you can&amp;#39;t follow directions too good."/>
    <s v="UCjJC-AYgE01N7cgK18k2u4g"/>
    <s v="patdevine59"/>
    <s v="http://www.youtube.com/channel/UCjJC-AYgE01N7cgK18k2u4g"/>
    <m/>
    <s v="z_W3kQxvRqY"/>
    <s v="https://www.youtube.com/watch?v=z_W3kQxvRqY"/>
    <s v="none"/>
    <n v="1"/>
    <x v="340"/>
    <d v="2021-05-07T18:01:52.000"/>
    <m/>
    <m/>
    <s v=""/>
    <n v="1"/>
    <s v="9"/>
    <s v="9"/>
    <n v="2"/>
    <n v="9.090909090909092"/>
    <n v="1"/>
    <n v="4.545454545454546"/>
    <n v="0"/>
    <n v="0"/>
    <n v="19"/>
    <n v="86.36363636363636"/>
    <n v="22"/>
  </r>
  <r>
    <s v="UCbUhO-tut97b5IQhZ3i7TMA"/>
    <s v="UCzXs1IS5XDX9HJHgP4Ru94A"/>
    <m/>
    <m/>
    <m/>
    <m/>
    <m/>
    <m/>
    <m/>
    <m/>
    <s v="Yes"/>
    <n v="344"/>
    <m/>
    <m/>
    <s v="Replied Comment"/>
    <x v="0"/>
    <s v="Will be so fun :)"/>
    <s v="UCbUhO-tut97b5IQhZ3i7TMA"/>
    <s v="Mr Carrington"/>
    <s v="http://www.youtube.com/channel/UCbUhO-tut97b5IQhZ3i7TMA"/>
    <s v="Ugx63qep7nARULeBt8h4AaABAg"/>
    <s v="JCTlws1bpAY"/>
    <s v="https://www.youtube.com/watch?v=JCTlws1bpAY"/>
    <s v="none"/>
    <n v="0"/>
    <x v="341"/>
    <d v="2018-07-09T19:55:28.000"/>
    <m/>
    <m/>
    <s v=""/>
    <n v="1"/>
    <s v="1"/>
    <s v="1"/>
    <n v="1"/>
    <n v="25"/>
    <n v="0"/>
    <n v="0"/>
    <n v="0"/>
    <n v="0"/>
    <n v="3"/>
    <n v="75"/>
    <n v="4"/>
  </r>
  <r>
    <s v="UCzXs1IS5XDX9HJHgP4Ru94A"/>
    <s v="UCbUhO-tut97b5IQhZ3i7TMA"/>
    <m/>
    <m/>
    <m/>
    <m/>
    <m/>
    <m/>
    <m/>
    <m/>
    <s v="Yes"/>
    <n v="345"/>
    <m/>
    <m/>
    <s v="Commented Video"/>
    <x v="1"/>
    <s v="Hi ya it look lovely can’t wait to see you and Kate car booting together"/>
    <s v="UCzXs1IS5XDX9HJHgP4Ru94A"/>
    <s v="Susan Smith"/>
    <s v="http://www.youtube.com/channel/UCzXs1IS5XDX9HJHgP4Ru94A"/>
    <m/>
    <s v="JCTlws1bpAY"/>
    <s v="https://www.youtube.com/watch?v=JCTlws1bpAY"/>
    <s v="none"/>
    <n v="0"/>
    <x v="342"/>
    <d v="2018-05-09T23:27:12.000"/>
    <m/>
    <m/>
    <s v=""/>
    <n v="1"/>
    <s v="1"/>
    <s v="1"/>
    <n v="1"/>
    <n v="6.25"/>
    <n v="0"/>
    <n v="0"/>
    <n v="0"/>
    <n v="0"/>
    <n v="15"/>
    <n v="93.75"/>
    <n v="16"/>
  </r>
  <r>
    <s v="UCkV9GnyBhEBzSoxH3eLKSjA"/>
    <s v="UCbUhO-tut97b5IQhZ3i7TMA"/>
    <m/>
    <m/>
    <m/>
    <m/>
    <m/>
    <m/>
    <m/>
    <m/>
    <s v="Yes"/>
    <n v="346"/>
    <m/>
    <m/>
    <s v="Commented Video"/>
    <x v="1"/>
    <s v="Ahh remember these? Noooooo Mr.C dont do it ( just knew that nettle would jump up and bite you) also I tried to remove that bit of fluff from your hair 🤣🤣 when you had your brown? Sweatshirt on b4 the lovely  walk, wasn&amp;#39;t sure if I&amp;#39;d got a crumb stuck on my tablet ??  Just love your outdoorsey nature vids , the birdsong is beautiful isn&amp;#39;t it, I walk an hour every day with my dog and think well that&amp;#39;s a truly positive from the awful covid , take care Mr.C"/>
    <s v="UCkV9GnyBhEBzSoxH3eLKSjA"/>
    <s v="K. B"/>
    <s v="http://www.youtube.com/channel/UCkV9GnyBhEBzSoxH3eLKSjA"/>
    <m/>
    <s v="xZPSNornzmk"/>
    <s v="https://www.youtube.com/watch?v=xZPSNornzmk"/>
    <s v="none"/>
    <n v="0"/>
    <x v="343"/>
    <s v="31/05/2020 01:45:51"/>
    <m/>
    <m/>
    <s v=""/>
    <n v="2"/>
    <s v="1"/>
    <s v="1"/>
    <n v="5"/>
    <n v="5.154639175257732"/>
    <n v="3"/>
    <n v="3.0927835051546393"/>
    <n v="0"/>
    <n v="0"/>
    <n v="89"/>
    <n v="91.75257731958763"/>
    <n v="97"/>
  </r>
  <r>
    <s v="UCbUhO-tut97b5IQhZ3i7TMA"/>
    <s v="UCkV9GnyBhEBzSoxH3eLKSjA"/>
    <m/>
    <m/>
    <m/>
    <m/>
    <m/>
    <m/>
    <m/>
    <m/>
    <s v="Yes"/>
    <n v="347"/>
    <m/>
    <m/>
    <s v="Replied Comment"/>
    <x v="0"/>
    <s v="haha :)"/>
    <s v="UCbUhO-tut97b5IQhZ3i7TMA"/>
    <s v="Mr Carrington"/>
    <s v="http://www.youtube.com/channel/UCbUhO-tut97b5IQhZ3i7TMA"/>
    <s v="UgySDgZZdAlmBtLERMJ4AaABAg"/>
    <s v="JCTlws1bpAY"/>
    <s v="https://www.youtube.com/watch?v=JCTlws1bpAY"/>
    <s v="none"/>
    <n v="1"/>
    <x v="344"/>
    <d v="2018-07-09T19:55:36.000"/>
    <m/>
    <m/>
    <s v=""/>
    <n v="1"/>
    <s v="1"/>
    <s v="1"/>
    <n v="0"/>
    <n v="0"/>
    <n v="0"/>
    <n v="0"/>
    <n v="0"/>
    <n v="0"/>
    <n v="1"/>
    <n v="100"/>
    <n v="1"/>
  </r>
  <r>
    <s v="UCkV9GnyBhEBzSoxH3eLKSjA"/>
    <s v="UCbUhO-tut97b5IQhZ3i7TMA"/>
    <m/>
    <m/>
    <m/>
    <m/>
    <m/>
    <m/>
    <m/>
    <m/>
    <s v="Yes"/>
    <n v="348"/>
    <m/>
    <m/>
    <s v="Commented Video"/>
    <x v="1"/>
    <s v="My hubby would luv your roof garden he&amp;#39;s a mad plane follower! ( problem being he would announce every model and it&amp;#39;s destination! Really annoying ) ;-) I would suggest we would just chill out with a mohito ,Or two ? And look at the twinkling lights and lovely greenery, it&amp;#39;s fab Mr.C !"/>
    <s v="UCkV9GnyBhEBzSoxH3eLKSjA"/>
    <s v="K. B"/>
    <s v="http://www.youtube.com/channel/UCkV9GnyBhEBzSoxH3eLKSjA"/>
    <m/>
    <s v="JCTlws1bpAY"/>
    <s v="https://www.youtube.com/watch?v=JCTlws1bpAY"/>
    <s v="none"/>
    <n v="1"/>
    <x v="345"/>
    <d v="2018-05-09T23:57:38.000"/>
    <m/>
    <m/>
    <s v=""/>
    <n v="2"/>
    <s v="1"/>
    <s v="1"/>
    <n v="1"/>
    <n v="1.7857142857142858"/>
    <n v="4"/>
    <n v="7.142857142857143"/>
    <n v="0"/>
    <n v="0"/>
    <n v="51"/>
    <n v="91.07142857142857"/>
    <n v="56"/>
  </r>
  <r>
    <s v="UCvgU7w2LYXQAHxlgdEa9D6w"/>
    <s v="UCbUhO-tut97b5IQhZ3i7TMA"/>
    <m/>
    <m/>
    <m/>
    <m/>
    <m/>
    <m/>
    <m/>
    <m/>
    <s v="No"/>
    <n v="349"/>
    <m/>
    <m/>
    <s v="Commented Video"/>
    <x v="1"/>
    <s v="I LOVE IT!!!!!!!!!! And your shirt TOO!!!!!!!"/>
    <s v="UCvgU7w2LYXQAHxlgdEa9D6w"/>
    <s v="Rey Jaramillo"/>
    <s v="http://www.youtube.com/channel/UCvgU7w2LYXQAHxlgdEa9D6w"/>
    <m/>
    <s v="JCTlws1bpAY"/>
    <s v="https://www.youtube.com/watch?v=JCTlws1bpAY"/>
    <s v="none"/>
    <n v="0"/>
    <x v="346"/>
    <d v="2018-06-09T00:53:35.000"/>
    <m/>
    <m/>
    <s v=""/>
    <n v="1"/>
    <s v="1"/>
    <s v="1"/>
    <n v="1"/>
    <n v="14.285714285714286"/>
    <n v="0"/>
    <n v="0"/>
    <n v="0"/>
    <n v="0"/>
    <n v="6"/>
    <n v="85.71428571428571"/>
    <n v="7"/>
  </r>
  <r>
    <s v="UCbUhO-tut97b5IQhZ3i7TMA"/>
    <s v="UC-QudR4SxVYXGzb1G4qupjA"/>
    <m/>
    <m/>
    <m/>
    <m/>
    <m/>
    <m/>
    <m/>
    <m/>
    <s v="Yes"/>
    <n v="350"/>
    <m/>
    <m/>
    <s v="Replied Comment"/>
    <x v="0"/>
    <s v="Love that idea :) Thank you!"/>
    <s v="UCbUhO-tut97b5IQhZ3i7TMA"/>
    <s v="Mr Carrington"/>
    <s v="http://www.youtube.com/channel/UCbUhO-tut97b5IQhZ3i7TMA"/>
    <s v="UgxBY1qAa1Dtva2bNcN4AaABAg"/>
    <s v="JCTlws1bpAY"/>
    <s v="https://www.youtube.com/watch?v=JCTlws1bpAY"/>
    <s v="none"/>
    <n v="0"/>
    <x v="347"/>
    <d v="2018-07-09T19:57:02.000"/>
    <m/>
    <m/>
    <s v=""/>
    <n v="1"/>
    <s v="1"/>
    <s v="1"/>
    <n v="2"/>
    <n v="40"/>
    <n v="0"/>
    <n v="0"/>
    <n v="0"/>
    <n v="0"/>
    <n v="3"/>
    <n v="60"/>
    <n v="5"/>
  </r>
  <r>
    <s v="UC-QudR4SxVYXGzb1G4qupjA"/>
    <s v="UCbUhO-tut97b5IQhZ3i7TMA"/>
    <m/>
    <m/>
    <m/>
    <m/>
    <m/>
    <m/>
    <m/>
    <m/>
    <s v="Yes"/>
    <n v="351"/>
    <m/>
    <m/>
    <s v="Commented Video"/>
    <x v="1"/>
    <s v="Awww it looks amazing... been following your roof top terrace makeover and think you have done so well... I can imagine sitting in the sun with a cool drink and admiring all your hard work is very rewarding... How about a water feature that recycles the water? It would definitely add to the ambiance!!! I think the wall looks perfect white... very clean and fresh and shows off all your lovely plants (I think you pronounce hebe... hee bees... at least that&amp;#39;s what my Mum calls them... she&amp;#39;s a keen gardener and worked in a garden centre when I was little!!) I love all your videos... your enthusiasm shines through (even when you do get annoying planes over head!!! 😉) Well done Mr C... You should be very proud of yourself xx"/>
    <s v="UC-QudR4SxVYXGzb1G4qupjA"/>
    <s v="Jacquie Mortimer"/>
    <s v="http://www.youtube.com/channel/UC-QudR4SxVYXGzb1G4qupjA"/>
    <m/>
    <s v="JCTlws1bpAY"/>
    <s v="https://www.youtube.com/watch?v=JCTlws1bpAY"/>
    <s v="none"/>
    <n v="0"/>
    <x v="348"/>
    <d v="2018-06-09T01:33:16.000"/>
    <m/>
    <m/>
    <s v=""/>
    <n v="1"/>
    <s v="1"/>
    <s v="1"/>
    <n v="17"/>
    <n v="12.592592592592593"/>
    <n v="2"/>
    <n v="1.4814814814814814"/>
    <n v="0"/>
    <n v="0"/>
    <n v="116"/>
    <n v="85.92592592592592"/>
    <n v="135"/>
  </r>
  <r>
    <s v="UCZDFCXZ8ou1HRP-tcn2ymcQ"/>
    <s v="UCbUhO-tut97b5IQhZ3i7TMA"/>
    <m/>
    <m/>
    <m/>
    <m/>
    <m/>
    <m/>
    <m/>
    <m/>
    <s v="No"/>
    <n v="352"/>
    <m/>
    <m/>
    <s v="Commented Video"/>
    <x v="1"/>
    <s v="Amazing Roof Makeover Video &lt;a href=&quot;http://www.youtube.com/results?search_query=%23MrCarrington&quot;&gt;#MrCarrington&lt;/a&gt; 👍👍👍👍⭐️⭐️⭐️⭐️⭐️🤩🤩🤩💯💯💯💯🏆📱"/>
    <s v="UCZDFCXZ8ou1HRP-tcn2ymcQ"/>
    <s v="Dwight Slemmons"/>
    <s v="http://www.youtube.com/channel/UCZDFCXZ8ou1HRP-tcn2ymcQ"/>
    <m/>
    <s v="JCTlws1bpAY"/>
    <s v="https://www.youtube.com/watch?v=JCTlws1bpAY"/>
    <s v="none"/>
    <n v="0"/>
    <x v="349"/>
    <d v="2018-06-09T01:35:11.000"/>
    <s v=" http://www.youtube.com/results?search_query=%23MrCarrington"/>
    <s v="youtube.com"/>
    <s v=""/>
    <n v="1"/>
    <s v="1"/>
    <s v="1"/>
    <n v="1"/>
    <n v="6.666666666666667"/>
    <n v="0"/>
    <n v="0"/>
    <n v="0"/>
    <n v="0"/>
    <n v="14"/>
    <n v="93.33333333333333"/>
    <n v="15"/>
  </r>
  <r>
    <s v="UCItNUirJgbPLArlRlEisHqg"/>
    <s v="UCbUhO-tut97b5IQhZ3i7TMA"/>
    <m/>
    <m/>
    <m/>
    <m/>
    <m/>
    <m/>
    <m/>
    <m/>
    <s v="No"/>
    <n v="353"/>
    <m/>
    <m/>
    <s v="Commented Video"/>
    <x v="1"/>
    <s v="Mr.Carrington, all you need is to plan a  party...M♡M of 5"/>
    <s v="UCItNUirJgbPLArlRlEisHqg"/>
    <s v="Teresa Baltazar"/>
    <s v="http://www.youtube.com/channel/UCItNUirJgbPLArlRlEisHqg"/>
    <m/>
    <s v="JCTlws1bpAY"/>
    <s v="https://www.youtube.com/watch?v=JCTlws1bpAY"/>
    <s v="none"/>
    <n v="1"/>
    <x v="350"/>
    <d v="2018-06-09T04:36:07.000"/>
    <m/>
    <m/>
    <s v=""/>
    <n v="1"/>
    <s v="1"/>
    <s v="1"/>
    <n v="0"/>
    <n v="0"/>
    <n v="0"/>
    <n v="0"/>
    <n v="0"/>
    <n v="0"/>
    <n v="14"/>
    <n v="100"/>
    <n v="14"/>
  </r>
  <r>
    <s v="UCRALVaMU0mFkY-m_EmKWuoA"/>
    <s v="UCbUhO-tut97b5IQhZ3i7TMA"/>
    <m/>
    <m/>
    <m/>
    <m/>
    <m/>
    <m/>
    <m/>
    <m/>
    <s v="No"/>
    <n v="354"/>
    <m/>
    <m/>
    <s v="Commented Video"/>
    <x v="1"/>
    <s v="😍😍"/>
    <s v="UCRALVaMU0mFkY-m_EmKWuoA"/>
    <s v="Harpreet Kaur"/>
    <s v="http://www.youtube.com/channel/UCRALVaMU0mFkY-m_EmKWuoA"/>
    <m/>
    <s v="JCTlws1bpAY"/>
    <s v="https://www.youtube.com/watch?v=JCTlws1bpAY"/>
    <s v="none"/>
    <n v="0"/>
    <x v="351"/>
    <d v="2018-06-09T06:04:28.000"/>
    <m/>
    <m/>
    <s v=""/>
    <n v="1"/>
    <s v="1"/>
    <s v="1"/>
    <n v="0"/>
    <n v="0"/>
    <n v="0"/>
    <n v="0"/>
    <n v="0"/>
    <n v="0"/>
    <n v="0"/>
    <n v="0"/>
    <n v="0"/>
  </r>
  <r>
    <s v="UCbUhO-tut97b5IQhZ3i7TMA"/>
    <s v="UCnsvfe2AkgbxY9gNkfpGsBA"/>
    <m/>
    <m/>
    <m/>
    <m/>
    <m/>
    <m/>
    <m/>
    <m/>
    <s v="Yes"/>
    <n v="355"/>
    <m/>
    <m/>
    <s v="Replied Comment"/>
    <x v="0"/>
    <s v="Ahh yes, I swear they only fly over when I&amp;quot;m filming haha :)"/>
    <s v="UCbUhO-tut97b5IQhZ3i7TMA"/>
    <s v="Mr Carrington"/>
    <s v="http://www.youtube.com/channel/UCbUhO-tut97b5IQhZ3i7TMA"/>
    <s v="UgwAVWIV8baVbGb5NQh4AaABAg"/>
    <s v="JCTlws1bpAY"/>
    <s v="https://www.youtube.com/watch?v=JCTlws1bpAY"/>
    <s v="none"/>
    <n v="1"/>
    <x v="352"/>
    <d v="2018-07-09T19:59:02.000"/>
    <m/>
    <m/>
    <s v=""/>
    <n v="1"/>
    <s v="1"/>
    <s v="1"/>
    <n v="0"/>
    <n v="0"/>
    <n v="0"/>
    <n v="0"/>
    <n v="0"/>
    <n v="0"/>
    <n v="14"/>
    <n v="100"/>
    <n v="14"/>
  </r>
  <r>
    <s v="UCnsvfe2AkgbxY9gNkfpGsBA"/>
    <s v="UCnsvfe2AkgbxY9gNkfpGsBA"/>
    <m/>
    <m/>
    <m/>
    <m/>
    <m/>
    <m/>
    <m/>
    <m/>
    <s v="No"/>
    <n v="356"/>
    <m/>
    <m/>
    <s v="Replied Comment"/>
    <x v="0"/>
    <s v="@Mr Carrington hahaha, yes, it seems like when you reach the all important moment, over comes a 747 or worse one of the whales that is in the form of an airbus.  I mean how dose something that size even get of the grown without NASA behind it. ☺"/>
    <s v="UCnsvfe2AkgbxY9gNkfpGsBA"/>
    <s v="Samantha Johnson"/>
    <s v="http://www.youtube.com/channel/UCnsvfe2AkgbxY9gNkfpGsBA"/>
    <s v="UgwAVWIV8baVbGb5NQh4AaABAg"/>
    <s v="JCTlws1bpAY"/>
    <s v="https://www.youtube.com/watch?v=JCTlws1bpAY"/>
    <s v="none"/>
    <n v="0"/>
    <x v="353"/>
    <d v="2018-07-09T20:47:15.000"/>
    <m/>
    <m/>
    <s v=""/>
    <n v="1"/>
    <s v="1"/>
    <s v="1"/>
    <n v="2"/>
    <n v="4.166666666666667"/>
    <n v="1"/>
    <n v="2.0833333333333335"/>
    <n v="0"/>
    <n v="0"/>
    <n v="45"/>
    <n v="93.75"/>
    <n v="48"/>
  </r>
  <r>
    <s v="UCnsvfe2AkgbxY9gNkfpGsBA"/>
    <s v="UCbUhO-tut97b5IQhZ3i7TMA"/>
    <m/>
    <m/>
    <m/>
    <m/>
    <m/>
    <m/>
    <m/>
    <m/>
    <s v="Yes"/>
    <n v="357"/>
    <m/>
    <m/>
    <s v="Commented Video"/>
    <x v="1"/>
    <s v="It&amp;#39;s looking beautiful.&lt;br&gt;The downfall of living in a London flightpath area. ✈ ✈ ✈ ✈ ✈ We (my children and I) live on the top floor of a tower lock. We have stunning views and an amazing cricket green and Park with lake right outside. But the flight path is right over our block and being on the top floor, it can be very loud as they fly over especially when it&amp;#39;s low cloud as they come in lower. After 20+ years we&amp;#39;re kind of use to it ☺.&lt;br&gt;You have some lovely things on the rooftop, it&amp;#39;s pulled together really well and the lights look warm and remind me of that coastal summer look. A little piece of calm in a busy city, just what everyone needs. 👍"/>
    <s v="UCnsvfe2AkgbxY9gNkfpGsBA"/>
    <s v="Samantha Johnson"/>
    <s v="http://www.youtube.com/channel/UCnsvfe2AkgbxY9gNkfpGsBA"/>
    <m/>
    <s v="JCTlws1bpAY"/>
    <s v="https://www.youtube.com/watch?v=JCTlws1bpAY"/>
    <s v="none"/>
    <n v="0"/>
    <x v="354"/>
    <d v="2018-06-09T07:39:48.000"/>
    <m/>
    <m/>
    <s v=""/>
    <n v="1"/>
    <s v="1"/>
    <s v="1"/>
    <n v="11"/>
    <n v="8.270676691729323"/>
    <n v="3"/>
    <n v="2.255639097744361"/>
    <n v="0"/>
    <n v="0"/>
    <n v="119"/>
    <n v="89.47368421052632"/>
    <n v="133"/>
  </r>
  <r>
    <s v="UCbUhO-tut97b5IQhZ3i7TMA"/>
    <s v="UCRc6CAHsarCiye-2ckZ2Jzg"/>
    <m/>
    <m/>
    <m/>
    <m/>
    <m/>
    <m/>
    <m/>
    <m/>
    <s v="Yes"/>
    <n v="358"/>
    <m/>
    <m/>
    <s v="Replied Comment"/>
    <x v="0"/>
    <s v="Nice idea Kavita :)"/>
    <s v="UCbUhO-tut97b5IQhZ3i7TMA"/>
    <s v="Mr Carrington"/>
    <s v="http://www.youtube.com/channel/UCbUhO-tut97b5IQhZ3i7TMA"/>
    <s v="UgytjTLEQSrh8KqKb3J4AaABAg"/>
    <s v="JCTlws1bpAY"/>
    <s v="https://www.youtube.com/watch?v=JCTlws1bpAY"/>
    <s v="none"/>
    <n v="0"/>
    <x v="355"/>
    <d v="2018-07-09T19:59:11.000"/>
    <m/>
    <m/>
    <s v=""/>
    <n v="1"/>
    <s v="1"/>
    <s v="1"/>
    <n v="1"/>
    <n v="33.333333333333336"/>
    <n v="0"/>
    <n v="0"/>
    <n v="0"/>
    <n v="0"/>
    <n v="2"/>
    <n v="66.66666666666667"/>
    <n v="3"/>
  </r>
  <r>
    <s v="UCRc6CAHsarCiye-2ckZ2Jzg"/>
    <s v="UCbUhO-tut97b5IQhZ3i7TMA"/>
    <m/>
    <m/>
    <m/>
    <m/>
    <m/>
    <m/>
    <m/>
    <m/>
    <s v="Yes"/>
    <n v="359"/>
    <m/>
    <m/>
    <s v="Commented Video"/>
    <x v="1"/>
    <s v="A detailed beautiful garden. Would you consider adding in a small water feature?🤔"/>
    <s v="UCRc6CAHsarCiye-2ckZ2Jzg"/>
    <s v="Kavita Babla"/>
    <s v="http://www.youtube.com/channel/UCRc6CAHsarCiye-2ckZ2Jzg"/>
    <m/>
    <s v="JCTlws1bpAY"/>
    <s v="https://www.youtube.com/watch?v=JCTlws1bpAY"/>
    <s v="none"/>
    <n v="0"/>
    <x v="356"/>
    <d v="2018-06-09T08:57:34.000"/>
    <m/>
    <m/>
    <s v=""/>
    <n v="1"/>
    <s v="1"/>
    <s v="1"/>
    <n v="1"/>
    <n v="7.6923076923076925"/>
    <n v="0"/>
    <n v="0"/>
    <n v="0"/>
    <n v="0"/>
    <n v="12"/>
    <n v="92.3076923076923"/>
    <n v="13"/>
  </r>
  <r>
    <s v="UCbUhO-tut97b5IQhZ3i7TMA"/>
    <s v="UCqaw8Ft16rAr8OESBpF_4Dg"/>
    <m/>
    <m/>
    <m/>
    <m/>
    <m/>
    <m/>
    <m/>
    <m/>
    <s v="Yes"/>
    <n v="360"/>
    <m/>
    <m/>
    <s v="Replied Comment"/>
    <x v="0"/>
    <s v="Thank you Katy! :)"/>
    <s v="UCbUhO-tut97b5IQhZ3i7TMA"/>
    <s v="Mr Carrington"/>
    <s v="http://www.youtube.com/channel/UCbUhO-tut97b5IQhZ3i7TMA"/>
    <s v="UgyEGhFIpO7VNvxXanx4AaABAg"/>
    <s v="JCTlws1bpAY"/>
    <s v="https://www.youtube.com/watch?v=JCTlws1bpAY"/>
    <s v="none"/>
    <n v="0"/>
    <x v="357"/>
    <d v="2018-07-09T19:59:24.000"/>
    <m/>
    <m/>
    <s v=""/>
    <n v="1"/>
    <s v="1"/>
    <s v="1"/>
    <n v="1"/>
    <n v="33.333333333333336"/>
    <n v="0"/>
    <n v="0"/>
    <n v="0"/>
    <n v="0"/>
    <n v="2"/>
    <n v="66.66666666666667"/>
    <n v="3"/>
  </r>
  <r>
    <s v="UCqaw8Ft16rAr8OESBpF_4Dg"/>
    <s v="UCbUhO-tut97b5IQhZ3i7TMA"/>
    <m/>
    <m/>
    <m/>
    <m/>
    <m/>
    <m/>
    <m/>
    <m/>
    <s v="Yes"/>
    <n v="361"/>
    <m/>
    <m/>
    <s v="Commented Video"/>
    <x v="1"/>
    <s v="That is such an amazing space. I really need to give my garden patio a bit of a makeover. I may have to pinch the bar idea."/>
    <s v="UCqaw8Ft16rAr8OESBpF_4Dg"/>
    <s v="Katy Standen"/>
    <s v="http://www.youtube.com/channel/UCqaw8Ft16rAr8OESBpF_4Dg"/>
    <m/>
    <s v="JCTlws1bpAY"/>
    <s v="https://www.youtube.com/watch?v=JCTlws1bpAY"/>
    <s v="none"/>
    <n v="0"/>
    <x v="358"/>
    <d v="2018-06-09T09:31:11.000"/>
    <m/>
    <m/>
    <s v=""/>
    <n v="1"/>
    <s v="1"/>
    <s v="1"/>
    <n v="1"/>
    <n v="3.7037037037037037"/>
    <n v="1"/>
    <n v="3.7037037037037037"/>
    <n v="0"/>
    <n v="0"/>
    <n v="25"/>
    <n v="92.5925925925926"/>
    <n v="27"/>
  </r>
  <r>
    <s v="UCbUhO-tut97b5IQhZ3i7TMA"/>
    <s v="UCNJnrAsipP1-DQsCeO9U4SA"/>
    <m/>
    <m/>
    <m/>
    <m/>
    <m/>
    <m/>
    <m/>
    <m/>
    <s v="Yes"/>
    <n v="362"/>
    <m/>
    <m/>
    <s v="Replied Comment"/>
    <x v="0"/>
    <s v="Thank you Sandra :)"/>
    <s v="UCbUhO-tut97b5IQhZ3i7TMA"/>
    <s v="Mr Carrington"/>
    <s v="http://www.youtube.com/channel/UCbUhO-tut97b5IQhZ3i7TMA"/>
    <s v="UgxWU1GPwWzIaSpzdah4AaABAg"/>
    <s v="JCTlws1bpAY"/>
    <s v="https://www.youtube.com/watch?v=JCTlws1bpAY"/>
    <s v="none"/>
    <n v="0"/>
    <x v="359"/>
    <d v="2018-07-09T20:00:00.000"/>
    <m/>
    <m/>
    <s v=""/>
    <n v="1"/>
    <s v="1"/>
    <s v="1"/>
    <n v="1"/>
    <n v="33.333333333333336"/>
    <n v="0"/>
    <n v="0"/>
    <n v="0"/>
    <n v="0"/>
    <n v="2"/>
    <n v="66.66666666666667"/>
    <n v="3"/>
  </r>
  <r>
    <s v="UCNJnrAsipP1-DQsCeO9U4SA"/>
    <s v="UCbUhO-tut97b5IQhZ3i7TMA"/>
    <m/>
    <m/>
    <m/>
    <m/>
    <m/>
    <m/>
    <m/>
    <m/>
    <s v="Yes"/>
    <n v="363"/>
    <m/>
    <m/>
    <s v="Commented Video"/>
    <x v="1"/>
    <s v="Great vlog! Love the look! Very stylish and done on a shoe string! Bravo!"/>
    <s v="UCNJnrAsipP1-DQsCeO9U4SA"/>
    <s v="Sandra Ashcroft"/>
    <s v="http://www.youtube.com/channel/UCNJnrAsipP1-DQsCeO9U4SA"/>
    <m/>
    <s v="JCTlws1bpAY"/>
    <s v="https://www.youtube.com/watch?v=JCTlws1bpAY"/>
    <s v="none"/>
    <n v="0"/>
    <x v="360"/>
    <d v="2018-06-09T10:17:09.000"/>
    <m/>
    <m/>
    <s v=""/>
    <n v="1"/>
    <s v="1"/>
    <s v="1"/>
    <n v="4"/>
    <n v="28.571428571428573"/>
    <n v="0"/>
    <n v="0"/>
    <n v="0"/>
    <n v="0"/>
    <n v="10"/>
    <n v="71.42857142857143"/>
    <n v="14"/>
  </r>
  <r>
    <s v="UCbUhO-tut97b5IQhZ3i7TMA"/>
    <s v="UCGZJXZa-S_f5CZgkGMDpU6Q"/>
    <m/>
    <m/>
    <m/>
    <m/>
    <m/>
    <m/>
    <m/>
    <m/>
    <s v="Yes"/>
    <n v="364"/>
    <m/>
    <m/>
    <s v="Replied Comment"/>
    <x v="0"/>
    <s v="Love that idea Ashley! :)"/>
    <s v="UCbUhO-tut97b5IQhZ3i7TMA"/>
    <s v="Mr Carrington"/>
    <s v="http://www.youtube.com/channel/UCbUhO-tut97b5IQhZ3i7TMA"/>
    <s v="UgzhOhR6QrMsGpgOIph4AaABAg"/>
    <s v="JCTlws1bpAY"/>
    <s v="https://www.youtube.com/watch?v=JCTlws1bpAY"/>
    <s v="none"/>
    <n v="0"/>
    <x v="361"/>
    <d v="2018-07-09T20:00:40.000"/>
    <m/>
    <m/>
    <s v=""/>
    <n v="1"/>
    <s v="1"/>
    <s v="1"/>
    <n v="1"/>
    <n v="25"/>
    <n v="0"/>
    <n v="0"/>
    <n v="0"/>
    <n v="0"/>
    <n v="3"/>
    <n v="75"/>
    <n v="4"/>
  </r>
  <r>
    <s v="UCGZJXZa-S_f5CZgkGMDpU6Q"/>
    <s v="UCbUhO-tut97b5IQhZ3i7TMA"/>
    <m/>
    <m/>
    <m/>
    <m/>
    <m/>
    <m/>
    <m/>
    <m/>
    <s v="Yes"/>
    <n v="365"/>
    <m/>
    <m/>
    <s v="Commented Video"/>
    <x v="1"/>
    <s v="Your terrace looks fantastic! love it, love the plants, the seating, the lights, love the airplanes (they give you a sense of travelling and the high skies). You should get some poufs up there too"/>
    <s v="UCGZJXZa-S_f5CZgkGMDpU6Q"/>
    <s v="Ashley Wellington"/>
    <s v="http://www.youtube.com/channel/UCGZJXZa-S_f5CZgkGMDpU6Q"/>
    <m/>
    <s v="JCTlws1bpAY"/>
    <s v="https://www.youtube.com/watch?v=JCTlws1bpAY"/>
    <s v="none"/>
    <n v="0"/>
    <x v="362"/>
    <d v="2018-06-09T12:04:27.000"/>
    <m/>
    <m/>
    <s v=""/>
    <n v="1"/>
    <s v="1"/>
    <s v="1"/>
    <n v="4"/>
    <n v="11.428571428571429"/>
    <n v="0"/>
    <n v="0"/>
    <n v="0"/>
    <n v="0"/>
    <n v="31"/>
    <n v="88.57142857142857"/>
    <n v="35"/>
  </r>
  <r>
    <s v="UCUg8hBVHY4N2X2f859AA-5Q"/>
    <s v="UCbUhO-tut97b5IQhZ3i7TMA"/>
    <m/>
    <m/>
    <m/>
    <m/>
    <m/>
    <m/>
    <m/>
    <m/>
    <s v="No"/>
    <n v="366"/>
    <m/>
    <m/>
    <s v="Commented Video"/>
    <x v="1"/>
    <s v="It all looks lovely! You can get some copper tape to put around the tops of pots to keep slugs away.  My mum swears by it."/>
    <s v="UCUg8hBVHY4N2X2f859AA-5Q"/>
    <s v="Liz Smith"/>
    <s v="http://www.youtube.com/channel/UCUg8hBVHY4N2X2f859AA-5Q"/>
    <m/>
    <s v="JCTlws1bpAY"/>
    <s v="https://www.youtube.com/watch?v=JCTlws1bpAY"/>
    <s v="none"/>
    <n v="0"/>
    <x v="363"/>
    <d v="2018-06-09T14:55:27.000"/>
    <m/>
    <m/>
    <s v=""/>
    <n v="1"/>
    <s v="1"/>
    <s v="1"/>
    <n v="2"/>
    <n v="7.6923076923076925"/>
    <n v="0"/>
    <n v="0"/>
    <n v="0"/>
    <n v="0"/>
    <n v="24"/>
    <n v="92.3076923076923"/>
    <n v="26"/>
  </r>
  <r>
    <s v="UCXFP5f4JprzOQrvzciTAuGw"/>
    <s v="UCbUhO-tut97b5IQhZ3i7TMA"/>
    <m/>
    <m/>
    <m/>
    <m/>
    <m/>
    <m/>
    <m/>
    <m/>
    <s v="No"/>
    <n v="367"/>
    <m/>
    <m/>
    <s v="Commented Video"/>
    <x v="1"/>
    <s v="Love your space! It is very nice! I enjoy seeing what you have done with your plants and how cozy you have made your space! Thanks for sharing!"/>
    <s v="UCXFP5f4JprzOQrvzciTAuGw"/>
    <s v="Deborah Bavas"/>
    <s v="http://www.youtube.com/channel/UCXFP5f4JprzOQrvzciTAuGw"/>
    <m/>
    <s v="JCTlws1bpAY"/>
    <s v="https://www.youtube.com/watch?v=JCTlws1bpAY"/>
    <s v="none"/>
    <n v="0"/>
    <x v="364"/>
    <d v="2018-06-09T15:50:07.000"/>
    <m/>
    <m/>
    <s v=""/>
    <n v="1"/>
    <s v="1"/>
    <s v="1"/>
    <n v="4"/>
    <n v="14.285714285714286"/>
    <n v="0"/>
    <n v="0"/>
    <n v="0"/>
    <n v="0"/>
    <n v="24"/>
    <n v="85.71428571428571"/>
    <n v="28"/>
  </r>
  <r>
    <s v="UCZxOj1AIgTdqXkAESHgBxHQ"/>
    <s v="UCbUhO-tut97b5IQhZ3i7TMA"/>
    <m/>
    <m/>
    <m/>
    <m/>
    <m/>
    <m/>
    <m/>
    <m/>
    <s v="No"/>
    <n v="368"/>
    <m/>
    <m/>
    <s v="Commented Video"/>
    <x v="1"/>
    <s v="Beautiful and tasteful , very well done xx"/>
    <s v="UCZxOj1AIgTdqXkAESHgBxHQ"/>
    <s v="Linda Hunter"/>
    <s v="http://www.youtube.com/channel/UCZxOj1AIgTdqXkAESHgBxHQ"/>
    <m/>
    <s v="JCTlws1bpAY"/>
    <s v="https://www.youtube.com/watch?v=JCTlws1bpAY"/>
    <s v="none"/>
    <n v="0"/>
    <x v="365"/>
    <d v="2018-06-09T20:35:17.000"/>
    <m/>
    <m/>
    <s v=""/>
    <n v="1"/>
    <s v="1"/>
    <s v="1"/>
    <n v="2"/>
    <n v="28.571428571428573"/>
    <n v="0"/>
    <n v="0"/>
    <n v="0"/>
    <n v="0"/>
    <n v="5"/>
    <n v="71.42857142857143"/>
    <n v="7"/>
  </r>
  <r>
    <s v="UCbUhO-tut97b5IQhZ3i7TMA"/>
    <s v="UCaIn892iPqdSFSzgkJR95sA"/>
    <m/>
    <m/>
    <m/>
    <m/>
    <m/>
    <m/>
    <m/>
    <m/>
    <s v="Yes"/>
    <n v="369"/>
    <m/>
    <m/>
    <s v="Replied Comment"/>
    <x v="0"/>
    <s v="Thanks Brian! :)"/>
    <s v="UCbUhO-tut97b5IQhZ3i7TMA"/>
    <s v="Mr Carrington"/>
    <s v="http://www.youtube.com/channel/UCbUhO-tut97b5IQhZ3i7TMA"/>
    <s v="UgyomIkyblpldXBVcrV4AaABAg"/>
    <s v="JCTlws1bpAY"/>
    <s v="https://www.youtube.com/watch?v=JCTlws1bpAY"/>
    <s v="none"/>
    <n v="1"/>
    <x v="366"/>
    <d v="2018-07-09T20:02:08.000"/>
    <m/>
    <m/>
    <s v=""/>
    <n v="1"/>
    <s v="1"/>
    <s v="1"/>
    <n v="0"/>
    <n v="0"/>
    <n v="0"/>
    <n v="0"/>
    <n v="0"/>
    <n v="0"/>
    <n v="2"/>
    <n v="100"/>
    <n v="2"/>
  </r>
  <r>
    <s v="UCaIn892iPqdSFSzgkJR95sA"/>
    <s v="UCbUhO-tut97b5IQhZ3i7TMA"/>
    <m/>
    <m/>
    <m/>
    <m/>
    <m/>
    <m/>
    <m/>
    <m/>
    <s v="Yes"/>
    <n v="370"/>
    <m/>
    <m/>
    <s v="Commented Video"/>
    <x v="1"/>
    <s v="The deck looks fantastic! I would keep the wall white."/>
    <s v="UCaIn892iPqdSFSzgkJR95sA"/>
    <s v="brian gleason"/>
    <s v="http://www.youtube.com/channel/UCaIn892iPqdSFSzgkJR95sA"/>
    <m/>
    <s v="JCTlws1bpAY"/>
    <s v="https://www.youtube.com/watch?v=JCTlws1bpAY"/>
    <s v="none"/>
    <n v="0"/>
    <x v="367"/>
    <d v="2018-07-09T05:18:39.000"/>
    <m/>
    <m/>
    <s v=""/>
    <n v="1"/>
    <s v="1"/>
    <s v="1"/>
    <n v="1"/>
    <n v="10"/>
    <n v="0"/>
    <n v="0"/>
    <n v="0"/>
    <n v="0"/>
    <n v="9"/>
    <n v="90"/>
    <n v="10"/>
  </r>
  <r>
    <s v="UCbUhO-tut97b5IQhZ3i7TMA"/>
    <s v="UCIAvm6sRGrMs_VAleaUaAGA"/>
    <m/>
    <m/>
    <m/>
    <m/>
    <m/>
    <m/>
    <m/>
    <m/>
    <s v="Yes"/>
    <n v="371"/>
    <m/>
    <m/>
    <s v="Replied Comment"/>
    <x v="0"/>
    <s v="Thanks so much :)"/>
    <s v="UCbUhO-tut97b5IQhZ3i7TMA"/>
    <s v="Mr Carrington"/>
    <s v="http://www.youtube.com/channel/UCbUhO-tut97b5IQhZ3i7TMA"/>
    <s v="UgwzWFq_6uyyM4gkJXh4AaABAg"/>
    <s v="JCTlws1bpAY"/>
    <s v="https://www.youtube.com/watch?v=JCTlws1bpAY"/>
    <s v="none"/>
    <n v="1"/>
    <x v="368"/>
    <d v="2018-08-09T19:47:03.000"/>
    <m/>
    <m/>
    <s v=""/>
    <n v="1"/>
    <s v="1"/>
    <s v="1"/>
    <n v="0"/>
    <n v="0"/>
    <n v="0"/>
    <n v="0"/>
    <n v="0"/>
    <n v="0"/>
    <n v="3"/>
    <n v="100"/>
    <n v="3"/>
  </r>
  <r>
    <s v="UCIAvm6sRGrMs_VAleaUaAGA"/>
    <s v="UCbUhO-tut97b5IQhZ3i7TMA"/>
    <m/>
    <m/>
    <m/>
    <m/>
    <m/>
    <m/>
    <m/>
    <m/>
    <s v="Yes"/>
    <n v="372"/>
    <m/>
    <m/>
    <s v="Commented Video"/>
    <x v="1"/>
    <s v="I have so much inspo from this video ! Good job on creating such a beautiful and serene space in a busy south London. Love as always xxx"/>
    <s v="UCIAvm6sRGrMs_VAleaUaAGA"/>
    <s v="Time For T"/>
    <s v="http://www.youtube.com/channel/UCIAvm6sRGrMs_VAleaUaAGA"/>
    <m/>
    <s v="JCTlws1bpAY"/>
    <s v="https://www.youtube.com/watch?v=JCTlws1bpAY"/>
    <s v="none"/>
    <n v="0"/>
    <x v="369"/>
    <d v="2018-08-09T08:10:33.000"/>
    <m/>
    <m/>
    <s v=""/>
    <n v="1"/>
    <s v="1"/>
    <s v="1"/>
    <n v="4"/>
    <n v="14.814814814814815"/>
    <n v="0"/>
    <n v="0"/>
    <n v="0"/>
    <n v="0"/>
    <n v="23"/>
    <n v="85.18518518518519"/>
    <n v="27"/>
  </r>
  <r>
    <s v="UCxh7z3TW1pLMmTZZDrhHIYg"/>
    <s v="UCbUhO-tut97b5IQhZ3i7TMA"/>
    <m/>
    <m/>
    <m/>
    <m/>
    <m/>
    <m/>
    <m/>
    <m/>
    <s v="No"/>
    <n v="373"/>
    <m/>
    <m/>
    <s v="Commented Video"/>
    <x v="1"/>
    <s v="Just goes to prove, you don’t have to spend a fortune to make a small space look stylish. Well done!👍🏻"/>
    <s v="UCxh7z3TW1pLMmTZZDrhHIYg"/>
    <s v="Paul B"/>
    <s v="http://www.youtube.com/channel/UCxh7z3TW1pLMmTZZDrhHIYg"/>
    <m/>
    <s v="JCTlws1bpAY"/>
    <s v="https://www.youtube.com/watch?v=JCTlws1bpAY"/>
    <s v="none"/>
    <n v="0"/>
    <x v="370"/>
    <d v="2018-08-09T12:54:57.000"/>
    <m/>
    <m/>
    <s v=""/>
    <n v="1"/>
    <s v="1"/>
    <s v="1"/>
    <n v="3"/>
    <n v="14.285714285714286"/>
    <n v="0"/>
    <n v="0"/>
    <n v="0"/>
    <n v="0"/>
    <n v="18"/>
    <n v="85.71428571428571"/>
    <n v="21"/>
  </r>
  <r>
    <s v="UCYfvr_CkCmi4HwFkAAQU10w"/>
    <s v="UCbUhO-tut97b5IQhZ3i7TMA"/>
    <m/>
    <m/>
    <m/>
    <m/>
    <m/>
    <m/>
    <m/>
    <m/>
    <s v="No"/>
    <n v="374"/>
    <m/>
    <m/>
    <s v="Commented Video"/>
    <x v="1"/>
    <s v="LIKE it!! :)"/>
    <s v="UCYfvr_CkCmi4HwFkAAQU10w"/>
    <s v="Daniel Hsu 丹尼爾"/>
    <s v="http://www.youtube.com/channel/UCYfvr_CkCmi4HwFkAAQU10w"/>
    <m/>
    <s v="JCTlws1bpAY"/>
    <s v="https://www.youtube.com/watch?v=JCTlws1bpAY"/>
    <s v="none"/>
    <n v="0"/>
    <x v="371"/>
    <d v="2018-09-09T08:49:42.000"/>
    <m/>
    <m/>
    <s v=""/>
    <n v="1"/>
    <s v="1"/>
    <s v="1"/>
    <n v="1"/>
    <n v="50"/>
    <n v="0"/>
    <n v="0"/>
    <n v="0"/>
    <n v="0"/>
    <n v="1"/>
    <n v="50"/>
    <n v="2"/>
  </r>
  <r>
    <s v="UCbUhO-tut97b5IQhZ3i7TMA"/>
    <s v="UCrisv1bev37OgRi0XO-F_rQ"/>
    <m/>
    <m/>
    <m/>
    <m/>
    <m/>
    <m/>
    <m/>
    <m/>
    <s v="Yes"/>
    <n v="375"/>
    <m/>
    <m/>
    <s v="Replied Comment"/>
    <x v="0"/>
    <s v="Thank you so much :)"/>
    <s v="UCbUhO-tut97b5IQhZ3i7TMA"/>
    <s v="Mr Carrington"/>
    <s v="http://www.youtube.com/channel/UCbUhO-tut97b5IQhZ3i7TMA"/>
    <s v="UgxINNRhV2eibFQ7yXt4AaABAg"/>
    <s v="JCTlws1bpAY"/>
    <s v="https://www.youtube.com/watch?v=JCTlws1bpAY"/>
    <s v="none"/>
    <n v="1"/>
    <x v="372"/>
    <d v="2018-09-09T16:41:15.000"/>
    <m/>
    <m/>
    <s v=""/>
    <n v="1"/>
    <s v="1"/>
    <s v="1"/>
    <n v="1"/>
    <n v="25"/>
    <n v="0"/>
    <n v="0"/>
    <n v="0"/>
    <n v="0"/>
    <n v="3"/>
    <n v="75"/>
    <n v="4"/>
  </r>
  <r>
    <s v="UCrisv1bev37OgRi0XO-F_rQ"/>
    <s v="UCbUhO-tut97b5IQhZ3i7TMA"/>
    <m/>
    <m/>
    <m/>
    <m/>
    <m/>
    <m/>
    <m/>
    <m/>
    <s v="Yes"/>
    <n v="376"/>
    <m/>
    <m/>
    <s v="Commented Video"/>
    <x v="1"/>
    <s v="Who needs designer shops when you can style your entire house with bargain and charity shop items~&lt;br&gt;Such a gorgeous roof top"/>
    <s v="UCrisv1bev37OgRi0XO-F_rQ"/>
    <s v="animeducky9"/>
    <s v="http://www.youtube.com/channel/UCrisv1bev37OgRi0XO-F_rQ"/>
    <m/>
    <s v="JCTlws1bpAY"/>
    <s v="https://www.youtube.com/watch?v=JCTlws1bpAY"/>
    <s v="none"/>
    <n v="0"/>
    <x v="373"/>
    <d v="2018-09-09T09:30:05.000"/>
    <m/>
    <m/>
    <s v=""/>
    <n v="1"/>
    <s v="1"/>
    <s v="1"/>
    <n v="3"/>
    <n v="13.043478260869565"/>
    <n v="0"/>
    <n v="0"/>
    <n v="0"/>
    <n v="0"/>
    <n v="20"/>
    <n v="86.95652173913044"/>
    <n v="23"/>
  </r>
  <r>
    <s v="UCbUhO-tut97b5IQhZ3i7TMA"/>
    <s v="UCP_MxwcX7WrV4KMPUk8E7RQ"/>
    <m/>
    <m/>
    <m/>
    <m/>
    <m/>
    <m/>
    <m/>
    <m/>
    <s v="Yes"/>
    <n v="377"/>
    <m/>
    <m/>
    <s v="Replied Comment"/>
    <x v="0"/>
    <s v="Welcome Josipa :)"/>
    <s v="UCbUhO-tut97b5IQhZ3i7TMA"/>
    <s v="Mr Carrington"/>
    <s v="http://www.youtube.com/channel/UCbUhO-tut97b5IQhZ3i7TMA"/>
    <s v="Ugzi_SpO2boFDdu47n54AaABAg"/>
    <s v="JCTlws1bpAY"/>
    <s v="https://www.youtube.com/watch?v=JCTlws1bpAY"/>
    <s v="none"/>
    <n v="0"/>
    <x v="374"/>
    <d v="2018-11-09T20:17:16.000"/>
    <m/>
    <m/>
    <s v=""/>
    <n v="1"/>
    <s v="1"/>
    <s v="1"/>
    <n v="1"/>
    <n v="50"/>
    <n v="0"/>
    <n v="0"/>
    <n v="0"/>
    <n v="0"/>
    <n v="1"/>
    <n v="50"/>
    <n v="2"/>
  </r>
  <r>
    <s v="UCP_MxwcX7WrV4KMPUk8E7RQ"/>
    <s v="UCbUhO-tut97b5IQhZ3i7TMA"/>
    <m/>
    <m/>
    <m/>
    <m/>
    <m/>
    <m/>
    <m/>
    <m/>
    <s v="Yes"/>
    <n v="378"/>
    <m/>
    <m/>
    <s v="Commented Video"/>
    <x v="1"/>
    <s v="You did an awesome job. I&amp;#39;m binge watching your videos today. Loving them so far. &lt;a href=&quot;http://www.youtube.com/results?search_query=%23newsubscriber&quot;&gt;#newsubscriber&lt;/a&gt;"/>
    <s v="UCP_MxwcX7WrV4KMPUk8E7RQ"/>
    <s v="Josipa O."/>
    <s v="http://www.youtube.com/channel/UCP_MxwcX7WrV4KMPUk8E7RQ"/>
    <m/>
    <s v="JCTlws1bpAY"/>
    <s v="https://www.youtube.com/watch?v=JCTlws1bpAY"/>
    <s v="none"/>
    <n v="0"/>
    <x v="375"/>
    <d v="2018-09-09T22:00:57.000"/>
    <s v=" http://www.youtube.com/results?search_query=%23newsubscriber"/>
    <s v="youtube.com"/>
    <s v=""/>
    <n v="1"/>
    <s v="1"/>
    <s v="1"/>
    <n v="2"/>
    <n v="7.142857142857143"/>
    <n v="0"/>
    <n v="0"/>
    <n v="0"/>
    <n v="0"/>
    <n v="26"/>
    <n v="92.85714285714286"/>
    <n v="28"/>
  </r>
  <r>
    <s v="UCbUhO-tut97b5IQhZ3i7TMA"/>
    <s v="UCA0hntGYUqnUbs8CsyYiu2Q"/>
    <m/>
    <m/>
    <m/>
    <m/>
    <m/>
    <m/>
    <m/>
    <m/>
    <s v="Yes"/>
    <n v="379"/>
    <m/>
    <m/>
    <s v="Replied Comment"/>
    <x v="0"/>
    <s v="Thank you so much! it is indeed Kate McCabe! :)"/>
    <s v="UCbUhO-tut97b5IQhZ3i7TMA"/>
    <s v="Mr Carrington"/>
    <s v="http://www.youtube.com/channel/UCbUhO-tut97b5IQhZ3i7TMA"/>
    <s v="UgwzE83P2XEifUz0I-94AaABAg"/>
    <s v="JCTlws1bpAY"/>
    <s v="https://www.youtube.com/watch?v=JCTlws1bpAY"/>
    <s v="none"/>
    <n v="0"/>
    <x v="376"/>
    <d v="2018-11-09T20:30:53.000"/>
    <m/>
    <m/>
    <s v=""/>
    <n v="1"/>
    <s v="1"/>
    <s v="1"/>
    <n v="1"/>
    <n v="11.11111111111111"/>
    <n v="0"/>
    <n v="0"/>
    <n v="0"/>
    <n v="0"/>
    <n v="8"/>
    <n v="88.88888888888889"/>
    <n v="9"/>
  </r>
  <r>
    <s v="UCA0hntGYUqnUbs8CsyYiu2Q"/>
    <s v="UCbUhO-tut97b5IQhZ3i7TMA"/>
    <m/>
    <m/>
    <m/>
    <m/>
    <m/>
    <m/>
    <m/>
    <m/>
    <s v="Yes"/>
    <n v="380"/>
    <m/>
    <m/>
    <s v="Commented Video"/>
    <x v="1"/>
    <s v="Glad to have found u! I have been a fan of vlogs &amp;amp; bargains show and tell for a long time! I always wondered why not men do their videos?? There are so many female shoppers who do video clips. Anyway, i fell in love with ur channel - i love good bargains, plants, flowers, cosy little spaces, ur shirt and ur talk! Unfortunately we are so far away from each other as i live in oz, missed the great time we had in the uk... Everything! When u mentioned Kate and a meetup with her, i wonder if its the kate youtuber/bargainer/radio presenter/singer? Shes beautful, nice personality and fun to watch :) keep on sharing more pls! Xx"/>
    <s v="UCA0hntGYUqnUbs8CsyYiu2Q"/>
    <s v="yyysboy1"/>
    <s v="http://www.youtube.com/channel/UCA0hntGYUqnUbs8CsyYiu2Q"/>
    <m/>
    <s v="JCTlws1bpAY"/>
    <s v="https://www.youtube.com/watch?v=JCTlws1bpAY"/>
    <s v="none"/>
    <n v="1"/>
    <x v="377"/>
    <d v="2018-11-09T09:02:11.000"/>
    <m/>
    <m/>
    <s v=""/>
    <n v="1"/>
    <s v="1"/>
    <s v="1"/>
    <n v="8"/>
    <n v="6.666666666666667"/>
    <n v="3"/>
    <n v="2.5"/>
    <n v="0"/>
    <n v="0"/>
    <n v="109"/>
    <n v="90.83333333333333"/>
    <n v="120"/>
  </r>
  <r>
    <s v="UCbUhO-tut97b5IQhZ3i7TMA"/>
    <s v="UCenSUdXxawgdpTksQvH5d4A"/>
    <m/>
    <m/>
    <m/>
    <m/>
    <m/>
    <m/>
    <m/>
    <m/>
    <s v="Yes"/>
    <n v="381"/>
    <m/>
    <m/>
    <s v="Replied Comment"/>
    <x v="0"/>
    <s v="Mama Beth thank you! :)"/>
    <s v="UCbUhO-tut97b5IQhZ3i7TMA"/>
    <s v="Mr Carrington"/>
    <s v="http://www.youtube.com/channel/UCbUhO-tut97b5IQhZ3i7TMA"/>
    <s v="UgwfUJHDLPGzT9j96LB4AaABAg"/>
    <s v="DrCnSoZUXAc"/>
    <s v="https://www.youtube.com/watch?v=DrCnSoZUXAc"/>
    <s v="none"/>
    <n v="1"/>
    <x v="378"/>
    <d v="2018-12-06T11:23:46.000"/>
    <m/>
    <m/>
    <s v=""/>
    <n v="2"/>
    <s v="1"/>
    <s v="1"/>
    <n v="1"/>
    <n v="25"/>
    <n v="0"/>
    <n v="0"/>
    <n v="0"/>
    <n v="0"/>
    <n v="3"/>
    <n v="75"/>
    <n v="4"/>
  </r>
  <r>
    <s v="UCenSUdXxawgdpTksQvH5d4A"/>
    <s v="UCbUhO-tut97b5IQhZ3i7TMA"/>
    <m/>
    <m/>
    <m/>
    <m/>
    <m/>
    <m/>
    <m/>
    <m/>
    <s v="Yes"/>
    <n v="382"/>
    <m/>
    <m/>
    <s v="Commented Video"/>
    <x v="1"/>
    <s v="Bravo!"/>
    <s v="UCenSUdXxawgdpTksQvH5d4A"/>
    <s v="SimpLee Beth"/>
    <s v="http://www.youtube.com/channel/UCenSUdXxawgdpTksQvH5d4A"/>
    <m/>
    <s v="DrCnSoZUXAc"/>
    <s v="https://www.youtube.com/watch?v=DrCnSoZUXAc"/>
    <s v="none"/>
    <n v="0"/>
    <x v="379"/>
    <d v="2018-12-06T04:37:38.000"/>
    <m/>
    <m/>
    <s v=""/>
    <n v="3"/>
    <s v="1"/>
    <s v="1"/>
    <n v="1"/>
    <n v="100"/>
    <n v="0"/>
    <n v="0"/>
    <n v="0"/>
    <n v="0"/>
    <n v="0"/>
    <n v="0"/>
    <n v="1"/>
  </r>
  <r>
    <s v="UCenSUdXxawgdpTksQvH5d4A"/>
    <s v="UCbUhO-tut97b5IQhZ3i7TMA"/>
    <m/>
    <m/>
    <m/>
    <m/>
    <m/>
    <m/>
    <m/>
    <m/>
    <s v="Yes"/>
    <n v="383"/>
    <m/>
    <m/>
    <s v="Commented Video"/>
    <x v="1"/>
    <s v="There aren&amp;#39;t many things in life that compare to the feeling of completing a task. Bravo! 😆"/>
    <s v="UCenSUdXxawgdpTksQvH5d4A"/>
    <s v="SimpLee Beth"/>
    <s v="http://www.youtube.com/channel/UCenSUdXxawgdpTksQvH5d4A"/>
    <m/>
    <s v="-EA6GvKa0EA"/>
    <s v="https://www.youtube.com/watch?v=-EA6GvKa0EA"/>
    <s v="none"/>
    <n v="0"/>
    <x v="380"/>
    <d v="2018-04-09T07:56:03.000"/>
    <m/>
    <m/>
    <s v=""/>
    <n v="3"/>
    <s v="1"/>
    <s v="1"/>
    <n v="1"/>
    <n v="5.555555555555555"/>
    <n v="0"/>
    <n v="0"/>
    <n v="0"/>
    <n v="0"/>
    <n v="17"/>
    <n v="94.44444444444444"/>
    <n v="18"/>
  </r>
  <r>
    <s v="UCbUhO-tut97b5IQhZ3i7TMA"/>
    <s v="UCenSUdXxawgdpTksQvH5d4A"/>
    <m/>
    <m/>
    <m/>
    <m/>
    <m/>
    <m/>
    <m/>
    <m/>
    <s v="Yes"/>
    <n v="384"/>
    <m/>
    <m/>
    <s v="Replied Comment"/>
    <x v="0"/>
    <s v="Thank you so much :)"/>
    <s v="UCbUhO-tut97b5IQhZ3i7TMA"/>
    <s v="Mr Carrington"/>
    <s v="http://www.youtube.com/channel/UCbUhO-tut97b5IQhZ3i7TMA"/>
    <s v="Ugw78WBCT-DBO16SKp14AaABAg"/>
    <s v="JCTlws1bpAY"/>
    <s v="https://www.youtube.com/watch?v=JCTlws1bpAY"/>
    <s v="none"/>
    <n v="1"/>
    <x v="381"/>
    <d v="2018-12-09T21:29:33.000"/>
    <m/>
    <m/>
    <s v=""/>
    <n v="2"/>
    <s v="1"/>
    <s v="1"/>
    <n v="1"/>
    <n v="25"/>
    <n v="0"/>
    <n v="0"/>
    <n v="0"/>
    <n v="0"/>
    <n v="3"/>
    <n v="75"/>
    <n v="4"/>
  </r>
  <r>
    <s v="UCenSUdXxawgdpTksQvH5d4A"/>
    <s v="UCbUhO-tut97b5IQhZ3i7TMA"/>
    <m/>
    <m/>
    <m/>
    <m/>
    <m/>
    <m/>
    <m/>
    <m/>
    <s v="Yes"/>
    <n v="385"/>
    <m/>
    <m/>
    <s v="Commented Video"/>
    <x v="1"/>
    <s v="Looks great! My fav thing is the lights wrapped around the Yucca 😊"/>
    <s v="UCenSUdXxawgdpTksQvH5d4A"/>
    <s v="SimpLee Beth"/>
    <s v="http://www.youtube.com/channel/UCenSUdXxawgdpTksQvH5d4A"/>
    <m/>
    <s v="JCTlws1bpAY"/>
    <s v="https://www.youtube.com/watch?v=JCTlws1bpAY"/>
    <s v="none"/>
    <n v="0"/>
    <x v="382"/>
    <d v="2018-12-09T04:38:28.000"/>
    <m/>
    <m/>
    <s v=""/>
    <n v="3"/>
    <s v="1"/>
    <s v="1"/>
    <n v="2"/>
    <n v="16.666666666666668"/>
    <n v="0"/>
    <n v="0"/>
    <n v="0"/>
    <n v="0"/>
    <n v="10"/>
    <n v="83.33333333333333"/>
    <n v="12"/>
  </r>
  <r>
    <s v="UCmTHNck_QjDOp-u4jxohPmQ"/>
    <s v="UCbUhO-tut97b5IQhZ3i7TMA"/>
    <m/>
    <m/>
    <m/>
    <m/>
    <m/>
    <m/>
    <m/>
    <m/>
    <s v="No"/>
    <n v="386"/>
    <m/>
    <m/>
    <s v="Commented Video"/>
    <x v="1"/>
    <s v="I love aeroplanes! ✈🛩✈ I have a terrace which from I can watch them too. Your terrace looking absolutely great. Love the black deck and just the look of it all the greenery! You are always so positive and uplifting to watch. Have a great new week! &lt;br&gt;&lt;br&gt;❤Paula"/>
    <s v="UCmTHNck_QjDOp-u4jxohPmQ"/>
    <s v="Piuza P"/>
    <s v="http://www.youtube.com/channel/UCmTHNck_QjDOp-u4jxohPmQ"/>
    <m/>
    <s v="JCTlws1bpAY"/>
    <s v="https://www.youtube.com/watch?v=JCTlws1bpAY"/>
    <s v="none"/>
    <n v="1"/>
    <x v="383"/>
    <s v="16/09/2018 23:18:05"/>
    <m/>
    <m/>
    <s v=""/>
    <n v="1"/>
    <s v="1"/>
    <s v="1"/>
    <n v="6"/>
    <n v="12.244897959183673"/>
    <n v="0"/>
    <n v="0"/>
    <n v="0"/>
    <n v="0"/>
    <n v="43"/>
    <n v="87.75510204081633"/>
    <n v="49"/>
  </r>
  <r>
    <s v="UCXUUZx5-qkFC7FT1HY57vVA"/>
    <s v="UCbUhO-tut97b5IQhZ3i7TMA"/>
    <m/>
    <m/>
    <m/>
    <m/>
    <m/>
    <m/>
    <m/>
    <m/>
    <s v="No"/>
    <n v="387"/>
    <m/>
    <m/>
    <s v="Commented Video"/>
    <x v="1"/>
    <s v="Love your voice, very manly :)"/>
    <s v="UCXUUZx5-qkFC7FT1HY57vVA"/>
    <s v="Vonnie Channel"/>
    <s v="http://www.youtube.com/channel/UCXUUZx5-qkFC7FT1HY57vVA"/>
    <m/>
    <s v="JCTlws1bpAY"/>
    <s v="https://www.youtube.com/watch?v=JCTlws1bpAY"/>
    <s v="none"/>
    <n v="0"/>
    <x v="384"/>
    <s v="19/09/2018 19:09:58"/>
    <m/>
    <m/>
    <s v=""/>
    <n v="1"/>
    <s v="1"/>
    <s v="1"/>
    <n v="1"/>
    <n v="20"/>
    <n v="0"/>
    <n v="0"/>
    <n v="0"/>
    <n v="0"/>
    <n v="4"/>
    <n v="80"/>
    <n v="5"/>
  </r>
  <r>
    <s v="UCbUhO-tut97b5IQhZ3i7TMA"/>
    <s v="UCEgTYCufJRBb3RUzQG8kzcQ"/>
    <m/>
    <m/>
    <m/>
    <m/>
    <m/>
    <m/>
    <m/>
    <m/>
    <s v="Yes"/>
    <n v="388"/>
    <m/>
    <m/>
    <s v="Replied Comment"/>
    <x v="0"/>
    <s v="Thank you Maria! :)"/>
    <s v="UCbUhO-tut97b5IQhZ3i7TMA"/>
    <s v="Mr Carrington"/>
    <s v="http://www.youtube.com/channel/UCbUhO-tut97b5IQhZ3i7TMA"/>
    <s v="Ugy2uU30MFaAR5mf71F4AaABAg"/>
    <s v="JCTlws1bpAY"/>
    <s v="https://www.youtube.com/watch?v=JCTlws1bpAY"/>
    <s v="none"/>
    <n v="0"/>
    <x v="385"/>
    <s v="22/09/2018 16:05:42"/>
    <m/>
    <m/>
    <s v=""/>
    <n v="1"/>
    <s v="1"/>
    <s v="1"/>
    <n v="1"/>
    <n v="33.333333333333336"/>
    <n v="0"/>
    <n v="0"/>
    <n v="0"/>
    <n v="0"/>
    <n v="2"/>
    <n v="66.66666666666667"/>
    <n v="3"/>
  </r>
  <r>
    <s v="UCEgTYCufJRBb3RUzQG8kzcQ"/>
    <s v="UCbUhO-tut97b5IQhZ3i7TMA"/>
    <m/>
    <m/>
    <m/>
    <m/>
    <m/>
    <m/>
    <m/>
    <m/>
    <s v="Yes"/>
    <n v="389"/>
    <m/>
    <m/>
    <s v="Commented Video"/>
    <x v="1"/>
    <s v="It looks soooo lovely. Hats off and enjoy 😊🎉"/>
    <s v="UCEgTYCufJRBb3RUzQG8kzcQ"/>
    <s v="maria de jucilene"/>
    <s v="http://www.youtube.com/channel/UCEgTYCufJRBb3RUzQG8kzcQ"/>
    <m/>
    <s v="JCTlws1bpAY"/>
    <s v="https://www.youtube.com/watch?v=JCTlws1bpAY"/>
    <s v="none"/>
    <n v="1"/>
    <x v="386"/>
    <s v="21/09/2018 14:20:56"/>
    <m/>
    <m/>
    <s v=""/>
    <n v="1"/>
    <s v="1"/>
    <s v="1"/>
    <n v="2"/>
    <n v="25"/>
    <n v="0"/>
    <n v="0"/>
    <n v="0"/>
    <n v="0"/>
    <n v="6"/>
    <n v="75"/>
    <n v="8"/>
  </r>
  <r>
    <s v="UCYapclnqWCYdJ9UA0MBCXeQ"/>
    <s v="UCbUhO-tut97b5IQhZ3i7TMA"/>
    <m/>
    <m/>
    <m/>
    <m/>
    <m/>
    <m/>
    <m/>
    <m/>
    <s v="Yes"/>
    <n v="390"/>
    <m/>
    <m/>
    <s v="Commented Video"/>
    <x v="1"/>
    <s v="Hi just came across your channel. love what you have done with the Terrence . How do you manage with weather change. Do you bring in everything when it rains.  Looking to transform my large roof space. At the moment it&amp;#39;s not maximised. New subscriber. Thanks."/>
    <s v="UCYapclnqWCYdJ9UA0MBCXeQ"/>
    <s v="Rebranding Me"/>
    <s v="http://www.youtube.com/channel/UCYapclnqWCYdJ9UA0MBCXeQ"/>
    <m/>
    <s v="-EA6GvKa0EA"/>
    <s v="https://www.youtube.com/watch?v=-EA6GvKa0EA"/>
    <s v="none"/>
    <n v="1"/>
    <x v="387"/>
    <s v="26/09/2018 04:52:55"/>
    <m/>
    <m/>
    <s v=""/>
    <n v="2"/>
    <s v="1"/>
    <s v="1"/>
    <n v="1"/>
    <n v="2.127659574468085"/>
    <n v="0"/>
    <n v="0"/>
    <n v="0"/>
    <n v="0"/>
    <n v="46"/>
    <n v="97.87234042553192"/>
    <n v="47"/>
  </r>
  <r>
    <s v="UCbUhO-tut97b5IQhZ3i7TMA"/>
    <s v="UCYapclnqWCYdJ9UA0MBCXeQ"/>
    <m/>
    <m/>
    <m/>
    <m/>
    <m/>
    <m/>
    <m/>
    <m/>
    <s v="Yes"/>
    <n v="391"/>
    <m/>
    <m/>
    <s v="Replied Comment"/>
    <x v="0"/>
    <s v="A few things like the mini bar but most of it can stay outside! Thanks for subscribing! :)"/>
    <s v="UCbUhO-tut97b5IQhZ3i7TMA"/>
    <s v="Mr Carrington"/>
    <s v="http://www.youtube.com/channel/UCbUhO-tut97b5IQhZ3i7TMA"/>
    <s v="UgxiJuVG-lkluVwD3GR4AaABAg"/>
    <s v="JCTlws1bpAY"/>
    <s v="https://www.youtube.com/watch?v=JCTlws1bpAY"/>
    <s v="none"/>
    <n v="0"/>
    <x v="388"/>
    <s v="27/09/2018 20:43:24"/>
    <m/>
    <m/>
    <s v=""/>
    <n v="1"/>
    <s v="1"/>
    <s v="1"/>
    <n v="1"/>
    <n v="5.882352941176471"/>
    <n v="0"/>
    <n v="0"/>
    <n v="0"/>
    <n v="0"/>
    <n v="16"/>
    <n v="94.11764705882354"/>
    <n v="17"/>
  </r>
  <r>
    <s v="UCYapclnqWCYdJ9UA0MBCXeQ"/>
    <s v="UCbUhO-tut97b5IQhZ3i7TMA"/>
    <m/>
    <m/>
    <m/>
    <m/>
    <m/>
    <m/>
    <m/>
    <m/>
    <s v="Yes"/>
    <n v="392"/>
    <m/>
    <m/>
    <s v="Commented Video"/>
    <x v="1"/>
    <s v="Hi just came across your channel. love what you have done with the Terrence . How do you manage with weather change. Do you bring in everything when it rains.  Looking to transform my large roof space. At the moment it&amp;#39;s not maximised. New subscriber. Thanks."/>
    <s v="UCYapclnqWCYdJ9UA0MBCXeQ"/>
    <s v="Rebranding Me"/>
    <s v="http://www.youtube.com/channel/UCYapclnqWCYdJ9UA0MBCXeQ"/>
    <m/>
    <s v="JCTlws1bpAY"/>
    <s v="https://www.youtube.com/watch?v=JCTlws1bpAY"/>
    <s v="none"/>
    <n v="0"/>
    <x v="389"/>
    <s v="26/09/2018 04:54:26"/>
    <m/>
    <m/>
    <s v=""/>
    <n v="2"/>
    <s v="1"/>
    <s v="1"/>
    <n v="1"/>
    <n v="2.127659574468085"/>
    <n v="0"/>
    <n v="0"/>
    <n v="0"/>
    <n v="0"/>
    <n v="46"/>
    <n v="97.87234042553192"/>
    <n v="47"/>
  </r>
  <r>
    <s v="UCbUhO-tut97b5IQhZ3i7TMA"/>
    <s v="UCoY9fSo-VCbx-X5IALS-KRg"/>
    <m/>
    <m/>
    <m/>
    <m/>
    <m/>
    <m/>
    <m/>
    <m/>
    <s v="Yes"/>
    <n v="393"/>
    <m/>
    <m/>
    <s v="Replied Comment"/>
    <x v="0"/>
    <s v="Thank you :)"/>
    <s v="UCbUhO-tut97b5IQhZ3i7TMA"/>
    <s v="Mr Carrington"/>
    <s v="http://www.youtube.com/channel/UCbUhO-tut97b5IQhZ3i7TMA"/>
    <s v="UgwC6usufpp2oipgkNh4AaABAg"/>
    <s v="JCTlws1bpAY"/>
    <s v="https://www.youtube.com/watch?v=JCTlws1bpAY"/>
    <s v="none"/>
    <n v="0"/>
    <x v="390"/>
    <s v="30/09/2018 17:30:55"/>
    <m/>
    <m/>
    <s v=""/>
    <n v="1"/>
    <s v="1"/>
    <s v="1"/>
    <n v="1"/>
    <n v="50"/>
    <n v="0"/>
    <n v="0"/>
    <n v="0"/>
    <n v="0"/>
    <n v="1"/>
    <n v="50"/>
    <n v="2"/>
  </r>
  <r>
    <s v="UCoY9fSo-VCbx-X5IALS-KRg"/>
    <s v="UCbUhO-tut97b5IQhZ3i7TMA"/>
    <m/>
    <m/>
    <m/>
    <m/>
    <m/>
    <m/>
    <m/>
    <m/>
    <s v="Yes"/>
    <n v="394"/>
    <m/>
    <m/>
    <s v="Commented Video"/>
    <x v="1"/>
    <s v="Stunning"/>
    <s v="UCoY9fSo-VCbx-X5IALS-KRg"/>
    <s v="Rosie"/>
    <s v="http://www.youtube.com/channel/UCoY9fSo-VCbx-X5IALS-KRg"/>
    <m/>
    <s v="JCTlws1bpAY"/>
    <s v="https://www.youtube.com/watch?v=JCTlws1bpAY"/>
    <s v="none"/>
    <n v="0"/>
    <x v="391"/>
    <s v="30/09/2018 17:08:54"/>
    <m/>
    <m/>
    <s v=""/>
    <n v="1"/>
    <s v="1"/>
    <s v="1"/>
    <n v="1"/>
    <n v="100"/>
    <n v="0"/>
    <n v="0"/>
    <n v="0"/>
    <n v="0"/>
    <n v="0"/>
    <n v="0"/>
    <n v="1"/>
  </r>
  <r>
    <s v="UCUGYNSGc5NL6y1g8jvaZ8Ig"/>
    <s v="UCbUhO-tut97b5IQhZ3i7TMA"/>
    <m/>
    <m/>
    <m/>
    <m/>
    <m/>
    <m/>
    <m/>
    <m/>
    <s v="No"/>
    <n v="395"/>
    <m/>
    <m/>
    <s v="Commented Video"/>
    <x v="1"/>
    <s v="This looks fantastic, I don&amp;#39;t think you need to add anything else ( on the walls) it looks so lovely ."/>
    <s v="UCUGYNSGc5NL6y1g8jvaZ8Ig"/>
    <s v="Louise Aljaradat"/>
    <s v="http://www.youtube.com/channel/UCUGYNSGc5NL6y1g8jvaZ8Ig"/>
    <m/>
    <s v="JCTlws1bpAY"/>
    <s v="https://www.youtube.com/watch?v=JCTlws1bpAY"/>
    <s v="none"/>
    <n v="0"/>
    <x v="392"/>
    <s v="23/10/2018 18:43:28"/>
    <m/>
    <m/>
    <s v=""/>
    <n v="1"/>
    <s v="1"/>
    <s v="1"/>
    <n v="2"/>
    <n v="9.523809523809524"/>
    <n v="0"/>
    <n v="0"/>
    <n v="0"/>
    <n v="0"/>
    <n v="19"/>
    <n v="90.47619047619048"/>
    <n v="21"/>
  </r>
  <r>
    <s v="UCb1CDQZ1SMWhRdNPBpjqk_A"/>
    <s v="UCbUhO-tut97b5IQhZ3i7TMA"/>
    <m/>
    <m/>
    <m/>
    <m/>
    <m/>
    <m/>
    <m/>
    <m/>
    <s v="No"/>
    <n v="396"/>
    <m/>
    <m/>
    <s v="Commented Video"/>
    <x v="1"/>
    <s v="Love it! The only think I&amp;#39;m a bid dubious about is that rug. Not sure if it&amp;#39;s cos it&amp;#39;s small and looks a bit lost or because it&amp;#39;s white and looks a bit new and stark."/>
    <s v="UCb1CDQZ1SMWhRdNPBpjqk_A"/>
    <s v="Alice Honey"/>
    <s v="http://www.youtube.com/channel/UCb1CDQZ1SMWhRdNPBpjqk_A"/>
    <m/>
    <s v="JCTlws1bpAY"/>
    <s v="https://www.youtube.com/watch?v=JCTlws1bpAY"/>
    <s v="none"/>
    <n v="0"/>
    <x v="393"/>
    <s v="18/11/2018 13:50:05"/>
    <m/>
    <m/>
    <s v=""/>
    <n v="1"/>
    <s v="1"/>
    <s v="1"/>
    <n v="1"/>
    <n v="2.272727272727273"/>
    <n v="3"/>
    <n v="6.818181818181818"/>
    <n v="0"/>
    <n v="0"/>
    <n v="40"/>
    <n v="90.9090909090909"/>
    <n v="44"/>
  </r>
  <r>
    <s v="UCC7sJIpRIAYS5Ve_iqzMwHA"/>
    <s v="UCbUhO-tut97b5IQhZ3i7TMA"/>
    <m/>
    <m/>
    <m/>
    <m/>
    <m/>
    <m/>
    <m/>
    <m/>
    <s v="No"/>
    <n v="397"/>
    <m/>
    <m/>
    <s v="Commented Video"/>
    <x v="1"/>
    <s v="Wow, you did an awesome job Mr C, my only two comments are, maybe some nice outdoor pillows 4 the Ikea chairs and Man, you make me feel really ashamed of my deck!😬"/>
    <s v="UCC7sJIpRIAYS5Ve_iqzMwHA"/>
    <s v="Cliff Swann"/>
    <s v="http://www.youtube.com/channel/UCC7sJIpRIAYS5Ve_iqzMwHA"/>
    <m/>
    <s v="JCTlws1bpAY"/>
    <s v="https://www.youtube.com/watch?v=JCTlws1bpAY"/>
    <s v="none"/>
    <n v="1"/>
    <x v="394"/>
    <s v="23/12/2018 23:54:48"/>
    <m/>
    <m/>
    <s v=""/>
    <n v="1"/>
    <s v="1"/>
    <s v="1"/>
    <n v="3"/>
    <n v="9.090909090909092"/>
    <n v="1"/>
    <n v="3.0303030303030303"/>
    <n v="0"/>
    <n v="0"/>
    <n v="29"/>
    <n v="87.87878787878788"/>
    <n v="33"/>
  </r>
  <r>
    <s v="UC4V_OcROgwAITFs46GdU0Hw"/>
    <s v="UCbUhO-tut97b5IQhZ3i7TMA"/>
    <m/>
    <m/>
    <m/>
    <m/>
    <m/>
    <m/>
    <m/>
    <m/>
    <s v="No"/>
    <n v="398"/>
    <m/>
    <m/>
    <s v="Commented Video"/>
    <x v="1"/>
    <s v="So  comfortable . !!! creative"/>
    <s v="UC4V_OcROgwAITFs46GdU0Hw"/>
    <s v="Jenny"/>
    <s v="http://www.youtube.com/channel/UC4V_OcROgwAITFs46GdU0Hw"/>
    <m/>
    <s v="-EA6GvKa0EA"/>
    <s v="https://www.youtube.com/watch?v=-EA6GvKa0EA"/>
    <s v="none"/>
    <n v="0"/>
    <x v="395"/>
    <s v="26/11/2018 06:17:17"/>
    <m/>
    <m/>
    <s v=""/>
    <n v="2"/>
    <s v="1"/>
    <s v="1"/>
    <n v="2"/>
    <n v="66.66666666666667"/>
    <n v="0"/>
    <n v="0"/>
    <n v="0"/>
    <n v="0"/>
    <n v="1"/>
    <n v="33.333333333333336"/>
    <n v="3"/>
  </r>
  <r>
    <s v="UC4V_OcROgwAITFs46GdU0Hw"/>
    <s v="UCbUhO-tut97b5IQhZ3i7TMA"/>
    <m/>
    <m/>
    <m/>
    <m/>
    <m/>
    <m/>
    <m/>
    <m/>
    <s v="No"/>
    <n v="399"/>
    <m/>
    <m/>
    <s v="Commented Video"/>
    <x v="1"/>
    <s v="Just so beautiful , so welcoming, and cute."/>
    <s v="UC4V_OcROgwAITFs46GdU0Hw"/>
    <s v="Jenny"/>
    <s v="http://www.youtube.com/channel/UC4V_OcROgwAITFs46GdU0Hw"/>
    <m/>
    <s v="JCTlws1bpAY"/>
    <s v="https://www.youtube.com/watch?v=JCTlws1bpAY"/>
    <s v="none"/>
    <n v="0"/>
    <x v="396"/>
    <s v="29/12/2018 20:46:54"/>
    <m/>
    <m/>
    <s v=""/>
    <n v="2"/>
    <s v="1"/>
    <s v="1"/>
    <n v="2"/>
    <n v="28.571428571428573"/>
    <n v="0"/>
    <n v="0"/>
    <n v="0"/>
    <n v="0"/>
    <n v="5"/>
    <n v="71.42857142857143"/>
    <n v="7"/>
  </r>
  <r>
    <s v="UCJKBWpRL_vVj9nNbVGa9t7g"/>
    <s v="UCbUhO-tut97b5IQhZ3i7TMA"/>
    <m/>
    <m/>
    <m/>
    <m/>
    <m/>
    <m/>
    <m/>
    <m/>
    <s v="No"/>
    <n v="400"/>
    <m/>
    <m/>
    <s v="Commented Video"/>
    <x v="1"/>
    <s v="Such a lovely space. I&amp;#39;m binge watching all your previous videos 😂"/>
    <s v="UCJKBWpRL_vVj9nNbVGa9t7g"/>
    <s v="Debbie Vidal"/>
    <s v="http://www.youtube.com/channel/UCJKBWpRL_vVj9nNbVGa9t7g"/>
    <m/>
    <s v="JCTlws1bpAY"/>
    <s v="https://www.youtube.com/watch?v=JCTlws1bpAY"/>
    <s v="none"/>
    <n v="1"/>
    <x v="397"/>
    <d v="2019-04-01T20:25:12.000"/>
    <m/>
    <m/>
    <s v=""/>
    <n v="1"/>
    <s v="1"/>
    <s v="1"/>
    <n v="1"/>
    <n v="7.6923076923076925"/>
    <n v="0"/>
    <n v="0"/>
    <n v="0"/>
    <n v="0"/>
    <n v="12"/>
    <n v="92.3076923076923"/>
    <n v="13"/>
  </r>
  <r>
    <s v="UCbUhO-tut97b5IQhZ3i7TMA"/>
    <s v="UCibEJyV5uJFMXGFqdk3sV2w"/>
    <m/>
    <m/>
    <m/>
    <m/>
    <m/>
    <m/>
    <m/>
    <m/>
    <s v="Yes"/>
    <n v="401"/>
    <m/>
    <m/>
    <s v="Replied Comment"/>
    <x v="0"/>
    <s v="Kerry Tyrer thank you so much 😀"/>
    <s v="UCbUhO-tut97b5IQhZ3i7TMA"/>
    <s v="Mr Carrington"/>
    <s v="http://www.youtube.com/channel/UCbUhO-tut97b5IQhZ3i7TMA"/>
    <s v="UgzJRfiIB9MiOMZnu6R4AaABAg"/>
    <s v="JCTlws1bpAY"/>
    <s v="https://www.youtube.com/watch?v=JCTlws1bpAY"/>
    <s v="none"/>
    <n v="0"/>
    <x v="398"/>
    <s v="14/02/2019 22:14:08"/>
    <m/>
    <m/>
    <s v=""/>
    <n v="1"/>
    <s v="1"/>
    <s v="1"/>
    <n v="1"/>
    <n v="16.666666666666668"/>
    <n v="0"/>
    <n v="0"/>
    <n v="0"/>
    <n v="0"/>
    <n v="5"/>
    <n v="83.33333333333333"/>
    <n v="6"/>
  </r>
  <r>
    <s v="UCibEJyV5uJFMXGFqdk3sV2w"/>
    <s v="UCbUhO-tut97b5IQhZ3i7TMA"/>
    <m/>
    <m/>
    <m/>
    <m/>
    <m/>
    <m/>
    <m/>
    <m/>
    <s v="Yes"/>
    <n v="402"/>
    <m/>
    <m/>
    <s v="Commented Video"/>
    <x v="1"/>
    <s v="What a lovely space you&amp;#39;ve made!  Found your video whilst browsing YouTube for inspiration for our roof terrace in Spain, and really like what you&amp;#39;ve done.  I&amp;#39;m a real fan of making things beautiful on a budget, and we have Primark and IKEA here so lots of inspiration for me, thanks!"/>
    <s v="UCibEJyV5uJFMXGFqdk3sV2w"/>
    <s v="Kerry Tyrer"/>
    <s v="http://www.youtube.com/channel/UCibEJyV5uJFMXGFqdk3sV2w"/>
    <m/>
    <s v="JCTlws1bpAY"/>
    <s v="https://www.youtube.com/watch?v=JCTlws1bpAY"/>
    <s v="none"/>
    <n v="0"/>
    <x v="399"/>
    <s v="14/02/2019 20:20:09"/>
    <m/>
    <m/>
    <s v=""/>
    <n v="1"/>
    <s v="1"/>
    <s v="1"/>
    <n v="5"/>
    <n v="8.771929824561404"/>
    <n v="0"/>
    <n v="0"/>
    <n v="0"/>
    <n v="0"/>
    <n v="52"/>
    <n v="91.2280701754386"/>
    <n v="57"/>
  </r>
  <r>
    <s v="UCzI_ZR5-_HfCNwfMC7YQnsw"/>
    <s v="UCKxZWXwLzbbcdYQCEiDEgjg"/>
    <m/>
    <m/>
    <m/>
    <m/>
    <m/>
    <m/>
    <m/>
    <m/>
    <s v="No"/>
    <n v="403"/>
    <m/>
    <m/>
    <s v="Replied Comment"/>
    <x v="0"/>
    <s v="Rightly said."/>
    <s v="UCzI_ZR5-_HfCNwfMC7YQnsw"/>
    <s v="Geeta and Rajeev"/>
    <s v="http://www.youtube.com/channel/UCzI_ZR5-_HfCNwfMC7YQnsw"/>
    <s v="Ugwu3kVVsVYqigWE-fN4AaABAg"/>
    <s v="JCTlws1bpAY"/>
    <s v="https://www.youtube.com/watch?v=JCTlws1bpAY"/>
    <s v="none"/>
    <n v="0"/>
    <x v="400"/>
    <s v="21/03/2019 04:14:40"/>
    <m/>
    <m/>
    <s v=""/>
    <n v="1"/>
    <s v="1"/>
    <s v="1"/>
    <n v="1"/>
    <n v="50"/>
    <n v="0"/>
    <n v="0"/>
    <n v="0"/>
    <n v="0"/>
    <n v="1"/>
    <n v="50"/>
    <n v="2"/>
  </r>
  <r>
    <s v="UCKxZWXwLzbbcdYQCEiDEgjg"/>
    <s v="UCbUhO-tut97b5IQhZ3i7TMA"/>
    <m/>
    <m/>
    <m/>
    <m/>
    <m/>
    <m/>
    <m/>
    <m/>
    <s v="No"/>
    <n v="404"/>
    <m/>
    <m/>
    <s v="Commented Video"/>
    <x v="1"/>
    <s v="Its classy roof top garden respect &lt;br&gt;👍🏻 simran from India❤"/>
    <s v="UCKxZWXwLzbbcdYQCEiDEgjg"/>
    <s v="My Little Garden"/>
    <s v="http://www.youtube.com/channel/UCKxZWXwLzbbcdYQCEiDEgjg"/>
    <m/>
    <s v="JCTlws1bpAY"/>
    <s v="https://www.youtube.com/watch?v=JCTlws1bpAY"/>
    <s v="none"/>
    <n v="1"/>
    <x v="401"/>
    <s v="21/03/2019 04:04:53"/>
    <m/>
    <m/>
    <s v=""/>
    <n v="1"/>
    <s v="1"/>
    <s v="1"/>
    <n v="3"/>
    <n v="30"/>
    <n v="0"/>
    <n v="0"/>
    <n v="0"/>
    <n v="0"/>
    <n v="7"/>
    <n v="70"/>
    <n v="10"/>
  </r>
  <r>
    <s v="UCzI_ZR5-_HfCNwfMC7YQnsw"/>
    <s v="UCbUhO-tut97b5IQhZ3i7TMA"/>
    <m/>
    <m/>
    <m/>
    <m/>
    <m/>
    <m/>
    <m/>
    <m/>
    <s v="No"/>
    <n v="405"/>
    <m/>
    <m/>
    <s v="Commented Video"/>
    <x v="1"/>
    <s v="Very attractive roof-top.nice decoration."/>
    <s v="UCzI_ZR5-_HfCNwfMC7YQnsw"/>
    <s v="Geeta and Rajeev"/>
    <s v="http://www.youtube.com/channel/UCzI_ZR5-_HfCNwfMC7YQnsw"/>
    <m/>
    <s v="JCTlws1bpAY"/>
    <s v="https://www.youtube.com/watch?v=JCTlws1bpAY"/>
    <s v="none"/>
    <n v="0"/>
    <x v="402"/>
    <s v="21/03/2019 04:13:41"/>
    <m/>
    <m/>
    <s v=""/>
    <n v="1"/>
    <s v="1"/>
    <s v="1"/>
    <n v="3"/>
    <n v="50"/>
    <n v="0"/>
    <n v="0"/>
    <n v="0"/>
    <n v="0"/>
    <n v="3"/>
    <n v="50"/>
    <n v="6"/>
  </r>
  <r>
    <s v="UCAYthKrlL2P6lIbcFwm4a-g"/>
    <s v="UCbUhO-tut97b5IQhZ3i7TMA"/>
    <m/>
    <m/>
    <m/>
    <m/>
    <m/>
    <m/>
    <m/>
    <m/>
    <s v="No"/>
    <n v="406"/>
    <m/>
    <m/>
    <s v="Commented Video"/>
    <x v="1"/>
    <s v="Your roof garden is amazing.....such great ideas you have x"/>
    <s v="UCAYthKrlL2P6lIbcFwm4a-g"/>
    <s v="Jane Cross"/>
    <s v="http://www.youtube.com/channel/UCAYthKrlL2P6lIbcFwm4a-g"/>
    <m/>
    <s v="JCTlws1bpAY"/>
    <s v="https://www.youtube.com/watch?v=JCTlws1bpAY"/>
    <s v="none"/>
    <n v="0"/>
    <x v="403"/>
    <s v="13/06/2019 15:04:08"/>
    <m/>
    <m/>
    <s v=""/>
    <n v="1"/>
    <s v="1"/>
    <s v="1"/>
    <n v="2"/>
    <n v="18.181818181818183"/>
    <n v="0"/>
    <n v="0"/>
    <n v="0"/>
    <n v="0"/>
    <n v="9"/>
    <n v="81.81818181818181"/>
    <n v="11"/>
  </r>
  <r>
    <s v="UCB17WVp6uTPzs45LXvQb2qQ"/>
    <s v="UCbUhO-tut97b5IQhZ3i7TMA"/>
    <m/>
    <m/>
    <m/>
    <m/>
    <m/>
    <m/>
    <m/>
    <m/>
    <s v="No"/>
    <n v="407"/>
    <m/>
    <m/>
    <s v="Commented Video"/>
    <x v="1"/>
    <s v="Nice plane spotting area that you&amp;#39;ve got there! No but seriously, I absolutely love your rooftop garden, so stylish and cozy! :)"/>
    <s v="UCB17WVp6uTPzs45LXvQb2qQ"/>
    <s v="Denise W."/>
    <s v="http://www.youtube.com/channel/UCB17WVp6uTPzs45LXvQb2qQ"/>
    <m/>
    <s v="JCTlws1bpAY"/>
    <s v="https://www.youtube.com/watch?v=JCTlws1bpAY"/>
    <s v="none"/>
    <n v="0"/>
    <x v="404"/>
    <s v="21/01/2020 19:00:50"/>
    <m/>
    <m/>
    <s v=""/>
    <n v="1"/>
    <s v="1"/>
    <s v="1"/>
    <n v="4"/>
    <n v="17.391304347826086"/>
    <n v="0"/>
    <n v="0"/>
    <n v="0"/>
    <n v="0"/>
    <n v="19"/>
    <n v="82.6086956521739"/>
    <n v="23"/>
  </r>
  <r>
    <s v="UCzyr4fDlXYgfKzLSmfpOwiw"/>
    <s v="UCbUhO-tut97b5IQhZ3i7TMA"/>
    <m/>
    <m/>
    <m/>
    <m/>
    <m/>
    <m/>
    <m/>
    <m/>
    <s v="No"/>
    <n v="408"/>
    <m/>
    <m/>
    <s v="Commented Video"/>
    <x v="1"/>
    <s v="Hi.  Just seen your video and would like to say that your roof terrace looks gorgeous. Well done. It must be lovely in the summer evenings. Looks good xx xx"/>
    <s v="UCzyr4fDlXYgfKzLSmfpOwiw"/>
    <s v="Lyn Chalk"/>
    <s v="http://www.youtube.com/channel/UCzyr4fDlXYgfKzLSmfpOwiw"/>
    <m/>
    <s v="JCTlws1bpAY"/>
    <s v="https://www.youtube.com/watch?v=JCTlws1bpAY"/>
    <s v="none"/>
    <n v="0"/>
    <x v="405"/>
    <s v="24/10/2020 18:36:00"/>
    <m/>
    <m/>
    <s v=""/>
    <n v="1"/>
    <s v="1"/>
    <s v="1"/>
    <n v="5"/>
    <n v="16.666666666666668"/>
    <n v="0"/>
    <n v="0"/>
    <n v="0"/>
    <n v="0"/>
    <n v="25"/>
    <n v="83.33333333333333"/>
    <n v="30"/>
  </r>
  <r>
    <s v="UCgRYrZYHz9U_iYHnKVpN6Gw"/>
    <s v="UCbUhO-tut97b5IQhZ3i7TMA"/>
    <m/>
    <m/>
    <m/>
    <m/>
    <m/>
    <m/>
    <m/>
    <m/>
    <s v="No"/>
    <n v="409"/>
    <m/>
    <m/>
    <s v="Commented Video"/>
    <x v="1"/>
    <s v="Love it"/>
    <s v="UCgRYrZYHz9U_iYHnKVpN6Gw"/>
    <s v="Crystals and Chimes"/>
    <s v="http://www.youtube.com/channel/UCgRYrZYHz9U_iYHnKVpN6Gw"/>
    <m/>
    <s v="JCTlws1bpAY"/>
    <s v="https://www.youtube.com/watch?v=JCTlws1bpAY"/>
    <s v="none"/>
    <n v="0"/>
    <x v="406"/>
    <s v="20/12/2020 10:47:20"/>
    <m/>
    <m/>
    <s v=""/>
    <n v="1"/>
    <s v="1"/>
    <s v="1"/>
    <n v="1"/>
    <n v="50"/>
    <n v="0"/>
    <n v="0"/>
    <n v="0"/>
    <n v="0"/>
    <n v="1"/>
    <n v="50"/>
    <n v="2"/>
  </r>
  <r>
    <s v="UCjJ5-gw41air_5B1eap2l4g"/>
    <s v="UCbUhO-tut97b5IQhZ3i7TMA"/>
    <m/>
    <m/>
    <m/>
    <m/>
    <m/>
    <m/>
    <m/>
    <m/>
    <s v="No"/>
    <n v="410"/>
    <m/>
    <m/>
    <s v="Commented Video"/>
    <x v="1"/>
    <s v="beautiful"/>
    <s v="UCjJ5-gw41air_5B1eap2l4g"/>
    <s v="3stanity (Stanly L)"/>
    <s v="http://www.youtube.com/channel/UCjJ5-gw41air_5B1eap2l4g"/>
    <m/>
    <s v="JCTlws1bpAY"/>
    <s v="https://www.youtube.com/watch?v=JCTlws1bpAY"/>
    <s v="none"/>
    <n v="0"/>
    <x v="407"/>
    <s v="16/02/2021 14:20:36"/>
    <m/>
    <m/>
    <s v=""/>
    <n v="1"/>
    <s v="1"/>
    <s v="1"/>
    <n v="1"/>
    <n v="100"/>
    <n v="0"/>
    <n v="0"/>
    <n v="0"/>
    <n v="0"/>
    <n v="0"/>
    <n v="0"/>
    <n v="1"/>
  </r>
  <r>
    <s v="UCvH-bUIk7u6SoBYf7TnPkmQ"/>
    <s v="UCbUhO-tut97b5IQhZ3i7TMA"/>
    <m/>
    <m/>
    <m/>
    <m/>
    <m/>
    <m/>
    <m/>
    <m/>
    <s v="No"/>
    <n v="411"/>
    <m/>
    <m/>
    <s v="Commented Video"/>
    <x v="1"/>
    <s v="You’ve done a fantastic job of the roof garden"/>
    <s v="UCvH-bUIk7u6SoBYf7TnPkmQ"/>
    <s v="Lynn Gronnow"/>
    <s v="http://www.youtube.com/channel/UCvH-bUIk7u6SoBYf7TnPkmQ"/>
    <m/>
    <s v="-EA6GvKa0EA"/>
    <s v="https://www.youtube.com/watch?v=-EA6GvKa0EA"/>
    <s v="none"/>
    <n v="0"/>
    <x v="408"/>
    <s v="16/04/2021 04:16:37"/>
    <m/>
    <m/>
    <s v=""/>
    <n v="2"/>
    <s v="1"/>
    <s v="1"/>
    <n v="1"/>
    <n v="10"/>
    <n v="0"/>
    <n v="0"/>
    <n v="0"/>
    <n v="0"/>
    <n v="9"/>
    <n v="90"/>
    <n v="10"/>
  </r>
  <r>
    <s v="UCvH-bUIk7u6SoBYf7TnPkmQ"/>
    <s v="UCbUhO-tut97b5IQhZ3i7TMA"/>
    <m/>
    <m/>
    <m/>
    <m/>
    <m/>
    <m/>
    <m/>
    <m/>
    <s v="No"/>
    <n v="412"/>
    <m/>
    <m/>
    <s v="Commented Video"/>
    <x v="1"/>
    <s v="Lovely"/>
    <s v="UCvH-bUIk7u6SoBYf7TnPkmQ"/>
    <s v="Lynn Gronnow"/>
    <s v="http://www.youtube.com/channel/UCvH-bUIk7u6SoBYf7TnPkmQ"/>
    <m/>
    <s v="JCTlws1bpAY"/>
    <s v="https://www.youtube.com/watch?v=JCTlws1bpAY"/>
    <s v="none"/>
    <n v="0"/>
    <x v="409"/>
    <s v="16/04/2021 04:23:46"/>
    <m/>
    <m/>
    <s v=""/>
    <n v="2"/>
    <s v="1"/>
    <s v="1"/>
    <n v="1"/>
    <n v="100"/>
    <n v="0"/>
    <n v="0"/>
    <n v="0"/>
    <n v="0"/>
    <n v="0"/>
    <n v="0"/>
    <n v="1"/>
  </r>
  <r>
    <s v="UCirfi9jAYhqMpCrr_Kv_6Yg"/>
    <s v="UCbUhO-tut97b5IQhZ3i7TMA"/>
    <m/>
    <m/>
    <m/>
    <m/>
    <m/>
    <m/>
    <m/>
    <m/>
    <s v="No"/>
    <n v="413"/>
    <m/>
    <m/>
    <s v="Commented Video"/>
    <x v="1"/>
    <s v="What a wonderful rooftop garden. Love the lights, I have the same, but I didnt know how to hang them, thanks for the tip!"/>
    <s v="UCirfi9jAYhqMpCrr_Kv_6Yg"/>
    <s v="Ibislife"/>
    <s v="http://www.youtube.com/channel/UCirfi9jAYhqMpCrr_Kv_6Yg"/>
    <m/>
    <s v="JCTlws1bpAY"/>
    <s v="https://www.youtube.com/watch?v=JCTlws1bpAY"/>
    <s v="none"/>
    <n v="0"/>
    <x v="410"/>
    <s v="28/04/2021 06:26:40"/>
    <m/>
    <m/>
    <s v=""/>
    <n v="1"/>
    <s v="1"/>
    <s v="1"/>
    <n v="2"/>
    <n v="8.333333333333334"/>
    <n v="1"/>
    <n v="4.166666666666667"/>
    <n v="0"/>
    <n v="0"/>
    <n v="21"/>
    <n v="87.5"/>
    <n v="24"/>
  </r>
  <r>
    <s v="UCMIqkaTTTpG9oAj7Qhhviiw"/>
    <s v="UCbUhO-tut97b5IQhZ3i7TMA"/>
    <m/>
    <m/>
    <m/>
    <m/>
    <m/>
    <m/>
    <m/>
    <m/>
    <s v="No"/>
    <n v="414"/>
    <m/>
    <m/>
    <s v="Commented Video"/>
    <x v="1"/>
    <s v="Nice place to relax😊😉"/>
    <s v="UCMIqkaTTTpG9oAj7Qhhviiw"/>
    <s v="jdcm school"/>
    <s v="http://www.youtube.com/channel/UCMIqkaTTTpG9oAj7Qhhviiw"/>
    <m/>
    <s v="JCTlws1bpAY"/>
    <s v="https://www.youtube.com/watch?v=JCTlws1bpAY"/>
    <s v="none"/>
    <n v="0"/>
    <x v="411"/>
    <s v="22/05/2021 04:39:18"/>
    <m/>
    <m/>
    <s v=""/>
    <n v="1"/>
    <s v="1"/>
    <s v="1"/>
    <n v="1"/>
    <n v="25"/>
    <n v="0"/>
    <n v="0"/>
    <n v="0"/>
    <n v="0"/>
    <n v="3"/>
    <n v="75"/>
    <n v="4"/>
  </r>
  <r>
    <s v="UCgCxFRbrO7_02dw8AYIhDLA"/>
    <s v="UCTOvm9hk4-V6VQz6yjz_FwQ"/>
    <m/>
    <m/>
    <m/>
    <m/>
    <m/>
    <m/>
    <m/>
    <m/>
    <s v="Yes"/>
    <n v="415"/>
    <m/>
    <m/>
    <s v="Replied Comment"/>
    <x v="0"/>
    <s v="Hi Ravi, I&amp;#39;m from London."/>
    <s v="UCgCxFRbrO7_02dw8AYIhDLA"/>
    <s v="Travel addict family"/>
    <s v="http://www.youtube.com/channel/UCgCxFRbrO7_02dw8AYIhDLA"/>
    <s v="Ugy-uqG0U0_NiRmIZUh4AaABAg"/>
    <s v="-X8Nj_r5zGE"/>
    <s v="https://www.youtube.com/watch?v=-X8Nj_r5zGE"/>
    <s v="none"/>
    <n v="0"/>
    <x v="412"/>
    <s v="25/02/2021 18:46:12"/>
    <m/>
    <m/>
    <s v=""/>
    <n v="1"/>
    <s v="16"/>
    <s v="16"/>
    <n v="0"/>
    <n v="0"/>
    <n v="0"/>
    <n v="0"/>
    <n v="0"/>
    <n v="0"/>
    <n v="7"/>
    <n v="100"/>
    <n v="7"/>
  </r>
  <r>
    <s v="UCTOvm9hk4-V6VQz6yjz_FwQ"/>
    <s v="UCgCxFRbrO7_02dw8AYIhDLA"/>
    <m/>
    <m/>
    <m/>
    <m/>
    <m/>
    <m/>
    <m/>
    <m/>
    <s v="Yes"/>
    <n v="416"/>
    <m/>
    <m/>
    <s v="Commented Video"/>
    <x v="1"/>
    <s v="Where are you from"/>
    <s v="UCTOvm9hk4-V6VQz6yjz_FwQ"/>
    <s v="ravi dutt suman"/>
    <s v="http://www.youtube.com/channel/UCTOvm9hk4-V6VQz6yjz_FwQ"/>
    <m/>
    <s v="-X8Nj_r5zGE"/>
    <s v="https://www.youtube.com/watch?v=-X8Nj_r5zGE"/>
    <s v="none"/>
    <n v="1"/>
    <x v="413"/>
    <s v="25/02/2021 15:15:43"/>
    <m/>
    <m/>
    <s v=""/>
    <n v="1"/>
    <s v="16"/>
    <s v="16"/>
    <n v="0"/>
    <n v="0"/>
    <n v="0"/>
    <n v="0"/>
    <n v="0"/>
    <n v="0"/>
    <n v="4"/>
    <n v="100"/>
    <n v="4"/>
  </r>
  <r>
    <s v="UCgCxFRbrO7_02dw8AYIhDLA"/>
    <s v="UCndW331cxijeCaLHlD6VK-A"/>
    <m/>
    <m/>
    <m/>
    <m/>
    <m/>
    <m/>
    <m/>
    <m/>
    <s v="Yes"/>
    <n v="417"/>
    <m/>
    <m/>
    <s v="Replied Comment"/>
    <x v="0"/>
    <s v="Hi bro, unfortunately I pay for my travel."/>
    <s v="UCgCxFRbrO7_02dw8AYIhDLA"/>
    <s v="Travel addict family"/>
    <s v="http://www.youtube.com/channel/UCgCxFRbrO7_02dw8AYIhDLA"/>
    <s v="UgxladXHFPNQbX9M97p4AaABAg"/>
    <s v="-X8Nj_r5zGE"/>
    <s v="https://www.youtube.com/watch?v=-X8Nj_r5zGE"/>
    <s v="none"/>
    <n v="1"/>
    <x v="414"/>
    <s v="27/05/2021 19:51:27"/>
    <m/>
    <m/>
    <s v=""/>
    <n v="1"/>
    <s v="16"/>
    <s v="16"/>
    <n v="0"/>
    <n v="0"/>
    <n v="1"/>
    <n v="12.5"/>
    <n v="0"/>
    <n v="0"/>
    <n v="7"/>
    <n v="87.5"/>
    <n v="8"/>
  </r>
  <r>
    <s v="UCndW331cxijeCaLHlD6VK-A"/>
    <s v="UCndW331cxijeCaLHlD6VK-A"/>
    <m/>
    <m/>
    <m/>
    <m/>
    <m/>
    <m/>
    <m/>
    <m/>
    <s v="No"/>
    <n v="418"/>
    <m/>
    <m/>
    <s v="Replied Comment"/>
    <x v="0"/>
    <s v="@Travel addict family rich 😆"/>
    <s v="UCndW331cxijeCaLHlD6VK-A"/>
    <s v="Lemon Rhode"/>
    <s v="http://www.youtube.com/channel/UCndW331cxijeCaLHlD6VK-A"/>
    <s v="UgxladXHFPNQbX9M97p4AaABAg"/>
    <s v="-X8Nj_r5zGE"/>
    <s v="https://www.youtube.com/watch?v=-X8Nj_r5zGE"/>
    <s v="none"/>
    <n v="0"/>
    <x v="415"/>
    <s v="30/05/2021 16:25:57"/>
    <m/>
    <m/>
    <s v=""/>
    <n v="1"/>
    <s v="16"/>
    <s v="16"/>
    <n v="1"/>
    <n v="25"/>
    <n v="1"/>
    <n v="25"/>
    <n v="0"/>
    <n v="0"/>
    <n v="2"/>
    <n v="50"/>
    <n v="4"/>
  </r>
  <r>
    <s v="UCndW331cxijeCaLHlD6VK-A"/>
    <s v="UCgCxFRbrO7_02dw8AYIhDLA"/>
    <m/>
    <m/>
    <m/>
    <m/>
    <m/>
    <m/>
    <m/>
    <m/>
    <s v="Yes"/>
    <n v="419"/>
    <m/>
    <m/>
    <s v="Commented Video"/>
    <x v="1"/>
    <s v="Bro do you travel from your own money or from company side?🔥🔥"/>
    <s v="UCndW331cxijeCaLHlD6VK-A"/>
    <s v="Lemon Rhode"/>
    <s v="http://www.youtube.com/channel/UCndW331cxijeCaLHlD6VK-A"/>
    <m/>
    <s v="-X8Nj_r5zGE"/>
    <s v="https://www.youtube.com/watch?v=-X8Nj_r5zGE"/>
    <s v="none"/>
    <n v="0"/>
    <x v="416"/>
    <s v="27/05/2021 19:43:33"/>
    <m/>
    <m/>
    <s v=""/>
    <n v="1"/>
    <s v="16"/>
    <s v="16"/>
    <n v="0"/>
    <n v="0"/>
    <n v="0"/>
    <n v="0"/>
    <n v="0"/>
    <n v="0"/>
    <n v="12"/>
    <n v="100"/>
    <n v="12"/>
  </r>
  <r>
    <s v="UCJZTjBlrnDHYmf0F-eYXA3Q"/>
    <s v="UCPqCByYpHD66ebkhDfDvHcw"/>
    <m/>
    <m/>
    <m/>
    <m/>
    <m/>
    <m/>
    <m/>
    <m/>
    <s v="No"/>
    <n v="420"/>
    <m/>
    <m/>
    <s v="Commented Video"/>
    <x v="1"/>
    <s v="I think every top level of a highrise should have some sort of garden where possible. I&amp;#39;d like to go further and promote highrise food gardening where a building top can be utilised to supplement the produce required for the residences or businesses within. Good video!  Cheers :)"/>
    <s v="UCJZTjBlrnDHYmf0F-eYXA3Q"/>
    <s v="Self Sufficient Me"/>
    <s v="http://www.youtube.com/channel/UCJZTjBlrnDHYmf0F-eYXA3Q"/>
    <m/>
    <s v="Id2c6MkIsQM"/>
    <s v="https://www.youtube.com/watch?v=Id2c6MkIsQM"/>
    <s v="none"/>
    <n v="5"/>
    <x v="417"/>
    <s v="15/04/2016 01:02:56"/>
    <m/>
    <m/>
    <s v=""/>
    <n v="1"/>
    <s v="7"/>
    <s v="7"/>
    <n v="4"/>
    <n v="8.16326530612245"/>
    <n v="0"/>
    <n v="0"/>
    <n v="0"/>
    <n v="0"/>
    <n v="45"/>
    <n v="91.83673469387755"/>
    <n v="49"/>
  </r>
  <r>
    <s v="UCe0Ty-ARgAtRKadl946iuag"/>
    <s v="UCPqCByYpHD66ebkhDfDvHcw"/>
    <m/>
    <m/>
    <m/>
    <m/>
    <m/>
    <m/>
    <m/>
    <m/>
    <s v="No"/>
    <n v="421"/>
    <m/>
    <m/>
    <s v="Commented Video"/>
    <x v="1"/>
    <s v="Wow...that is a beautiful place.  Thank you for the quick tour.  Just lovely!"/>
    <s v="UCe0Ty-ARgAtRKadl946iuag"/>
    <s v="Molly Smith"/>
    <s v="http://www.youtube.com/channel/UCe0Ty-ARgAtRKadl946iuag"/>
    <m/>
    <s v="Id2c6MkIsQM"/>
    <s v="https://www.youtube.com/watch?v=Id2c6MkIsQM"/>
    <s v="none"/>
    <n v="0"/>
    <x v="418"/>
    <s v="15/04/2016 01:19:50"/>
    <m/>
    <m/>
    <s v=""/>
    <n v="1"/>
    <s v="7"/>
    <s v="7"/>
    <n v="4"/>
    <n v="28.571428571428573"/>
    <n v="0"/>
    <n v="0"/>
    <n v="0"/>
    <n v="0"/>
    <n v="10"/>
    <n v="71.42857142857143"/>
    <n v="14"/>
  </r>
  <r>
    <s v="UCzYiZ_5SKTQ7VXZEk0QMqaQ"/>
    <s v="UCPqCByYpHD66ebkhDfDvHcw"/>
    <m/>
    <m/>
    <m/>
    <m/>
    <m/>
    <m/>
    <m/>
    <m/>
    <s v="No"/>
    <n v="422"/>
    <m/>
    <m/>
    <s v="Commented Video"/>
    <x v="1"/>
    <s v="Thanks for the tour of the Roof  Garden,very nice indeed!"/>
    <s v="UCzYiZ_5SKTQ7VXZEk0QMqaQ"/>
    <s v="Elsie Theobald"/>
    <s v="http://www.youtube.com/channel/UCzYiZ_5SKTQ7VXZEk0QMqaQ"/>
    <m/>
    <s v="Id2c6MkIsQM"/>
    <s v="https://www.youtube.com/watch?v=Id2c6MkIsQM"/>
    <s v="none"/>
    <n v="0"/>
    <x v="419"/>
    <s v="15/04/2016 01:43:28"/>
    <m/>
    <m/>
    <s v=""/>
    <n v="1"/>
    <s v="7"/>
    <s v="7"/>
    <n v="1"/>
    <n v="9.090909090909092"/>
    <n v="0"/>
    <n v="0"/>
    <n v="0"/>
    <n v="0"/>
    <n v="10"/>
    <n v="90.9090909090909"/>
    <n v="11"/>
  </r>
  <r>
    <s v="UC-8wnkkf2mXWP8yGB7QZn6A"/>
    <s v="UCPqCByYpHD66ebkhDfDvHcw"/>
    <m/>
    <m/>
    <m/>
    <m/>
    <m/>
    <m/>
    <m/>
    <m/>
    <s v="No"/>
    <n v="423"/>
    <m/>
    <m/>
    <s v="Commented Video"/>
    <x v="1"/>
    <s v="How the other half live !&lt;br&gt;very interesting Sean."/>
    <s v="UC-8wnkkf2mXWP8yGB7QZn6A"/>
    <s v="Andy Macdonald"/>
    <s v="http://www.youtube.com/channel/UC-8wnkkf2mXWP8yGB7QZn6A"/>
    <m/>
    <s v="Id2c6MkIsQM"/>
    <s v="https://www.youtube.com/watch?v=Id2c6MkIsQM"/>
    <s v="none"/>
    <n v="0"/>
    <x v="420"/>
    <s v="15/04/2016 01:43:36"/>
    <m/>
    <m/>
    <s v=""/>
    <n v="1"/>
    <s v="7"/>
    <s v="7"/>
    <n v="1"/>
    <n v="11.11111111111111"/>
    <n v="0"/>
    <n v="0"/>
    <n v="0"/>
    <n v="0"/>
    <n v="8"/>
    <n v="88.88888888888889"/>
    <n v="9"/>
  </r>
  <r>
    <s v="UCjwpjQ7SQwHjFPJrUWxke8g"/>
    <s v="UCPqCByYpHD66ebkhDfDvHcw"/>
    <m/>
    <m/>
    <m/>
    <m/>
    <m/>
    <m/>
    <m/>
    <m/>
    <s v="No"/>
    <n v="424"/>
    <m/>
    <m/>
    <s v="Commented Video"/>
    <x v="1"/>
    <s v="That is amazing! A whole different world on the roof! Thanks for sharing."/>
    <s v="UCjwpjQ7SQwHjFPJrUWxke8g"/>
    <s v="Tomato Geeks"/>
    <s v="http://www.youtube.com/channel/UCjwpjQ7SQwHjFPJrUWxke8g"/>
    <m/>
    <s v="Id2c6MkIsQM"/>
    <s v="https://www.youtube.com/watch?v=Id2c6MkIsQM"/>
    <s v="none"/>
    <n v="0"/>
    <x v="421"/>
    <s v="15/04/2016 04:59:36"/>
    <m/>
    <m/>
    <s v=""/>
    <n v="1"/>
    <s v="7"/>
    <s v="7"/>
    <n v="1"/>
    <n v="7.6923076923076925"/>
    <n v="0"/>
    <n v="0"/>
    <n v="0"/>
    <n v="0"/>
    <n v="12"/>
    <n v="92.3076923076923"/>
    <n v="13"/>
  </r>
  <r>
    <s v="UCuDR6nNA17-9XDUzNi_eKbQ"/>
    <s v="UCPqCByYpHD66ebkhDfDvHcw"/>
    <m/>
    <m/>
    <m/>
    <m/>
    <m/>
    <m/>
    <m/>
    <m/>
    <s v="No"/>
    <n v="425"/>
    <m/>
    <m/>
    <s v="Commented Video"/>
    <x v="1"/>
    <s v="Its hard to believe thats all on a roof, it brings new meaning to the words roof garden nice one."/>
    <s v="UCuDR6nNA17-9XDUzNi_eKbQ"/>
    <s v="pongopom"/>
    <s v="http://www.youtube.com/channel/UCuDR6nNA17-9XDUzNi_eKbQ"/>
    <m/>
    <s v="Id2c6MkIsQM"/>
    <s v="https://www.youtube.com/watch?v=Id2c6MkIsQM"/>
    <s v="none"/>
    <n v="0"/>
    <x v="422"/>
    <s v="15/04/2016 05:41:59"/>
    <m/>
    <m/>
    <s v=""/>
    <n v="1"/>
    <s v="7"/>
    <s v="7"/>
    <n v="1"/>
    <n v="5"/>
    <n v="1"/>
    <n v="5"/>
    <n v="0"/>
    <n v="0"/>
    <n v="18"/>
    <n v="90"/>
    <n v="20"/>
  </r>
  <r>
    <s v="UCW1pskv_gh6_dklLSDOjZ2Q"/>
    <s v="UCPqCByYpHD66ebkhDfDvHcw"/>
    <m/>
    <m/>
    <m/>
    <m/>
    <m/>
    <m/>
    <m/>
    <m/>
    <s v="No"/>
    <n v="426"/>
    <m/>
    <m/>
    <s v="Commented Video"/>
    <x v="1"/>
    <s v="Absolutely INCREDIBLE Sean, thats amazing that this incredible garden is on top of a roof in the middle of London :-) so AMAZING, thanks a million for sharing this Sean and sending you heaps of love and tons of happy growing from Ireland for a FAB Friday ahead XXXXXX &amp;lt;3"/>
    <s v="UCW1pskv_gh6_dklLSDOjZ2Q"/>
    <s v="Desert Plants of Avalon"/>
    <s v="http://www.youtube.com/channel/UCW1pskv_gh6_dklLSDOjZ2Q"/>
    <m/>
    <s v="Id2c6MkIsQM"/>
    <s v="https://www.youtube.com/watch?v=Id2c6MkIsQM"/>
    <s v="none"/>
    <n v="0"/>
    <x v="423"/>
    <s v="15/04/2016 07:09:21"/>
    <m/>
    <m/>
    <s v=""/>
    <n v="1"/>
    <s v="7"/>
    <s v="7"/>
    <n v="7"/>
    <n v="14"/>
    <n v="0"/>
    <n v="0"/>
    <n v="0"/>
    <n v="0"/>
    <n v="43"/>
    <n v="86"/>
    <n v="50"/>
  </r>
  <r>
    <s v="UCh5UsiQKf33b7BuvGekeV7g"/>
    <s v="UCh5UsiQKf33b7BuvGekeV7g"/>
    <m/>
    <m/>
    <m/>
    <m/>
    <m/>
    <m/>
    <m/>
    <m/>
    <s v="No"/>
    <n v="427"/>
    <m/>
    <m/>
    <s v="Replied Comment"/>
    <x v="0"/>
    <s v="+Foodie Laura oh watched it all now, will check out the website!"/>
    <s v="UCh5UsiQKf33b7BuvGekeV7g"/>
    <s v="Foodie Laura"/>
    <s v="http://www.youtube.com/channel/UCh5UsiQKf33b7BuvGekeV7g"/>
    <s v="UghpveUDSapzvXgCoAEC"/>
    <s v="Id2c6MkIsQM"/>
    <s v="https://www.youtube.com/watch?v=Id2c6MkIsQM"/>
    <s v="none"/>
    <n v="0"/>
    <x v="424"/>
    <s v="15/04/2016 09:11:31"/>
    <m/>
    <m/>
    <s v=""/>
    <n v="1"/>
    <s v="7"/>
    <s v="7"/>
    <n v="0"/>
    <n v="0"/>
    <n v="0"/>
    <n v="0"/>
    <n v="0"/>
    <n v="0"/>
    <n v="12"/>
    <n v="100"/>
    <n v="12"/>
  </r>
  <r>
    <s v="UCh5UsiQKf33b7BuvGekeV7g"/>
    <s v="UCPqCByYpHD66ebkhDfDvHcw"/>
    <m/>
    <m/>
    <m/>
    <m/>
    <m/>
    <m/>
    <m/>
    <m/>
    <s v="No"/>
    <n v="428"/>
    <m/>
    <m/>
    <s v="Commented Video"/>
    <x v="1"/>
    <s v="What a surprise for that to be on a roof top. When you mentioned the flamingos I thought it seemed familiar. I think there was a Tanya Burr make up launch there. Is it just used for events like that or is it open to the public too? What a great place!"/>
    <s v="UCh5UsiQKf33b7BuvGekeV7g"/>
    <s v="Foodie Laura"/>
    <s v="http://www.youtube.com/channel/UCh5UsiQKf33b7BuvGekeV7g"/>
    <m/>
    <s v="Id2c6MkIsQM"/>
    <s v="https://www.youtube.com/watch?v=Id2c6MkIsQM"/>
    <s v="none"/>
    <n v="0"/>
    <x v="425"/>
    <s v="15/04/2016 09:10:51"/>
    <m/>
    <m/>
    <s v=""/>
    <n v="1"/>
    <s v="7"/>
    <s v="7"/>
    <n v="3"/>
    <n v="5.769230769230769"/>
    <n v="0"/>
    <n v="0"/>
    <n v="0"/>
    <n v="0"/>
    <n v="49"/>
    <n v="94.23076923076923"/>
    <n v="52"/>
  </r>
  <r>
    <s v="UCsNKpmWElGQ0BCSsprqifPg"/>
    <s v="UCPqCByYpHD66ebkhDfDvHcw"/>
    <m/>
    <m/>
    <m/>
    <m/>
    <m/>
    <m/>
    <m/>
    <m/>
    <s v="No"/>
    <n v="429"/>
    <m/>
    <m/>
    <s v="Commented Video"/>
    <x v="1"/>
    <s v="What a truly incredible place Sean.  I am sending a link to my horticulturist/flautist brother-in-law who lives in Hayes.  Thank you for sharing."/>
    <s v="UCsNKpmWElGQ0BCSsprqifPg"/>
    <s v="Malcolm Brown"/>
    <s v="http://www.youtube.com/channel/UCsNKpmWElGQ0BCSsprqifPg"/>
    <m/>
    <s v="Id2c6MkIsQM"/>
    <s v="https://www.youtube.com/watch?v=Id2c6MkIsQM"/>
    <s v="none"/>
    <n v="0"/>
    <x v="426"/>
    <s v="15/04/2016 09:26:50"/>
    <m/>
    <m/>
    <s v=""/>
    <n v="1"/>
    <s v="7"/>
    <s v="7"/>
    <n v="2"/>
    <n v="7.6923076923076925"/>
    <n v="0"/>
    <n v="0"/>
    <n v="0"/>
    <n v="0"/>
    <n v="24"/>
    <n v="92.3076923076923"/>
    <n v="26"/>
  </r>
  <r>
    <s v="UCTm2yZtoKoWY2pmWLIQvYYw"/>
    <s v="UCPqCByYpHD66ebkhDfDvHcw"/>
    <m/>
    <m/>
    <m/>
    <m/>
    <m/>
    <m/>
    <m/>
    <m/>
    <s v="No"/>
    <n v="430"/>
    <m/>
    <m/>
    <s v="Commented Video"/>
    <x v="1"/>
    <s v="Wow this looks amazing Sean ... it&amp;#39;s like a secret garden 😊💕 ... loved the flamingos"/>
    <s v="UCTm2yZtoKoWY2pmWLIQvYYw"/>
    <s v="Kate Banfield"/>
    <s v="http://www.youtube.com/channel/UCTm2yZtoKoWY2pmWLIQvYYw"/>
    <m/>
    <s v="Id2c6MkIsQM"/>
    <s v="https://www.youtube.com/watch?v=Id2c6MkIsQM"/>
    <s v="none"/>
    <n v="0"/>
    <x v="427"/>
    <s v="15/04/2016 09:34:27"/>
    <m/>
    <m/>
    <s v=""/>
    <n v="1"/>
    <s v="7"/>
    <s v="7"/>
    <n v="4"/>
    <n v="26.666666666666668"/>
    <n v="0"/>
    <n v="0"/>
    <n v="0"/>
    <n v="0"/>
    <n v="11"/>
    <n v="73.33333333333333"/>
    <n v="15"/>
  </r>
  <r>
    <s v="UCRBuEfQGWPw3WcZQCAx9pYg"/>
    <s v="UCPqCByYpHD66ebkhDfDvHcw"/>
    <m/>
    <m/>
    <m/>
    <m/>
    <m/>
    <m/>
    <m/>
    <m/>
    <s v="No"/>
    <n v="431"/>
    <m/>
    <m/>
    <s v="Commented Video"/>
    <x v="1"/>
    <s v="Awesome update thank you for sharing and taking the time to film have a blessed day"/>
    <s v="UCRBuEfQGWPw3WcZQCAx9pYg"/>
    <s v="Linda Penney"/>
    <s v="http://www.youtube.com/channel/UCRBuEfQGWPw3WcZQCAx9pYg"/>
    <m/>
    <s v="Id2c6MkIsQM"/>
    <s v="https://www.youtube.com/watch?v=Id2c6MkIsQM"/>
    <s v="none"/>
    <n v="0"/>
    <x v="428"/>
    <s v="15/04/2016 09:49:02"/>
    <m/>
    <m/>
    <s v=""/>
    <n v="1"/>
    <s v="7"/>
    <s v="7"/>
    <n v="2"/>
    <n v="12.5"/>
    <n v="0"/>
    <n v="0"/>
    <n v="0"/>
    <n v="0"/>
    <n v="14"/>
    <n v="87.5"/>
    <n v="16"/>
  </r>
  <r>
    <s v="UCWjwxCbCACOzNWQ3D0gVIdQ"/>
    <s v="UCPqCByYpHD66ebkhDfDvHcw"/>
    <m/>
    <m/>
    <m/>
    <m/>
    <m/>
    <m/>
    <m/>
    <m/>
    <s v="No"/>
    <n v="432"/>
    <m/>
    <m/>
    <s v="Commented Video"/>
    <x v="1"/>
    <s v="Wow! That&amp;#39;s beautiful! And it always amazes me how much weight a roof can handle :)"/>
    <s v="UCWjwxCbCACOzNWQ3D0gVIdQ"/>
    <s v="The Dutch Homesteader"/>
    <s v="http://www.youtube.com/channel/UCWjwxCbCACOzNWQ3D0gVIdQ"/>
    <m/>
    <s v="Id2c6MkIsQM"/>
    <s v="https://www.youtube.com/watch?v=Id2c6MkIsQM"/>
    <s v="none"/>
    <n v="0"/>
    <x v="429"/>
    <s v="15/04/2016 10:51:33"/>
    <m/>
    <m/>
    <s v=""/>
    <n v="1"/>
    <s v="7"/>
    <s v="7"/>
    <n v="3"/>
    <n v="17.647058823529413"/>
    <n v="0"/>
    <n v="0"/>
    <n v="0"/>
    <n v="0"/>
    <n v="14"/>
    <n v="82.3529411764706"/>
    <n v="17"/>
  </r>
  <r>
    <s v="UC52E-_l374iWas_sJuvIE_Q"/>
    <s v="UCPqCByYpHD66ebkhDfDvHcw"/>
    <m/>
    <m/>
    <m/>
    <m/>
    <m/>
    <m/>
    <m/>
    <m/>
    <s v="No"/>
    <n v="433"/>
    <m/>
    <m/>
    <s v="Commented Video"/>
    <x v="1"/>
    <s v="Wow, I would have never guessed that garden was on a rooftop if you hadn&amp;#39;t told us. I am amazed at the weight it can hold, the size of the trees and the pond. It really is a lovely space and is very inspiring. Thanks so much for the tour of it Sean."/>
    <s v="UC52E-_l374iWas_sJuvIE_Q"/>
    <s v="Gardening With Spirit"/>
    <s v="http://www.youtube.com/channel/UC52E-_l374iWas_sJuvIE_Q"/>
    <m/>
    <s v="Id2c6MkIsQM"/>
    <s v="https://www.youtube.com/watch?v=Id2c6MkIsQM"/>
    <s v="none"/>
    <n v="0"/>
    <x v="430"/>
    <s v="15/04/2016 12:14:42"/>
    <m/>
    <m/>
    <s v=""/>
    <n v="1"/>
    <s v="7"/>
    <s v="7"/>
    <n v="4"/>
    <n v="7.2727272727272725"/>
    <n v="0"/>
    <n v="0"/>
    <n v="0"/>
    <n v="0"/>
    <n v="51"/>
    <n v="92.72727272727273"/>
    <n v="55"/>
  </r>
  <r>
    <s v="UCOpwQats0DH44HbN18LEPVg"/>
    <s v="UCPqCByYpHD66ebkhDfDvHcw"/>
    <m/>
    <m/>
    <m/>
    <m/>
    <m/>
    <m/>
    <m/>
    <m/>
    <s v="No"/>
    <n v="434"/>
    <m/>
    <m/>
    <s v="Commented Video"/>
    <x v="1"/>
    <s v="I am having a hard time believing this is a roof top garden. It is so beautiful."/>
    <s v="UCOpwQats0DH44HbN18LEPVg"/>
    <s v="Ssupermom12000"/>
    <s v="http://www.youtube.com/channel/UCOpwQats0DH44HbN18LEPVg"/>
    <m/>
    <s v="Id2c6MkIsQM"/>
    <s v="https://www.youtube.com/watch?v=Id2c6MkIsQM"/>
    <s v="none"/>
    <n v="1"/>
    <x v="431"/>
    <s v="15/04/2016 12:58:20"/>
    <m/>
    <m/>
    <s v=""/>
    <n v="1"/>
    <s v="7"/>
    <s v="7"/>
    <n v="2"/>
    <n v="11.764705882352942"/>
    <n v="1"/>
    <n v="5.882352941176471"/>
    <n v="0"/>
    <n v="0"/>
    <n v="14"/>
    <n v="82.3529411764706"/>
    <n v="17"/>
  </r>
  <r>
    <s v="UCj7vVNR6ffIvD_zIw_Kmu_Q"/>
    <s v="UCPqCByYpHD66ebkhDfDvHcw"/>
    <m/>
    <m/>
    <m/>
    <m/>
    <m/>
    <m/>
    <m/>
    <m/>
    <s v="No"/>
    <n v="435"/>
    <m/>
    <m/>
    <s v="Commented Video"/>
    <x v="1"/>
    <s v="ABSOLUTELY GORGEOUS and amazing.  Thank you for the tour."/>
    <s v="UCj7vVNR6ffIvD_zIw_Kmu_Q"/>
    <s v="LARK'S GARDENS"/>
    <s v="http://www.youtube.com/channel/UCj7vVNR6ffIvD_zIw_Kmu_Q"/>
    <m/>
    <s v="Id2c6MkIsQM"/>
    <s v="https://www.youtube.com/watch?v=Id2c6MkIsQM"/>
    <s v="none"/>
    <n v="0"/>
    <x v="432"/>
    <s v="15/04/2016 14:21:11"/>
    <m/>
    <m/>
    <s v=""/>
    <n v="1"/>
    <s v="7"/>
    <s v="7"/>
    <n v="3"/>
    <n v="33.333333333333336"/>
    <n v="0"/>
    <n v="0"/>
    <n v="0"/>
    <n v="0"/>
    <n v="6"/>
    <n v="66.66666666666667"/>
    <n v="9"/>
  </r>
  <r>
    <s v="UCrw7oHPo_TyKCcjUXMRFydw"/>
    <s v="UCPqCByYpHD66ebkhDfDvHcw"/>
    <m/>
    <m/>
    <m/>
    <m/>
    <m/>
    <m/>
    <m/>
    <m/>
    <s v="No"/>
    <n v="436"/>
    <m/>
    <m/>
    <s v="Commented Video"/>
    <x v="1"/>
    <s v="An amazing roof garden Sean. TfS"/>
    <s v="UCrw7oHPo_TyKCcjUXMRFydw"/>
    <s v="Patrick Meehan"/>
    <s v="http://www.youtube.com/channel/UCrw7oHPo_TyKCcjUXMRFydw"/>
    <m/>
    <s v="Id2c6MkIsQM"/>
    <s v="https://www.youtube.com/watch?v=Id2c6MkIsQM"/>
    <s v="none"/>
    <n v="0"/>
    <x v="433"/>
    <s v="15/04/2016 16:41:37"/>
    <m/>
    <m/>
    <s v=""/>
    <n v="1"/>
    <s v="7"/>
    <s v="7"/>
    <n v="1"/>
    <n v="16.666666666666668"/>
    <n v="0"/>
    <n v="0"/>
    <n v="0"/>
    <n v="0"/>
    <n v="5"/>
    <n v="83.33333333333333"/>
    <n v="6"/>
  </r>
  <r>
    <s v="UC-655aPa9Tl-s1KASoDFgag"/>
    <s v="UCPqCByYpHD66ebkhDfDvHcw"/>
    <m/>
    <m/>
    <m/>
    <m/>
    <m/>
    <m/>
    <m/>
    <m/>
    <s v="No"/>
    <n v="437"/>
    <m/>
    <m/>
    <s v="Commented Video"/>
    <x v="1"/>
    <s v="It&amp;#39;s a truly amazing space....."/>
    <s v="UC-655aPa9Tl-s1KASoDFgag"/>
    <s v="The Allotment Bubble"/>
    <s v="http://www.youtube.com/channel/UC-655aPa9Tl-s1KASoDFgag"/>
    <m/>
    <s v="Id2c6MkIsQM"/>
    <s v="https://www.youtube.com/watch?v=Id2c6MkIsQM"/>
    <s v="none"/>
    <n v="0"/>
    <x v="434"/>
    <s v="15/04/2016 17:41:38"/>
    <m/>
    <m/>
    <s v=""/>
    <n v="1"/>
    <s v="7"/>
    <s v="7"/>
    <n v="1"/>
    <n v="14.285714285714286"/>
    <n v="0"/>
    <n v="0"/>
    <n v="0"/>
    <n v="0"/>
    <n v="6"/>
    <n v="85.71428571428571"/>
    <n v="7"/>
  </r>
  <r>
    <s v="UCpcjHjZ0Ze0gmN76tB589Qw"/>
    <s v="UCPqCByYpHD66ebkhDfDvHcw"/>
    <m/>
    <m/>
    <m/>
    <m/>
    <m/>
    <m/>
    <m/>
    <m/>
    <s v="No"/>
    <n v="438"/>
    <m/>
    <m/>
    <s v="Commented Video"/>
    <x v="1"/>
    <s v="thats a brilliant place,  who would have thought that was on top of there, when showing this vid to my husband he wondered about the weight of it, but we assume it was in the planning stage and not an afterthought.  I /we loved it."/>
    <s v="UCpcjHjZ0Ze0gmN76tB589Qw"/>
    <s v="Sandra Carter"/>
    <s v="http://www.youtube.com/channel/UCpcjHjZ0Ze0gmN76tB589Qw"/>
    <m/>
    <s v="Id2c6MkIsQM"/>
    <s v="https://www.youtube.com/watch?v=Id2c6MkIsQM"/>
    <s v="none"/>
    <n v="0"/>
    <x v="435"/>
    <s v="16/04/2016 09:38:22"/>
    <m/>
    <m/>
    <s v=""/>
    <n v="1"/>
    <s v="7"/>
    <s v="7"/>
    <n v="3"/>
    <n v="6.666666666666667"/>
    <n v="0"/>
    <n v="0"/>
    <n v="0"/>
    <n v="0"/>
    <n v="42"/>
    <n v="93.33333333333333"/>
    <n v="45"/>
  </r>
  <r>
    <s v="UC84ZAth85YC_BwanW1n7iAA"/>
    <s v="UC84ZAth85YC_BwanW1n7iAA"/>
    <m/>
    <m/>
    <m/>
    <m/>
    <m/>
    <m/>
    <m/>
    <m/>
    <s v="No"/>
    <n v="439"/>
    <m/>
    <m/>
    <s v="Replied Comment"/>
    <x v="0"/>
    <s v="Well good luck for whatever your next project is."/>
    <s v="UC84ZAth85YC_BwanW1n7iAA"/>
    <s v="grumpy poo"/>
    <s v="http://www.youtube.com/channel/UC84ZAth85YC_BwanW1n7iAA"/>
    <s v="UggAyrInroNFrXgCoAEC"/>
    <s v="Id2c6MkIsQM"/>
    <s v="https://www.youtube.com/watch?v=Id2c6MkIsQM"/>
    <s v="none"/>
    <n v="0"/>
    <x v="436"/>
    <s v="16/04/2016 20:20:33"/>
    <m/>
    <m/>
    <s v=""/>
    <n v="1"/>
    <s v="7"/>
    <s v="7"/>
    <n v="3"/>
    <n v="33.333333333333336"/>
    <n v="0"/>
    <n v="0"/>
    <n v="0"/>
    <n v="0"/>
    <n v="6"/>
    <n v="66.66666666666667"/>
    <n v="9"/>
  </r>
  <r>
    <s v="UC84ZAth85YC_BwanW1n7iAA"/>
    <s v="UCPqCByYpHD66ebkhDfDvHcw"/>
    <m/>
    <m/>
    <m/>
    <m/>
    <m/>
    <m/>
    <m/>
    <m/>
    <s v="No"/>
    <n v="440"/>
    <m/>
    <m/>
    <s v="Commented Video"/>
    <x v="1"/>
    <s v="What an amazing place.... Who would have known.... have to put it on my to do list for a visit.... Thankyou for the &amp;#39;heads up&amp;#39;.. I thought you were still doing the column for the Daily Mail.. Have you moved on now?"/>
    <s v="UC84ZAth85YC_BwanW1n7iAA"/>
    <s v="grumpy poo"/>
    <s v="http://www.youtube.com/channel/UC84ZAth85YC_BwanW1n7iAA"/>
    <m/>
    <s v="Id2c6MkIsQM"/>
    <s v="https://www.youtube.com/watch?v=Id2c6MkIsQM"/>
    <s v="none"/>
    <n v="0"/>
    <x v="437"/>
    <s v="16/04/2016 12:09:06"/>
    <m/>
    <m/>
    <s v=""/>
    <n v="1"/>
    <s v="7"/>
    <s v="7"/>
    <n v="1"/>
    <n v="2.272727272727273"/>
    <n v="0"/>
    <n v="0"/>
    <n v="0"/>
    <n v="0"/>
    <n v="43"/>
    <n v="97.72727272727273"/>
    <n v="44"/>
  </r>
  <r>
    <s v="UCVLvhHp2LkwO6DUJaOUWteg"/>
    <s v="UCPqCByYpHD66ebkhDfDvHcw"/>
    <m/>
    <m/>
    <m/>
    <m/>
    <m/>
    <m/>
    <m/>
    <m/>
    <s v="No"/>
    <n v="441"/>
    <m/>
    <m/>
    <s v="Commented Video"/>
    <x v="1"/>
    <s v="Fabulous retreat.  Thanks for showing it to us.  Love the flamigos."/>
    <s v="UCVLvhHp2LkwO6DUJaOUWteg"/>
    <s v="Elaine's plots"/>
    <s v="http://www.youtube.com/channel/UCVLvhHp2LkwO6DUJaOUWteg"/>
    <m/>
    <s v="Id2c6MkIsQM"/>
    <s v="https://www.youtube.com/watch?v=Id2c6MkIsQM"/>
    <s v="none"/>
    <n v="0"/>
    <x v="438"/>
    <s v="16/04/2016 23:24:20"/>
    <m/>
    <m/>
    <s v=""/>
    <n v="1"/>
    <s v="7"/>
    <s v="7"/>
    <n v="2"/>
    <n v="18.181818181818183"/>
    <n v="1"/>
    <n v="9.090909090909092"/>
    <n v="0"/>
    <n v="0"/>
    <n v="8"/>
    <n v="72.72727272727273"/>
    <n v="11"/>
  </r>
  <r>
    <s v="UC0np3SSFZX5c9A2brBjo2qw"/>
    <s v="UCPqCByYpHD66ebkhDfDvHcw"/>
    <m/>
    <m/>
    <m/>
    <m/>
    <m/>
    <m/>
    <m/>
    <m/>
    <s v="No"/>
    <n v="442"/>
    <m/>
    <m/>
    <s v="Commented Video"/>
    <x v="1"/>
    <s v="thanks for the tour. If you can grow things like that on the roof you can grow anywhere. Pity there were no vegetables and fruit trees :) nice one"/>
    <s v="UC0np3SSFZX5c9A2brBjo2qw"/>
    <s v="RD Kitchen Garden"/>
    <s v="http://www.youtube.com/channel/UC0np3SSFZX5c9A2brBjo2qw"/>
    <m/>
    <s v="Id2c6MkIsQM"/>
    <s v="https://www.youtube.com/watch?v=Id2c6MkIsQM"/>
    <s v="none"/>
    <n v="0"/>
    <x v="439"/>
    <s v="18/04/2016 12:14:09"/>
    <m/>
    <m/>
    <s v=""/>
    <n v="1"/>
    <s v="7"/>
    <s v="7"/>
    <n v="2"/>
    <n v="7.142857142857143"/>
    <n v="1"/>
    <n v="3.5714285714285716"/>
    <n v="0"/>
    <n v="0"/>
    <n v="25"/>
    <n v="89.28571428571429"/>
    <n v="28"/>
  </r>
  <r>
    <s v="UCFQx-P2hEP2wtx0A14yxVqw"/>
    <s v="UCPqCByYpHD66ebkhDfDvHcw"/>
    <m/>
    <m/>
    <m/>
    <m/>
    <m/>
    <m/>
    <m/>
    <m/>
    <s v="No"/>
    <n v="443"/>
    <m/>
    <m/>
    <s v="Commented Video"/>
    <x v="1"/>
    <s v="So very lovely. One would never dream that was atop a roof."/>
    <s v="UCFQx-P2hEP2wtx0A14yxVqw"/>
    <s v="Lois Campbell"/>
    <s v="http://www.youtube.com/channel/UCFQx-P2hEP2wtx0A14yxVqw"/>
    <m/>
    <s v="Id2c6MkIsQM"/>
    <s v="https://www.youtube.com/watch?v=Id2c6MkIsQM"/>
    <s v="none"/>
    <n v="1"/>
    <x v="440"/>
    <s v="19/04/2016 02:29:14"/>
    <m/>
    <m/>
    <s v=""/>
    <n v="1"/>
    <s v="7"/>
    <s v="7"/>
    <n v="1"/>
    <n v="8.333333333333334"/>
    <n v="0"/>
    <n v="0"/>
    <n v="0"/>
    <n v="0"/>
    <n v="11"/>
    <n v="91.66666666666667"/>
    <n v="12"/>
  </r>
  <r>
    <s v="UCI03x_WOLF2A9FxZvbVhyeQ"/>
    <s v="UCPqCByYpHD66ebkhDfDvHcw"/>
    <m/>
    <m/>
    <m/>
    <m/>
    <m/>
    <m/>
    <m/>
    <m/>
    <s v="No"/>
    <n v="444"/>
    <m/>
    <m/>
    <s v="Commented Video"/>
    <x v="1"/>
    <s v="Like it!!"/>
    <s v="UCI03x_WOLF2A9FxZvbVhyeQ"/>
    <s v="Mick Poultney"/>
    <s v="http://www.youtube.com/channel/UCI03x_WOLF2A9FxZvbVhyeQ"/>
    <m/>
    <s v="Id2c6MkIsQM"/>
    <s v="https://www.youtube.com/watch?v=Id2c6MkIsQM"/>
    <s v="none"/>
    <n v="0"/>
    <x v="441"/>
    <s v="21/04/2016 20:17:49"/>
    <m/>
    <m/>
    <s v=""/>
    <n v="1"/>
    <s v="7"/>
    <s v="7"/>
    <n v="1"/>
    <n v="50"/>
    <n v="0"/>
    <n v="0"/>
    <n v="0"/>
    <n v="0"/>
    <n v="1"/>
    <n v="50"/>
    <n v="2"/>
  </r>
  <r>
    <s v="UC3b_jSCronDEy_TzLEu9x0g"/>
    <s v="UC3b_jSCronDEy_TzLEu9x0g"/>
    <m/>
    <m/>
    <m/>
    <m/>
    <m/>
    <m/>
    <m/>
    <m/>
    <s v="No"/>
    <n v="445"/>
    <m/>
    <m/>
    <s v="Replied Comment"/>
    <x v="0"/>
    <s v="Oh no, not lucky day for me? Why is it?"/>
    <s v="UC3b_jSCronDEy_TzLEu9x0g"/>
    <s v="Azizul Hakeem"/>
    <s v="http://www.youtube.com/channel/UC3b_jSCronDEy_TzLEu9x0g"/>
    <s v="UgwilFhi_TjMwttr6KN4AaABAg"/>
    <s v="Id2c6MkIsQM"/>
    <s v="https://www.youtube.com/watch?v=Id2c6MkIsQM"/>
    <s v="none"/>
    <n v="0"/>
    <x v="442"/>
    <d v="2018-10-08T17:36:27.000"/>
    <m/>
    <m/>
    <s v=""/>
    <n v="1"/>
    <s v="7"/>
    <s v="7"/>
    <n v="1"/>
    <n v="10"/>
    <n v="0"/>
    <n v="0"/>
    <n v="0"/>
    <n v="0"/>
    <n v="9"/>
    <n v="90"/>
    <n v="10"/>
  </r>
  <r>
    <s v="UC3b_jSCronDEy_TzLEu9x0g"/>
    <s v="UCPqCByYpHD66ebkhDfDvHcw"/>
    <m/>
    <m/>
    <m/>
    <m/>
    <m/>
    <m/>
    <m/>
    <m/>
    <s v="No"/>
    <n v="446"/>
    <m/>
    <m/>
    <s v="Commented Video"/>
    <x v="1"/>
    <s v="How much was the fee"/>
    <s v="UC3b_jSCronDEy_TzLEu9x0g"/>
    <s v="Azizul Hakeem"/>
    <s v="http://www.youtube.com/channel/UC3b_jSCronDEy_TzLEu9x0g"/>
    <m/>
    <s v="Id2c6MkIsQM"/>
    <s v="https://www.youtube.com/watch?v=Id2c6MkIsQM"/>
    <s v="none"/>
    <n v="0"/>
    <x v="443"/>
    <d v="2018-10-08T17:31:25.000"/>
    <m/>
    <m/>
    <s v=""/>
    <n v="1"/>
    <s v="7"/>
    <s v="7"/>
    <n v="0"/>
    <n v="0"/>
    <n v="0"/>
    <n v="0"/>
    <n v="0"/>
    <n v="0"/>
    <n v="5"/>
    <n v="100"/>
    <n v="5"/>
  </r>
  <r>
    <s v="UCfgifN_wt4-ZJooY-sc8wZg"/>
    <s v="UCPqCByYpHD66ebkhDfDvHcw"/>
    <m/>
    <m/>
    <m/>
    <m/>
    <m/>
    <m/>
    <m/>
    <m/>
    <s v="No"/>
    <n v="447"/>
    <m/>
    <m/>
    <s v="Commented Video"/>
    <x v="1"/>
    <s v="Amazing experience"/>
    <s v="UCfgifN_wt4-ZJooY-sc8wZg"/>
    <s v="Антон Вітюк"/>
    <s v="http://www.youtube.com/channel/UCfgifN_wt4-ZJooY-sc8wZg"/>
    <m/>
    <s v="Id2c6MkIsQM"/>
    <s v="https://www.youtube.com/watch?v=Id2c6MkIsQM"/>
    <s v="none"/>
    <n v="0"/>
    <x v="444"/>
    <d v="2021-07-03T16:45:14.000"/>
    <m/>
    <m/>
    <s v=""/>
    <n v="1"/>
    <s v="7"/>
    <s v="7"/>
    <n v="1"/>
    <n v="50"/>
    <n v="0"/>
    <n v="0"/>
    <n v="0"/>
    <n v="0"/>
    <n v="1"/>
    <n v="50"/>
    <n v="2"/>
  </r>
  <r>
    <s v="UCnejURxElXLOH_33qOEpdSg"/>
    <s v="UCrpWTj_O0oLZilvnDaLqElw"/>
    <m/>
    <m/>
    <m/>
    <m/>
    <m/>
    <m/>
    <m/>
    <m/>
    <s v="No"/>
    <n v="448"/>
    <m/>
    <m/>
    <s v="Commented Video"/>
    <x v="1"/>
    <s v="I have traveled to London, and will go back.  It is good to know these spots whenever I am there."/>
    <s v="UCnejURxElXLOH_33qOEpdSg"/>
    <s v="Sketch By Krishan"/>
    <s v="http://www.youtube.com/channel/UCnejURxElXLOH_33qOEpdSg"/>
    <m/>
    <s v="kIHMxfUtGmI"/>
    <s v="https://www.youtube.com/watch?v=kIHMxfUtGmI"/>
    <s v="none"/>
    <n v="3"/>
    <x v="445"/>
    <s v="13/05/2020 16:10:18"/>
    <m/>
    <m/>
    <s v=""/>
    <n v="1"/>
    <s v="6"/>
    <s v="6"/>
    <n v="1"/>
    <n v="5"/>
    <n v="0"/>
    <n v="0"/>
    <n v="0"/>
    <n v="0"/>
    <n v="19"/>
    <n v="95"/>
    <n v="20"/>
  </r>
  <r>
    <s v="UC-ejuCbXGVMW2qbkXTsq6Ww"/>
    <s v="UCrpWTj_O0oLZilvnDaLqElw"/>
    <m/>
    <m/>
    <m/>
    <m/>
    <m/>
    <m/>
    <m/>
    <m/>
    <s v="No"/>
    <n v="449"/>
    <m/>
    <m/>
    <s v="Commented Video"/>
    <x v="1"/>
    <s v="I live in London. And feel like I need to do some exploring. Thanks for sharing"/>
    <s v="UC-ejuCbXGVMW2qbkXTsq6Ww"/>
    <s v="Serena D Alexander "/>
    <s v="http://www.youtube.com/channel/UC-ejuCbXGVMW2qbkXTsq6Ww"/>
    <m/>
    <s v="kIHMxfUtGmI"/>
    <s v="https://www.youtube.com/watch?v=kIHMxfUtGmI"/>
    <s v="none"/>
    <n v="4"/>
    <x v="446"/>
    <s v="13/05/2020 16:26:13"/>
    <m/>
    <m/>
    <s v=""/>
    <n v="1"/>
    <s v="6"/>
    <s v="6"/>
    <n v="1"/>
    <n v="6.25"/>
    <n v="0"/>
    <n v="0"/>
    <n v="0"/>
    <n v="0"/>
    <n v="15"/>
    <n v="93.75"/>
    <n v="16"/>
  </r>
  <r>
    <s v="UCunJeWziKeN41EqEHoJfzDA"/>
    <s v="UCrpWTj_O0oLZilvnDaLqElw"/>
    <m/>
    <m/>
    <m/>
    <m/>
    <m/>
    <m/>
    <m/>
    <m/>
    <s v="No"/>
    <n v="450"/>
    <m/>
    <m/>
    <s v="Commented Video"/>
    <x v="1"/>
    <s v="Thank you for this video. It was great to see London again."/>
    <s v="UCunJeWziKeN41EqEHoJfzDA"/>
    <s v="Rawsomehealthy"/>
    <s v="http://www.youtube.com/channel/UCunJeWziKeN41EqEHoJfzDA"/>
    <m/>
    <s v="kIHMxfUtGmI"/>
    <s v="https://www.youtube.com/watch?v=kIHMxfUtGmI"/>
    <s v="none"/>
    <n v="1"/>
    <x v="447"/>
    <s v="13/05/2020 16:41:53"/>
    <m/>
    <m/>
    <s v=""/>
    <n v="1"/>
    <s v="6"/>
    <s v="6"/>
    <n v="2"/>
    <n v="16.666666666666668"/>
    <n v="0"/>
    <n v="0"/>
    <n v="0"/>
    <n v="0"/>
    <n v="10"/>
    <n v="83.33333333333333"/>
    <n v="12"/>
  </r>
  <r>
    <s v="UC7x6JEqbu7yC94l8CgQht2Q"/>
    <s v="UCrpWTj_O0oLZilvnDaLqElw"/>
    <m/>
    <m/>
    <m/>
    <m/>
    <m/>
    <m/>
    <m/>
    <m/>
    <s v="No"/>
    <n v="451"/>
    <m/>
    <m/>
    <s v="Commented Video"/>
    <x v="1"/>
    <s v="I&amp;#39;m partial to the South Bank myself!"/>
    <s v="UC7x6JEqbu7yC94l8CgQht2Q"/>
    <s v="Stephen Woolston Coach and Trainer"/>
    <s v="http://www.youtube.com/channel/UC7x6JEqbu7yC94l8CgQht2Q"/>
    <m/>
    <s v="kIHMxfUtGmI"/>
    <s v="https://www.youtube.com/watch?v=kIHMxfUtGmI"/>
    <s v="none"/>
    <n v="1"/>
    <x v="448"/>
    <s v="13/05/2020 16:46:08"/>
    <m/>
    <m/>
    <s v=""/>
    <n v="1"/>
    <s v="6"/>
    <s v="6"/>
    <n v="0"/>
    <n v="0"/>
    <n v="0"/>
    <n v="0"/>
    <n v="0"/>
    <n v="0"/>
    <n v="9"/>
    <n v="100"/>
    <n v="9"/>
  </r>
  <r>
    <s v="UCus7Qsw_s3QZiin1qap7hkA"/>
    <s v="UCrpWTj_O0oLZilvnDaLqElw"/>
    <m/>
    <m/>
    <m/>
    <m/>
    <m/>
    <m/>
    <m/>
    <m/>
    <s v="No"/>
    <n v="452"/>
    <m/>
    <m/>
    <s v="Commented Video"/>
    <x v="1"/>
    <s v="Good stuff all throughout this vid!"/>
    <s v="UCus7Qsw_s3QZiin1qap7hkA"/>
    <s v="Jenny Bellido"/>
    <s v="http://www.youtube.com/channel/UCus7Qsw_s3QZiin1qap7hkA"/>
    <m/>
    <s v="kIHMxfUtGmI"/>
    <s v="https://www.youtube.com/watch?v=kIHMxfUtGmI"/>
    <s v="none"/>
    <n v="0"/>
    <x v="449"/>
    <s v="13/05/2020 18:07:15"/>
    <m/>
    <m/>
    <s v=""/>
    <n v="1"/>
    <s v="6"/>
    <s v="6"/>
    <n v="1"/>
    <n v="16.666666666666668"/>
    <n v="0"/>
    <n v="0"/>
    <n v="0"/>
    <n v="0"/>
    <n v="5"/>
    <n v="83.33333333333333"/>
    <n v="6"/>
  </r>
  <r>
    <s v="UCrpWTj_O0oLZilvnDaLqElw"/>
    <s v="UCs1ElqArfXMBAZkL7uf-VRA"/>
    <m/>
    <m/>
    <m/>
    <m/>
    <m/>
    <m/>
    <m/>
    <m/>
    <s v="Yes"/>
    <n v="453"/>
    <m/>
    <m/>
    <s v="Replied Comment"/>
    <x v="0"/>
    <s v="Me too!"/>
    <s v="UCrpWTj_O0oLZilvnDaLqElw"/>
    <s v="Ugo Arinzeh"/>
    <s v="http://www.youtube.com/channel/UCrpWTj_O0oLZilvnDaLqElw"/>
    <s v="UgwcoTwwiHBaQYeYPhJ4AaABAg"/>
    <s v="kIHMxfUtGmI"/>
    <s v="https://www.youtube.com/watch?v=kIHMxfUtGmI"/>
    <s v="none"/>
    <n v="0"/>
    <x v="450"/>
    <s v="20/05/2020 19:59:11"/>
    <m/>
    <m/>
    <s v=""/>
    <n v="1"/>
    <s v="6"/>
    <s v="6"/>
    <n v="0"/>
    <n v="0"/>
    <n v="0"/>
    <n v="0"/>
    <n v="0"/>
    <n v="0"/>
    <n v="2"/>
    <n v="100"/>
    <n v="2"/>
  </r>
  <r>
    <s v="UCs1ElqArfXMBAZkL7uf-VRA"/>
    <s v="UCrpWTj_O0oLZilvnDaLqElw"/>
    <m/>
    <m/>
    <m/>
    <m/>
    <m/>
    <m/>
    <m/>
    <m/>
    <s v="Yes"/>
    <n v="454"/>
    <m/>
    <m/>
    <s v="Commented Video"/>
    <x v="1"/>
    <s v="I hope the roof top bars will open soon!"/>
    <s v="UCs1ElqArfXMBAZkL7uf-VRA"/>
    <s v="Carol Mould - Project Leadership Coach"/>
    <s v="http://www.youtube.com/channel/UCs1ElqArfXMBAZkL7uf-VRA"/>
    <m/>
    <s v="kIHMxfUtGmI"/>
    <s v="https://www.youtube.com/watch?v=kIHMxfUtGmI"/>
    <s v="none"/>
    <n v="2"/>
    <x v="451"/>
    <s v="13/05/2020 18:52:51"/>
    <m/>
    <m/>
    <s v=""/>
    <n v="1"/>
    <s v="6"/>
    <s v="6"/>
    <n v="1"/>
    <n v="11.11111111111111"/>
    <n v="0"/>
    <n v="0"/>
    <n v="0"/>
    <n v="0"/>
    <n v="8"/>
    <n v="88.88888888888889"/>
    <n v="9"/>
  </r>
  <r>
    <s v="UCc_nF3pqsaYZX1WyuEtRR8g"/>
    <s v="UCrpWTj_O0oLZilvnDaLqElw"/>
    <m/>
    <m/>
    <m/>
    <m/>
    <m/>
    <m/>
    <m/>
    <m/>
    <s v="No"/>
    <n v="455"/>
    <m/>
    <m/>
    <s v="Commented Video"/>
    <x v="1"/>
    <s v="Nice! Wrote some of these places down as we&amp;#39;re planning on going to Europe as our first trip after the whole lockdown thing is over!"/>
    <s v="UCc_nF3pqsaYZX1WyuEtRR8g"/>
    <s v="Geoffrey Setiawan"/>
    <s v="http://www.youtube.com/channel/UCc_nF3pqsaYZX1WyuEtRR8g"/>
    <m/>
    <s v="kIHMxfUtGmI"/>
    <s v="https://www.youtube.com/watch?v=kIHMxfUtGmI"/>
    <s v="none"/>
    <n v="2"/>
    <x v="452"/>
    <s v="13/05/2020 19:02:26"/>
    <m/>
    <m/>
    <s v=""/>
    <n v="1"/>
    <s v="6"/>
    <s v="6"/>
    <n v="1"/>
    <n v="3.7037037037037037"/>
    <n v="0"/>
    <n v="0"/>
    <n v="0"/>
    <n v="0"/>
    <n v="26"/>
    <n v="96.29629629629629"/>
    <n v="27"/>
  </r>
  <r>
    <s v="UCELkcGDNb8yFIv8chh7rbrA"/>
    <s v="UCrpWTj_O0oLZilvnDaLqElw"/>
    <m/>
    <m/>
    <m/>
    <m/>
    <m/>
    <m/>
    <m/>
    <m/>
    <s v="No"/>
    <n v="456"/>
    <m/>
    <m/>
    <s v="Commented Video"/>
    <x v="1"/>
    <s v="Awesome. Definitely going to check some of these places out the next time I go to London."/>
    <s v="UCELkcGDNb8yFIv8chh7rbrA"/>
    <s v="Dr. Jon Tam - Career Clarity Coach"/>
    <s v="http://www.youtube.com/channel/UCELkcGDNb8yFIv8chh7rbrA"/>
    <m/>
    <s v="kIHMxfUtGmI"/>
    <s v="https://www.youtube.com/watch?v=kIHMxfUtGmI"/>
    <s v="none"/>
    <n v="1"/>
    <x v="453"/>
    <s v="13/05/2020 19:03:51"/>
    <m/>
    <m/>
    <s v=""/>
    <n v="1"/>
    <s v="6"/>
    <s v="6"/>
    <n v="1"/>
    <n v="5.882352941176471"/>
    <n v="0"/>
    <n v="0"/>
    <n v="0"/>
    <n v="0"/>
    <n v="16"/>
    <n v="94.11764705882354"/>
    <n v="17"/>
  </r>
  <r>
    <s v="UCrpWTj_O0oLZilvnDaLqElw"/>
    <s v="UC-Bl3iHE4ca98Rj34dJoLDg"/>
    <m/>
    <m/>
    <m/>
    <m/>
    <m/>
    <m/>
    <m/>
    <m/>
    <s v="Yes"/>
    <n v="457"/>
    <m/>
    <m/>
    <s v="Replied Comment"/>
    <x v="0"/>
    <s v="Glad you likes it!"/>
    <s v="UCrpWTj_O0oLZilvnDaLqElw"/>
    <s v="Ugo Arinzeh"/>
    <s v="http://www.youtube.com/channel/UCrpWTj_O0oLZilvnDaLqElw"/>
    <s v="UgwMnbz5bnXj6Sl45mN4AaABAg"/>
    <s v="kIHMxfUtGmI"/>
    <s v="https://www.youtube.com/watch?v=kIHMxfUtGmI"/>
    <s v="none"/>
    <n v="0"/>
    <x v="454"/>
    <s v="20/05/2020 20:01:43"/>
    <m/>
    <m/>
    <s v=""/>
    <n v="1"/>
    <s v="6"/>
    <s v="6"/>
    <n v="2"/>
    <n v="50"/>
    <n v="0"/>
    <n v="0"/>
    <n v="0"/>
    <n v="0"/>
    <n v="2"/>
    <n v="50"/>
    <n v="4"/>
  </r>
  <r>
    <s v="UC-Bl3iHE4ca98Rj34dJoLDg"/>
    <s v="UCrpWTj_O0oLZilvnDaLqElw"/>
    <m/>
    <m/>
    <m/>
    <m/>
    <m/>
    <m/>
    <m/>
    <m/>
    <s v="Yes"/>
    <n v="458"/>
    <m/>
    <m/>
    <s v="Commented Video"/>
    <x v="1"/>
    <s v="Ok this video was made for me! 😍"/>
    <s v="UC-Bl3iHE4ca98Rj34dJoLDg"/>
    <s v="Tanya Paulin"/>
    <s v="http://www.youtube.com/channel/UC-Bl3iHE4ca98Rj34dJoLDg"/>
    <m/>
    <s v="kIHMxfUtGmI"/>
    <s v="https://www.youtube.com/watch?v=kIHMxfUtGmI"/>
    <s v="none"/>
    <n v="1"/>
    <x v="455"/>
    <s v="13/05/2020 19:55:39"/>
    <m/>
    <m/>
    <s v=""/>
    <n v="1"/>
    <s v="6"/>
    <s v="6"/>
    <n v="0"/>
    <n v="0"/>
    <n v="0"/>
    <n v="0"/>
    <n v="0"/>
    <n v="0"/>
    <n v="7"/>
    <n v="100"/>
    <n v="7"/>
  </r>
  <r>
    <s v="UC7phUdHV-oWsx3unENvfE7w"/>
    <s v="UCrpWTj_O0oLZilvnDaLqElw"/>
    <m/>
    <m/>
    <m/>
    <m/>
    <m/>
    <m/>
    <m/>
    <m/>
    <s v="No"/>
    <n v="459"/>
    <m/>
    <m/>
    <s v="Commented Video"/>
    <x v="1"/>
    <s v="Great suggestions. I will have to check those out next time in London."/>
    <s v="UC7phUdHV-oWsx3unENvfE7w"/>
    <s v="Daryl Ballard"/>
    <s v="http://www.youtube.com/channel/UC7phUdHV-oWsx3unENvfE7w"/>
    <m/>
    <s v="kIHMxfUtGmI"/>
    <s v="https://www.youtube.com/watch?v=kIHMxfUtGmI"/>
    <s v="none"/>
    <n v="1"/>
    <x v="456"/>
    <s v="13/05/2020 20:07:02"/>
    <m/>
    <m/>
    <s v=""/>
    <n v="1"/>
    <s v="6"/>
    <s v="6"/>
    <n v="1"/>
    <n v="7.6923076923076925"/>
    <n v="0"/>
    <n v="0"/>
    <n v="0"/>
    <n v="0"/>
    <n v="12"/>
    <n v="92.3076923076923"/>
    <n v="13"/>
  </r>
  <r>
    <s v="UCMa6AvC7v4YADEIuUYlIySA"/>
    <s v="UCrpWTj_O0oLZilvnDaLqElw"/>
    <m/>
    <m/>
    <m/>
    <m/>
    <m/>
    <m/>
    <m/>
    <m/>
    <s v="No"/>
    <n v="460"/>
    <m/>
    <m/>
    <s v="Commented Video"/>
    <x v="1"/>
    <s v="These rooftop bars look amazing!"/>
    <s v="UCMa6AvC7v4YADEIuUYlIySA"/>
    <s v="Social Confidence Mastery"/>
    <s v="http://www.youtube.com/channel/UCMa6AvC7v4YADEIuUYlIySA"/>
    <m/>
    <s v="kIHMxfUtGmI"/>
    <s v="https://www.youtube.com/watch?v=kIHMxfUtGmI"/>
    <s v="none"/>
    <n v="1"/>
    <x v="457"/>
    <s v="13/05/2020 21:27:13"/>
    <m/>
    <m/>
    <s v=""/>
    <n v="1"/>
    <s v="6"/>
    <s v="6"/>
    <n v="1"/>
    <n v="20"/>
    <n v="0"/>
    <n v="0"/>
    <n v="0"/>
    <n v="0"/>
    <n v="4"/>
    <n v="80"/>
    <n v="5"/>
  </r>
  <r>
    <s v="UCrpWTj_O0oLZilvnDaLqElw"/>
    <s v="UCvhBBb_zdAkKujxzDV1QEhg"/>
    <m/>
    <m/>
    <m/>
    <m/>
    <m/>
    <m/>
    <m/>
    <m/>
    <s v="Yes"/>
    <n v="461"/>
    <m/>
    <m/>
    <s v="Replied Comment"/>
    <x v="0"/>
    <s v="There are so many wonderful spots."/>
    <s v="UCrpWTj_O0oLZilvnDaLqElw"/>
    <s v="Ugo Arinzeh"/>
    <s v="http://www.youtube.com/channel/UCrpWTj_O0oLZilvnDaLqElw"/>
    <s v="Ugzu3a3fTKYDoI5DEpl4AaABAg"/>
    <s v="kIHMxfUtGmI"/>
    <s v="https://www.youtube.com/watch?v=kIHMxfUtGmI"/>
    <s v="none"/>
    <n v="0"/>
    <x v="458"/>
    <s v="20/05/2020 19:59:35"/>
    <m/>
    <m/>
    <s v=""/>
    <n v="1"/>
    <s v="6"/>
    <s v="6"/>
    <n v="1"/>
    <n v="16.666666666666668"/>
    <n v="0"/>
    <n v="0"/>
    <n v="0"/>
    <n v="0"/>
    <n v="5"/>
    <n v="83.33333333333333"/>
    <n v="6"/>
  </r>
  <r>
    <s v="UCvhBBb_zdAkKujxzDV1QEhg"/>
    <s v="UCrpWTj_O0oLZilvnDaLqElw"/>
    <m/>
    <m/>
    <m/>
    <m/>
    <m/>
    <m/>
    <m/>
    <m/>
    <s v="Yes"/>
    <n v="462"/>
    <m/>
    <m/>
    <s v="Commented Video"/>
    <x v="1"/>
    <s v="Very cool rooftop bars!!"/>
    <s v="UCvhBBb_zdAkKujxzDV1QEhg"/>
    <s v="Intentional Marriages - Danielle &amp; Russ West"/>
    <s v="http://www.youtube.com/channel/UCvhBBb_zdAkKujxzDV1QEhg"/>
    <m/>
    <s v="kIHMxfUtGmI"/>
    <s v="https://www.youtube.com/watch?v=kIHMxfUtGmI"/>
    <s v="none"/>
    <n v="1"/>
    <x v="459"/>
    <s v="14/05/2020 00:22:46"/>
    <m/>
    <m/>
    <s v=""/>
    <n v="1"/>
    <s v="6"/>
    <s v="6"/>
    <n v="1"/>
    <n v="25"/>
    <n v="0"/>
    <n v="0"/>
    <n v="0"/>
    <n v="0"/>
    <n v="3"/>
    <n v="75"/>
    <n v="4"/>
  </r>
  <r>
    <s v="UCqdmEYHY8jVTeT-ZYeLlJ1g"/>
    <s v="UCrpWTj_O0oLZilvnDaLqElw"/>
    <m/>
    <m/>
    <m/>
    <m/>
    <m/>
    <m/>
    <m/>
    <m/>
    <s v="No"/>
    <n v="463"/>
    <m/>
    <m/>
    <s v="Commented Video"/>
    <x v="1"/>
    <s v="Thanks for sharing! Never been to London, but it&amp;#39;s definitely on my bucket list"/>
    <s v="UCqdmEYHY8jVTeT-ZYeLlJ1g"/>
    <s v="Kimo Craft"/>
    <s v="http://www.youtube.com/channel/UCqdmEYHY8jVTeT-ZYeLlJ1g"/>
    <m/>
    <s v="kIHMxfUtGmI"/>
    <s v="https://www.youtube.com/watch?v=kIHMxfUtGmI"/>
    <s v="none"/>
    <n v="1"/>
    <x v="460"/>
    <s v="14/05/2020 01:21:26"/>
    <m/>
    <m/>
    <s v=""/>
    <n v="1"/>
    <s v="6"/>
    <s v="6"/>
    <n v="0"/>
    <n v="0"/>
    <n v="0"/>
    <n v="0"/>
    <n v="0"/>
    <n v="0"/>
    <n v="16"/>
    <n v="100"/>
    <n v="16"/>
  </r>
  <r>
    <s v="UC8ZYmCweKD2x-wy8PDEiFog"/>
    <s v="UCrpWTj_O0oLZilvnDaLqElw"/>
    <m/>
    <m/>
    <m/>
    <m/>
    <m/>
    <m/>
    <m/>
    <m/>
    <s v="No"/>
    <n v="464"/>
    <m/>
    <m/>
    <s v="Commented Video"/>
    <x v="1"/>
    <s v="One of my favorite things to do. Thank you :-)"/>
    <s v="UC8ZYmCweKD2x-wy8PDEiFog"/>
    <s v="Epic Real Estate Investing"/>
    <s v="http://www.youtube.com/channel/UC8ZYmCweKD2x-wy8PDEiFog"/>
    <m/>
    <s v="kIHMxfUtGmI"/>
    <s v="https://www.youtube.com/watch?v=kIHMxfUtGmI"/>
    <s v="none"/>
    <n v="1"/>
    <x v="461"/>
    <s v="14/05/2020 01:38:40"/>
    <m/>
    <m/>
    <s v=""/>
    <n v="1"/>
    <s v="6"/>
    <s v="6"/>
    <n v="2"/>
    <n v="22.22222222222222"/>
    <n v="0"/>
    <n v="0"/>
    <n v="0"/>
    <n v="0"/>
    <n v="7"/>
    <n v="77.77777777777777"/>
    <n v="9"/>
  </r>
  <r>
    <s v="UCrpWTj_O0oLZilvnDaLqElw"/>
    <s v="UCQbKCj0tXqqo5TddHr9kjwQ"/>
    <m/>
    <m/>
    <m/>
    <m/>
    <m/>
    <m/>
    <m/>
    <m/>
    <s v="Yes"/>
    <n v="465"/>
    <m/>
    <m/>
    <s v="Replied Comment"/>
    <x v="0"/>
    <s v="They are such great spaces."/>
    <s v="UCrpWTj_O0oLZilvnDaLqElw"/>
    <s v="Ugo Arinzeh"/>
    <s v="http://www.youtube.com/channel/UCrpWTj_O0oLZilvnDaLqElw"/>
    <s v="Ugzy4bLTxaEc9fsUC7V4AaABAg"/>
    <s v="kIHMxfUtGmI"/>
    <s v="https://www.youtube.com/watch?v=kIHMxfUtGmI"/>
    <s v="none"/>
    <n v="0"/>
    <x v="462"/>
    <s v="20/05/2020 20:01:01"/>
    <m/>
    <m/>
    <s v=""/>
    <n v="1"/>
    <s v="6"/>
    <s v="6"/>
    <n v="1"/>
    <n v="20"/>
    <n v="0"/>
    <n v="0"/>
    <n v="0"/>
    <n v="0"/>
    <n v="4"/>
    <n v="80"/>
    <n v="5"/>
  </r>
  <r>
    <s v="UCQbKCj0tXqqo5TddHr9kjwQ"/>
    <s v="UCrpWTj_O0oLZilvnDaLqElw"/>
    <m/>
    <m/>
    <m/>
    <m/>
    <m/>
    <m/>
    <m/>
    <m/>
    <s v="Yes"/>
    <n v="466"/>
    <m/>
    <m/>
    <s v="Commented Video"/>
    <x v="1"/>
    <s v="This is awesome! You make me want to visit London pronto. Love rooftop bar vibes."/>
    <s v="UCQbKCj0tXqqo5TddHr9kjwQ"/>
    <s v="Debbie Thompson"/>
    <s v="http://www.youtube.com/channel/UCQbKCj0tXqqo5TddHr9kjwQ"/>
    <m/>
    <s v="kIHMxfUtGmI"/>
    <s v="https://www.youtube.com/watch?v=kIHMxfUtGmI"/>
    <s v="none"/>
    <n v="1"/>
    <x v="463"/>
    <s v="14/05/2020 01:57:46"/>
    <m/>
    <m/>
    <s v=""/>
    <n v="1"/>
    <s v="6"/>
    <s v="6"/>
    <n v="2"/>
    <n v="13.333333333333334"/>
    <n v="0"/>
    <n v="0"/>
    <n v="0"/>
    <n v="0"/>
    <n v="13"/>
    <n v="86.66666666666667"/>
    <n v="15"/>
  </r>
  <r>
    <s v="UCvEYcFUhkCOl5HwBKT5djPg"/>
    <s v="UCrpWTj_O0oLZilvnDaLqElw"/>
    <m/>
    <m/>
    <m/>
    <m/>
    <m/>
    <m/>
    <m/>
    <m/>
    <s v="No"/>
    <n v="467"/>
    <m/>
    <m/>
    <s v="Commented Video"/>
    <x v="1"/>
    <s v="Thanks for sharing this! I love rooftop bars, there’s one in the US that is fabulous."/>
    <s v="UCvEYcFUhkCOl5HwBKT5djPg"/>
    <s v="Anastasia Hill"/>
    <s v="http://www.youtube.com/channel/UCvEYcFUhkCOl5HwBKT5djPg"/>
    <m/>
    <s v="kIHMxfUtGmI"/>
    <s v="https://www.youtube.com/watch?v=kIHMxfUtGmI"/>
    <s v="none"/>
    <n v="1"/>
    <x v="464"/>
    <s v="14/05/2020 17:27:52"/>
    <m/>
    <m/>
    <s v=""/>
    <n v="1"/>
    <s v="6"/>
    <s v="6"/>
    <n v="2"/>
    <n v="11.764705882352942"/>
    <n v="0"/>
    <n v="0"/>
    <n v="0"/>
    <n v="0"/>
    <n v="15"/>
    <n v="88.23529411764706"/>
    <n v="17"/>
  </r>
  <r>
    <s v="UCrpWTj_O0oLZilvnDaLqElw"/>
    <s v="UC6KcefKj7mvfC2wb3ED-lCQ"/>
    <m/>
    <m/>
    <m/>
    <m/>
    <m/>
    <m/>
    <m/>
    <m/>
    <s v="Yes"/>
    <n v="468"/>
    <m/>
    <m/>
    <s v="Replied Comment"/>
    <x v="0"/>
    <s v="Many thanks!"/>
    <s v="UCrpWTj_O0oLZilvnDaLqElw"/>
    <s v="Ugo Arinzeh"/>
    <s v="http://www.youtube.com/channel/UCrpWTj_O0oLZilvnDaLqElw"/>
    <s v="UgyJbf1S3BCCj4xuTXd4AaABAg"/>
    <s v="kIHMxfUtGmI"/>
    <s v="https://www.youtube.com/watch?v=kIHMxfUtGmI"/>
    <s v="none"/>
    <n v="1"/>
    <x v="465"/>
    <s v="20/05/2020 20:00:41"/>
    <m/>
    <m/>
    <s v=""/>
    <n v="1"/>
    <s v="6"/>
    <s v="6"/>
    <n v="0"/>
    <n v="0"/>
    <n v="0"/>
    <n v="0"/>
    <n v="0"/>
    <n v="0"/>
    <n v="2"/>
    <n v="100"/>
    <n v="2"/>
  </r>
  <r>
    <s v="UC6KcefKj7mvfC2wb3ED-lCQ"/>
    <s v="UCrpWTj_O0oLZilvnDaLqElw"/>
    <m/>
    <m/>
    <m/>
    <m/>
    <m/>
    <m/>
    <m/>
    <m/>
    <s v="Yes"/>
    <n v="469"/>
    <m/>
    <m/>
    <s v="Commented Video"/>
    <x v="1"/>
    <s v="Amazing views! Great idea for a video. Two thumbs up!"/>
    <s v="UC6KcefKj7mvfC2wb3ED-lCQ"/>
    <s v="Raymond Fernandez Realtor"/>
    <s v="http://www.youtube.com/channel/UC6KcefKj7mvfC2wb3ED-lCQ"/>
    <m/>
    <s v="kIHMxfUtGmI"/>
    <s v="https://www.youtube.com/watch?v=kIHMxfUtGmI"/>
    <s v="none"/>
    <n v="1"/>
    <x v="466"/>
    <s v="14/05/2020 18:14:15"/>
    <m/>
    <m/>
    <s v=""/>
    <n v="1"/>
    <s v="6"/>
    <s v="6"/>
    <n v="2"/>
    <n v="20"/>
    <n v="0"/>
    <n v="0"/>
    <n v="0"/>
    <n v="0"/>
    <n v="8"/>
    <n v="80"/>
    <n v="10"/>
  </r>
  <r>
    <s v="UCrpWTj_O0oLZilvnDaLqElw"/>
    <s v="UCvVyk2M6jS9pNkmrVg2dNjQ"/>
    <m/>
    <m/>
    <m/>
    <m/>
    <m/>
    <m/>
    <m/>
    <m/>
    <s v="Yes"/>
    <n v="470"/>
    <m/>
    <m/>
    <s v="Replied Comment"/>
    <x v="0"/>
    <s v="Thanks so much for watching!"/>
    <s v="UCrpWTj_O0oLZilvnDaLqElw"/>
    <s v="Ugo Arinzeh"/>
    <s v="http://www.youtube.com/channel/UCrpWTj_O0oLZilvnDaLqElw"/>
    <s v="UgxQFet6EC-Wh3mpp8J4AaABAg"/>
    <s v="kIHMxfUtGmI"/>
    <s v="https://www.youtube.com/watch?v=kIHMxfUtGmI"/>
    <s v="none"/>
    <n v="0"/>
    <x v="467"/>
    <s v="20/05/2020 19:59:58"/>
    <m/>
    <m/>
    <s v=""/>
    <n v="1"/>
    <s v="6"/>
    <s v="6"/>
    <n v="0"/>
    <n v="0"/>
    <n v="0"/>
    <n v="0"/>
    <n v="0"/>
    <n v="0"/>
    <n v="5"/>
    <n v="100"/>
    <n v="5"/>
  </r>
  <r>
    <s v="UCvVyk2M6jS9pNkmrVg2dNjQ"/>
    <s v="UCrpWTj_O0oLZilvnDaLqElw"/>
    <m/>
    <m/>
    <m/>
    <m/>
    <m/>
    <m/>
    <m/>
    <m/>
    <s v="Yes"/>
    <n v="471"/>
    <m/>
    <m/>
    <s v="Commented Video"/>
    <x v="1"/>
    <s v="Your videos are always full of such beautiful pictures.  I will probably never get to London so I enjoy these videos very much.  Thank you!"/>
    <s v="UCvVyk2M6jS9pNkmrVg2dNjQ"/>
    <s v="Dr Sno"/>
    <s v="http://www.youtube.com/channel/UCvVyk2M6jS9pNkmrVg2dNjQ"/>
    <m/>
    <s v="kIHMxfUtGmI"/>
    <s v="https://www.youtube.com/watch?v=kIHMxfUtGmI"/>
    <s v="none"/>
    <n v="2"/>
    <x v="468"/>
    <s v="15/05/2020 01:45:28"/>
    <m/>
    <m/>
    <s v=""/>
    <n v="1"/>
    <s v="6"/>
    <s v="6"/>
    <n v="3"/>
    <n v="12"/>
    <n v="0"/>
    <n v="0"/>
    <n v="0"/>
    <n v="0"/>
    <n v="22"/>
    <n v="88"/>
    <n v="25"/>
  </r>
  <r>
    <s v="UCrpWTj_O0oLZilvnDaLqElw"/>
    <s v="UCMWyaByhnJ1XZCCZxzjRkiQ"/>
    <m/>
    <m/>
    <m/>
    <m/>
    <m/>
    <m/>
    <m/>
    <m/>
    <s v="Yes"/>
    <n v="472"/>
    <m/>
    <m/>
    <s v="Replied Comment"/>
    <x v="0"/>
    <s v="They may be the way forward especially now."/>
    <s v="UCrpWTj_O0oLZilvnDaLqElw"/>
    <s v="Ugo Arinzeh"/>
    <s v="http://www.youtube.com/channel/UCrpWTj_O0oLZilvnDaLqElw"/>
    <s v="Ugw4_PPSzIGsINBEU7l4AaABAg"/>
    <s v="kIHMxfUtGmI"/>
    <s v="https://www.youtube.com/watch?v=kIHMxfUtGmI"/>
    <s v="none"/>
    <n v="0"/>
    <x v="469"/>
    <s v="20/05/2020 20:00:29"/>
    <m/>
    <m/>
    <s v=""/>
    <n v="1"/>
    <s v="6"/>
    <s v="6"/>
    <n v="0"/>
    <n v="0"/>
    <n v="0"/>
    <n v="0"/>
    <n v="0"/>
    <n v="0"/>
    <n v="8"/>
    <n v="100"/>
    <n v="8"/>
  </r>
  <r>
    <s v="UCMWyaByhnJ1XZCCZxzjRkiQ"/>
    <s v="UCrpWTj_O0oLZilvnDaLqElw"/>
    <m/>
    <m/>
    <m/>
    <m/>
    <m/>
    <m/>
    <m/>
    <m/>
    <s v="Yes"/>
    <n v="473"/>
    <m/>
    <m/>
    <s v="Commented Video"/>
    <x v="1"/>
    <s v="I love rooftop bars!"/>
    <s v="UCMWyaByhnJ1XZCCZxzjRkiQ"/>
    <s v="The Florida Agents"/>
    <s v="http://www.youtube.com/channel/UCMWyaByhnJ1XZCCZxzjRkiQ"/>
    <m/>
    <s v="kIHMxfUtGmI"/>
    <s v="https://www.youtube.com/watch?v=kIHMxfUtGmI"/>
    <s v="none"/>
    <n v="1"/>
    <x v="470"/>
    <s v="15/05/2020 11:53:52"/>
    <m/>
    <m/>
    <s v=""/>
    <n v="1"/>
    <s v="6"/>
    <s v="6"/>
    <n v="1"/>
    <n v="25"/>
    <n v="0"/>
    <n v="0"/>
    <n v="0"/>
    <n v="0"/>
    <n v="3"/>
    <n v="75"/>
    <n v="4"/>
  </r>
  <r>
    <s v="UCQjOVgcoZvC6-EK0xgankpQ"/>
    <s v="UCrpWTj_O0oLZilvnDaLqElw"/>
    <m/>
    <m/>
    <m/>
    <m/>
    <m/>
    <m/>
    <m/>
    <m/>
    <s v="No"/>
    <n v="474"/>
    <m/>
    <m/>
    <s v="Commented Video"/>
    <x v="1"/>
    <s v="All of these spots seem really cool to have a good time in! Thanks for sharing!"/>
    <s v="UCQjOVgcoZvC6-EK0xgankpQ"/>
    <s v="Coach Viva"/>
    <s v="http://www.youtube.com/channel/UCQjOVgcoZvC6-EK0xgankpQ"/>
    <m/>
    <s v="kIHMxfUtGmI"/>
    <s v="https://www.youtube.com/watch?v=kIHMxfUtGmI"/>
    <s v="none"/>
    <n v="1"/>
    <x v="471"/>
    <s v="15/05/2020 22:33:37"/>
    <m/>
    <m/>
    <s v=""/>
    <n v="1"/>
    <s v="6"/>
    <s v="6"/>
    <n v="2"/>
    <n v="12.5"/>
    <n v="0"/>
    <n v="0"/>
    <n v="0"/>
    <n v="0"/>
    <n v="14"/>
    <n v="87.5"/>
    <n v="16"/>
  </r>
  <r>
    <s v="UC64LMJKuGBKbltUKBvtTqPA"/>
    <s v="UC64LMJKuGBKbltUKBvtTqPA"/>
    <m/>
    <m/>
    <m/>
    <m/>
    <m/>
    <m/>
    <m/>
    <m/>
    <s v="No"/>
    <n v="475"/>
    <m/>
    <m/>
    <s v="Replied Comment"/>
    <x v="0"/>
    <s v="please respond very important"/>
    <s v="UC64LMJKuGBKbltUKBvtTqPA"/>
    <s v="senad khalfa"/>
    <s v="http://www.youtube.com/channel/UC64LMJKuGBKbltUKBvtTqPA"/>
    <s v="UgxOHL-GIeIV-OPF8ix4AaABAg"/>
    <s v="kIHMxfUtGmI"/>
    <s v="https://www.youtube.com/watch?v=kIHMxfUtGmI"/>
    <s v="none"/>
    <n v="0"/>
    <x v="472"/>
    <d v="2021-10-04T17:14:40.000"/>
    <m/>
    <m/>
    <s v=""/>
    <n v="1"/>
    <s v="6"/>
    <s v="6"/>
    <n v="1"/>
    <n v="25"/>
    <n v="0"/>
    <n v="0"/>
    <n v="0"/>
    <n v="0"/>
    <n v="3"/>
    <n v="75"/>
    <n v="4"/>
  </r>
  <r>
    <s v="UC64LMJKuGBKbltUKBvtTqPA"/>
    <s v="UCrpWTj_O0oLZilvnDaLqElw"/>
    <m/>
    <m/>
    <m/>
    <m/>
    <m/>
    <m/>
    <m/>
    <m/>
    <s v="No"/>
    <n v="476"/>
    <m/>
    <m/>
    <s v="Commented Video"/>
    <x v="1"/>
    <s v="will Lou like it ?"/>
    <s v="UC64LMJKuGBKbltUKBvtTqPA"/>
    <s v="senad khalfa"/>
    <s v="http://www.youtube.com/channel/UC64LMJKuGBKbltUKBvtTqPA"/>
    <m/>
    <s v="kIHMxfUtGmI"/>
    <s v="https://www.youtube.com/watch?v=kIHMxfUtGmI"/>
    <s v="none"/>
    <n v="0"/>
    <x v="473"/>
    <d v="2021-10-04T17:08:01.000"/>
    <m/>
    <m/>
    <s v=""/>
    <n v="1"/>
    <s v="6"/>
    <s v="6"/>
    <n v="1"/>
    <n v="25"/>
    <n v="0"/>
    <n v="0"/>
    <n v="0"/>
    <n v="0"/>
    <n v="3"/>
    <n v="75"/>
    <n v="4"/>
  </r>
  <r>
    <s v="UC6nnQTTY1abLpeRJN9VvodA"/>
    <s v="UCrpWTj_O0oLZilvnDaLqElw"/>
    <m/>
    <m/>
    <m/>
    <m/>
    <m/>
    <m/>
    <m/>
    <m/>
    <s v="No"/>
    <n v="477"/>
    <m/>
    <m/>
    <s v="Commented Video"/>
    <x v="1"/>
    <s v="Thank very much, all you need to know about rooftop bars in London in one video, thank you!👍🏻"/>
    <s v="UC6nnQTTY1abLpeRJN9VvodA"/>
    <s v="Kris Kazlauskaite"/>
    <s v="http://www.youtube.com/channel/UC6nnQTTY1abLpeRJN9VvodA"/>
    <m/>
    <s v="kIHMxfUtGmI"/>
    <s v="https://www.youtube.com/watch?v=kIHMxfUtGmI"/>
    <s v="none"/>
    <n v="0"/>
    <x v="474"/>
    <d v="2021-09-06T18:11:49.000"/>
    <m/>
    <m/>
    <s v=""/>
    <n v="1"/>
    <s v="6"/>
    <s v="6"/>
    <n v="2"/>
    <n v="11.11111111111111"/>
    <n v="0"/>
    <n v="0"/>
    <n v="0"/>
    <n v="0"/>
    <n v="16"/>
    <n v="88.88888888888889"/>
    <n v="18"/>
  </r>
  <r>
    <s v="UClkFIeTulL4elxNZ41mOtFw"/>
    <s v="UCrpWTj_O0oLZilvnDaLqElw"/>
    <m/>
    <m/>
    <m/>
    <m/>
    <m/>
    <m/>
    <m/>
    <m/>
    <s v="No"/>
    <n v="478"/>
    <m/>
    <m/>
    <s v="Commented Video"/>
    <x v="1"/>
    <s v="hello Ugo, thanks for sharing this;  from Lima Peru Skyline facebook:  @&lt;a href=&quot;http://skyline.pe/&quot;&gt;skyline.pe&lt;/a&gt;"/>
    <s v="UClkFIeTulL4elxNZ41mOtFw"/>
    <s v="Mario Cavagnaro"/>
    <s v="http://www.youtube.com/channel/UClkFIeTulL4elxNZ41mOtFw"/>
    <m/>
    <s v="kIHMxfUtGmI"/>
    <s v="https://www.youtube.com/watch?v=kIHMxfUtGmI"/>
    <s v="none"/>
    <n v="0"/>
    <x v="475"/>
    <s v="14/07/2021 06:02:27"/>
    <s v=" http://skyline.pe/"/>
    <s v="skyline.pe"/>
    <s v=""/>
    <n v="1"/>
    <s v="6"/>
    <s v="6"/>
    <n v="0"/>
    <n v="0"/>
    <n v="0"/>
    <n v="0"/>
    <n v="0"/>
    <n v="0"/>
    <n v="19"/>
    <n v="100"/>
    <n v="19"/>
  </r>
  <r>
    <s v="UCAlFuhgD5n4M33Y8Im4K0ww"/>
    <s v="UCrpWTj_O0oLZilvnDaLqElw"/>
    <m/>
    <m/>
    <m/>
    <m/>
    <m/>
    <m/>
    <m/>
    <m/>
    <s v="No"/>
    <n v="479"/>
    <m/>
    <m/>
    <s v="Commented Video"/>
    <x v="1"/>
    <s v="Hey Ugo! Your Video is really cool, how you have only this view? Anyway You forget the ROOF EAST in Stratford, is something different, probably more sporty and casual but really cool! You can find the video in My channel! BTW I am following you from now! ;)"/>
    <s v="UCAlFuhgD5n4M33Y8Im4K0ww"/>
    <s v="MARIO D."/>
    <s v="http://www.youtube.com/channel/UCAlFuhgD5n4M33Y8Im4K0ww"/>
    <m/>
    <s v="kIHMxfUtGmI"/>
    <s v="https://www.youtube.com/watch?v=kIHMxfUtGmI"/>
    <s v="none"/>
    <n v="0"/>
    <x v="476"/>
    <s v="26/09/2020 23:45:50"/>
    <m/>
    <m/>
    <s v=""/>
    <n v="2"/>
    <s v="6"/>
    <s v="6"/>
    <n v="3"/>
    <n v="6.382978723404255"/>
    <n v="0"/>
    <n v="0"/>
    <n v="0"/>
    <n v="0"/>
    <n v="44"/>
    <n v="93.61702127659575"/>
    <n v="47"/>
  </r>
  <r>
    <s v="UCAlFuhgD5n4M33Y8Im4K0ww"/>
    <s v="UCrpWTj_O0oLZilvnDaLqElw"/>
    <m/>
    <m/>
    <m/>
    <m/>
    <m/>
    <m/>
    <m/>
    <m/>
    <s v="No"/>
    <n v="480"/>
    <m/>
    <m/>
    <s v="Replied Comment"/>
    <x v="0"/>
    <s v="ROOF EAST ;)"/>
    <s v="UCAlFuhgD5n4M33Y8Im4K0ww"/>
    <s v="MARIO D."/>
    <s v="http://www.youtube.com/channel/UCAlFuhgD5n4M33Y8Im4K0ww"/>
    <s v="Ugx2SDsxwwHGMdGWleB4AaABAg"/>
    <s v="kIHMxfUtGmI"/>
    <s v="https://www.youtube.com/watch?v=kIHMxfUtGmI"/>
    <s v="none"/>
    <n v="0"/>
    <x v="477"/>
    <s v="26/09/2020 23:46:12"/>
    <m/>
    <m/>
    <s v=""/>
    <n v="2"/>
    <s v="6"/>
    <s v="6"/>
    <n v="0"/>
    <n v="0"/>
    <n v="0"/>
    <n v="0"/>
    <n v="0"/>
    <n v="0"/>
    <n v="2"/>
    <n v="100"/>
    <n v="2"/>
  </r>
  <r>
    <s v="UCc7JKptikbvO72PtnoqIKNA"/>
    <s v="UCrpWTj_O0oLZilvnDaLqElw"/>
    <m/>
    <m/>
    <m/>
    <m/>
    <m/>
    <m/>
    <m/>
    <m/>
    <s v="No"/>
    <n v="481"/>
    <m/>
    <m/>
    <s v="Replied Comment"/>
    <x v="0"/>
    <s v="Love Sky Bar by Doubletree - now called Savage Gardens"/>
    <s v="UCc7JKptikbvO72PtnoqIKNA"/>
    <s v="RolandAndOkola"/>
    <s v="http://www.youtube.com/channel/UCc7JKptikbvO72PtnoqIKNA"/>
    <s v="Ugx2SDsxwwHGMdGWleB4AaABAg"/>
    <s v="kIHMxfUtGmI"/>
    <s v="https://www.youtube.com/watch?v=kIHMxfUtGmI"/>
    <s v="none"/>
    <n v="0"/>
    <x v="478"/>
    <s v="15/07/2021 23:00:20"/>
    <m/>
    <m/>
    <s v=""/>
    <n v="1"/>
    <s v="6"/>
    <s v="6"/>
    <n v="1"/>
    <n v="11.11111111111111"/>
    <n v="1"/>
    <n v="11.11111111111111"/>
    <n v="0"/>
    <n v="0"/>
    <n v="7"/>
    <n v="77.77777777777777"/>
    <n v="9"/>
  </r>
  <r>
    <s v="UCbUhO-tut97b5IQhZ3i7TMA"/>
    <s v="UC6ubianhK30BlEa-EP8dwjQ"/>
    <m/>
    <m/>
    <m/>
    <m/>
    <m/>
    <m/>
    <m/>
    <m/>
    <s v="Yes"/>
    <n v="482"/>
    <m/>
    <m/>
    <s v="Replied Comment"/>
    <x v="0"/>
    <s v="I&amp;#39;m so annoyed, all that happened over night! Thanks for the tip! :)"/>
    <s v="UCbUhO-tut97b5IQhZ3i7TMA"/>
    <s v="Mr Carrington"/>
    <s v="http://www.youtube.com/channel/UCbUhO-tut97b5IQhZ3i7TMA"/>
    <s v="UgyP84PfZeAG4t2Z8bt4AaABAg"/>
    <s v="7aRMkFHzJrc"/>
    <s v="https://www.youtube.com/watch?v=7aRMkFHzJrc"/>
    <s v="none"/>
    <n v="0"/>
    <x v="479"/>
    <d v="2018-02-06T09:46:30.000"/>
    <m/>
    <m/>
    <s v=""/>
    <n v="2"/>
    <s v="1"/>
    <s v="1"/>
    <n v="0"/>
    <n v="0"/>
    <n v="1"/>
    <n v="7.142857142857143"/>
    <n v="0"/>
    <n v="0"/>
    <n v="13"/>
    <n v="92.85714285714286"/>
    <n v="14"/>
  </r>
  <r>
    <s v="UC2baYwyZp8GSx7Ib5g17mDg"/>
    <s v="UC6ubianhK30BlEa-EP8dwjQ"/>
    <m/>
    <m/>
    <m/>
    <m/>
    <m/>
    <m/>
    <m/>
    <m/>
    <s v="No"/>
    <n v="483"/>
    <m/>
    <m/>
    <s v="Replied Comment"/>
    <x v="0"/>
    <s v="Do you have your Instagram account"/>
    <s v="UC2baYwyZp8GSx7Ib5g17mDg"/>
    <s v="Inzamamulhaq Haq"/>
    <s v="http://www.youtube.com/channel/UC2baYwyZp8GSx7Ib5g17mDg"/>
    <s v="UgyP84PfZeAG4t2Z8bt4AaABAg"/>
    <s v="7aRMkFHzJrc"/>
    <s v="https://www.youtube.com/watch?v=7aRMkFHzJrc"/>
    <s v="none"/>
    <n v="0"/>
    <x v="480"/>
    <d v="2018-02-06T09:48:24.000"/>
    <m/>
    <m/>
    <s v=""/>
    <n v="2"/>
    <s v="1"/>
    <s v="1"/>
    <n v="0"/>
    <n v="0"/>
    <n v="0"/>
    <n v="0"/>
    <n v="0"/>
    <n v="0"/>
    <n v="6"/>
    <n v="100"/>
    <n v="6"/>
  </r>
  <r>
    <s v="UCbUhO-tut97b5IQhZ3i7TMA"/>
    <s v="UC6ubianhK30BlEa-EP8dwjQ"/>
    <m/>
    <m/>
    <m/>
    <m/>
    <m/>
    <m/>
    <m/>
    <m/>
    <s v="Yes"/>
    <n v="484"/>
    <m/>
    <m/>
    <s v="Replied Comment"/>
    <x v="0"/>
    <s v="Inzamamulhaq Haq @mistercarrington 👍🌱"/>
    <s v="UCbUhO-tut97b5IQhZ3i7TMA"/>
    <s v="Mr Carrington"/>
    <s v="http://www.youtube.com/channel/UCbUhO-tut97b5IQhZ3i7TMA"/>
    <s v="UgyP84PfZeAG4t2Z8bt4AaABAg"/>
    <s v="7aRMkFHzJrc"/>
    <s v="https://www.youtube.com/watch?v=7aRMkFHzJrc"/>
    <s v="none"/>
    <n v="0"/>
    <x v="481"/>
    <d v="2018-02-06T09:51:56.000"/>
    <m/>
    <m/>
    <s v=""/>
    <n v="2"/>
    <s v="1"/>
    <s v="1"/>
    <n v="0"/>
    <n v="0"/>
    <n v="0"/>
    <n v="0"/>
    <n v="0"/>
    <n v="0"/>
    <n v="3"/>
    <n v="100"/>
    <n v="3"/>
  </r>
  <r>
    <s v="UC2baYwyZp8GSx7Ib5g17mDg"/>
    <s v="UC6ubianhK30BlEa-EP8dwjQ"/>
    <m/>
    <m/>
    <m/>
    <m/>
    <m/>
    <m/>
    <m/>
    <m/>
    <s v="No"/>
    <n v="485"/>
    <m/>
    <m/>
    <s v="Replied Comment"/>
    <x v="0"/>
    <s v="I just followed you &lt;br&gt;Wow your profile of  insta is awesome"/>
    <s v="UC2baYwyZp8GSx7Ib5g17mDg"/>
    <s v="Inzamamulhaq Haq"/>
    <s v="http://www.youtube.com/channel/UC2baYwyZp8GSx7Ib5g17mDg"/>
    <s v="UgyP84PfZeAG4t2Z8bt4AaABAg"/>
    <s v="7aRMkFHzJrc"/>
    <s v="https://www.youtube.com/watch?v=7aRMkFHzJrc"/>
    <s v="none"/>
    <n v="0"/>
    <x v="482"/>
    <d v="2018-02-06T09:55:43.000"/>
    <m/>
    <m/>
    <s v=""/>
    <n v="2"/>
    <s v="1"/>
    <s v="1"/>
    <n v="2"/>
    <n v="16.666666666666668"/>
    <n v="0"/>
    <n v="0"/>
    <n v="0"/>
    <n v="0"/>
    <n v="10"/>
    <n v="83.33333333333333"/>
    <n v="12"/>
  </r>
  <r>
    <s v="UC6ubianhK30BlEa-EP8dwjQ"/>
    <s v="UC6ubianhK30BlEa-EP8dwjQ"/>
    <m/>
    <m/>
    <m/>
    <m/>
    <m/>
    <m/>
    <m/>
    <m/>
    <s v="No"/>
    <n v="486"/>
    <m/>
    <m/>
    <s v="Replied Comment"/>
    <x v="0"/>
    <s v="Mr Carrington this is&lt;br&gt;The first year I’ve been able to save mine from being eaten, I have no problem with pellets, I just didn’t have any so had the idea of the shells, I think sharp stones work too. 😊"/>
    <s v="UC6ubianhK30BlEa-EP8dwjQ"/>
    <s v="Hellsbells *"/>
    <s v="http://www.youtube.com/channel/UC6ubianhK30BlEa-EP8dwjQ"/>
    <s v="UgyP84PfZeAG4t2Z8bt4AaABAg"/>
    <s v="7aRMkFHzJrc"/>
    <s v="https://www.youtube.com/watch?v=7aRMkFHzJrc"/>
    <s v="none"/>
    <n v="0"/>
    <x v="483"/>
    <d v="2018-02-06T09:55:52.000"/>
    <m/>
    <m/>
    <s v=""/>
    <n v="1"/>
    <s v="1"/>
    <s v="1"/>
    <n v="2"/>
    <n v="4.651162790697675"/>
    <n v="1"/>
    <n v="2.3255813953488373"/>
    <n v="0"/>
    <n v="0"/>
    <n v="40"/>
    <n v="93.02325581395348"/>
    <n v="43"/>
  </r>
  <r>
    <s v="UC6ubianhK30BlEa-EP8dwjQ"/>
    <s v="UCbUhO-tut97b5IQhZ3i7TMA"/>
    <m/>
    <m/>
    <m/>
    <m/>
    <m/>
    <m/>
    <m/>
    <m/>
    <s v="Yes"/>
    <n v="487"/>
    <m/>
    <m/>
    <s v="Commented Video"/>
    <x v="1"/>
    <s v="I have a plant like the one that’s been eaten by snails, I managed to catch it before they ate too many leaves, I used broken egg shells around it, they don’t like crawling over them, give that a go. 😊"/>
    <s v="UC6ubianhK30BlEa-EP8dwjQ"/>
    <s v="Hellsbells *"/>
    <s v="http://www.youtube.com/channel/UC6ubianhK30BlEa-EP8dwjQ"/>
    <m/>
    <s v="7aRMkFHzJrc"/>
    <s v="https://www.youtube.com/watch?v=7aRMkFHzJrc"/>
    <s v="none"/>
    <n v="0"/>
    <x v="484"/>
    <d v="2018-02-06T09:33:49.000"/>
    <m/>
    <m/>
    <s v=""/>
    <n v="1"/>
    <s v="1"/>
    <s v="1"/>
    <n v="2"/>
    <n v="4.761904761904762"/>
    <n v="1"/>
    <n v="2.380952380952381"/>
    <n v="0"/>
    <n v="0"/>
    <n v="39"/>
    <n v="92.85714285714286"/>
    <n v="42"/>
  </r>
  <r>
    <s v="UC819Rf3geYRy4604wK3i2ZQ"/>
    <s v="UC2baYwyZp8GSx7Ib5g17mDg"/>
    <m/>
    <m/>
    <m/>
    <m/>
    <m/>
    <m/>
    <m/>
    <m/>
    <s v="No"/>
    <n v="488"/>
    <m/>
    <m/>
    <s v="Replied Comment"/>
    <x v="0"/>
    <s v="Agave americana variegata 😃"/>
    <s v="UC819Rf3geYRy4604wK3i2ZQ"/>
    <s v="Mari Bootz"/>
    <s v="http://www.youtube.com/channel/UC819Rf3geYRy4604wK3i2ZQ"/>
    <s v="UgzzTB6SzxoqnNmSW2B4AaABAg"/>
    <s v="7aRMkFHzJrc"/>
    <s v="https://www.youtube.com/watch?v=7aRMkFHzJrc"/>
    <s v="none"/>
    <n v="0"/>
    <x v="485"/>
    <d v="2018-02-06T16:51:00.000"/>
    <m/>
    <m/>
    <s v=""/>
    <n v="1"/>
    <s v="1"/>
    <s v="1"/>
    <n v="0"/>
    <n v="0"/>
    <n v="0"/>
    <n v="0"/>
    <n v="0"/>
    <n v="0"/>
    <n v="3"/>
    <n v="100"/>
    <n v="3"/>
  </r>
  <r>
    <s v="UCbUhO-tut97b5IQhZ3i7TMA"/>
    <s v="UC2baYwyZp8GSx7Ib5g17mDg"/>
    <m/>
    <m/>
    <m/>
    <m/>
    <m/>
    <m/>
    <m/>
    <m/>
    <s v="Yes"/>
    <n v="489"/>
    <m/>
    <m/>
    <s v="Replied Comment"/>
    <x v="0"/>
    <s v="I&amp;#39;m so pleased with it! :)"/>
    <s v="UCbUhO-tut97b5IQhZ3i7TMA"/>
    <s v="Mr Carrington"/>
    <s v="http://www.youtube.com/channel/UCbUhO-tut97b5IQhZ3i7TMA"/>
    <s v="Ugy0ON9CqK2iALa-zu14AaABAg"/>
    <s v="DrCnSoZUXAc"/>
    <s v="https://www.youtube.com/watch?v=DrCnSoZUXAc"/>
    <s v="none"/>
    <n v="0"/>
    <x v="486"/>
    <d v="2018-08-06T23:40:39.000"/>
    <m/>
    <m/>
    <s v=""/>
    <n v="3"/>
    <s v="1"/>
    <s v="1"/>
    <n v="1"/>
    <n v="14.285714285714286"/>
    <n v="0"/>
    <n v="0"/>
    <n v="0"/>
    <n v="0"/>
    <n v="6"/>
    <n v="85.71428571428571"/>
    <n v="7"/>
  </r>
  <r>
    <s v="UC2baYwyZp8GSx7Ib5g17mDg"/>
    <s v="UCbUhO-tut97b5IQhZ3i7TMA"/>
    <m/>
    <m/>
    <m/>
    <m/>
    <m/>
    <m/>
    <m/>
    <m/>
    <s v="Yes"/>
    <n v="490"/>
    <m/>
    <m/>
    <s v="Commented Video"/>
    <x v="1"/>
    <s v="The black stain is great"/>
    <s v="UC2baYwyZp8GSx7Ib5g17mDg"/>
    <s v="Inzamamulhaq Haq"/>
    <s v="http://www.youtube.com/channel/UC2baYwyZp8GSx7Ib5g17mDg"/>
    <m/>
    <s v="DrCnSoZUXAc"/>
    <s v="https://www.youtube.com/watch?v=DrCnSoZUXAc"/>
    <s v="none"/>
    <n v="0"/>
    <x v="487"/>
    <d v="2018-08-06T03:13:51.000"/>
    <m/>
    <m/>
    <s v=""/>
    <n v="3"/>
    <s v="1"/>
    <s v="1"/>
    <n v="1"/>
    <n v="20"/>
    <n v="1"/>
    <n v="20"/>
    <n v="0"/>
    <n v="0"/>
    <n v="3"/>
    <n v="60"/>
    <n v="5"/>
  </r>
  <r>
    <s v="UCbUhO-tut97b5IQhZ3i7TMA"/>
    <s v="UC2baYwyZp8GSx7Ib5g17mDg"/>
    <m/>
    <m/>
    <m/>
    <m/>
    <m/>
    <m/>
    <m/>
    <m/>
    <s v="Yes"/>
    <n v="491"/>
    <m/>
    <m/>
    <s v="Replied Comment"/>
    <x v="0"/>
    <s v="Ahh thanks for letting me know :)"/>
    <s v="UCbUhO-tut97b5IQhZ3i7TMA"/>
    <s v="Mr Carrington"/>
    <s v="http://www.youtube.com/channel/UCbUhO-tut97b5IQhZ3i7TMA"/>
    <s v="UgzzTB6SzxoqnNmSW2B4AaABAg"/>
    <s v="7aRMkFHzJrc"/>
    <s v="https://www.youtube.com/watch?v=7aRMkFHzJrc"/>
    <s v="none"/>
    <n v="0"/>
    <x v="488"/>
    <d v="2018-02-06T09:45:55.000"/>
    <m/>
    <m/>
    <s v=""/>
    <n v="3"/>
    <s v="1"/>
    <s v="1"/>
    <n v="0"/>
    <n v="0"/>
    <n v="0"/>
    <n v="0"/>
    <n v="0"/>
    <n v="0"/>
    <n v="6"/>
    <n v="100"/>
    <n v="6"/>
  </r>
  <r>
    <s v="UC2baYwyZp8GSx7Ib5g17mDg"/>
    <s v="UCbUhO-tut97b5IQhZ3i7TMA"/>
    <m/>
    <m/>
    <m/>
    <m/>
    <m/>
    <m/>
    <m/>
    <m/>
    <s v="Yes"/>
    <n v="492"/>
    <m/>
    <m/>
    <s v="Commented Video"/>
    <x v="1"/>
    <s v="It not an aloe but it&amp;#39;s agave don&amp;#39;t know the Variety"/>
    <s v="UC2baYwyZp8GSx7Ib5g17mDg"/>
    <s v="Inzamamulhaq Haq"/>
    <s v="http://www.youtube.com/channel/UC2baYwyZp8GSx7Ib5g17mDg"/>
    <m/>
    <s v="7aRMkFHzJrc"/>
    <s v="https://www.youtube.com/watch?v=7aRMkFHzJrc"/>
    <s v="none"/>
    <n v="3"/>
    <x v="489"/>
    <d v="2018-02-06T09:34:21.000"/>
    <m/>
    <m/>
    <s v=""/>
    <n v="3"/>
    <s v="1"/>
    <s v="1"/>
    <n v="1"/>
    <n v="6.666666666666667"/>
    <n v="0"/>
    <n v="0"/>
    <n v="0"/>
    <n v="0"/>
    <n v="14"/>
    <n v="93.33333333333333"/>
    <n v="15"/>
  </r>
  <r>
    <s v="UCbUhO-tut97b5IQhZ3i7TMA"/>
    <s v="UC2baYwyZp8GSx7Ib5g17mDg"/>
    <m/>
    <m/>
    <m/>
    <m/>
    <m/>
    <m/>
    <m/>
    <m/>
    <s v="Yes"/>
    <n v="493"/>
    <m/>
    <m/>
    <s v="Replied Comment"/>
    <x v="0"/>
    <s v="Thank you so much!! :)"/>
    <s v="UCbUhO-tut97b5IQhZ3i7TMA"/>
    <s v="Mr Carrington"/>
    <s v="http://www.youtube.com/channel/UCbUhO-tut97b5IQhZ3i7TMA"/>
    <s v="UgyuyTXEQbzTs4qh9zN4AaABAg"/>
    <s v="7aRMkFHzJrc"/>
    <s v="https://www.youtube.com/watch?v=7aRMkFHzJrc"/>
    <s v="none"/>
    <n v="0"/>
    <x v="490"/>
    <d v="2018-02-06T09:45:41.000"/>
    <m/>
    <m/>
    <s v=""/>
    <n v="3"/>
    <s v="1"/>
    <s v="1"/>
    <n v="1"/>
    <n v="25"/>
    <n v="0"/>
    <n v="0"/>
    <n v="0"/>
    <n v="0"/>
    <n v="3"/>
    <n v="75"/>
    <n v="4"/>
  </r>
  <r>
    <s v="UC2baYwyZp8GSx7Ib5g17mDg"/>
    <s v="UCbUhO-tut97b5IQhZ3i7TMA"/>
    <m/>
    <m/>
    <m/>
    <m/>
    <m/>
    <m/>
    <m/>
    <m/>
    <s v="Yes"/>
    <n v="494"/>
    <m/>
    <m/>
    <s v="Commented Video"/>
    <x v="1"/>
    <s v="And the vedio was amazing"/>
    <s v="UC2baYwyZp8GSx7Ib5g17mDg"/>
    <s v="Inzamamulhaq Haq"/>
    <s v="http://www.youtube.com/channel/UC2baYwyZp8GSx7Ib5g17mDg"/>
    <m/>
    <s v="7aRMkFHzJrc"/>
    <s v="https://www.youtube.com/watch?v=7aRMkFHzJrc"/>
    <s v="none"/>
    <n v="0"/>
    <x v="491"/>
    <d v="2018-02-06T09:34:47.000"/>
    <m/>
    <m/>
    <s v=""/>
    <n v="3"/>
    <s v="1"/>
    <s v="1"/>
    <n v="1"/>
    <n v="20"/>
    <n v="0"/>
    <n v="0"/>
    <n v="0"/>
    <n v="0"/>
    <n v="4"/>
    <n v="80"/>
    <n v="5"/>
  </r>
  <r>
    <s v="UCbUhO-tut97b5IQhZ3i7TMA"/>
    <s v="UCUqc_eczlo9lTgkq90F8wUw"/>
    <m/>
    <m/>
    <m/>
    <m/>
    <m/>
    <m/>
    <m/>
    <m/>
    <s v="Yes"/>
    <n v="495"/>
    <m/>
    <m/>
    <s v="Replied Comment"/>
    <x v="0"/>
    <s v="Do you mean a garden video? :)"/>
    <s v="UCbUhO-tut97b5IQhZ3i7TMA"/>
    <s v="Mr Carrington"/>
    <s v="http://www.youtube.com/channel/UCbUhO-tut97b5IQhZ3i7TMA"/>
    <s v="Ugy5_ZgbnzmIaQSIt7B4AaABAg"/>
    <s v="7aRMkFHzJrc"/>
    <s v="https://www.youtube.com/watch?v=7aRMkFHzJrc"/>
    <s v="none"/>
    <n v="0"/>
    <x v="492"/>
    <d v="2018-02-06T09:45:26.000"/>
    <m/>
    <m/>
    <s v=""/>
    <n v="1"/>
    <s v="1"/>
    <s v="1"/>
    <n v="0"/>
    <n v="0"/>
    <n v="0"/>
    <n v="0"/>
    <n v="0"/>
    <n v="0"/>
    <n v="6"/>
    <n v="100"/>
    <n v="6"/>
  </r>
  <r>
    <s v="UCUqc_eczlo9lTgkq90F8wUw"/>
    <s v="UCUqc_eczlo9lTgkq90F8wUw"/>
    <m/>
    <m/>
    <m/>
    <m/>
    <m/>
    <m/>
    <m/>
    <m/>
    <s v="No"/>
    <n v="496"/>
    <m/>
    <m/>
    <s v="Replied Comment"/>
    <x v="0"/>
    <s v="Mr Carrington Yes 😊"/>
    <s v="UCUqc_eczlo9lTgkq90F8wUw"/>
    <s v="Nemanja Filipović"/>
    <s v="http://www.youtube.com/channel/UCUqc_eczlo9lTgkq90F8wUw"/>
    <s v="Ugy5_ZgbnzmIaQSIt7B4AaABAg"/>
    <s v="7aRMkFHzJrc"/>
    <s v="https://www.youtube.com/watch?v=7aRMkFHzJrc"/>
    <s v="none"/>
    <n v="0"/>
    <x v="493"/>
    <d v="2018-02-06T17:01:37.000"/>
    <m/>
    <m/>
    <s v=""/>
    <n v="1"/>
    <s v="1"/>
    <s v="1"/>
    <n v="0"/>
    <n v="0"/>
    <n v="0"/>
    <n v="0"/>
    <n v="0"/>
    <n v="0"/>
    <n v="3"/>
    <n v="100"/>
    <n v="3"/>
  </r>
  <r>
    <s v="UCUqc_eczlo9lTgkq90F8wUw"/>
    <s v="UCbUhO-tut97b5IQhZ3i7TMA"/>
    <m/>
    <m/>
    <m/>
    <m/>
    <m/>
    <m/>
    <m/>
    <m/>
    <s v="Yes"/>
    <n v="497"/>
    <m/>
    <m/>
    <s v="Commented Video"/>
    <x v="1"/>
    <s v="Thinking about trying something like this soon"/>
    <s v="UCUqc_eczlo9lTgkq90F8wUw"/>
    <s v="Nemanja Filipović"/>
    <s v="http://www.youtube.com/channel/UCUqc_eczlo9lTgkq90F8wUw"/>
    <m/>
    <s v="7aRMkFHzJrc"/>
    <s v="https://www.youtube.com/watch?v=7aRMkFHzJrc"/>
    <s v="none"/>
    <n v="0"/>
    <x v="494"/>
    <d v="2018-02-06T09:37:00.000"/>
    <m/>
    <m/>
    <s v=""/>
    <n v="1"/>
    <s v="1"/>
    <s v="1"/>
    <n v="1"/>
    <n v="14.285714285714286"/>
    <n v="0"/>
    <n v="0"/>
    <n v="0"/>
    <n v="0"/>
    <n v="6"/>
    <n v="85.71428571428571"/>
    <n v="7"/>
  </r>
  <r>
    <s v="UCbUhO-tut97b5IQhZ3i7TMA"/>
    <s v="UCi0fIYNdbzwQONlngaf4R1g"/>
    <m/>
    <m/>
    <m/>
    <m/>
    <m/>
    <m/>
    <m/>
    <m/>
    <s v="Yes"/>
    <n v="498"/>
    <m/>
    <m/>
    <s v="Replied Comment"/>
    <x v="0"/>
    <s v="Hannah haha definitely - see the positives 🙌🌱"/>
    <s v="UCbUhO-tut97b5IQhZ3i7TMA"/>
    <s v="Mr Carrington"/>
    <s v="http://www.youtube.com/channel/UCbUhO-tut97b5IQhZ3i7TMA"/>
    <s v="UgzVz7ksHqS0eMpAw014AaABAg"/>
    <s v="7aRMkFHzJrc"/>
    <s v="https://www.youtube.com/watch?v=7aRMkFHzJrc"/>
    <s v="none"/>
    <n v="2"/>
    <x v="495"/>
    <d v="2018-02-06T09:51:27.000"/>
    <m/>
    <m/>
    <s v=""/>
    <n v="1"/>
    <s v="1"/>
    <s v="1"/>
    <n v="1"/>
    <n v="16.666666666666668"/>
    <n v="0"/>
    <n v="0"/>
    <n v="0"/>
    <n v="0"/>
    <n v="5"/>
    <n v="83.33333333333333"/>
    <n v="6"/>
  </r>
  <r>
    <s v="UCi0fIYNdbzwQONlngaf4R1g"/>
    <s v="UCbUhO-tut97b5IQhZ3i7TMA"/>
    <m/>
    <m/>
    <m/>
    <m/>
    <m/>
    <m/>
    <m/>
    <m/>
    <s v="Yes"/>
    <n v="499"/>
    <m/>
    <m/>
    <s v="Commented Video"/>
    <x v="1"/>
    <s v="I was thinking &amp;#39;what a special plant with the holes in it, kind of like a swiss cheese vine&amp;#39; but it&amp;#39;s a snail haha still looks cool"/>
    <s v="UCi0fIYNdbzwQONlngaf4R1g"/>
    <s v="Hannah De Coster"/>
    <s v="http://www.youtube.com/channel/UCi0fIYNdbzwQONlngaf4R1g"/>
    <m/>
    <s v="7aRMkFHzJrc"/>
    <s v="https://www.youtube.com/watch?v=7aRMkFHzJrc"/>
    <s v="none"/>
    <n v="2"/>
    <x v="496"/>
    <d v="2018-02-06T09:50:40.000"/>
    <m/>
    <m/>
    <s v=""/>
    <n v="1"/>
    <s v="1"/>
    <s v="1"/>
    <n v="2"/>
    <n v="6.451612903225806"/>
    <n v="0"/>
    <n v="0"/>
    <n v="0"/>
    <n v="0"/>
    <n v="29"/>
    <n v="93.54838709677419"/>
    <n v="31"/>
  </r>
  <r>
    <s v="UC1rXwCS4owLa3J6U_hIYqvQ"/>
    <s v="UCyQWSZRDX6UkSsnAHKTZYug"/>
    <m/>
    <m/>
    <m/>
    <m/>
    <m/>
    <m/>
    <m/>
    <m/>
    <s v="No"/>
    <n v="500"/>
    <m/>
    <m/>
    <s v="Replied Comment"/>
    <x v="0"/>
    <s v="Mandy the beer traps and the egg shells work brilliantly."/>
    <s v="UC1rXwCS4owLa3J6U_hIYqvQ"/>
    <s v="Carolanne Titmus"/>
    <s v="http://www.youtube.com/channel/UC1rXwCS4owLa3J6U_hIYqvQ"/>
    <s v="Ugy34XtwJwrOOSPWYTd4AaABAg"/>
    <s v="7aRMkFHzJrc"/>
    <s v="https://www.youtube.com/watch?v=7aRMkFHzJrc"/>
    <s v="none"/>
    <n v="0"/>
    <x v="497"/>
    <d v="2018-06-12T11:15:50.000"/>
    <m/>
    <m/>
    <s v=""/>
    <n v="1"/>
    <s v="1"/>
    <s v="1"/>
    <n v="2"/>
    <n v="20"/>
    <n v="0"/>
    <n v="0"/>
    <n v="0"/>
    <n v="0"/>
    <n v="8"/>
    <n v="80"/>
    <n v="10"/>
  </r>
  <r>
    <s v="UCr3sO1VgTWPhTNTBuRPZc4w"/>
    <s v="UCbUhO-tut97b5IQhZ3i7TMA"/>
    <m/>
    <m/>
    <m/>
    <m/>
    <m/>
    <m/>
    <m/>
    <m/>
    <s v="No"/>
    <n v="501"/>
    <m/>
    <m/>
    <s v="Commented Video"/>
    <x v="1"/>
    <s v="Discovered your videos today and love your ideas. FYI, I know you wanted to finish-up before the rain came; but I was just wondering why you didn&amp;#39;t paint your sticks, to hold the hanging lights, first on a flat surface and then screw them into the fence? You would not have to use blue tape or paint at strange angles-I guess you could have painted while you waited for the planes to stop flying over! :) Debbie"/>
    <s v="UCr3sO1VgTWPhTNTBuRPZc4w"/>
    <s v="Debbie Thompson"/>
    <s v="http://www.youtube.com/channel/UCr3sO1VgTWPhTNTBuRPZc4w"/>
    <m/>
    <s v="-EA6GvKa0EA"/>
    <s v="https://www.youtube.com/watch?v=-EA6GvKa0EA"/>
    <s v="none"/>
    <n v="0"/>
    <x v="498"/>
    <s v="27/03/2019 04:05:03"/>
    <m/>
    <m/>
    <s v=""/>
    <n v="1"/>
    <s v="1"/>
    <s v="1"/>
    <n v="1"/>
    <n v="1.25"/>
    <n v="1"/>
    <n v="1.25"/>
    <n v="0"/>
    <n v="0"/>
    <n v="78"/>
    <n v="97.5"/>
    <n v="80"/>
  </r>
  <r>
    <s v="UCr3sO1VgTWPhTNTBuRPZc4w"/>
    <s v="UCyQWSZRDX6UkSsnAHKTZYug"/>
    <m/>
    <m/>
    <m/>
    <m/>
    <m/>
    <m/>
    <m/>
    <m/>
    <s v="No"/>
    <n v="502"/>
    <m/>
    <m/>
    <s v="Replied Comment"/>
    <x v="0"/>
    <s v="Egg shells on top of soil in containers keeps the snails away from the plants!"/>
    <s v="UCr3sO1VgTWPhTNTBuRPZc4w"/>
    <s v="Debbie Thompson"/>
    <s v="http://www.youtube.com/channel/UCr3sO1VgTWPhTNTBuRPZc4w"/>
    <s v="Ugy34XtwJwrOOSPWYTd4AaABAg"/>
    <s v="7aRMkFHzJrc"/>
    <s v="https://www.youtube.com/watch?v=7aRMkFHzJrc"/>
    <s v="none"/>
    <n v="0"/>
    <x v="499"/>
    <s v="27/03/2019 04:10:39"/>
    <m/>
    <m/>
    <s v=""/>
    <n v="1"/>
    <s v="1"/>
    <s v="1"/>
    <n v="1"/>
    <n v="6.666666666666667"/>
    <n v="0"/>
    <n v="0"/>
    <n v="0"/>
    <n v="0"/>
    <n v="14"/>
    <n v="93.33333333333333"/>
    <n v="15"/>
  </r>
  <r>
    <s v="UCbUhO-tut97b5IQhZ3i7TMA"/>
    <s v="UCyQWSZRDX6UkSsnAHKTZYug"/>
    <m/>
    <m/>
    <m/>
    <m/>
    <m/>
    <m/>
    <m/>
    <m/>
    <s v="Yes"/>
    <n v="503"/>
    <m/>
    <m/>
    <s v="Replied Comment"/>
    <x v="0"/>
    <s v="Thank you, I&amp;#39;m so pleased Mandy! haha it&amp;#39;s always a struggle filming outside! :)"/>
    <s v="UCbUhO-tut97b5IQhZ3i7TMA"/>
    <s v="Mr Carrington"/>
    <s v="http://www.youtube.com/channel/UCbUhO-tut97b5IQhZ3i7TMA"/>
    <s v="UgwqSpzQioBThci86kR4AaABAg"/>
    <s v="DrCnSoZUXAc"/>
    <s v="https://www.youtube.com/watch?v=DrCnSoZUXAc"/>
    <s v="none"/>
    <n v="0"/>
    <x v="500"/>
    <d v="2018-08-06T23:42:17.000"/>
    <m/>
    <m/>
    <s v=""/>
    <n v="2"/>
    <s v="1"/>
    <s v="1"/>
    <n v="2"/>
    <n v="11.764705882352942"/>
    <n v="1"/>
    <n v="5.882352941176471"/>
    <n v="0"/>
    <n v="0"/>
    <n v="14"/>
    <n v="82.3529411764706"/>
    <n v="17"/>
  </r>
  <r>
    <s v="UCyQWSZRDX6UkSsnAHKTZYug"/>
    <s v="UCbUhO-tut97b5IQhZ3i7TMA"/>
    <m/>
    <m/>
    <m/>
    <m/>
    <m/>
    <m/>
    <m/>
    <m/>
    <s v="Yes"/>
    <n v="504"/>
    <m/>
    <m/>
    <s v="Commented Video"/>
    <x v="1"/>
    <s v="I can’t believe how great it looks already! I’m so looking forward to seeing the progress as you go. I also really enjoy the outtakes at the end of your vlogs. All of those noise interruptions were hilarious xo"/>
    <s v="UCyQWSZRDX6UkSsnAHKTZYug"/>
    <s v="Mandy Jane"/>
    <s v="http://www.youtube.com/channel/UCyQWSZRDX6UkSsnAHKTZYug"/>
    <m/>
    <s v="DrCnSoZUXAc"/>
    <s v="https://www.youtube.com/watch?v=DrCnSoZUXAc"/>
    <s v="none"/>
    <n v="0"/>
    <x v="501"/>
    <d v="2018-08-06T00:25:25.000"/>
    <m/>
    <m/>
    <s v=""/>
    <n v="2"/>
    <s v="1"/>
    <s v="1"/>
    <n v="4"/>
    <n v="9.75609756097561"/>
    <n v="2"/>
    <n v="4.878048780487805"/>
    <n v="0"/>
    <n v="0"/>
    <n v="35"/>
    <n v="85.36585365853658"/>
    <n v="41"/>
  </r>
  <r>
    <s v="UCbUhO-tut97b5IQhZ3i7TMA"/>
    <s v="UCyQWSZRDX6UkSsnAHKTZYug"/>
    <m/>
    <m/>
    <m/>
    <m/>
    <m/>
    <m/>
    <m/>
    <m/>
    <s v="Yes"/>
    <n v="505"/>
    <m/>
    <m/>
    <s v="Replied Comment"/>
    <x v="0"/>
    <s v="Mandy Jane thanks for the tips Mandy! Going to give this a try 👍"/>
    <s v="UCbUhO-tut97b5IQhZ3i7TMA"/>
    <s v="Mr Carrington"/>
    <s v="http://www.youtube.com/channel/UCbUhO-tut97b5IQhZ3i7TMA"/>
    <s v="Ugy34XtwJwrOOSPWYTd4AaABAg"/>
    <s v="7aRMkFHzJrc"/>
    <s v="https://www.youtube.com/watch?v=7aRMkFHzJrc"/>
    <s v="none"/>
    <n v="0"/>
    <x v="502"/>
    <d v="2018-02-06T12:36:03.000"/>
    <m/>
    <m/>
    <s v=""/>
    <n v="2"/>
    <s v="1"/>
    <s v="1"/>
    <n v="0"/>
    <n v="0"/>
    <n v="0"/>
    <n v="0"/>
    <n v="0"/>
    <n v="0"/>
    <n v="13"/>
    <n v="100"/>
    <n v="13"/>
  </r>
  <r>
    <s v="UCyQWSZRDX6UkSsnAHKTZYug"/>
    <s v="UCbUhO-tut97b5IQhZ3i7TMA"/>
    <m/>
    <m/>
    <m/>
    <m/>
    <m/>
    <m/>
    <m/>
    <m/>
    <s v="Yes"/>
    <n v="506"/>
    <m/>
    <m/>
    <s v="Commented Video"/>
    <x v="1"/>
    <s v="I make beer traps in the gardens and put crushed egg shells at the bottom of my plants to keep the snails away. Haven’t had problems in ages. Great video. Looking forward to terrace makeover! Still love your out-takes lol"/>
    <s v="UCyQWSZRDX6UkSsnAHKTZYug"/>
    <s v="Mandy Jane"/>
    <s v="http://www.youtube.com/channel/UCyQWSZRDX6UkSsnAHKTZYug"/>
    <m/>
    <s v="7aRMkFHzJrc"/>
    <s v="https://www.youtube.com/watch?v=7aRMkFHzJrc"/>
    <s v="none"/>
    <n v="2"/>
    <x v="503"/>
    <d v="2018-02-06T12:34:52.000"/>
    <m/>
    <m/>
    <s v=""/>
    <n v="2"/>
    <s v="1"/>
    <s v="1"/>
    <n v="2"/>
    <n v="4.761904761904762"/>
    <n v="2"/>
    <n v="4.761904761904762"/>
    <n v="0"/>
    <n v="0"/>
    <n v="38"/>
    <n v="90.47619047619048"/>
    <n v="42"/>
  </r>
  <r>
    <s v="UCbUhO-tut97b5IQhZ3i7TMA"/>
    <s v="UCflxwelBW5KihRIvH-lVYDA"/>
    <m/>
    <m/>
    <m/>
    <m/>
    <m/>
    <m/>
    <m/>
    <m/>
    <s v="Yes"/>
    <n v="507"/>
    <m/>
    <m/>
    <s v="Replied Comment"/>
    <x v="0"/>
    <s v="Loulou&amp;#39;s Corner thanks so much, I’m so excited for the makeover 🙌 thank you for the tip 👍"/>
    <s v="UCbUhO-tut97b5IQhZ3i7TMA"/>
    <s v="Mr Carrington"/>
    <s v="http://www.youtube.com/channel/UCbUhO-tut97b5IQhZ3i7TMA"/>
    <s v="UgwLR9AIeYctr1LdIYl4AaABAg"/>
    <s v="7aRMkFHzJrc"/>
    <s v="https://www.youtube.com/watch?v=7aRMkFHzJrc"/>
    <s v="none"/>
    <n v="1"/>
    <x v="504"/>
    <d v="2018-02-06T15:21:40.000"/>
    <m/>
    <m/>
    <s v=""/>
    <n v="1"/>
    <s v="1"/>
    <s v="1"/>
    <n v="2"/>
    <n v="10.526315789473685"/>
    <n v="0"/>
    <n v="0"/>
    <n v="0"/>
    <n v="0"/>
    <n v="17"/>
    <n v="89.47368421052632"/>
    <n v="19"/>
  </r>
  <r>
    <s v="UCflxwelBW5KihRIvH-lVYDA"/>
    <s v="UCbUhO-tut97b5IQhZ3i7TMA"/>
    <m/>
    <m/>
    <m/>
    <m/>
    <m/>
    <m/>
    <m/>
    <m/>
    <s v="Yes"/>
    <n v="508"/>
    <m/>
    <m/>
    <s v="Commented Video"/>
    <x v="1"/>
    <s v="Your terras is beautiful!! Can&amp;#39;t wait to see what you do to it. As for snails..... You can try leaving dishes or pots filled with salt, preferably ones with covers and entrance holes so it won&amp;#39;t get flooded when it rains. Scatter them around and the snails will crawl into them."/>
    <s v="UCflxwelBW5KihRIvH-lVYDA"/>
    <s v="Loulou's Corner"/>
    <s v="http://www.youtube.com/channel/UCflxwelBW5KihRIvH-lVYDA"/>
    <m/>
    <s v="7aRMkFHzJrc"/>
    <s v="https://www.youtube.com/watch?v=7aRMkFHzJrc"/>
    <s v="none"/>
    <n v="1"/>
    <x v="505"/>
    <d v="2018-02-06T12:38:08.000"/>
    <m/>
    <m/>
    <s v=""/>
    <n v="1"/>
    <s v="1"/>
    <s v="1"/>
    <n v="3"/>
    <n v="5.454545454545454"/>
    <n v="0"/>
    <n v="0"/>
    <n v="0"/>
    <n v="0"/>
    <n v="52"/>
    <n v="94.54545454545455"/>
    <n v="55"/>
  </r>
  <r>
    <s v="UCbUhO-tut97b5IQhZ3i7TMA"/>
    <s v="UCwtir0D7FKA3RStNlwKy7zA"/>
    <m/>
    <m/>
    <m/>
    <m/>
    <m/>
    <m/>
    <m/>
    <m/>
    <s v="Yes"/>
    <n v="509"/>
    <m/>
    <m/>
    <s v="Replied Comment"/>
    <x v="0"/>
    <s v="Thank you so much Will! I&amp;#39;m so pleased with how it&amp;#39;s looking :)"/>
    <s v="UCbUhO-tut97b5IQhZ3i7TMA"/>
    <s v="Mr Carrington"/>
    <s v="http://www.youtube.com/channel/UCbUhO-tut97b5IQhZ3i7TMA"/>
    <s v="Ugyd9rYVl-VsIfmG6ft4AaABAg"/>
    <s v="DrCnSoZUXAc"/>
    <s v="https://www.youtube.com/watch?v=DrCnSoZUXAc"/>
    <s v="none"/>
    <n v="0"/>
    <x v="506"/>
    <d v="2018-08-06T23:41:19.000"/>
    <m/>
    <m/>
    <s v=""/>
    <n v="2"/>
    <s v="1"/>
    <s v="1"/>
    <n v="2"/>
    <n v="12.5"/>
    <n v="0"/>
    <n v="0"/>
    <n v="0"/>
    <n v="0"/>
    <n v="14"/>
    <n v="87.5"/>
    <n v="16"/>
  </r>
  <r>
    <s v="UCwtir0D7FKA3RStNlwKy7zA"/>
    <s v="UCbUhO-tut97b5IQhZ3i7TMA"/>
    <m/>
    <m/>
    <m/>
    <m/>
    <m/>
    <m/>
    <m/>
    <m/>
    <s v="Yes"/>
    <n v="510"/>
    <m/>
    <m/>
    <s v="Commented Video"/>
    <x v="1"/>
    <s v="It turned out really well so far! Well done Iwan! :D"/>
    <s v="UCwtir0D7FKA3RStNlwKy7zA"/>
    <s v="Will William"/>
    <s v="http://www.youtube.com/channel/UCwtir0D7FKA3RStNlwKy7zA"/>
    <m/>
    <s v="DrCnSoZUXAc"/>
    <s v="https://www.youtube.com/watch?v=DrCnSoZUXAc"/>
    <s v="none"/>
    <n v="0"/>
    <x v="507"/>
    <d v="2018-08-06T02:02:18.000"/>
    <m/>
    <m/>
    <s v=""/>
    <n v="2"/>
    <s v="1"/>
    <s v="1"/>
    <n v="2"/>
    <n v="18.181818181818183"/>
    <n v="0"/>
    <n v="0"/>
    <n v="0"/>
    <n v="0"/>
    <n v="9"/>
    <n v="81.81818181818181"/>
    <n v="11"/>
  </r>
  <r>
    <s v="UCbUhO-tut97b5IQhZ3i7TMA"/>
    <s v="UCwtir0D7FKA3RStNlwKy7zA"/>
    <m/>
    <m/>
    <m/>
    <m/>
    <m/>
    <m/>
    <m/>
    <m/>
    <s v="Yes"/>
    <n v="511"/>
    <m/>
    <m/>
    <s v="Replied Comment"/>
    <x v="0"/>
    <s v="Will William fingers crossed! Thanks Will, you too 🙌"/>
    <s v="UCbUhO-tut97b5IQhZ3i7TMA"/>
    <s v="Mr Carrington"/>
    <s v="http://www.youtube.com/channel/UCbUhO-tut97b5IQhZ3i7TMA"/>
    <s v="Ugz1ZILUh9GisgbYPeJ4AaABAg"/>
    <s v="7aRMkFHzJrc"/>
    <s v="https://www.youtube.com/watch?v=7aRMkFHzJrc"/>
    <s v="none"/>
    <n v="1"/>
    <x v="508"/>
    <d v="2018-02-06T16:37:54.000"/>
    <m/>
    <m/>
    <s v=""/>
    <n v="2"/>
    <s v="1"/>
    <s v="1"/>
    <n v="0"/>
    <n v="0"/>
    <n v="0"/>
    <n v="0"/>
    <n v="0"/>
    <n v="0"/>
    <n v="8"/>
    <n v="100"/>
    <n v="8"/>
  </r>
  <r>
    <s v="UCwtir0D7FKA3RStNlwKy7zA"/>
    <s v="UCbUhO-tut97b5IQhZ3i7TMA"/>
    <m/>
    <m/>
    <m/>
    <m/>
    <m/>
    <m/>
    <m/>
    <m/>
    <s v="Yes"/>
    <n v="512"/>
    <m/>
    <m/>
    <s v="Commented Video"/>
    <x v="1"/>
    <s v="Those Clematis blooms are so beautiful! That poor Hosta got attacked by snails, hopefully they will bounce back soon! Good luck. Have a nice weekend Iwan! :D"/>
    <s v="UCwtir0D7FKA3RStNlwKy7zA"/>
    <s v="Will William"/>
    <s v="http://www.youtube.com/channel/UCwtir0D7FKA3RStNlwKy7zA"/>
    <m/>
    <s v="7aRMkFHzJrc"/>
    <s v="https://www.youtube.com/watch?v=7aRMkFHzJrc"/>
    <s v="none"/>
    <n v="0"/>
    <x v="509"/>
    <d v="2018-02-06T15:23:26.000"/>
    <m/>
    <m/>
    <s v=""/>
    <n v="2"/>
    <s v="1"/>
    <s v="1"/>
    <n v="4"/>
    <n v="14.814814814814815"/>
    <n v="1"/>
    <n v="3.7037037037037037"/>
    <n v="0"/>
    <n v="0"/>
    <n v="22"/>
    <n v="81.48148148148148"/>
    <n v="27"/>
  </r>
  <r>
    <s v="UC5uu70k-9sI1kMcBv48iO3w"/>
    <s v="UCbUhO-tut97b5IQhZ3i7TMA"/>
    <m/>
    <m/>
    <m/>
    <m/>
    <m/>
    <m/>
    <m/>
    <m/>
    <s v="Yes"/>
    <n v="513"/>
    <m/>
    <m/>
    <s v="Commented Video"/>
    <x v="1"/>
    <s v="I can’t believe someone threw out that beautiful yucca plant! It looks so relaxing out there. All the lights are magical! 😀👍"/>
    <s v="UC5uu70k-9sI1kMcBv48iO3w"/>
    <s v="Pleasant Prickles"/>
    <s v="http://www.youtube.com/channel/UC5uu70k-9sI1kMcBv48iO3w"/>
    <m/>
    <s v="JCTlws1bpAY"/>
    <s v="https://www.youtube.com/watch?v=JCTlws1bpAY"/>
    <s v="none"/>
    <n v="1"/>
    <x v="510"/>
    <d v="2018-06-09T02:14:12.000"/>
    <m/>
    <m/>
    <s v=""/>
    <n v="2"/>
    <s v="1"/>
    <s v="1"/>
    <n v="2"/>
    <n v="9.090909090909092"/>
    <n v="0"/>
    <n v="0"/>
    <n v="0"/>
    <n v="0"/>
    <n v="20"/>
    <n v="90.9090909090909"/>
    <n v="22"/>
  </r>
  <r>
    <s v="UCbUhO-tut97b5IQhZ3i7TMA"/>
    <s v="UC5uu70k-9sI1kMcBv48iO3w"/>
    <m/>
    <m/>
    <m/>
    <m/>
    <m/>
    <m/>
    <m/>
    <m/>
    <s v="Yes"/>
    <n v="514"/>
    <m/>
    <m/>
    <s v="Replied Comment"/>
    <x v="0"/>
    <s v="Don&amp;#39;t worry I like kind methods too! :)"/>
    <s v="UCbUhO-tut97b5IQhZ3i7TMA"/>
    <s v="Mr Carrington"/>
    <s v="http://www.youtube.com/channel/UCbUhO-tut97b5IQhZ3i7TMA"/>
    <s v="Ugx-venfdMmx-I3XXzZ4AaABAg"/>
    <s v="7aRMkFHzJrc"/>
    <s v="https://www.youtube.com/watch?v=7aRMkFHzJrc"/>
    <s v="none"/>
    <n v="1"/>
    <x v="511"/>
    <d v="2018-03-06T02:17:54.000"/>
    <m/>
    <m/>
    <s v=""/>
    <n v="1"/>
    <s v="1"/>
    <s v="1"/>
    <n v="1"/>
    <n v="11.11111111111111"/>
    <n v="1"/>
    <n v="11.11111111111111"/>
    <n v="0"/>
    <n v="0"/>
    <n v="7"/>
    <n v="77.77777777777777"/>
    <n v="9"/>
  </r>
  <r>
    <s v="UC5uu70k-9sI1kMcBv48iO3w"/>
    <s v="UCbUhO-tut97b5IQhZ3i7TMA"/>
    <m/>
    <m/>
    <m/>
    <m/>
    <m/>
    <m/>
    <m/>
    <m/>
    <s v="Yes"/>
    <n v="515"/>
    <m/>
    <m/>
    <s v="Commented Video"/>
    <x v="1"/>
    <s v="I like kind methods of pest control. I suggest you drive them out to the country. You know you want to go anyway! Or you could give them names and keep them in a terrarium. Don’t salt them, what a terrible death they’d have."/>
    <s v="UC5uu70k-9sI1kMcBv48iO3w"/>
    <s v="Pleasant Prickles"/>
    <s v="http://www.youtube.com/channel/UC5uu70k-9sI1kMcBv48iO3w"/>
    <m/>
    <s v="7aRMkFHzJrc"/>
    <s v="https://www.youtube.com/watch?v=7aRMkFHzJrc"/>
    <s v="none"/>
    <n v="0"/>
    <x v="512"/>
    <d v="2018-02-06T19:27:30.000"/>
    <m/>
    <m/>
    <s v=""/>
    <n v="2"/>
    <s v="1"/>
    <s v="1"/>
    <n v="1"/>
    <n v="2.1739130434782608"/>
    <n v="3"/>
    <n v="6.521739130434782"/>
    <n v="0"/>
    <n v="0"/>
    <n v="42"/>
    <n v="91.30434782608695"/>
    <n v="46"/>
  </r>
  <r>
    <s v="UCbUhO-tut97b5IQhZ3i7TMA"/>
    <s v="UCxMvIYmAyDLUBhGJINU9OMg"/>
    <m/>
    <m/>
    <m/>
    <m/>
    <m/>
    <m/>
    <m/>
    <m/>
    <s v="Yes"/>
    <n v="516"/>
    <m/>
    <m/>
    <s v="Replied Comment"/>
    <x v="0"/>
    <s v="Hooray! I&amp;#39;m so pleased with the colours, was a risk worth taking! :)"/>
    <s v="UCbUhO-tut97b5IQhZ3i7TMA"/>
    <s v="Mr Carrington"/>
    <s v="http://www.youtube.com/channel/UCbUhO-tut97b5IQhZ3i7TMA"/>
    <s v="UgzK2lk9plgJbXe9mGh4AaABAg"/>
    <s v="DrCnSoZUXAc"/>
    <s v="https://www.youtube.com/watch?v=DrCnSoZUXAc"/>
    <s v="none"/>
    <n v="0"/>
    <x v="513"/>
    <d v="2018-07-06T22:55:30.000"/>
    <m/>
    <m/>
    <s v=""/>
    <n v="3"/>
    <s v="1"/>
    <s v="1"/>
    <n v="3"/>
    <n v="21.428571428571427"/>
    <n v="1"/>
    <n v="7.142857142857143"/>
    <n v="0"/>
    <n v="0"/>
    <n v="10"/>
    <n v="71.42857142857143"/>
    <n v="14"/>
  </r>
  <r>
    <s v="UCxMvIYmAyDLUBhGJINU9OMg"/>
    <s v="UCbUhO-tut97b5IQhZ3i7TMA"/>
    <m/>
    <m/>
    <m/>
    <m/>
    <m/>
    <m/>
    <m/>
    <m/>
    <s v="Yes"/>
    <n v="517"/>
    <m/>
    <m/>
    <s v="Commented Video"/>
    <x v="1"/>
    <s v="I LOVE the patio films!&lt;br&gt;I love those colours!"/>
    <s v="UCxMvIYmAyDLUBhGJINU9OMg"/>
    <s v="Tammy Finch"/>
    <s v="http://www.youtube.com/channel/UCxMvIYmAyDLUBhGJINU9OMg"/>
    <m/>
    <s v="DrCnSoZUXAc"/>
    <s v="https://www.youtube.com/watch?v=DrCnSoZUXAc"/>
    <s v="none"/>
    <n v="0"/>
    <x v="514"/>
    <d v="2018-07-06T21:43:29.000"/>
    <m/>
    <m/>
    <s v=""/>
    <n v="4"/>
    <s v="1"/>
    <s v="1"/>
    <n v="2"/>
    <n v="20"/>
    <n v="0"/>
    <n v="0"/>
    <n v="0"/>
    <n v="0"/>
    <n v="8"/>
    <n v="80"/>
    <n v="10"/>
  </r>
  <r>
    <s v="UCxMvIYmAyDLUBhGJINU9OMg"/>
    <s v="UCbUhO-tut97b5IQhZ3i7TMA"/>
    <m/>
    <m/>
    <m/>
    <m/>
    <m/>
    <m/>
    <m/>
    <m/>
    <s v="Yes"/>
    <n v="518"/>
    <m/>
    <m/>
    <s v="Commented Video"/>
    <x v="1"/>
    <s v="Looks like a grape vine."/>
    <s v="UCxMvIYmAyDLUBhGJINU9OMg"/>
    <s v="Tammy Finch"/>
    <s v="http://www.youtube.com/channel/UCxMvIYmAyDLUBhGJINU9OMg"/>
    <m/>
    <s v="7aRMkFHzJrc"/>
    <s v="https://www.youtube.com/watch?v=7aRMkFHzJrc"/>
    <s v="none"/>
    <n v="0"/>
    <x v="515"/>
    <d v="2018-02-06T20:12:40.000"/>
    <m/>
    <m/>
    <s v=""/>
    <n v="4"/>
    <s v="1"/>
    <s v="1"/>
    <n v="1"/>
    <n v="20"/>
    <n v="0"/>
    <n v="0"/>
    <n v="0"/>
    <n v="0"/>
    <n v="4"/>
    <n v="80"/>
    <n v="5"/>
  </r>
  <r>
    <s v="UCbUhO-tut97b5IQhZ3i7TMA"/>
    <s v="UCxMvIYmAyDLUBhGJINU9OMg"/>
    <m/>
    <m/>
    <m/>
    <m/>
    <m/>
    <m/>
    <m/>
    <m/>
    <s v="Yes"/>
    <n v="519"/>
    <m/>
    <m/>
    <s v="Replied Comment"/>
    <x v="0"/>
    <s v="Thank you! :)"/>
    <s v="UCbUhO-tut97b5IQhZ3i7TMA"/>
    <s v="Mr Carrington"/>
    <s v="http://www.youtube.com/channel/UCbUhO-tut97b5IQhZ3i7TMA"/>
    <s v="UgzyvdkAdnMrIjPiwl14AaABAg"/>
    <s v="7aRMkFHzJrc"/>
    <s v="https://www.youtube.com/watch?v=7aRMkFHzJrc"/>
    <s v="none"/>
    <n v="0"/>
    <x v="516"/>
    <d v="2018-03-06T02:18:15.000"/>
    <m/>
    <m/>
    <s v=""/>
    <n v="3"/>
    <s v="1"/>
    <s v="1"/>
    <n v="1"/>
    <n v="50"/>
    <n v="0"/>
    <n v="0"/>
    <n v="0"/>
    <n v="0"/>
    <n v="1"/>
    <n v="50"/>
    <n v="2"/>
  </r>
  <r>
    <s v="UCxMvIYmAyDLUBhGJINU9OMg"/>
    <s v="UCbUhO-tut97b5IQhZ3i7TMA"/>
    <m/>
    <m/>
    <m/>
    <m/>
    <m/>
    <m/>
    <m/>
    <m/>
    <s v="Yes"/>
    <n v="520"/>
    <m/>
    <m/>
    <s v="Commented Video"/>
    <x v="1"/>
    <s v="The green/yellow is an Agave."/>
    <s v="UCxMvIYmAyDLUBhGJINU9OMg"/>
    <s v="Tammy Finch"/>
    <s v="http://www.youtube.com/channel/UCxMvIYmAyDLUBhGJINU9OMg"/>
    <m/>
    <s v="7aRMkFHzJrc"/>
    <s v="https://www.youtube.com/watch?v=7aRMkFHzJrc"/>
    <s v="none"/>
    <n v="2"/>
    <x v="517"/>
    <d v="2018-02-06T20:13:40.000"/>
    <m/>
    <m/>
    <s v=""/>
    <n v="4"/>
    <s v="1"/>
    <s v="1"/>
    <n v="0"/>
    <n v="0"/>
    <n v="0"/>
    <n v="0"/>
    <n v="0"/>
    <n v="0"/>
    <n v="6"/>
    <n v="100"/>
    <n v="6"/>
  </r>
  <r>
    <s v="UCbUhO-tut97b5IQhZ3i7TMA"/>
    <s v="UCxMvIYmAyDLUBhGJINU9OMg"/>
    <m/>
    <m/>
    <m/>
    <m/>
    <m/>
    <m/>
    <m/>
    <m/>
    <s v="Yes"/>
    <n v="521"/>
    <m/>
    <m/>
    <s v="Replied Comment"/>
    <x v="0"/>
    <s v="haha thanks, that&amp;#39;s good to hear! :)"/>
    <s v="UCbUhO-tut97b5IQhZ3i7TMA"/>
    <s v="Mr Carrington"/>
    <s v="http://www.youtube.com/channel/UCbUhO-tut97b5IQhZ3i7TMA"/>
    <s v="UgxyXYEudd5bpl5F6114AaABAg"/>
    <s v="7aRMkFHzJrc"/>
    <s v="https://www.youtube.com/watch?v=7aRMkFHzJrc"/>
    <s v="none"/>
    <n v="0"/>
    <x v="518"/>
    <d v="2018-03-06T02:19:16.000"/>
    <m/>
    <m/>
    <s v=""/>
    <n v="3"/>
    <s v="1"/>
    <s v="1"/>
    <n v="1"/>
    <n v="12.5"/>
    <n v="0"/>
    <n v="0"/>
    <n v="0"/>
    <n v="0"/>
    <n v="7"/>
    <n v="87.5"/>
    <n v="8"/>
  </r>
  <r>
    <s v="UCxMvIYmAyDLUBhGJINU9OMg"/>
    <s v="UCbUhO-tut97b5IQhZ3i7TMA"/>
    <m/>
    <m/>
    <m/>
    <m/>
    <m/>
    <m/>
    <m/>
    <m/>
    <s v="Yes"/>
    <n v="522"/>
    <m/>
    <m/>
    <s v="Commented Video"/>
    <x v="1"/>
    <s v="You found out it was not that bad for us at all. The only time I even thought about it was when you would stop all exasperated @ them. No worries. It was good."/>
    <s v="UCxMvIYmAyDLUBhGJINU9OMg"/>
    <s v="Tammy Finch"/>
    <s v="http://www.youtube.com/channel/UCxMvIYmAyDLUBhGJINU9OMg"/>
    <m/>
    <s v="7aRMkFHzJrc"/>
    <s v="https://www.youtube.com/watch?v=7aRMkFHzJrc"/>
    <s v="none"/>
    <n v="0"/>
    <x v="519"/>
    <d v="2018-02-06T20:19:26.000"/>
    <m/>
    <m/>
    <s v=""/>
    <n v="4"/>
    <s v="1"/>
    <s v="1"/>
    <n v="1"/>
    <n v="3.0303030303030303"/>
    <n v="3"/>
    <n v="9.090909090909092"/>
    <n v="0"/>
    <n v="0"/>
    <n v="29"/>
    <n v="87.87878787878788"/>
    <n v="33"/>
  </r>
  <r>
    <s v="UCbUhO-tut97b5IQhZ3i7TMA"/>
    <s v="UCG_nXoruS3tVuW52bO0_isw"/>
    <m/>
    <m/>
    <m/>
    <m/>
    <m/>
    <m/>
    <m/>
    <m/>
    <s v="Yes"/>
    <n v="523"/>
    <m/>
    <m/>
    <s v="Replied Comment"/>
    <x v="0"/>
    <s v="I found 8 snails on it this evening! Taken it inside for now!! :)"/>
    <s v="UCbUhO-tut97b5IQhZ3i7TMA"/>
    <s v="Mr Carrington"/>
    <s v="http://www.youtube.com/channel/UCbUhO-tut97b5IQhZ3i7TMA"/>
    <s v="UgzKyljFoSvwhpqk0CJ4AaABAg"/>
    <s v="7aRMkFHzJrc"/>
    <s v="https://www.youtube.com/watch?v=7aRMkFHzJrc"/>
    <s v="none"/>
    <n v="0"/>
    <x v="520"/>
    <d v="2018-03-06T02:19:51.000"/>
    <m/>
    <m/>
    <s v=""/>
    <n v="1"/>
    <s v="1"/>
    <s v="1"/>
    <n v="0"/>
    <n v="0"/>
    <n v="0"/>
    <n v="0"/>
    <n v="0"/>
    <n v="0"/>
    <n v="13"/>
    <n v="100"/>
    <n v="13"/>
  </r>
  <r>
    <s v="UCG_nXoruS3tVuW52bO0_isw"/>
    <s v="UCG_nXoruS3tVuW52bO0_isw"/>
    <m/>
    <m/>
    <m/>
    <m/>
    <m/>
    <m/>
    <m/>
    <m/>
    <s v="No"/>
    <n v="524"/>
    <m/>
    <m/>
    <s v="Replied Comment"/>
    <x v="0"/>
    <s v="8 wow...they do love Hostas, i have a few and use slug pellets and they are growing lovely, i learnt the hard way haha."/>
    <s v="UCG_nXoruS3tVuW52bO0_isw"/>
    <s v="Shell Belle"/>
    <s v="http://www.youtube.com/channel/UCG_nXoruS3tVuW52bO0_isw"/>
    <s v="UgzKyljFoSvwhpqk0CJ4AaABAg"/>
    <s v="7aRMkFHzJrc"/>
    <s v="https://www.youtube.com/watch?v=7aRMkFHzJrc"/>
    <s v="none"/>
    <n v="1"/>
    <x v="521"/>
    <d v="2018-03-06T10:16:28.000"/>
    <m/>
    <m/>
    <s v=""/>
    <n v="1"/>
    <s v="1"/>
    <s v="1"/>
    <n v="3"/>
    <n v="12"/>
    <n v="2"/>
    <n v="8"/>
    <n v="0"/>
    <n v="0"/>
    <n v="20"/>
    <n v="80"/>
    <n v="25"/>
  </r>
  <r>
    <s v="UCG_nXoruS3tVuW52bO0_isw"/>
    <s v="UCbUhO-tut97b5IQhZ3i7TMA"/>
    <m/>
    <m/>
    <m/>
    <m/>
    <m/>
    <m/>
    <m/>
    <m/>
    <s v="Yes"/>
    <n v="525"/>
    <m/>
    <m/>
    <s v="Commented Video"/>
    <x v="1"/>
    <s v="Slugs love Hostas, you need some slug pellets."/>
    <s v="UCG_nXoruS3tVuW52bO0_isw"/>
    <s v="Shell Belle"/>
    <s v="http://www.youtube.com/channel/UCG_nXoruS3tVuW52bO0_isw"/>
    <m/>
    <s v="7aRMkFHzJrc"/>
    <s v="https://www.youtube.com/watch?v=7aRMkFHzJrc"/>
    <s v="none"/>
    <n v="0"/>
    <x v="522"/>
    <d v="2018-02-06T23:05:14.000"/>
    <m/>
    <m/>
    <s v=""/>
    <n v="1"/>
    <s v="1"/>
    <s v="1"/>
    <n v="1"/>
    <n v="12.5"/>
    <n v="1"/>
    <n v="12.5"/>
    <n v="0"/>
    <n v="0"/>
    <n v="6"/>
    <n v="75"/>
    <n v="8"/>
  </r>
  <r>
    <s v="UCbUhO-tut97b5IQhZ3i7TMA"/>
    <s v="UCMiyV_Q72o8acn2-LR21hJw"/>
    <m/>
    <m/>
    <m/>
    <m/>
    <m/>
    <m/>
    <m/>
    <m/>
    <s v="Yes"/>
    <n v="526"/>
    <m/>
    <m/>
    <s v="Replied Comment"/>
    <x v="0"/>
    <s v="It will hurt me to pour beer onto soil but if that&amp;#39;s what it takes! :-D"/>
    <s v="UCbUhO-tut97b5IQhZ3i7TMA"/>
    <s v="Mr Carrington"/>
    <s v="http://www.youtube.com/channel/UCbUhO-tut97b5IQhZ3i7TMA"/>
    <s v="UgzPaXGWRzRLSFtsElJ4AaABAg"/>
    <s v="7aRMkFHzJrc"/>
    <s v="https://www.youtube.com/watch?v=7aRMkFHzJrc"/>
    <s v="none"/>
    <n v="0"/>
    <x v="523"/>
    <d v="2018-06-06T19:31:45.000"/>
    <m/>
    <m/>
    <s v=""/>
    <n v="2"/>
    <s v="1"/>
    <s v="1"/>
    <n v="0"/>
    <n v="0"/>
    <n v="1"/>
    <n v="5.555555555555555"/>
    <n v="0"/>
    <n v="0"/>
    <n v="17"/>
    <n v="94.44444444444444"/>
    <n v="18"/>
  </r>
  <r>
    <s v="UCMiyV_Q72o8acn2-LR21hJw"/>
    <s v="UCbUhO-tut97b5IQhZ3i7TMA"/>
    <m/>
    <m/>
    <m/>
    <m/>
    <m/>
    <m/>
    <m/>
    <m/>
    <s v="Yes"/>
    <n v="527"/>
    <m/>
    <m/>
    <s v="Commented Video"/>
    <x v="1"/>
    <s v="I started pouring beer around and on my hostas I even have a bowl of beer near them it seems to be working to keep the slugs from eating them"/>
    <s v="UCMiyV_Q72o8acn2-LR21hJw"/>
    <s v="soniabebbington"/>
    <s v="http://www.youtube.com/channel/UCMiyV_Q72o8acn2-LR21hJw"/>
    <m/>
    <s v="7aRMkFHzJrc"/>
    <s v="https://www.youtube.com/watch?v=7aRMkFHzJrc"/>
    <s v="none"/>
    <n v="0"/>
    <x v="524"/>
    <d v="2018-06-06T09:50:45.000"/>
    <m/>
    <m/>
    <s v=""/>
    <n v="2"/>
    <s v="1"/>
    <s v="1"/>
    <n v="0"/>
    <n v="0"/>
    <n v="0"/>
    <n v="0"/>
    <n v="0"/>
    <n v="0"/>
    <n v="30"/>
    <n v="100"/>
    <n v="30"/>
  </r>
  <r>
    <s v="UCbUhO-tut97b5IQhZ3i7TMA"/>
    <s v="UCMiyV_Q72o8acn2-LR21hJw"/>
    <m/>
    <m/>
    <m/>
    <m/>
    <m/>
    <m/>
    <m/>
    <m/>
    <s v="Yes"/>
    <n v="528"/>
    <m/>
    <m/>
    <s v="Replied Comment"/>
    <x v="0"/>
    <s v="It&amp;#39;s a deal! :)"/>
    <s v="UCbUhO-tut97b5IQhZ3i7TMA"/>
    <s v="Mr Carrington"/>
    <s v="http://www.youtube.com/channel/UCbUhO-tut97b5IQhZ3i7TMA"/>
    <s v="Ugx7CP47RdC1MVFEgTh4AaABAg"/>
    <s v="7aRMkFHzJrc"/>
    <s v="https://www.youtube.com/watch?v=7aRMkFHzJrc"/>
    <s v="none"/>
    <n v="0"/>
    <x v="525"/>
    <d v="2018-06-06T23:53:05.000"/>
    <m/>
    <m/>
    <s v=""/>
    <n v="2"/>
    <s v="1"/>
    <s v="1"/>
    <n v="0"/>
    <n v="0"/>
    <n v="0"/>
    <n v="0"/>
    <n v="0"/>
    <n v="0"/>
    <n v="5"/>
    <n v="100"/>
    <n v="5"/>
  </r>
  <r>
    <s v="UCMiyV_Q72o8acn2-LR21hJw"/>
    <s v="UCbUhO-tut97b5IQhZ3i7TMA"/>
    <m/>
    <m/>
    <m/>
    <m/>
    <m/>
    <m/>
    <m/>
    <m/>
    <s v="Yes"/>
    <n v="529"/>
    <m/>
    <m/>
    <s v="Commented Video"/>
    <x v="1"/>
    <s v="Lol I drink some of it first"/>
    <s v="UCMiyV_Q72o8acn2-LR21hJw"/>
    <s v="soniabebbington"/>
    <s v="http://www.youtube.com/channel/UCMiyV_Q72o8acn2-LR21hJw"/>
    <m/>
    <s v="7aRMkFHzJrc"/>
    <s v="https://www.youtube.com/watch?v=7aRMkFHzJrc"/>
    <s v="none"/>
    <n v="0"/>
    <x v="526"/>
    <d v="2018-06-06T21:57:17.000"/>
    <m/>
    <m/>
    <s v=""/>
    <n v="2"/>
    <s v="1"/>
    <s v="1"/>
    <n v="0"/>
    <n v="0"/>
    <n v="0"/>
    <n v="0"/>
    <n v="0"/>
    <n v="0"/>
    <n v="7"/>
    <n v="100"/>
    <n v="7"/>
  </r>
  <r>
    <s v="UCbUhO-tut97b5IQhZ3i7TMA"/>
    <s v="UCdg26mi464Al2R0YgQwvGww"/>
    <m/>
    <m/>
    <m/>
    <m/>
    <m/>
    <m/>
    <m/>
    <m/>
    <s v="Yes"/>
    <n v="530"/>
    <m/>
    <m/>
    <s v="Replied Comment"/>
    <x v="0"/>
    <s v="Nice! thank you :)"/>
    <s v="UCbUhO-tut97b5IQhZ3i7TMA"/>
    <s v="Mr Carrington"/>
    <s v="http://www.youtube.com/channel/UCbUhO-tut97b5IQhZ3i7TMA"/>
    <s v="UgzdiT5EcXgzYxgYz4d4AaABAg"/>
    <s v="JCTlws1bpAY"/>
    <s v="https://www.youtube.com/watch?v=JCTlws1bpAY"/>
    <s v="none"/>
    <n v="0"/>
    <x v="527"/>
    <d v="2018-07-09T19:55:20.000"/>
    <m/>
    <m/>
    <s v=""/>
    <n v="2"/>
    <s v="1"/>
    <s v="1"/>
    <n v="2"/>
    <n v="66.66666666666667"/>
    <n v="0"/>
    <n v="0"/>
    <n v="0"/>
    <n v="0"/>
    <n v="1"/>
    <n v="33.333333333333336"/>
    <n v="3"/>
  </r>
  <r>
    <s v="UCdg26mi464Al2R0YgQwvGww"/>
    <s v="UCbUhO-tut97b5IQhZ3i7TMA"/>
    <m/>
    <m/>
    <m/>
    <m/>
    <m/>
    <m/>
    <m/>
    <m/>
    <s v="Yes"/>
    <n v="531"/>
    <m/>
    <m/>
    <s v="Commented Video"/>
    <x v="1"/>
    <s v="Just gorgeous. I agree with Aggie, Moroccan style tiles / stencil on the wall would look stunning.... I know Topps Tiles do some lovely ones and they have some on sale right now :) .... the plant is pronounced &amp;#39;he-bee&amp;#39; ....love your bar area 🍻"/>
    <s v="UCdg26mi464Al2R0YgQwvGww"/>
    <s v="Viv'sALittleBitCrafty"/>
    <s v="http://www.youtube.com/channel/UCdg26mi464Al2R0YgQwvGww"/>
    <m/>
    <s v="JCTlws1bpAY"/>
    <s v="https://www.youtube.com/watch?v=JCTlws1bpAY"/>
    <s v="none"/>
    <n v="0"/>
    <x v="528"/>
    <d v="2018-05-09T23:17:13.000"/>
    <m/>
    <m/>
    <s v=""/>
    <n v="2"/>
    <s v="1"/>
    <s v="1"/>
    <n v="5"/>
    <n v="11.363636363636363"/>
    <n v="0"/>
    <n v="0"/>
    <n v="0"/>
    <n v="0"/>
    <n v="39"/>
    <n v="88.63636363636364"/>
    <n v="44"/>
  </r>
  <r>
    <s v="UCbUhO-tut97b5IQhZ3i7TMA"/>
    <s v="UCdg26mi464Al2R0YgQwvGww"/>
    <m/>
    <m/>
    <m/>
    <m/>
    <m/>
    <m/>
    <m/>
    <m/>
    <s v="Yes"/>
    <n v="532"/>
    <m/>
    <m/>
    <s v="Replied Comment"/>
    <x v="0"/>
    <s v="Thank you for the tip! :)"/>
    <s v="UCbUhO-tut97b5IQhZ3i7TMA"/>
    <s v="Mr Carrington"/>
    <s v="http://www.youtube.com/channel/UCbUhO-tut97b5IQhZ3i7TMA"/>
    <s v="UgwMHLgieRgaq_oNNvt4AaABAg"/>
    <s v="7aRMkFHzJrc"/>
    <s v="https://www.youtube.com/watch?v=7aRMkFHzJrc"/>
    <s v="none"/>
    <n v="0"/>
    <x v="529"/>
    <d v="2018-07-06T15:32:02.000"/>
    <m/>
    <m/>
    <s v=""/>
    <n v="2"/>
    <s v="1"/>
    <s v="1"/>
    <n v="1"/>
    <n v="20"/>
    <n v="0"/>
    <n v="0"/>
    <n v="0"/>
    <n v="0"/>
    <n v="4"/>
    <n v="80"/>
    <n v="5"/>
  </r>
  <r>
    <s v="UCdg26mi464Al2R0YgQwvGww"/>
    <s v="UCbUhO-tut97b5IQhZ3i7TMA"/>
    <m/>
    <m/>
    <m/>
    <m/>
    <m/>
    <m/>
    <m/>
    <m/>
    <s v="Yes"/>
    <n v="533"/>
    <m/>
    <m/>
    <s v="Commented Video"/>
    <x v="1"/>
    <s v="Sprinkle some epsom salts around the stems of your plants..that should take care of the little devils!! 😉"/>
    <s v="UCdg26mi464Al2R0YgQwvGww"/>
    <s v="Viv'sALittleBitCrafty"/>
    <s v="http://www.youtube.com/channel/UCdg26mi464Al2R0YgQwvGww"/>
    <m/>
    <s v="7aRMkFHzJrc"/>
    <s v="https://www.youtube.com/watch?v=7aRMkFHzJrc"/>
    <s v="none"/>
    <n v="0"/>
    <x v="530"/>
    <d v="2018-07-06T01:19:49.000"/>
    <m/>
    <m/>
    <s v=""/>
    <n v="2"/>
    <s v="1"/>
    <s v="1"/>
    <n v="0"/>
    <n v="0"/>
    <n v="0"/>
    <n v="0"/>
    <n v="0"/>
    <n v="0"/>
    <n v="18"/>
    <n v="100"/>
    <n v="18"/>
  </r>
  <r>
    <s v="UCYQ_SiM9OrCp3yaK5vo7Wpw"/>
    <s v="UCbUhO-tut97b5IQhZ3i7TMA"/>
    <m/>
    <m/>
    <m/>
    <m/>
    <m/>
    <m/>
    <m/>
    <m/>
    <s v="Yes"/>
    <n v="534"/>
    <m/>
    <m/>
    <s v="Commented Video"/>
    <x v="1"/>
    <s v="Love everything about your rooftop. Thanks for sharing."/>
    <s v="UCYQ_SiM9OrCp3yaK5vo7Wpw"/>
    <s v="Kathy Gilbreath"/>
    <s v="http://www.youtube.com/channel/UCYQ_SiM9OrCp3yaK5vo7Wpw"/>
    <m/>
    <s v="JCTlws1bpAY"/>
    <s v="https://www.youtube.com/watch?v=JCTlws1bpAY"/>
    <s v="none"/>
    <n v="0"/>
    <x v="531"/>
    <d v="2018-06-09T00:33:58.000"/>
    <m/>
    <m/>
    <s v=""/>
    <n v="2"/>
    <s v="1"/>
    <s v="1"/>
    <n v="1"/>
    <n v="12.5"/>
    <n v="0"/>
    <n v="0"/>
    <n v="0"/>
    <n v="0"/>
    <n v="7"/>
    <n v="87.5"/>
    <n v="8"/>
  </r>
  <r>
    <s v="UCbUhO-tut97b5IQhZ3i7TMA"/>
    <s v="UCYQ_SiM9OrCp3yaK5vo7Wpw"/>
    <m/>
    <m/>
    <m/>
    <m/>
    <m/>
    <m/>
    <m/>
    <m/>
    <s v="Yes"/>
    <n v="535"/>
    <m/>
    <m/>
    <s v="Replied Comment"/>
    <x v="0"/>
    <s v="haha thanks Kathy! :)"/>
    <s v="UCbUhO-tut97b5IQhZ3i7TMA"/>
    <s v="Mr Carrington"/>
    <s v="http://www.youtube.com/channel/UCbUhO-tut97b5IQhZ3i7TMA"/>
    <s v="UgxuF2l4CZUojBDrvsp4AaABAg"/>
    <s v="7aRMkFHzJrc"/>
    <s v="https://www.youtube.com/watch?v=7aRMkFHzJrc"/>
    <s v="none"/>
    <n v="1"/>
    <x v="532"/>
    <d v="2018-09-06T11:49:57.000"/>
    <m/>
    <m/>
    <s v=""/>
    <n v="1"/>
    <s v="1"/>
    <s v="1"/>
    <n v="0"/>
    <n v="0"/>
    <n v="0"/>
    <n v="0"/>
    <n v="0"/>
    <n v="0"/>
    <n v="3"/>
    <n v="100"/>
    <n v="3"/>
  </r>
  <r>
    <s v="UCYQ_SiM9OrCp3yaK5vo7Wpw"/>
    <s v="UCbUhO-tut97b5IQhZ3i7TMA"/>
    <m/>
    <m/>
    <m/>
    <m/>
    <m/>
    <m/>
    <m/>
    <m/>
    <s v="Yes"/>
    <n v="536"/>
    <m/>
    <m/>
    <s v="Commented Video"/>
    <x v="1"/>
    <s v="Lovely flowers. Love your comedy at the end of your videos."/>
    <s v="UCYQ_SiM9OrCp3yaK5vo7Wpw"/>
    <s v="Kathy Gilbreath"/>
    <s v="http://www.youtube.com/channel/UCYQ_SiM9OrCp3yaK5vo7Wpw"/>
    <m/>
    <s v="7aRMkFHzJrc"/>
    <s v="https://www.youtube.com/watch?v=7aRMkFHzJrc"/>
    <s v="none"/>
    <n v="0"/>
    <x v="533"/>
    <d v="2018-09-06T08:44:22.000"/>
    <m/>
    <m/>
    <s v=""/>
    <n v="2"/>
    <s v="1"/>
    <s v="1"/>
    <n v="2"/>
    <n v="18.181818181818183"/>
    <n v="0"/>
    <n v="0"/>
    <n v="0"/>
    <n v="0"/>
    <n v="9"/>
    <n v="81.81818181818181"/>
    <n v="11"/>
  </r>
  <r>
    <s v="UCbUhO-tut97b5IQhZ3i7TMA"/>
    <s v="UCAvulQxkV4merY0uaNG8AkQ"/>
    <m/>
    <m/>
    <m/>
    <m/>
    <m/>
    <m/>
    <m/>
    <m/>
    <s v="Yes"/>
    <n v="537"/>
    <m/>
    <m/>
    <s v="Replied Comment"/>
    <x v="0"/>
    <s v="Thank you! Update will be coming soon :)"/>
    <s v="UCbUhO-tut97b5IQhZ3i7TMA"/>
    <s v="Mr Carrington"/>
    <s v="http://www.youtube.com/channel/UCbUhO-tut97b5IQhZ3i7TMA"/>
    <s v="UgxCc_i-bUI9__DMLYV4AaABAg"/>
    <s v="DrCnSoZUXAc"/>
    <s v="https://www.youtube.com/watch?v=DrCnSoZUXAc"/>
    <s v="none"/>
    <n v="0"/>
    <x v="534"/>
    <s v="15/06/2018 19:05:01"/>
    <m/>
    <m/>
    <s v=""/>
    <n v="2"/>
    <s v="1"/>
    <s v="1"/>
    <n v="1"/>
    <n v="14.285714285714286"/>
    <n v="0"/>
    <n v="0"/>
    <n v="0"/>
    <n v="0"/>
    <n v="6"/>
    <n v="85.71428571428571"/>
    <n v="7"/>
  </r>
  <r>
    <s v="UCAvulQxkV4merY0uaNG8AkQ"/>
    <s v="UCbUhO-tut97b5IQhZ3i7TMA"/>
    <m/>
    <m/>
    <m/>
    <m/>
    <m/>
    <m/>
    <m/>
    <m/>
    <s v="Yes"/>
    <n v="538"/>
    <m/>
    <m/>
    <s v="Commented Video"/>
    <x v="1"/>
    <s v="Wow. I really liked how it turned out."/>
    <s v="UCAvulQxkV4merY0uaNG8AkQ"/>
    <s v="dexterelementfighter"/>
    <s v="http://www.youtube.com/channel/UCAvulQxkV4merY0uaNG8AkQ"/>
    <m/>
    <s v="DrCnSoZUXAc"/>
    <s v="https://www.youtube.com/watch?v=DrCnSoZUXAc"/>
    <s v="none"/>
    <n v="0"/>
    <x v="535"/>
    <s v="13/06/2018 22:01:42"/>
    <m/>
    <m/>
    <s v=""/>
    <n v="2"/>
    <s v="1"/>
    <s v="1"/>
    <n v="2"/>
    <n v="25"/>
    <n v="0"/>
    <n v="0"/>
    <n v="0"/>
    <n v="0"/>
    <n v="6"/>
    <n v="75"/>
    <n v="8"/>
  </r>
  <r>
    <s v="UCbUhO-tut97b5IQhZ3i7TMA"/>
    <s v="UCAvulQxkV4merY0uaNG8AkQ"/>
    <m/>
    <m/>
    <m/>
    <m/>
    <m/>
    <m/>
    <m/>
    <m/>
    <s v="Yes"/>
    <n v="539"/>
    <m/>
    <m/>
    <s v="Replied Comment"/>
    <x v="0"/>
    <s v="Thanks so much! It is when the builders are quiet ;) I&amp;#39;ve got an update coming in the next couple of weeks! :)"/>
    <s v="UCbUhO-tut97b5IQhZ3i7TMA"/>
    <s v="Mr Carrington"/>
    <s v="http://www.youtube.com/channel/UCbUhO-tut97b5IQhZ3i7TMA"/>
    <s v="UgyFhJT76bpVg-T1Xn14AaABAg"/>
    <s v="7aRMkFHzJrc"/>
    <s v="https://www.youtube.com/watch?v=7aRMkFHzJrc"/>
    <s v="none"/>
    <n v="1"/>
    <x v="536"/>
    <s v="13/06/2018 19:41:48"/>
    <m/>
    <m/>
    <s v=""/>
    <n v="2"/>
    <s v="1"/>
    <s v="1"/>
    <n v="1"/>
    <n v="4.3478260869565215"/>
    <n v="0"/>
    <n v="0"/>
    <n v="0"/>
    <n v="0"/>
    <n v="22"/>
    <n v="95.65217391304348"/>
    <n v="23"/>
  </r>
  <r>
    <s v="UCAvulQxkV4merY0uaNG8AkQ"/>
    <s v="UCbUhO-tut97b5IQhZ3i7TMA"/>
    <m/>
    <m/>
    <m/>
    <m/>
    <m/>
    <m/>
    <m/>
    <m/>
    <s v="Yes"/>
    <n v="540"/>
    <m/>
    <m/>
    <s v="Commented Video"/>
    <x v="1"/>
    <s v="I like your roof garden...it’s so relaxing!  Hope you can make more vids of it :)"/>
    <s v="UCAvulQxkV4merY0uaNG8AkQ"/>
    <s v="dexterelementfighter"/>
    <s v="http://www.youtube.com/channel/UCAvulQxkV4merY0uaNG8AkQ"/>
    <m/>
    <s v="7aRMkFHzJrc"/>
    <s v="https://www.youtube.com/watch?v=7aRMkFHzJrc"/>
    <s v="none"/>
    <n v="2"/>
    <x v="537"/>
    <d v="2018-12-06T22:07:38.000"/>
    <m/>
    <m/>
    <s v=""/>
    <n v="2"/>
    <s v="1"/>
    <s v="1"/>
    <n v="1"/>
    <n v="5.882352941176471"/>
    <n v="0"/>
    <n v="0"/>
    <n v="0"/>
    <n v="0"/>
    <n v="16"/>
    <n v="94.11764705882354"/>
    <n v="17"/>
  </r>
  <r>
    <s v="UCy_sFlgN167vfSzISY_Y_WA"/>
    <s v="UCbUhO-tut97b5IQhZ3i7TMA"/>
    <m/>
    <m/>
    <m/>
    <m/>
    <m/>
    <m/>
    <m/>
    <m/>
    <s v="No"/>
    <n v="541"/>
    <m/>
    <m/>
    <s v="Commented Video"/>
    <x v="1"/>
    <s v="thanks for exposing this!"/>
    <s v="UCy_sFlgN167vfSzISY_Y_WA"/>
    <s v="Barbara Jones"/>
    <s v="http://www.youtube.com/channel/UCy_sFlgN167vfSzISY_Y_WA"/>
    <m/>
    <s v="7aRMkFHzJrc"/>
    <s v="https://www.youtube.com/watch?v=7aRMkFHzJrc"/>
    <s v="none"/>
    <n v="0"/>
    <x v="538"/>
    <s v="17/06/2018 05:53:34"/>
    <m/>
    <m/>
    <s v=""/>
    <n v="1"/>
    <s v="1"/>
    <s v="1"/>
    <n v="0"/>
    <n v="0"/>
    <n v="0"/>
    <n v="0"/>
    <n v="0"/>
    <n v="0"/>
    <n v="4"/>
    <n v="100"/>
    <n v="4"/>
  </r>
  <r>
    <s v="UCbUhO-tut97b5IQhZ3i7TMA"/>
    <s v="UCv1wQ9RJHUCscxrNZHVBcSA"/>
    <m/>
    <m/>
    <m/>
    <m/>
    <m/>
    <m/>
    <m/>
    <m/>
    <s v="Yes"/>
    <n v="542"/>
    <m/>
    <m/>
    <s v="Replied Comment"/>
    <x v="0"/>
    <s v="Thank you so much that&amp;#39;s really kind! :)"/>
    <s v="UCbUhO-tut97b5IQhZ3i7TMA"/>
    <s v="Mr Carrington"/>
    <s v="http://www.youtube.com/channel/UCbUhO-tut97b5IQhZ3i7TMA"/>
    <s v="UgwTC5noe3qJVT6iV514AaABAg"/>
    <s v="7aRMkFHzJrc"/>
    <s v="https://www.youtube.com/watch?v=7aRMkFHzJrc"/>
    <s v="none"/>
    <n v="0"/>
    <x v="539"/>
    <s v="19/06/2018 22:14:37"/>
    <m/>
    <m/>
    <s v=""/>
    <n v="1"/>
    <s v="1"/>
    <s v="1"/>
    <n v="1"/>
    <n v="11.11111111111111"/>
    <n v="0"/>
    <n v="0"/>
    <n v="0"/>
    <n v="0"/>
    <n v="8"/>
    <n v="88.88888888888889"/>
    <n v="9"/>
  </r>
  <r>
    <s v="UCv1wQ9RJHUCscxrNZHVBcSA"/>
    <s v="UCbUhO-tut97b5IQhZ3i7TMA"/>
    <m/>
    <m/>
    <m/>
    <m/>
    <m/>
    <m/>
    <m/>
    <m/>
    <s v="Yes"/>
    <n v="543"/>
    <m/>
    <m/>
    <s v="Commented Video"/>
    <x v="1"/>
    <s v="I think you are very talented! I enjoy every single vlog. &lt;br&gt;Between, Your hair style is always so lovely."/>
    <s v="UCv1wQ9RJHUCscxrNZHVBcSA"/>
    <s v="K O"/>
    <s v="http://www.youtube.com/channel/UCv1wQ9RJHUCscxrNZHVBcSA"/>
    <m/>
    <s v="7aRMkFHzJrc"/>
    <s v="https://www.youtube.com/watch?v=7aRMkFHzJrc"/>
    <s v="none"/>
    <n v="0"/>
    <x v="540"/>
    <s v="19/06/2018 20:25:53"/>
    <m/>
    <m/>
    <s v=""/>
    <n v="1"/>
    <s v="1"/>
    <s v="1"/>
    <n v="3"/>
    <n v="15"/>
    <n v="0"/>
    <n v="0"/>
    <n v="0"/>
    <n v="0"/>
    <n v="17"/>
    <n v="85"/>
    <n v="20"/>
  </r>
  <r>
    <s v="UCfPUyyUwzaGWf0XlauvHtiQ"/>
    <s v="UCbUhO-tut97b5IQhZ3i7TMA"/>
    <m/>
    <m/>
    <m/>
    <m/>
    <m/>
    <m/>
    <m/>
    <m/>
    <s v="No"/>
    <n v="544"/>
    <m/>
    <m/>
    <s v="Commented Video"/>
    <x v="1"/>
    <s v="lol the noises. I feel you hehe."/>
    <s v="UCfPUyyUwzaGWf0XlauvHtiQ"/>
    <s v="Given To Grow"/>
    <s v="http://www.youtube.com/channel/UCfPUyyUwzaGWf0XlauvHtiQ"/>
    <m/>
    <s v="7aRMkFHzJrc"/>
    <s v="https://www.youtube.com/watch?v=7aRMkFHzJrc"/>
    <s v="none"/>
    <n v="0"/>
    <x v="541"/>
    <s v="24/06/2018 13:26:19"/>
    <m/>
    <m/>
    <s v=""/>
    <n v="1"/>
    <s v="1"/>
    <s v="1"/>
    <n v="0"/>
    <n v="0"/>
    <n v="1"/>
    <n v="14.285714285714286"/>
    <n v="0"/>
    <n v="0"/>
    <n v="6"/>
    <n v="85.71428571428571"/>
    <n v="7"/>
  </r>
  <r>
    <s v="UCbUhO-tut97b5IQhZ3i7TMA"/>
    <s v="UCDyw55lLfmxDhVdv6ek1OmA"/>
    <m/>
    <m/>
    <m/>
    <m/>
    <m/>
    <m/>
    <m/>
    <m/>
    <s v="Yes"/>
    <n v="545"/>
    <m/>
    <m/>
    <s v="Replied Comment"/>
    <x v="0"/>
    <s v="It&amp;#39;s only Me hi! Thanks so much I’m glad you are enjoying them! How did you find my channel? Haha 🐌"/>
    <s v="UCbUhO-tut97b5IQhZ3i7TMA"/>
    <s v="Mr Carrington"/>
    <s v="http://www.youtube.com/channel/UCbUhO-tut97b5IQhZ3i7TMA"/>
    <s v="UgxGnNbjK1g89kf9Ms14AaABAg"/>
    <s v="7aRMkFHzJrc"/>
    <s v="https://www.youtube.com/watch?v=7aRMkFHzJrc"/>
    <s v="none"/>
    <n v="0"/>
    <x v="542"/>
    <d v="2018-05-07T20:49:52.000"/>
    <m/>
    <m/>
    <s v=""/>
    <n v="2"/>
    <s v="1"/>
    <s v="1"/>
    <n v="2"/>
    <n v="8.695652173913043"/>
    <n v="0"/>
    <n v="0"/>
    <n v="0"/>
    <n v="0"/>
    <n v="21"/>
    <n v="91.30434782608695"/>
    <n v="23"/>
  </r>
  <r>
    <s v="UCDyw55lLfmxDhVdv6ek1OmA"/>
    <s v="UCDyw55lLfmxDhVdv6ek1OmA"/>
    <m/>
    <m/>
    <m/>
    <m/>
    <m/>
    <m/>
    <m/>
    <m/>
    <s v="No"/>
    <n v="546"/>
    <m/>
    <m/>
    <s v="Replied Comment"/>
    <x v="0"/>
    <s v="Mr Carrington  you came up in my feed, probably after I googled I killed my aloe vera😳, don&amp;#39;t panic though it&amp;#39;s recovering well the orchid isn&amp;#39;t though so any help with that poor thing would be great 😊"/>
    <s v="UCDyw55lLfmxDhVdv6ek1OmA"/>
    <s v="Sunny Days"/>
    <s v="http://www.youtube.com/channel/UCDyw55lLfmxDhVdv6ek1OmA"/>
    <s v="UgxGnNbjK1g89kf9Ms14AaABAg"/>
    <s v="7aRMkFHzJrc"/>
    <s v="https://www.youtube.com/watch?v=7aRMkFHzJrc"/>
    <s v="none"/>
    <n v="0"/>
    <x v="543"/>
    <d v="2018-05-07T21:34:48.000"/>
    <m/>
    <m/>
    <s v=""/>
    <n v="1"/>
    <s v="1"/>
    <s v="1"/>
    <n v="2"/>
    <n v="4.651162790697675"/>
    <n v="3"/>
    <n v="6.976744186046512"/>
    <n v="0"/>
    <n v="0"/>
    <n v="38"/>
    <n v="88.37209302325581"/>
    <n v="43"/>
  </r>
  <r>
    <s v="UCbUhO-tut97b5IQhZ3i7TMA"/>
    <s v="UCDyw55lLfmxDhVdv6ek1OmA"/>
    <m/>
    <m/>
    <m/>
    <m/>
    <m/>
    <m/>
    <m/>
    <m/>
    <s v="Yes"/>
    <n v="547"/>
    <m/>
    <m/>
    <s v="Replied Comment"/>
    <x v="0"/>
    <s v="I&amp;#39;m not great with Orchids haha. I know the roots like light and I think it&amp;#39;s best to let them dry out between waterings! :)"/>
    <s v="UCbUhO-tut97b5IQhZ3i7TMA"/>
    <s v="Mr Carrington"/>
    <s v="http://www.youtube.com/channel/UCbUhO-tut97b5IQhZ3i7TMA"/>
    <s v="UgxGnNbjK1g89kf9Ms14AaABAg"/>
    <s v="7aRMkFHzJrc"/>
    <s v="https://www.youtube.com/watch?v=7aRMkFHzJrc"/>
    <s v="none"/>
    <n v="0"/>
    <x v="544"/>
    <d v="2018-06-07T12:18:22.000"/>
    <m/>
    <m/>
    <s v=""/>
    <n v="2"/>
    <s v="1"/>
    <s v="1"/>
    <n v="3"/>
    <n v="10.714285714285714"/>
    <n v="0"/>
    <n v="0"/>
    <n v="0"/>
    <n v="0"/>
    <n v="25"/>
    <n v="89.28571428571429"/>
    <n v="28"/>
  </r>
  <r>
    <s v="UCDyw55lLfmxDhVdv6ek1OmA"/>
    <s v="UCbUhO-tut97b5IQhZ3i7TMA"/>
    <m/>
    <m/>
    <m/>
    <m/>
    <m/>
    <m/>
    <m/>
    <m/>
    <s v="Yes"/>
    <n v="548"/>
    <m/>
    <m/>
    <s v="Commented Video"/>
    <x v="1"/>
    <s v="Hello, 😊 &lt;br&gt;Just found your channel and have subscribed and am currently binge watching your vids, have enjoyed every single one of them so far, you are very enjoyable to watch glad I found you.&lt;br&gt;Sorry no idea what to do about the 🐌 unless you want to try eating them 😳"/>
    <s v="UCDyw55lLfmxDhVdv6ek1OmA"/>
    <s v="Sunny Days"/>
    <s v="http://www.youtube.com/channel/UCDyw55lLfmxDhVdv6ek1OmA"/>
    <m/>
    <s v="7aRMkFHzJrc"/>
    <s v="https://www.youtube.com/watch?v=7aRMkFHzJrc"/>
    <s v="none"/>
    <n v="0"/>
    <x v="545"/>
    <d v="2018-05-07T20:31:26.000"/>
    <m/>
    <m/>
    <s v=""/>
    <n v="1"/>
    <s v="1"/>
    <s v="1"/>
    <n v="3"/>
    <n v="5.882352941176471"/>
    <n v="1"/>
    <n v="1.9607843137254901"/>
    <n v="0"/>
    <n v="0"/>
    <n v="47"/>
    <n v="92.15686274509804"/>
    <n v="51"/>
  </r>
  <r>
    <s v="UCbUhO-tut97b5IQhZ3i7TMA"/>
    <s v="UChDk3571Jo-A1SjrnDleTqA"/>
    <m/>
    <m/>
    <m/>
    <m/>
    <m/>
    <m/>
    <m/>
    <m/>
    <s v="Yes"/>
    <n v="549"/>
    <m/>
    <m/>
    <s v="Replied Comment"/>
    <x v="0"/>
    <s v="Ahh that makes sense thanks Jan. It actually smelt like a geranium. I&amp;#39;ve dug them up since but I&amp;#39;m sure more will probably pop up :)"/>
    <s v="UCbUhO-tut97b5IQhZ3i7TMA"/>
    <s v="Mr Carrington"/>
    <s v="http://www.youtube.com/channel/UCbUhO-tut97b5IQhZ3i7TMA"/>
    <s v="UgyM-gCXIYQnxGTJBU14AaABAg"/>
    <s v="7aRMkFHzJrc"/>
    <s v="https://www.youtube.com/watch?v=7aRMkFHzJrc"/>
    <s v="none"/>
    <n v="0"/>
    <x v="546"/>
    <d v="2018-12-07T20:06:26.000"/>
    <m/>
    <m/>
    <s v=""/>
    <n v="1"/>
    <s v="1"/>
    <s v="1"/>
    <n v="1"/>
    <n v="3.4482758620689653"/>
    <n v="1"/>
    <n v="3.4482758620689653"/>
    <n v="0"/>
    <n v="0"/>
    <n v="27"/>
    <n v="93.10344827586206"/>
    <n v="29"/>
  </r>
  <r>
    <s v="UChDk3571Jo-A1SjrnDleTqA"/>
    <s v="UCbUhO-tut97b5IQhZ3i7TMA"/>
    <m/>
    <m/>
    <m/>
    <m/>
    <m/>
    <m/>
    <m/>
    <m/>
    <s v="Yes"/>
    <n v="550"/>
    <m/>
    <m/>
    <s v="Commented Video"/>
    <x v="1"/>
    <s v="The weed with the small pink flowers are wild geraniums and the bees love it! Beware though as it will seed itself everywhere- however it pulls out really easily it it ends up somewhere that you don&amp;#39;t want it!"/>
    <s v="UChDk3571Jo-A1SjrnDleTqA"/>
    <s v="Jan Enderwitz"/>
    <s v="http://www.youtube.com/channel/UChDk3571Jo-A1SjrnDleTqA"/>
    <m/>
    <s v="7aRMkFHzJrc"/>
    <s v="https://www.youtube.com/watch?v=7aRMkFHzJrc"/>
    <s v="none"/>
    <n v="0"/>
    <x v="547"/>
    <d v="2018-12-07T14:39:49.000"/>
    <m/>
    <m/>
    <s v=""/>
    <n v="1"/>
    <s v="1"/>
    <s v="1"/>
    <n v="1"/>
    <n v="2.4390243902439024"/>
    <n v="3"/>
    <n v="7.317073170731708"/>
    <n v="0"/>
    <n v="0"/>
    <n v="37"/>
    <n v="90.2439024390244"/>
    <n v="41"/>
  </r>
  <r>
    <s v="UCbUhO-tut97b5IQhZ3i7TMA"/>
    <s v="UCEocRNWPqmsUDNmiqJqkDWw"/>
    <m/>
    <m/>
    <m/>
    <m/>
    <m/>
    <m/>
    <m/>
    <m/>
    <s v="Yes"/>
    <n v="551"/>
    <m/>
    <m/>
    <s v="Replied Comment"/>
    <x v="0"/>
    <s v="Ahh thank you :)"/>
    <s v="UCbUhO-tut97b5IQhZ3i7TMA"/>
    <s v="Mr Carrington"/>
    <s v="http://www.youtube.com/channel/UCbUhO-tut97b5IQhZ3i7TMA"/>
    <s v="UgwIg29X3O-JpsDHXFN4AaABAg"/>
    <s v="7aRMkFHzJrc"/>
    <s v="https://www.youtube.com/watch?v=7aRMkFHzJrc"/>
    <s v="none"/>
    <n v="0"/>
    <x v="548"/>
    <s v="27/08/2018 20:59:45"/>
    <m/>
    <m/>
    <s v=""/>
    <n v="1"/>
    <s v="1"/>
    <s v="1"/>
    <n v="1"/>
    <n v="33.333333333333336"/>
    <n v="0"/>
    <n v="0"/>
    <n v="0"/>
    <n v="0"/>
    <n v="2"/>
    <n v="66.66666666666667"/>
    <n v="3"/>
  </r>
  <r>
    <s v="UCEocRNWPqmsUDNmiqJqkDWw"/>
    <s v="UCbUhO-tut97b5IQhZ3i7TMA"/>
    <m/>
    <m/>
    <m/>
    <m/>
    <m/>
    <m/>
    <m/>
    <m/>
    <s v="Yes"/>
    <n v="552"/>
    <m/>
    <m/>
    <s v="Commented Video"/>
    <x v="1"/>
    <s v="You can actually eat the chickweed btw your garden looks amazing."/>
    <s v="UCEocRNWPqmsUDNmiqJqkDWw"/>
    <s v="Hermit Hill Farm"/>
    <s v="http://www.youtube.com/channel/UCEocRNWPqmsUDNmiqJqkDWw"/>
    <m/>
    <s v="7aRMkFHzJrc"/>
    <s v="https://www.youtube.com/watch?v=7aRMkFHzJrc"/>
    <s v="none"/>
    <n v="0"/>
    <x v="549"/>
    <s v="27/08/2018 20:26:44"/>
    <m/>
    <m/>
    <s v=""/>
    <n v="1"/>
    <s v="1"/>
    <s v="1"/>
    <n v="1"/>
    <n v="9.090909090909092"/>
    <n v="0"/>
    <n v="0"/>
    <n v="0"/>
    <n v="0"/>
    <n v="10"/>
    <n v="90.9090909090909"/>
    <n v="11"/>
  </r>
  <r>
    <s v="UCbUhO-tut97b5IQhZ3i7TMA"/>
    <s v="UCmA3Us6wQVig9X0N3atZnIA"/>
    <m/>
    <m/>
    <m/>
    <m/>
    <m/>
    <m/>
    <m/>
    <m/>
    <s v="Yes"/>
    <n v="553"/>
    <m/>
    <m/>
    <s v="Replied Comment"/>
    <x v="0"/>
    <s v="Thank you for the tip :)"/>
    <s v="UCbUhO-tut97b5IQhZ3i7TMA"/>
    <s v="Mr Carrington"/>
    <s v="http://www.youtube.com/channel/UCbUhO-tut97b5IQhZ3i7TMA"/>
    <s v="Ugwty8Kcyl8PAx6HsRF4AaABAg"/>
    <s v="7aRMkFHzJrc"/>
    <s v="https://www.youtube.com/watch?v=7aRMkFHzJrc"/>
    <s v="none"/>
    <n v="1"/>
    <x v="550"/>
    <d v="2018-03-09T00:06:08.000"/>
    <m/>
    <m/>
    <s v=""/>
    <n v="1"/>
    <s v="1"/>
    <s v="1"/>
    <n v="1"/>
    <n v="20"/>
    <n v="0"/>
    <n v="0"/>
    <n v="0"/>
    <n v="0"/>
    <n v="4"/>
    <n v="80"/>
    <n v="5"/>
  </r>
  <r>
    <s v="UCmA3Us6wQVig9X0N3atZnIA"/>
    <s v="UCbUhO-tut97b5IQhZ3i7TMA"/>
    <m/>
    <m/>
    <m/>
    <m/>
    <m/>
    <m/>
    <m/>
    <m/>
    <s v="Yes"/>
    <n v="554"/>
    <m/>
    <m/>
    <s v="Commented Video"/>
    <x v="1"/>
    <s v="get some copper plumbers tape and wrap a strip around each pot to keep snails and slugs out"/>
    <s v="UCmA3Us6wQVig9X0N3atZnIA"/>
    <s v="s a r a . r"/>
    <s v="http://www.youtube.com/channel/UCmA3Us6wQVig9X0N3atZnIA"/>
    <m/>
    <s v="7aRMkFHzJrc"/>
    <s v="https://www.youtube.com/watch?v=7aRMkFHzJrc"/>
    <s v="none"/>
    <n v="0"/>
    <x v="551"/>
    <d v="2018-01-09T19:12:36.000"/>
    <m/>
    <m/>
    <s v=""/>
    <n v="1"/>
    <s v="1"/>
    <s v="1"/>
    <n v="0"/>
    <n v="0"/>
    <n v="0"/>
    <n v="0"/>
    <n v="0"/>
    <n v="0"/>
    <n v="18"/>
    <n v="100"/>
    <n v="18"/>
  </r>
  <r>
    <s v="UCDcQJ4BUxHni8Famng8EG8w"/>
    <s v="UCbUhO-tut97b5IQhZ3i7TMA"/>
    <m/>
    <m/>
    <m/>
    <m/>
    <m/>
    <m/>
    <m/>
    <m/>
    <s v="No"/>
    <n v="555"/>
    <m/>
    <m/>
    <s v="Commented Video"/>
    <x v="1"/>
    <s v="🖒"/>
    <s v="UCDcQJ4BUxHni8Famng8EG8w"/>
    <s v="Uriel muy bonitas ideas lo q se puede aser Gonzalez"/>
    <s v="http://www.youtube.com/channel/UCDcQJ4BUxHni8Famng8EG8w"/>
    <m/>
    <s v="7aRMkFHzJrc"/>
    <s v="https://www.youtube.com/watch?v=7aRMkFHzJrc"/>
    <s v="none"/>
    <n v="0"/>
    <x v="552"/>
    <d v="2018-02-09T05:22:28.000"/>
    <m/>
    <m/>
    <s v=""/>
    <n v="2"/>
    <s v="1"/>
    <s v="1"/>
    <n v="0"/>
    <n v="0"/>
    <n v="0"/>
    <n v="0"/>
    <n v="0"/>
    <n v="0"/>
    <n v="0"/>
    <n v="0"/>
    <n v="0"/>
  </r>
  <r>
    <s v="UCDcQJ4BUxHni8Famng8EG8w"/>
    <s v="UCbUhO-tut97b5IQhZ3i7TMA"/>
    <m/>
    <m/>
    <m/>
    <m/>
    <m/>
    <m/>
    <m/>
    <m/>
    <s v="No"/>
    <n v="556"/>
    <m/>
    <m/>
    <s v="Commented Video"/>
    <x v="1"/>
    <s v="Me gustan las plantas lo verde natural t felicito x tus gustoss amigo"/>
    <s v="UCDcQJ4BUxHni8Famng8EG8w"/>
    <s v="Uriel muy bonitas ideas lo q se puede aser Gonzalez"/>
    <s v="http://www.youtube.com/channel/UCDcQJ4BUxHni8Famng8EG8w"/>
    <m/>
    <s v="7aRMkFHzJrc"/>
    <s v="https://www.youtube.com/watch?v=7aRMkFHzJrc"/>
    <s v="none"/>
    <n v="0"/>
    <x v="553"/>
    <d v="2018-02-09T05:23:24.000"/>
    <m/>
    <m/>
    <s v=""/>
    <n v="2"/>
    <s v="1"/>
    <s v="1"/>
    <n v="0"/>
    <n v="0"/>
    <n v="0"/>
    <n v="0"/>
    <n v="0"/>
    <n v="0"/>
    <n v="13"/>
    <n v="100"/>
    <n v="13"/>
  </r>
  <r>
    <s v="UCB0EfpgE24o6_K-O9T-SRdQ"/>
    <s v="UCbUhO-tut97b5IQhZ3i7TMA"/>
    <m/>
    <m/>
    <m/>
    <m/>
    <m/>
    <m/>
    <m/>
    <m/>
    <s v="No"/>
    <n v="557"/>
    <m/>
    <m/>
    <s v="Commented Video"/>
    <x v="1"/>
    <s v="Good"/>
    <s v="UCB0EfpgE24o6_K-O9T-SRdQ"/>
    <s v="Indian Terrace Gardening Art"/>
    <s v="http://www.youtube.com/channel/UCB0EfpgE24o6_K-O9T-SRdQ"/>
    <m/>
    <s v="7aRMkFHzJrc"/>
    <s v="https://www.youtube.com/watch?v=7aRMkFHzJrc"/>
    <s v="none"/>
    <n v="0"/>
    <x v="554"/>
    <d v="2018-07-09T08:47:03.000"/>
    <m/>
    <m/>
    <s v=""/>
    <n v="1"/>
    <s v="1"/>
    <s v="1"/>
    <n v="1"/>
    <n v="100"/>
    <n v="0"/>
    <n v="0"/>
    <n v="0"/>
    <n v="0"/>
    <n v="0"/>
    <n v="0"/>
    <n v="1"/>
  </r>
  <r>
    <s v="UCnWPKDhYdj8AZfYUdrOiS1Q"/>
    <s v="UCbUhO-tut97b5IQhZ3i7TMA"/>
    <m/>
    <m/>
    <m/>
    <m/>
    <m/>
    <m/>
    <m/>
    <m/>
    <s v="No"/>
    <n v="558"/>
    <m/>
    <m/>
    <s v="Commented Video"/>
    <x v="1"/>
    <s v="Nice little garden area"/>
    <s v="UCnWPKDhYdj8AZfYUdrOiS1Q"/>
    <s v="Caroline Gray"/>
    <s v="http://www.youtube.com/channel/UCnWPKDhYdj8AZfYUdrOiS1Q"/>
    <m/>
    <s v="-EA6GvKa0EA"/>
    <s v="https://www.youtube.com/watch?v=-EA6GvKa0EA"/>
    <s v="none"/>
    <n v="0"/>
    <x v="555"/>
    <s v="14/03/2019 23:33:33"/>
    <m/>
    <m/>
    <s v=""/>
    <n v="7"/>
    <s v="1"/>
    <s v="1"/>
    <n v="1"/>
    <n v="25"/>
    <n v="0"/>
    <n v="0"/>
    <n v="0"/>
    <n v="0"/>
    <n v="3"/>
    <n v="75"/>
    <n v="4"/>
  </r>
  <r>
    <s v="UCnWPKDhYdj8AZfYUdrOiS1Q"/>
    <s v="UCbUhO-tut97b5IQhZ3i7TMA"/>
    <m/>
    <m/>
    <m/>
    <m/>
    <m/>
    <m/>
    <m/>
    <m/>
    <s v="No"/>
    <n v="559"/>
    <m/>
    <m/>
    <s v="Commented Video"/>
    <x v="1"/>
    <s v="Nice"/>
    <s v="UCnWPKDhYdj8AZfYUdrOiS1Q"/>
    <s v="Caroline Gray"/>
    <s v="http://www.youtube.com/channel/UCnWPKDhYdj8AZfYUdrOiS1Q"/>
    <m/>
    <s v="JCTlws1bpAY"/>
    <s v="https://www.youtube.com/watch?v=JCTlws1bpAY"/>
    <s v="none"/>
    <n v="0"/>
    <x v="556"/>
    <s v="16/03/2019 17:11:44"/>
    <m/>
    <m/>
    <s v=""/>
    <n v="7"/>
    <s v="1"/>
    <s v="1"/>
    <n v="1"/>
    <n v="100"/>
    <n v="0"/>
    <n v="0"/>
    <n v="0"/>
    <n v="0"/>
    <n v="0"/>
    <n v="0"/>
    <n v="1"/>
  </r>
  <r>
    <s v="UCnWPKDhYdj8AZfYUdrOiS1Q"/>
    <s v="UCbUhO-tut97b5IQhZ3i7TMA"/>
    <m/>
    <m/>
    <m/>
    <m/>
    <m/>
    <m/>
    <m/>
    <m/>
    <s v="No"/>
    <n v="560"/>
    <m/>
    <m/>
    <s v="Commented Video"/>
    <x v="1"/>
    <s v="Nice to sit down at night"/>
    <s v="UCnWPKDhYdj8AZfYUdrOiS1Q"/>
    <s v="Caroline Gray"/>
    <s v="http://www.youtube.com/channel/UCnWPKDhYdj8AZfYUdrOiS1Q"/>
    <m/>
    <s v="JCTlws1bpAY"/>
    <s v="https://www.youtube.com/watch?v=JCTlws1bpAY"/>
    <s v="none"/>
    <n v="0"/>
    <x v="557"/>
    <s v="16/03/2019 17:13:51"/>
    <m/>
    <m/>
    <s v=""/>
    <n v="7"/>
    <s v="1"/>
    <s v="1"/>
    <n v="1"/>
    <n v="16.666666666666668"/>
    <n v="0"/>
    <n v="0"/>
    <n v="0"/>
    <n v="0"/>
    <n v="5"/>
    <n v="83.33333333333333"/>
    <n v="6"/>
  </r>
  <r>
    <s v="UCnWPKDhYdj8AZfYUdrOiS1Q"/>
    <s v="UCbUhO-tut97b5IQhZ3i7TMA"/>
    <m/>
    <m/>
    <m/>
    <m/>
    <m/>
    <m/>
    <m/>
    <m/>
    <s v="No"/>
    <n v="561"/>
    <m/>
    <m/>
    <s v="Commented Video"/>
    <x v="1"/>
    <s v="Out"/>
    <s v="UCnWPKDhYdj8AZfYUdrOiS1Q"/>
    <s v="Caroline Gray"/>
    <s v="http://www.youtube.com/channel/UCnWPKDhYdj8AZfYUdrOiS1Q"/>
    <m/>
    <s v="JCTlws1bpAY"/>
    <s v="https://www.youtube.com/watch?v=JCTlws1bpAY"/>
    <s v="none"/>
    <n v="0"/>
    <x v="558"/>
    <s v="16/03/2019 17:14:00"/>
    <m/>
    <m/>
    <s v=""/>
    <n v="7"/>
    <s v="1"/>
    <s v="1"/>
    <n v="0"/>
    <n v="0"/>
    <n v="0"/>
    <n v="0"/>
    <n v="0"/>
    <n v="0"/>
    <n v="1"/>
    <n v="100"/>
    <n v="1"/>
  </r>
  <r>
    <s v="UCnWPKDhYdj8AZfYUdrOiS1Q"/>
    <s v="UCbUhO-tut97b5IQhZ3i7TMA"/>
    <m/>
    <m/>
    <m/>
    <m/>
    <m/>
    <m/>
    <m/>
    <m/>
    <s v="No"/>
    <n v="562"/>
    <m/>
    <m/>
    <s v="Commented Video"/>
    <x v="1"/>
    <s v="Nice colour of rose"/>
    <s v="UCnWPKDhYdj8AZfYUdrOiS1Q"/>
    <s v="Caroline Gray"/>
    <s v="http://www.youtube.com/channel/UCnWPKDhYdj8AZfYUdrOiS1Q"/>
    <m/>
    <s v="7aRMkFHzJrc"/>
    <s v="https://www.youtube.com/watch?v=7aRMkFHzJrc"/>
    <s v="none"/>
    <n v="0"/>
    <x v="559"/>
    <s v="16/03/2019 16:55:46"/>
    <m/>
    <m/>
    <s v=""/>
    <n v="7"/>
    <s v="1"/>
    <s v="1"/>
    <n v="1"/>
    <n v="25"/>
    <n v="0"/>
    <n v="0"/>
    <n v="0"/>
    <n v="0"/>
    <n v="3"/>
    <n v="75"/>
    <n v="4"/>
  </r>
  <r>
    <s v="UCnWPKDhYdj8AZfYUdrOiS1Q"/>
    <s v="UCbUhO-tut97b5IQhZ3i7TMA"/>
    <m/>
    <m/>
    <m/>
    <m/>
    <m/>
    <m/>
    <m/>
    <m/>
    <s v="No"/>
    <n v="563"/>
    <m/>
    <m/>
    <s v="Commented Video"/>
    <x v="1"/>
    <s v="I like your contained garden"/>
    <s v="UCnWPKDhYdj8AZfYUdrOiS1Q"/>
    <s v="Caroline Gray"/>
    <s v="http://www.youtube.com/channel/UCnWPKDhYdj8AZfYUdrOiS1Q"/>
    <m/>
    <s v="7aRMkFHzJrc"/>
    <s v="https://www.youtube.com/watch?v=7aRMkFHzJrc"/>
    <s v="none"/>
    <n v="0"/>
    <x v="560"/>
    <s v="16/03/2019 16:57:12"/>
    <m/>
    <m/>
    <s v=""/>
    <n v="7"/>
    <s v="1"/>
    <s v="1"/>
    <n v="1"/>
    <n v="20"/>
    <n v="0"/>
    <n v="0"/>
    <n v="0"/>
    <n v="0"/>
    <n v="4"/>
    <n v="80"/>
    <n v="5"/>
  </r>
  <r>
    <s v="UCnWPKDhYdj8AZfYUdrOiS1Q"/>
    <s v="UCbUhO-tut97b5IQhZ3i7TMA"/>
    <m/>
    <m/>
    <m/>
    <m/>
    <m/>
    <m/>
    <m/>
    <m/>
    <s v="No"/>
    <n v="564"/>
    <m/>
    <m/>
    <s v="Commented Video"/>
    <x v="1"/>
    <s v="It was snowing in edinburgh today it’s gone now 2019"/>
    <s v="UCnWPKDhYdj8AZfYUdrOiS1Q"/>
    <s v="Caroline Gray"/>
    <s v="http://www.youtube.com/channel/UCnWPKDhYdj8AZfYUdrOiS1Q"/>
    <m/>
    <s v="7aRMkFHzJrc"/>
    <s v="https://www.youtube.com/watch?v=7aRMkFHzJrc"/>
    <s v="none"/>
    <n v="1"/>
    <x v="561"/>
    <s v="16/03/2019 16:58:42"/>
    <m/>
    <m/>
    <s v=""/>
    <n v="7"/>
    <s v="1"/>
    <s v="1"/>
    <n v="0"/>
    <n v="0"/>
    <n v="0"/>
    <n v="0"/>
    <n v="0"/>
    <n v="0"/>
    <n v="11"/>
    <n v="100"/>
    <n v="11"/>
  </r>
  <r>
    <s v="UCf1BiqlVYG876JqvDkv7isg"/>
    <s v="UCbUhO-tut97b5IQhZ3i7TMA"/>
    <m/>
    <m/>
    <m/>
    <m/>
    <m/>
    <m/>
    <m/>
    <m/>
    <s v="No"/>
    <n v="565"/>
    <m/>
    <m/>
    <s v="Commented Video"/>
    <x v="1"/>
    <s v="So nice vlog 😍👍🙂😘😘"/>
    <s v="UCf1BiqlVYG876JqvDkv7isg"/>
    <s v="Anzelika Vasiljeviene"/>
    <s v="http://www.youtube.com/channel/UCf1BiqlVYG876JqvDkv7isg"/>
    <m/>
    <s v="xZPSNornzmk"/>
    <s v="https://www.youtube.com/watch?v=xZPSNornzmk"/>
    <s v="none"/>
    <n v="0"/>
    <x v="562"/>
    <s v="30/05/2020 20:48:20"/>
    <m/>
    <m/>
    <s v=""/>
    <n v="2"/>
    <s v="1"/>
    <s v="1"/>
    <n v="1"/>
    <n v="33.333333333333336"/>
    <n v="0"/>
    <n v="0"/>
    <n v="0"/>
    <n v="0"/>
    <n v="2"/>
    <n v="66.66666666666667"/>
    <n v="3"/>
  </r>
  <r>
    <s v="UCf1BiqlVYG876JqvDkv7isg"/>
    <s v="UCbUhO-tut97b5IQhZ3i7TMA"/>
    <m/>
    <m/>
    <m/>
    <m/>
    <m/>
    <m/>
    <m/>
    <m/>
    <s v="No"/>
    <n v="566"/>
    <m/>
    <m/>
    <s v="Commented Video"/>
    <x v="1"/>
    <s v="I very like your roof garden 👍🌱🌱🌵😘😘"/>
    <s v="UCf1BiqlVYG876JqvDkv7isg"/>
    <s v="Anzelika Vasiljeviene"/>
    <s v="http://www.youtube.com/channel/UCf1BiqlVYG876JqvDkv7isg"/>
    <m/>
    <s v="7aRMkFHzJrc"/>
    <s v="https://www.youtube.com/watch?v=7aRMkFHzJrc"/>
    <s v="none"/>
    <n v="0"/>
    <x v="563"/>
    <s v="31/10/2019 00:46:20"/>
    <m/>
    <m/>
    <s v=""/>
    <n v="2"/>
    <s v="1"/>
    <s v="1"/>
    <n v="1"/>
    <n v="16.666666666666668"/>
    <n v="0"/>
    <n v="0"/>
    <n v="0"/>
    <n v="0"/>
    <n v="5"/>
    <n v="83.33333333333333"/>
    <n v="6"/>
  </r>
  <r>
    <s v="UCCw4uYL3ln_OigghAAjMMCg"/>
    <s v="UCbUhO-tut97b5IQhZ3i7TMA"/>
    <m/>
    <m/>
    <m/>
    <m/>
    <m/>
    <m/>
    <m/>
    <m/>
    <s v="No"/>
    <n v="567"/>
    <m/>
    <m/>
    <s v="Commented Video"/>
    <x v="1"/>
    <s v="I took the apt. tour ride have you ever seen BBC sit com Coupling?&lt;br&gt;If so you now what l going text if not please see the episode Steve who is dating Susan  she needs a answer on a subject matter that 🤪baffles the mens 🤯to where Steve has to at there Bar ask the gus what think when all tag along to the yes furniture store even the sales Man baffle why these on this piece furniture for when aman sits goes to remove objects to fit on furniture  yet afraid to teel girlfriend soon to be wife if she can handle the tense out burst over this she asked him to give his true option on .this. Hope insane page yet not. But not think be stressed out over it crazy funny .&lt;br&gt;I speaking of the many pillows you have on your couch .&lt;br&gt;Most men no bed ,couch  , desk chairs  how do you do it ?Better yet as many plants, candles, cups now pillow are adding up.lol😉&lt;br&gt;Rock On 👍😷🤒🤕🤪😥😤🤓."/>
    <s v="UCCw4uYL3ln_OigghAAjMMCg"/>
    <s v="Kirsten Cook"/>
    <s v="http://www.youtube.com/channel/UCCw4uYL3ln_OigghAAjMMCg"/>
    <m/>
    <s v="7aRMkFHzJrc"/>
    <s v="https://www.youtube.com/watch?v=7aRMkFHzJrc"/>
    <s v="none"/>
    <n v="1"/>
    <x v="564"/>
    <s v="19/03/2020 17:15:33"/>
    <m/>
    <m/>
    <s v=""/>
    <n v="1"/>
    <s v="1"/>
    <s v="1"/>
    <n v="1"/>
    <n v="0.5681818181818182"/>
    <n v="6"/>
    <n v="3.409090909090909"/>
    <n v="0"/>
    <n v="0"/>
    <n v="169"/>
    <n v="96.02272727272727"/>
    <n v="176"/>
  </r>
  <r>
    <s v="UCAKPH_3harNrzAiKrNEFWIw"/>
    <s v="UCtwQDg4rXfyYezi6PEk6IlQ"/>
    <m/>
    <m/>
    <m/>
    <m/>
    <m/>
    <m/>
    <m/>
    <m/>
    <s v="No"/>
    <n v="568"/>
    <m/>
    <m/>
    <s v="Commented Video"/>
    <x v="1"/>
    <s v="Greetings from Poland &lt;a href=&quot;http://dachyzielone.net/&quot;&gt;http://dachyzielone.net/&lt;/a&gt;"/>
    <s v="UCAKPH_3harNrzAiKrNEFWIw"/>
    <s v="APK Dachy Zielone"/>
    <s v="http://www.youtube.com/channel/UCAKPH_3harNrzAiKrNEFWIw"/>
    <m/>
    <s v="PzgmQp-7QuY"/>
    <s v="https://www.youtube.com/watch?v=PzgmQp-7QuY"/>
    <s v="none"/>
    <n v="0"/>
    <x v="565"/>
    <d v="2015-07-05T22:20:16.000"/>
    <s v=" http://dachyzielone.net/ http://dachyzielone.net/"/>
    <s v="dachyzielone.net dachyzielone.net"/>
    <s v=""/>
    <n v="1"/>
    <s v="12"/>
    <s v="12"/>
    <n v="0"/>
    <n v="0"/>
    <n v="0"/>
    <n v="0"/>
    <n v="0"/>
    <n v="0"/>
    <n v="12"/>
    <n v="100"/>
    <n v="12"/>
  </r>
  <r>
    <s v="UCd-BO4rHgpgVt-z0BSzVqMg"/>
    <s v="UCgRUUd0ZW-npzTNP4SadDng"/>
    <m/>
    <m/>
    <m/>
    <m/>
    <m/>
    <m/>
    <m/>
    <m/>
    <s v="No"/>
    <n v="569"/>
    <m/>
    <m/>
    <s v="Replied Comment"/>
    <x v="0"/>
    <s v="@Nova Verse and bad new and ugly news?"/>
    <s v="UCd-BO4rHgpgVt-z0BSzVqMg"/>
    <s v="Mo Kassabian Svendsen"/>
    <s v="http://www.youtube.com/channel/UCd-BO4rHgpgVt-z0BSzVqMg"/>
    <s v="Ugxi8G1QL5W5nO-ecc54AaABAg"/>
    <s v="PzgmQp-7QuY"/>
    <s v="https://www.youtube.com/watch?v=PzgmQp-7QuY"/>
    <s v="none"/>
    <n v="0"/>
    <x v="566"/>
    <s v="17/10/2019 15:06:05"/>
    <m/>
    <m/>
    <s v=""/>
    <n v="1"/>
    <s v="12"/>
    <s v="12"/>
    <n v="0"/>
    <n v="0"/>
    <n v="2"/>
    <n v="25"/>
    <n v="0"/>
    <n v="0"/>
    <n v="6"/>
    <n v="75"/>
    <n v="8"/>
  </r>
  <r>
    <s v="UCKidRg7VCOkCWuALair2Q6A"/>
    <s v="UCgRUUd0ZW-npzTNP4SadDng"/>
    <m/>
    <m/>
    <m/>
    <m/>
    <m/>
    <m/>
    <m/>
    <m/>
    <s v="No"/>
    <n v="570"/>
    <m/>
    <m/>
    <s v="Replied Comment"/>
    <x v="0"/>
    <s v="There´s good news and optimistic news and realistic news and fake news."/>
    <s v="UCKidRg7VCOkCWuALair2Q6A"/>
    <s v="Nova Verse"/>
    <s v="http://www.youtube.com/channel/UCKidRg7VCOkCWuALair2Q6A"/>
    <s v="Ugxi8G1QL5W5nO-ecc54AaABAg"/>
    <s v="PzgmQp-7QuY"/>
    <s v="https://www.youtube.com/watch?v=PzgmQp-7QuY"/>
    <s v="none"/>
    <n v="0"/>
    <x v="567"/>
    <s v="13/08/2019 04:55:40"/>
    <m/>
    <m/>
    <s v=""/>
    <n v="2"/>
    <s v="12"/>
    <s v="12"/>
    <n v="3"/>
    <n v="23.076923076923077"/>
    <n v="1"/>
    <n v="7.6923076923076925"/>
    <n v="0"/>
    <n v="0"/>
    <n v="9"/>
    <n v="69.23076923076923"/>
    <n v="13"/>
  </r>
  <r>
    <s v="UCKidRg7VCOkCWuALair2Q6A"/>
    <s v="UCgRUUd0ZW-npzTNP4SadDng"/>
    <m/>
    <m/>
    <m/>
    <m/>
    <m/>
    <m/>
    <m/>
    <m/>
    <s v="No"/>
    <n v="571"/>
    <m/>
    <m/>
    <s v="Replied Comment"/>
    <x v="0"/>
    <s v="@Mo Kassabian Svendsen Sure ;)"/>
    <s v="UCKidRg7VCOkCWuALair2Q6A"/>
    <s v="Nova Verse"/>
    <s v="http://www.youtube.com/channel/UCKidRg7VCOkCWuALair2Q6A"/>
    <s v="Ugxi8G1QL5W5nO-ecc54AaABAg"/>
    <s v="PzgmQp-7QuY"/>
    <s v="https://www.youtube.com/watch?v=PzgmQp-7QuY"/>
    <s v="none"/>
    <n v="1"/>
    <x v="568"/>
    <s v="17/10/2019 15:29:56"/>
    <m/>
    <m/>
    <s v=""/>
    <n v="2"/>
    <s v="12"/>
    <s v="12"/>
    <n v="0"/>
    <n v="0"/>
    <n v="0"/>
    <n v="0"/>
    <n v="0"/>
    <n v="0"/>
    <n v="4"/>
    <n v="100"/>
    <n v="4"/>
  </r>
  <r>
    <s v="UCgRUUd0ZW-npzTNP4SadDng"/>
    <s v="UCtwQDg4rXfyYezi6PEk6IlQ"/>
    <m/>
    <m/>
    <m/>
    <m/>
    <m/>
    <m/>
    <m/>
    <m/>
    <s v="No"/>
    <n v="572"/>
    <m/>
    <m/>
    <s v="Commented Video"/>
    <x v="1"/>
    <s v="I don&amp;#39;t believe in good news."/>
    <s v="UCgRUUd0ZW-npzTNP4SadDng"/>
    <s v="applecom1de"/>
    <s v="http://www.youtube.com/channel/UCgRUUd0ZW-npzTNP4SadDng"/>
    <m/>
    <s v="PzgmQp-7QuY"/>
    <s v="https://www.youtube.com/watch?v=PzgmQp-7QuY"/>
    <s v="none"/>
    <n v="0"/>
    <x v="569"/>
    <d v="2019-12-04T23:28:41.000"/>
    <m/>
    <m/>
    <s v=""/>
    <n v="1"/>
    <s v="12"/>
    <s v="12"/>
    <n v="1"/>
    <n v="12.5"/>
    <n v="0"/>
    <n v="0"/>
    <n v="0"/>
    <n v="0"/>
    <n v="7"/>
    <n v="87.5"/>
    <n v="8"/>
  </r>
  <r>
    <s v="UCR2w5d-fT7ft2VOMZZY9KQA"/>
    <s v="UCtwQDg4rXfyYezi6PEk6IlQ"/>
    <m/>
    <m/>
    <m/>
    <m/>
    <m/>
    <m/>
    <m/>
    <m/>
    <s v="No"/>
    <n v="573"/>
    <m/>
    <m/>
    <s v="Commented Video"/>
    <x v="1"/>
    <s v="Capital idea! I hope the crusty old NIMBYs don&amp;#39;t try to derail it."/>
    <s v="UCR2w5d-fT7ft2VOMZZY9KQA"/>
    <s v="Flash FM"/>
    <s v="http://www.youtube.com/channel/UCR2w5d-fT7ft2VOMZZY9KQA"/>
    <m/>
    <s v="PzgmQp-7QuY"/>
    <s v="https://www.youtube.com/watch?v=PzgmQp-7QuY"/>
    <s v="none"/>
    <n v="0"/>
    <x v="570"/>
    <s v="21/07/2019 03:31:16"/>
    <m/>
    <m/>
    <s v=""/>
    <n v="1"/>
    <s v="12"/>
    <s v="12"/>
    <n v="0"/>
    <n v="0"/>
    <n v="0"/>
    <n v="0"/>
    <n v="0"/>
    <n v="0"/>
    <n v="15"/>
    <n v="100"/>
    <n v="15"/>
  </r>
  <r>
    <s v="UCOJWlLG3zW9KTx_ctVXL9xw"/>
    <s v="UCtwQDg4rXfyYezi6PEk6IlQ"/>
    <m/>
    <m/>
    <m/>
    <m/>
    <m/>
    <m/>
    <m/>
    <m/>
    <s v="No"/>
    <n v="574"/>
    <m/>
    <m/>
    <s v="Commented Video"/>
    <x v="1"/>
    <s v="Hello. I am interested in talking to the person who wrote / spoke on this video. I have famous clients in London and we want to work towards these plans."/>
    <s v="UCOJWlLG3zW9KTx_ctVXL9xw"/>
    <s v="Paul Y"/>
    <s v="http://www.youtube.com/channel/UCOJWlLG3zW9KTx_ctVXL9xw"/>
    <m/>
    <s v="PzgmQp-7QuY"/>
    <s v="https://www.youtube.com/watch?v=PzgmQp-7QuY"/>
    <s v="none"/>
    <n v="4"/>
    <x v="571"/>
    <s v="15/03/2020 17:53:13"/>
    <m/>
    <m/>
    <s v=""/>
    <n v="1"/>
    <s v="12"/>
    <s v="12"/>
    <n v="2"/>
    <n v="6.896551724137931"/>
    <n v="0"/>
    <n v="0"/>
    <n v="0"/>
    <n v="0"/>
    <n v="27"/>
    <n v="93.10344827586206"/>
    <n v="29"/>
  </r>
  <r>
    <s v="UC_gDZk0R3Pt2hUc0zAIqCWA"/>
    <s v="UCtwQDg4rXfyYezi6PEk6IlQ"/>
    <m/>
    <m/>
    <m/>
    <m/>
    <m/>
    <m/>
    <m/>
    <m/>
    <s v="No"/>
    <n v="575"/>
    <m/>
    <m/>
    <s v="Commented Video"/>
    <x v="1"/>
    <s v="Great idea"/>
    <s v="UC_gDZk0R3Pt2hUc0zAIqCWA"/>
    <s v="W Ya"/>
    <s v="http://www.youtube.com/channel/UC_gDZk0R3Pt2hUc0zAIqCWA"/>
    <m/>
    <s v="PzgmQp-7QuY"/>
    <s v="https://www.youtube.com/watch?v=PzgmQp-7QuY"/>
    <s v="none"/>
    <n v="0"/>
    <x v="572"/>
    <d v="2020-07-06T14:24:45.000"/>
    <m/>
    <m/>
    <s v=""/>
    <n v="1"/>
    <s v="12"/>
    <s v="12"/>
    <n v="1"/>
    <n v="50"/>
    <n v="0"/>
    <n v="0"/>
    <n v="0"/>
    <n v="0"/>
    <n v="1"/>
    <n v="50"/>
    <n v="2"/>
  </r>
  <r>
    <s v="UCnJ9SRiMlFp8Dxy7RDs4Z-g"/>
    <s v="UCtwQDg4rXfyYezi6PEk6IlQ"/>
    <m/>
    <m/>
    <m/>
    <m/>
    <m/>
    <m/>
    <m/>
    <m/>
    <s v="No"/>
    <n v="576"/>
    <m/>
    <m/>
    <s v="Commented Video"/>
    <x v="1"/>
    <s v="Werner Herzog vibes from the voice over =D"/>
    <s v="UCnJ9SRiMlFp8Dxy7RDs4Z-g"/>
    <s v="Houba Hop"/>
    <s v="http://www.youtube.com/channel/UCnJ9SRiMlFp8Dxy7RDs4Z-g"/>
    <m/>
    <s v="PzgmQp-7QuY"/>
    <s v="https://www.youtube.com/watch?v=PzgmQp-7QuY"/>
    <s v="none"/>
    <n v="1"/>
    <x v="573"/>
    <s v="21/08/2020 11:04:50"/>
    <m/>
    <m/>
    <s v=""/>
    <n v="1"/>
    <s v="12"/>
    <s v="12"/>
    <n v="0"/>
    <n v="0"/>
    <n v="0"/>
    <n v="0"/>
    <n v="0"/>
    <n v="0"/>
    <n v="8"/>
    <n v="100"/>
    <n v="8"/>
  </r>
  <r>
    <s v="UCtwQDg4rXfyYezi6PEk6IlQ"/>
    <s v="UC4pzPMhXszpN8yBq9BtJRFg"/>
    <m/>
    <m/>
    <m/>
    <m/>
    <m/>
    <m/>
    <m/>
    <m/>
    <s v="Yes"/>
    <n v="577"/>
    <m/>
    <m/>
    <s v="Replied Comment"/>
    <x v="0"/>
    <s v="It would. But doing the job properly would be even better."/>
    <s v="UCtwQDg4rXfyYezi6PEk6IlQ"/>
    <s v="Gardenvisit.com"/>
    <s v="http://www.youtube.com/channel/UCtwQDg4rXfyYezi6PEk6IlQ"/>
    <s v="UgwHPBkfp76Txouqx9R4AaABAg"/>
    <s v="PzgmQp-7QuY"/>
    <s v="https://www.youtube.com/watch?v=PzgmQp-7QuY"/>
    <s v="none"/>
    <n v="1"/>
    <x v="574"/>
    <d v="2021-11-04T16:34:36.000"/>
    <m/>
    <m/>
    <s v=""/>
    <n v="1"/>
    <s v="12"/>
    <s v="12"/>
    <n v="2"/>
    <n v="18.181818181818183"/>
    <n v="0"/>
    <n v="0"/>
    <n v="0"/>
    <n v="0"/>
    <n v="9"/>
    <n v="81.81818181818181"/>
    <n v="11"/>
  </r>
  <r>
    <s v="UC4pzPMhXszpN8yBq9BtJRFg"/>
    <s v="UCtwQDg4rXfyYezi6PEk6IlQ"/>
    <m/>
    <m/>
    <m/>
    <m/>
    <m/>
    <m/>
    <m/>
    <m/>
    <s v="Yes"/>
    <n v="578"/>
    <m/>
    <m/>
    <s v="Commented Video"/>
    <x v="1"/>
    <s v="Even just putting a few maintained garden beds on the roofs would be a huge improvement"/>
    <s v="UC4pzPMhXszpN8yBq9BtJRFg"/>
    <s v="Emily Glover"/>
    <s v="http://www.youtube.com/channel/UC4pzPMhXszpN8yBq9BtJRFg"/>
    <m/>
    <s v="PzgmQp-7QuY"/>
    <s v="https://www.youtube.com/watch?v=PzgmQp-7QuY"/>
    <s v="none"/>
    <n v="0"/>
    <x v="575"/>
    <d v="2021-11-04T13:48:32.000"/>
    <m/>
    <m/>
    <s v=""/>
    <n v="1"/>
    <s v="12"/>
    <s v="12"/>
    <n v="1"/>
    <n v="6.25"/>
    <n v="0"/>
    <n v="0"/>
    <n v="0"/>
    <n v="0"/>
    <n v="15"/>
    <n v="93.75"/>
    <n v="16"/>
  </r>
  <r>
    <s v="UCU29V2Jl2unpcOxm1kPDqmw"/>
    <s v="UCeRGeymjMqtEP54ltDnyHjg"/>
    <m/>
    <m/>
    <m/>
    <m/>
    <m/>
    <m/>
    <m/>
    <m/>
    <s v="Yes"/>
    <n v="579"/>
    <m/>
    <m/>
    <s v="Replied Comment"/>
    <x v="0"/>
    <s v="Thanks for watching!"/>
    <s v="UCU29V2Jl2unpcOxm1kPDqmw"/>
    <s v="LADmob - UNSEEN walks"/>
    <s v="http://www.youtube.com/channel/UCU29V2Jl2unpcOxm1kPDqmw"/>
    <s v="Ugz74MzaojICis2yvwl4AaABAg"/>
    <s v="i3Ac89nZ_tI"/>
    <s v="https://www.youtube.com/watch?v=i3Ac89nZ_tI"/>
    <s v="none"/>
    <n v="0"/>
    <x v="576"/>
    <d v="2020-11-11T12:27:21.000"/>
    <m/>
    <m/>
    <s v=""/>
    <n v="1"/>
    <s v="9"/>
    <s v="9"/>
    <n v="0"/>
    <n v="0"/>
    <n v="0"/>
    <n v="0"/>
    <n v="0"/>
    <n v="0"/>
    <n v="3"/>
    <n v="100"/>
    <n v="3"/>
  </r>
  <r>
    <s v="UCeRGeymjMqtEP54ltDnyHjg"/>
    <s v="UCU29V2Jl2unpcOxm1kPDqmw"/>
    <m/>
    <m/>
    <m/>
    <m/>
    <m/>
    <m/>
    <m/>
    <m/>
    <s v="Yes"/>
    <n v="580"/>
    <m/>
    <m/>
    <s v="Commented Video"/>
    <x v="1"/>
    <s v="Thanks for the video. I like Canary Wharf and looks pretty at night."/>
    <s v="UCeRGeymjMqtEP54ltDnyHjg"/>
    <s v="KC T"/>
    <s v="http://www.youtube.com/channel/UCeRGeymjMqtEP54ltDnyHjg"/>
    <m/>
    <s v="i3Ac89nZ_tI"/>
    <s v="https://www.youtube.com/watch?v=i3Ac89nZ_tI"/>
    <s v="none"/>
    <n v="0"/>
    <x v="577"/>
    <d v="2020-10-11T11:41:54.000"/>
    <m/>
    <m/>
    <s v=""/>
    <n v="1"/>
    <s v="9"/>
    <s v="9"/>
    <n v="2"/>
    <n v="15.384615384615385"/>
    <n v="0"/>
    <n v="0"/>
    <n v="0"/>
    <n v="0"/>
    <n v="11"/>
    <n v="84.61538461538461"/>
    <n v="13"/>
  </r>
  <r>
    <s v="UCU29V2Jl2unpcOxm1kPDqmw"/>
    <s v="UCx8-g0ntcsj12vZ9eHA2qYQ"/>
    <m/>
    <m/>
    <m/>
    <m/>
    <m/>
    <m/>
    <m/>
    <m/>
    <s v="Yes"/>
    <n v="581"/>
    <m/>
    <m/>
    <s v="Replied Comment"/>
    <x v="0"/>
    <s v="So nice"/>
    <s v="UCU29V2Jl2unpcOxm1kPDqmw"/>
    <s v="LADmob - UNSEEN walks"/>
    <s v="http://www.youtube.com/channel/UCU29V2Jl2unpcOxm1kPDqmw"/>
    <s v="UgyubOWT5riN45xI1oh4AaABAg"/>
    <s v="i3Ac89nZ_tI"/>
    <s v="https://www.youtube.com/watch?v=i3Ac89nZ_tI"/>
    <s v="none"/>
    <n v="0"/>
    <x v="578"/>
    <d v="2020-11-11T12:26:50.000"/>
    <m/>
    <m/>
    <s v=""/>
    <n v="1"/>
    <s v="9"/>
    <s v="9"/>
    <n v="1"/>
    <n v="50"/>
    <n v="0"/>
    <n v="0"/>
    <n v="0"/>
    <n v="0"/>
    <n v="1"/>
    <n v="50"/>
    <n v="2"/>
  </r>
  <r>
    <s v="UCx8-g0ntcsj12vZ9eHA2qYQ"/>
    <s v="UCU29V2Jl2unpcOxm1kPDqmw"/>
    <m/>
    <m/>
    <m/>
    <m/>
    <m/>
    <m/>
    <m/>
    <m/>
    <s v="Yes"/>
    <n v="582"/>
    <m/>
    <m/>
    <s v="Commented Video"/>
    <x v="1"/>
    <s v="Beautiful video"/>
    <s v="UCx8-g0ntcsj12vZ9eHA2qYQ"/>
    <s v="Sammy B."/>
    <s v="http://www.youtube.com/channel/UCx8-g0ntcsj12vZ9eHA2qYQ"/>
    <m/>
    <s v="i3Ac89nZ_tI"/>
    <s v="https://www.youtube.com/watch?v=i3Ac89nZ_tI"/>
    <s v="none"/>
    <n v="0"/>
    <x v="579"/>
    <d v="2020-10-11T11:58:13.000"/>
    <m/>
    <m/>
    <s v=""/>
    <n v="1"/>
    <s v="9"/>
    <s v="9"/>
    <n v="1"/>
    <n v="50"/>
    <n v="0"/>
    <n v="0"/>
    <n v="0"/>
    <n v="0"/>
    <n v="1"/>
    <n v="50"/>
    <n v="2"/>
  </r>
  <r>
    <s v="UCvW5HZMqEQoN6JOz7h611Hg"/>
    <s v="UCza8Jbus7GND3s3oCDVTJhA"/>
    <m/>
    <m/>
    <m/>
    <m/>
    <m/>
    <m/>
    <m/>
    <m/>
    <s v="No"/>
    <n v="583"/>
    <m/>
    <m/>
    <s v="Replied Comment"/>
    <x v="0"/>
    <s v="yes the are the roof is open in large parts."/>
    <s v="UCvW5HZMqEQoN6JOz7h611Hg"/>
    <s v="lesleyuk"/>
    <s v="http://www.youtube.com/channel/UCvW5HZMqEQoN6JOz7h611Hg"/>
    <s v="UgyXx1U9PN41zeRk_d54AaABAg"/>
    <s v="i3Ac89nZ_tI"/>
    <s v="https://www.youtube.com/watch?v=i3Ac89nZ_tI"/>
    <s v="none"/>
    <n v="2"/>
    <x v="580"/>
    <d v="2020-10-11T16:17:03.000"/>
    <m/>
    <m/>
    <s v=""/>
    <n v="1"/>
    <s v="9"/>
    <s v="9"/>
    <n v="0"/>
    <n v="0"/>
    <n v="0"/>
    <n v="0"/>
    <n v="0"/>
    <n v="0"/>
    <n v="10"/>
    <n v="100"/>
    <n v="10"/>
  </r>
  <r>
    <s v="UCU29V2Jl2unpcOxm1kPDqmw"/>
    <s v="UCza8Jbus7GND3s3oCDVTJhA"/>
    <m/>
    <m/>
    <m/>
    <m/>
    <m/>
    <m/>
    <m/>
    <m/>
    <s v="Yes"/>
    <n v="584"/>
    <m/>
    <m/>
    <s v="Replied Comment"/>
    <x v="0"/>
    <s v="🐶"/>
    <s v="UCU29V2Jl2unpcOxm1kPDqmw"/>
    <s v="LADmob - UNSEEN walks"/>
    <s v="http://www.youtube.com/channel/UCU29V2Jl2unpcOxm1kPDqmw"/>
    <s v="UgyXx1U9PN41zeRk_d54AaABAg"/>
    <s v="i3Ac89nZ_tI"/>
    <s v="https://www.youtube.com/watch?v=i3Ac89nZ_tI"/>
    <s v="none"/>
    <n v="0"/>
    <x v="581"/>
    <d v="2020-11-11T23:38:39.000"/>
    <m/>
    <m/>
    <s v=""/>
    <n v="2"/>
    <s v="9"/>
    <s v="9"/>
    <n v="0"/>
    <n v="0"/>
    <n v="0"/>
    <n v="0"/>
    <n v="0"/>
    <n v="0"/>
    <n v="0"/>
    <n v="0"/>
    <n v="0"/>
  </r>
  <r>
    <s v="UCU29V2Jl2unpcOxm1kPDqmw"/>
    <s v="UCza8Jbus7GND3s3oCDVTJhA"/>
    <m/>
    <m/>
    <m/>
    <m/>
    <m/>
    <m/>
    <m/>
    <m/>
    <s v="Yes"/>
    <n v="585"/>
    <m/>
    <m/>
    <s v="Replied Comment"/>
    <x v="0"/>
    <s v="🐶"/>
    <s v="UCU29V2Jl2unpcOxm1kPDqmw"/>
    <s v="LADmob - UNSEEN walks"/>
    <s v="http://www.youtube.com/channel/UCU29V2Jl2unpcOxm1kPDqmw"/>
    <s v="UgyXx1U9PN41zeRk_d54AaABAg"/>
    <s v="i3Ac89nZ_tI"/>
    <s v="https://www.youtube.com/watch?v=i3Ac89nZ_tI"/>
    <s v="none"/>
    <n v="0"/>
    <x v="582"/>
    <d v="2020-11-11T23:38:41.000"/>
    <m/>
    <m/>
    <s v=""/>
    <n v="2"/>
    <s v="9"/>
    <s v="9"/>
    <n v="0"/>
    <n v="0"/>
    <n v="0"/>
    <n v="0"/>
    <n v="0"/>
    <n v="0"/>
    <n v="0"/>
    <n v="0"/>
    <n v="0"/>
  </r>
  <r>
    <s v="UCza8Jbus7GND3s3oCDVTJhA"/>
    <s v="UCU29V2Jl2unpcOxm1kPDqmw"/>
    <m/>
    <m/>
    <m/>
    <m/>
    <m/>
    <m/>
    <m/>
    <m/>
    <s v="Yes"/>
    <n v="586"/>
    <m/>
    <m/>
    <s v="Commented Video"/>
    <x v="1"/>
    <s v="Those plants will  never be caressed by the wind ..😢🍃🌴🍃🍃🌳🍃👏👏👍🤗"/>
    <s v="UCza8Jbus7GND3s3oCDVTJhA"/>
    <s v="annarita nardella"/>
    <s v="http://www.youtube.com/channel/UCza8Jbus7GND3s3oCDVTJhA"/>
    <m/>
    <s v="i3Ac89nZ_tI"/>
    <s v="https://www.youtube.com/watch?v=i3Ac89nZ_tI"/>
    <s v="none"/>
    <n v="0"/>
    <x v="583"/>
    <d v="2020-10-11T12:13:46.000"/>
    <m/>
    <m/>
    <s v=""/>
    <n v="1"/>
    <s v="9"/>
    <s v="9"/>
    <n v="0"/>
    <n v="0"/>
    <n v="0"/>
    <n v="0"/>
    <n v="0"/>
    <n v="0"/>
    <n v="9"/>
    <n v="100"/>
    <n v="9"/>
  </r>
  <r>
    <s v="UCU29V2Jl2unpcOxm1kPDqmw"/>
    <s v="UC_z4oJziNx-b_14cMN4j5SQ"/>
    <m/>
    <m/>
    <m/>
    <m/>
    <m/>
    <m/>
    <m/>
    <m/>
    <s v="Yes"/>
    <n v="587"/>
    <m/>
    <m/>
    <s v="Replied Comment"/>
    <x v="0"/>
    <s v="Glad you enjoyed it"/>
    <s v="UCU29V2Jl2unpcOxm1kPDqmw"/>
    <s v="LADmob - UNSEEN walks"/>
    <s v="http://www.youtube.com/channel/UCU29V2Jl2unpcOxm1kPDqmw"/>
    <s v="Ugx0CfvvHQAN_JT5KdV4AaABAg"/>
    <s v="i3Ac89nZ_tI"/>
    <s v="https://www.youtube.com/watch?v=i3Ac89nZ_tI"/>
    <s v="none"/>
    <n v="0"/>
    <x v="584"/>
    <d v="2020-11-11T12:26:21.000"/>
    <m/>
    <m/>
    <s v=""/>
    <n v="1"/>
    <s v="9"/>
    <s v="9"/>
    <n v="2"/>
    <n v="50"/>
    <n v="0"/>
    <n v="0"/>
    <n v="0"/>
    <n v="0"/>
    <n v="2"/>
    <n v="50"/>
    <n v="4"/>
  </r>
  <r>
    <s v="UC_z4oJziNx-b_14cMN4j5SQ"/>
    <s v="UCU29V2Jl2unpcOxm1kPDqmw"/>
    <m/>
    <m/>
    <m/>
    <m/>
    <m/>
    <m/>
    <m/>
    <m/>
    <s v="Yes"/>
    <n v="588"/>
    <m/>
    <m/>
    <s v="Commented Video"/>
    <x v="1"/>
    <s v="I am from the Canary Islands, I did not know that in England there is a Canarian garden, it&amp;#39;s great, thanks for sharing it on YouTube"/>
    <s v="UC_z4oJziNx-b_14cMN4j5SQ"/>
    <s v="CONY PEMO"/>
    <s v="http://www.youtube.com/channel/UC_z4oJziNx-b_14cMN4j5SQ"/>
    <m/>
    <s v="i3Ac89nZ_tI"/>
    <s v="https://www.youtube.com/watch?v=i3Ac89nZ_tI"/>
    <s v="none"/>
    <n v="0"/>
    <x v="585"/>
    <d v="2020-10-11T13:48:15.000"/>
    <m/>
    <m/>
    <s v=""/>
    <n v="1"/>
    <s v="9"/>
    <s v="9"/>
    <n v="1"/>
    <n v="3.5714285714285716"/>
    <n v="0"/>
    <n v="0"/>
    <n v="0"/>
    <n v="0"/>
    <n v="27"/>
    <n v="96.42857142857143"/>
    <n v="28"/>
  </r>
  <r>
    <s v="UCU29V2Jl2unpcOxm1kPDqmw"/>
    <s v="UC0-2AlkyVVIDIl20zMFzWXw"/>
    <m/>
    <m/>
    <m/>
    <m/>
    <m/>
    <m/>
    <m/>
    <m/>
    <s v="Yes"/>
    <n v="589"/>
    <m/>
    <m/>
    <s v="Replied Comment"/>
    <x v="0"/>
    <s v="nice one my friend"/>
    <s v="UCU29V2Jl2unpcOxm1kPDqmw"/>
    <s v="LADmob - UNSEEN walks"/>
    <s v="http://www.youtube.com/channel/UCU29V2Jl2unpcOxm1kPDqmw"/>
    <s v="UgwF3xLQMNdCNcgCqF94AaABAg"/>
    <s v="i3Ac89nZ_tI"/>
    <s v="https://www.youtube.com/watch?v=i3Ac89nZ_tI"/>
    <s v="none"/>
    <n v="0"/>
    <x v="586"/>
    <d v="2020-11-11T12:23:34.000"/>
    <m/>
    <m/>
    <s v=""/>
    <n v="1"/>
    <s v="9"/>
    <s v="9"/>
    <n v="1"/>
    <n v="25"/>
    <n v="0"/>
    <n v="0"/>
    <n v="0"/>
    <n v="0"/>
    <n v="3"/>
    <n v="75"/>
    <n v="4"/>
  </r>
  <r>
    <s v="UC0-2AlkyVVIDIl20zMFzWXw"/>
    <s v="UCU29V2Jl2unpcOxm1kPDqmw"/>
    <m/>
    <m/>
    <m/>
    <m/>
    <m/>
    <m/>
    <m/>
    <m/>
    <s v="Yes"/>
    <n v="590"/>
    <m/>
    <m/>
    <s v="Commented Video"/>
    <x v="1"/>
    <s v="I love  Canary wharf  as I  work there."/>
    <s v="UC0-2AlkyVVIDIl20zMFzWXw"/>
    <s v="Santakumari Chunduri"/>
    <s v="http://www.youtube.com/channel/UC0-2AlkyVVIDIl20zMFzWXw"/>
    <m/>
    <s v="i3Ac89nZ_tI"/>
    <s v="https://www.youtube.com/watch?v=i3Ac89nZ_tI"/>
    <s v="none"/>
    <n v="0"/>
    <x v="587"/>
    <d v="2020-10-11T17:29:01.000"/>
    <m/>
    <m/>
    <s v=""/>
    <n v="1"/>
    <s v="9"/>
    <s v="9"/>
    <n v="2"/>
    <n v="25"/>
    <n v="0"/>
    <n v="0"/>
    <n v="0"/>
    <n v="0"/>
    <n v="6"/>
    <n v="75"/>
    <n v="8"/>
  </r>
  <r>
    <s v="UCgnm8eOSP2muRSWY3JJqZ6Q"/>
    <s v="UCpGstId4PMmF5RGEavbz95A"/>
    <m/>
    <m/>
    <m/>
    <m/>
    <m/>
    <m/>
    <m/>
    <m/>
    <s v="Yes"/>
    <n v="591"/>
    <m/>
    <m/>
    <s v="Replied Comment"/>
    <x v="0"/>
    <s v="Thank you :)"/>
    <s v="UCgnm8eOSP2muRSWY3JJqZ6Q"/>
    <s v="In Search of Ambience"/>
    <s v="http://www.youtube.com/channel/UCgnm8eOSP2muRSWY3JJqZ6Q"/>
    <s v="Ugy_G69K0_Z2FwlbH7x4AaABAg"/>
    <s v="z_W3kQxvRqY"/>
    <s v="https://www.youtube.com/watch?v=z_W3kQxvRqY"/>
    <s v="none"/>
    <n v="0"/>
    <x v="588"/>
    <s v="24/09/2020 23:36:14"/>
    <m/>
    <m/>
    <s v=""/>
    <n v="1"/>
    <s v="9"/>
    <s v="9"/>
    <n v="1"/>
    <n v="50"/>
    <n v="0"/>
    <n v="0"/>
    <n v="0"/>
    <n v="0"/>
    <n v="1"/>
    <n v="50"/>
    <n v="2"/>
  </r>
  <r>
    <s v="UCpGstId4PMmF5RGEavbz95A"/>
    <s v="UCgnm8eOSP2muRSWY3JJqZ6Q"/>
    <m/>
    <m/>
    <m/>
    <m/>
    <m/>
    <m/>
    <m/>
    <m/>
    <s v="Yes"/>
    <n v="592"/>
    <m/>
    <m/>
    <s v="Commented Video"/>
    <x v="1"/>
    <s v="Wow very nice."/>
    <s v="UCpGstId4PMmF5RGEavbz95A"/>
    <s v="Imran Zazai"/>
    <s v="http://www.youtube.com/channel/UCpGstId4PMmF5RGEavbz95A"/>
    <m/>
    <s v="z_W3kQxvRqY"/>
    <s v="https://www.youtube.com/watch?v=z_W3kQxvRqY"/>
    <s v="none"/>
    <n v="1"/>
    <x v="589"/>
    <s v="24/09/2020 20:20:44"/>
    <m/>
    <m/>
    <s v=""/>
    <n v="1"/>
    <s v="9"/>
    <s v="9"/>
    <n v="2"/>
    <n v="66.66666666666667"/>
    <n v="0"/>
    <n v="0"/>
    <n v="0"/>
    <n v="0"/>
    <n v="1"/>
    <n v="33.333333333333336"/>
    <n v="3"/>
  </r>
  <r>
    <s v="UCU29V2Jl2unpcOxm1kPDqmw"/>
    <s v="UCpGstId4PMmF5RGEavbz95A"/>
    <m/>
    <m/>
    <m/>
    <m/>
    <m/>
    <m/>
    <m/>
    <m/>
    <s v="Yes"/>
    <n v="593"/>
    <m/>
    <m/>
    <s v="Replied Comment"/>
    <x v="0"/>
    <s v="Yes it was!"/>
    <s v="UCU29V2Jl2unpcOxm1kPDqmw"/>
    <s v="LADmob - UNSEEN walks"/>
    <s v="http://www.youtube.com/channel/UCU29V2Jl2unpcOxm1kPDqmw"/>
    <s v="UgzPKW0O2FWeOi_QnfB4AaABAg"/>
    <s v="i3Ac89nZ_tI"/>
    <s v="https://www.youtube.com/watch?v=i3Ac89nZ_tI"/>
    <s v="none"/>
    <n v="0"/>
    <x v="590"/>
    <d v="2020-11-11T12:11:54.000"/>
    <m/>
    <m/>
    <s v=""/>
    <n v="1"/>
    <s v="9"/>
    <s v="9"/>
    <n v="0"/>
    <n v="0"/>
    <n v="0"/>
    <n v="0"/>
    <n v="0"/>
    <n v="0"/>
    <n v="3"/>
    <n v="100"/>
    <n v="3"/>
  </r>
  <r>
    <s v="UCpGstId4PMmF5RGEavbz95A"/>
    <s v="UCU29V2Jl2unpcOxm1kPDqmw"/>
    <m/>
    <m/>
    <m/>
    <m/>
    <m/>
    <m/>
    <m/>
    <m/>
    <s v="Yes"/>
    <n v="594"/>
    <m/>
    <m/>
    <s v="Commented Video"/>
    <x v="1"/>
    <s v="What a nice."/>
    <s v="UCpGstId4PMmF5RGEavbz95A"/>
    <s v="Imran Zazai"/>
    <s v="http://www.youtube.com/channel/UCpGstId4PMmF5RGEavbz95A"/>
    <m/>
    <s v="i3Ac89nZ_tI"/>
    <s v="https://www.youtube.com/watch?v=i3Ac89nZ_tI"/>
    <s v="none"/>
    <n v="0"/>
    <x v="591"/>
    <d v="2020-11-11T05:00:14.000"/>
    <m/>
    <m/>
    <s v=""/>
    <n v="1"/>
    <s v="9"/>
    <s v="9"/>
    <n v="1"/>
    <n v="33.333333333333336"/>
    <n v="0"/>
    <n v="0"/>
    <n v="0"/>
    <n v="0"/>
    <n v="2"/>
    <n v="66.66666666666667"/>
    <n v="3"/>
  </r>
  <r>
    <s v="UCU29V2Jl2unpcOxm1kPDqmw"/>
    <s v="UC9aYwZBu_tBNxOMz2UKTOrw"/>
    <m/>
    <m/>
    <m/>
    <m/>
    <m/>
    <m/>
    <m/>
    <m/>
    <s v="Yes"/>
    <n v="595"/>
    <m/>
    <m/>
    <s v="Replied Comment"/>
    <x v="0"/>
    <s v="Thank you too"/>
    <s v="UCU29V2Jl2unpcOxm1kPDqmw"/>
    <s v="LADmob - UNSEEN walks"/>
    <s v="http://www.youtube.com/channel/UCU29V2Jl2unpcOxm1kPDqmw"/>
    <s v="UgydN74tkpo5PQfRqf94AaABAg"/>
    <s v="i3Ac89nZ_tI"/>
    <s v="https://www.youtube.com/watch?v=i3Ac89nZ_tI"/>
    <s v="none"/>
    <n v="0"/>
    <x v="592"/>
    <s v="13/11/2020 12:32:57"/>
    <m/>
    <m/>
    <s v=""/>
    <n v="1"/>
    <s v="9"/>
    <s v="9"/>
    <n v="1"/>
    <n v="33.333333333333336"/>
    <n v="0"/>
    <n v="0"/>
    <n v="0"/>
    <n v="0"/>
    <n v="2"/>
    <n v="66.66666666666667"/>
    <n v="3"/>
  </r>
  <r>
    <s v="UC9aYwZBu_tBNxOMz2UKTOrw"/>
    <s v="UCU29V2Jl2unpcOxm1kPDqmw"/>
    <m/>
    <m/>
    <m/>
    <m/>
    <m/>
    <m/>
    <m/>
    <m/>
    <s v="Yes"/>
    <n v="596"/>
    <m/>
    <m/>
    <s v="Commented Video"/>
    <x v="1"/>
    <s v="Beautiful video thanks for &lt;br&gt;sharing"/>
    <s v="UC9aYwZBu_tBNxOMz2UKTOrw"/>
    <s v="Sharifa's Lifestyle &amp; Cooking"/>
    <s v="http://www.youtube.com/channel/UC9aYwZBu_tBNxOMz2UKTOrw"/>
    <m/>
    <s v="i3Ac89nZ_tI"/>
    <s v="https://www.youtube.com/watch?v=i3Ac89nZ_tI"/>
    <s v="none"/>
    <n v="0"/>
    <x v="593"/>
    <d v="2020-12-11T12:04:55.000"/>
    <m/>
    <m/>
    <s v=""/>
    <n v="1"/>
    <s v="9"/>
    <s v="9"/>
    <n v="1"/>
    <n v="16.666666666666668"/>
    <n v="0"/>
    <n v="0"/>
    <n v="0"/>
    <n v="0"/>
    <n v="5"/>
    <n v="83.33333333333333"/>
    <n v="6"/>
  </r>
  <r>
    <s v="UCU29V2Jl2unpcOxm1kPDqmw"/>
    <s v="UCAp5XEq385osuzaIt6UNPkQ"/>
    <m/>
    <m/>
    <m/>
    <m/>
    <m/>
    <m/>
    <m/>
    <m/>
    <s v="Yes"/>
    <n v="597"/>
    <m/>
    <m/>
    <s v="Replied Comment"/>
    <x v="0"/>
    <s v="Ohh definitely i will go during the winter lights :) Thanks for the tip !"/>
    <s v="UCU29V2Jl2unpcOxm1kPDqmw"/>
    <s v="LADmob - UNSEEN walks"/>
    <s v="http://www.youtube.com/channel/UCU29V2Jl2unpcOxm1kPDqmw"/>
    <s v="UgwPUrwDsCZzqlKJ5NN4AaABAg"/>
    <s v="i3Ac89nZ_tI"/>
    <s v="https://www.youtube.com/watch?v=i3Ac89nZ_tI"/>
    <s v="none"/>
    <n v="1"/>
    <x v="594"/>
    <s v="13/11/2020 12:30:32"/>
    <m/>
    <m/>
    <s v=""/>
    <n v="1"/>
    <s v="9"/>
    <s v="9"/>
    <n v="0"/>
    <n v="0"/>
    <n v="0"/>
    <n v="0"/>
    <n v="0"/>
    <n v="0"/>
    <n v="13"/>
    <n v="100"/>
    <n v="13"/>
  </r>
  <r>
    <s v="UCAp5XEq385osuzaIt6UNPkQ"/>
    <s v="UCAp5XEq385osuzaIt6UNPkQ"/>
    <m/>
    <m/>
    <m/>
    <m/>
    <m/>
    <m/>
    <m/>
    <m/>
    <s v="No"/>
    <n v="598"/>
    <m/>
    <m/>
    <s v="Replied Comment"/>
    <x v="0"/>
    <s v="@LADmob - UNSEEN walks You&amp;#39;re welcome! You&amp;#39;ll love it 🙂"/>
    <s v="UCAp5XEq385osuzaIt6UNPkQ"/>
    <s v="En Harmony"/>
    <s v="http://www.youtube.com/channel/UCAp5XEq385osuzaIt6UNPkQ"/>
    <s v="UgwPUrwDsCZzqlKJ5NN4AaABAg"/>
    <s v="i3Ac89nZ_tI"/>
    <s v="https://www.youtube.com/watch?v=i3Ac89nZ_tI"/>
    <s v="none"/>
    <n v="0"/>
    <x v="595"/>
    <s v="13/11/2020 13:50:22"/>
    <m/>
    <m/>
    <s v=""/>
    <n v="1"/>
    <s v="9"/>
    <s v="9"/>
    <n v="2"/>
    <n v="16.666666666666668"/>
    <n v="0"/>
    <n v="0"/>
    <n v="0"/>
    <n v="0"/>
    <n v="10"/>
    <n v="83.33333333333333"/>
    <n v="12"/>
  </r>
  <r>
    <s v="UCAp5XEq385osuzaIt6UNPkQ"/>
    <s v="UCU29V2Jl2unpcOxm1kPDqmw"/>
    <m/>
    <m/>
    <m/>
    <m/>
    <m/>
    <m/>
    <m/>
    <m/>
    <s v="Yes"/>
    <n v="599"/>
    <m/>
    <m/>
    <s v="Commented Video"/>
    <x v="1"/>
    <s v="Thanks for this. I fell in love with the place last year when I stayed there for a month. The roof garden is just amazing.  You should go back for the winter lights they have there."/>
    <s v="UCAp5XEq385osuzaIt6UNPkQ"/>
    <s v="En Harmony"/>
    <s v="http://www.youtube.com/channel/UCAp5XEq385osuzaIt6UNPkQ"/>
    <m/>
    <s v="i3Ac89nZ_tI"/>
    <s v="https://www.youtube.com/watch?v=i3Ac89nZ_tI"/>
    <s v="none"/>
    <n v="0"/>
    <x v="596"/>
    <d v="2020-12-11T14:50:34.000"/>
    <m/>
    <m/>
    <s v=""/>
    <n v="1"/>
    <s v="9"/>
    <s v="9"/>
    <n v="2"/>
    <n v="5.555555555555555"/>
    <n v="1"/>
    <n v="2.7777777777777777"/>
    <n v="0"/>
    <n v="0"/>
    <n v="33"/>
    <n v="91.66666666666667"/>
    <n v="36"/>
  </r>
  <r>
    <s v="UCU29V2Jl2unpcOxm1kPDqmw"/>
    <s v="UCEIFtzIuCgX9eaBh1mcf0uw"/>
    <m/>
    <m/>
    <m/>
    <m/>
    <m/>
    <m/>
    <m/>
    <m/>
    <s v="Yes"/>
    <n v="600"/>
    <m/>
    <m/>
    <s v="Replied Comment"/>
    <x v="0"/>
    <s v="Glad you enjoyed it"/>
    <s v="UCU29V2Jl2unpcOxm1kPDqmw"/>
    <s v="LADmob - UNSEEN walks"/>
    <s v="http://www.youtube.com/channel/UCU29V2Jl2unpcOxm1kPDqmw"/>
    <s v="UgwQDjdRmozlJoERPs14AaABAg"/>
    <s v="i3Ac89nZ_tI"/>
    <s v="https://www.youtube.com/watch?v=i3Ac89nZ_tI"/>
    <s v="none"/>
    <n v="0"/>
    <x v="597"/>
    <s v="13/11/2020 12:26:03"/>
    <m/>
    <m/>
    <s v=""/>
    <n v="1"/>
    <s v="9"/>
    <s v="9"/>
    <n v="2"/>
    <n v="50"/>
    <n v="0"/>
    <n v="0"/>
    <n v="0"/>
    <n v="0"/>
    <n v="2"/>
    <n v="50"/>
    <n v="4"/>
  </r>
  <r>
    <s v="UCEIFtzIuCgX9eaBh1mcf0uw"/>
    <s v="UCU29V2Jl2unpcOxm1kPDqmw"/>
    <m/>
    <m/>
    <m/>
    <m/>
    <m/>
    <m/>
    <m/>
    <m/>
    <s v="Yes"/>
    <n v="601"/>
    <m/>
    <m/>
    <s v="Commented Video"/>
    <x v="1"/>
    <s v="Another lovely day to walk with you.🍺👑"/>
    <s v="UCEIFtzIuCgX9eaBh1mcf0uw"/>
    <s v="SHOEWALKER - FreeTour"/>
    <s v="http://www.youtube.com/channel/UCEIFtzIuCgX9eaBh1mcf0uw"/>
    <m/>
    <s v="i3Ac89nZ_tI"/>
    <s v="https://www.youtube.com/watch?v=i3Ac89nZ_tI"/>
    <s v="none"/>
    <n v="1"/>
    <x v="598"/>
    <s v="13/11/2020 06:12:46"/>
    <m/>
    <m/>
    <s v=""/>
    <n v="1"/>
    <s v="9"/>
    <s v="9"/>
    <n v="1"/>
    <n v="14.285714285714286"/>
    <n v="0"/>
    <n v="0"/>
    <n v="0"/>
    <n v="0"/>
    <n v="6"/>
    <n v="85.71428571428571"/>
    <n v="7"/>
  </r>
  <r>
    <s v="UCbbx7msYKamwOeRUkaqCTAQ"/>
    <s v="UCAjXxpardFUDo42i7VFrDew"/>
    <m/>
    <m/>
    <m/>
    <m/>
    <m/>
    <m/>
    <m/>
    <m/>
    <s v="Yes"/>
    <n v="602"/>
    <m/>
    <m/>
    <s v="Replied Comment"/>
    <x v="0"/>
    <s v="Thanks for your comment 👍"/>
    <s v="UCbbx7msYKamwOeRUkaqCTAQ"/>
    <s v="Geek Street Travels"/>
    <s v="http://www.youtube.com/channel/UCbbx7msYKamwOeRUkaqCTAQ"/>
    <s v="UgwAvSI5-KsdpSsWoMZ4AaABAg"/>
    <s v="-0Iauhp_Kug"/>
    <s v="https://www.youtube.com/watch?v=-0Iauhp_Kug"/>
    <s v="none"/>
    <n v="0"/>
    <x v="599"/>
    <d v="2020-12-05T22:23:24.000"/>
    <m/>
    <m/>
    <s v=""/>
    <n v="1"/>
    <s v="5"/>
    <s v="9"/>
    <n v="0"/>
    <n v="0"/>
    <n v="0"/>
    <n v="0"/>
    <n v="0"/>
    <n v="0"/>
    <n v="4"/>
    <n v="100"/>
    <n v="4"/>
  </r>
  <r>
    <s v="UCAjXxpardFUDo42i7VFrDew"/>
    <s v="UCAjXxpardFUDo42i7VFrDew"/>
    <m/>
    <m/>
    <m/>
    <m/>
    <m/>
    <m/>
    <m/>
    <m/>
    <s v="No"/>
    <n v="603"/>
    <m/>
    <m/>
    <s v="Replied Comment"/>
    <x v="0"/>
    <s v="@Geek Street Travels you&amp;#39;re welcome"/>
    <s v="UCAjXxpardFUDo42i7VFrDew"/>
    <s v="jecris channel"/>
    <s v="http://www.youtube.com/channel/UCAjXxpardFUDo42i7VFrDew"/>
    <s v="UgwAvSI5-KsdpSsWoMZ4AaABAg"/>
    <s v="-0Iauhp_Kug"/>
    <s v="https://www.youtube.com/watch?v=-0Iauhp_Kug"/>
    <s v="none"/>
    <n v="0"/>
    <x v="600"/>
    <s v="13/05/2020 07:05:47"/>
    <m/>
    <m/>
    <s v=""/>
    <n v="1"/>
    <s v="9"/>
    <s v="9"/>
    <n v="1"/>
    <n v="14.285714285714286"/>
    <n v="0"/>
    <n v="0"/>
    <n v="0"/>
    <n v="0"/>
    <n v="6"/>
    <n v="85.71428571428571"/>
    <n v="7"/>
  </r>
  <r>
    <s v="UCAjXxpardFUDo42i7VFrDew"/>
    <s v="UCbbx7msYKamwOeRUkaqCTAQ"/>
    <m/>
    <m/>
    <m/>
    <m/>
    <m/>
    <m/>
    <m/>
    <m/>
    <s v="Yes"/>
    <n v="604"/>
    <m/>
    <m/>
    <s v="Commented Video"/>
    <x v="1"/>
    <s v="wow very beautiful roof top garden and the view is really fantastic!. have a nice day"/>
    <s v="UCAjXxpardFUDo42i7VFrDew"/>
    <s v="jecris channel"/>
    <s v="http://www.youtube.com/channel/UCAjXxpardFUDo42i7VFrDew"/>
    <m/>
    <s v="-0Iauhp_Kug"/>
    <s v="https://www.youtube.com/watch?v=-0Iauhp_Kug"/>
    <s v="none"/>
    <n v="1"/>
    <x v="601"/>
    <d v="2020-11-05T10:44:22.000"/>
    <m/>
    <m/>
    <s v=""/>
    <n v="1"/>
    <s v="9"/>
    <s v="5"/>
    <n v="5"/>
    <n v="31.25"/>
    <n v="0"/>
    <n v="0"/>
    <n v="0"/>
    <n v="0"/>
    <n v="11"/>
    <n v="68.75"/>
    <n v="16"/>
  </r>
  <r>
    <s v="UCU29V2Jl2unpcOxm1kPDqmw"/>
    <s v="UCAjXxpardFUDo42i7VFrDew"/>
    <m/>
    <m/>
    <m/>
    <m/>
    <m/>
    <m/>
    <m/>
    <m/>
    <s v="Yes"/>
    <n v="605"/>
    <m/>
    <m/>
    <s v="Replied Comment"/>
    <x v="0"/>
    <s v="Thank you! You too!"/>
    <s v="UCU29V2Jl2unpcOxm1kPDqmw"/>
    <s v="LADmob - UNSEEN walks"/>
    <s v="http://www.youtube.com/channel/UCU29V2Jl2unpcOxm1kPDqmw"/>
    <s v="Ugz-SVuIOcvEDAhz3el4AaABAg"/>
    <s v="i3Ac89nZ_tI"/>
    <s v="https://www.youtube.com/watch?v=i3Ac89nZ_tI"/>
    <s v="none"/>
    <n v="0"/>
    <x v="602"/>
    <s v="13/11/2020 19:34:56"/>
    <m/>
    <m/>
    <s v=""/>
    <n v="1"/>
    <s v="9"/>
    <s v="9"/>
    <n v="1"/>
    <n v="25"/>
    <n v="0"/>
    <n v="0"/>
    <n v="0"/>
    <n v="0"/>
    <n v="3"/>
    <n v="75"/>
    <n v="4"/>
  </r>
  <r>
    <s v="UCAjXxpardFUDo42i7VFrDew"/>
    <s v="UCU29V2Jl2unpcOxm1kPDqmw"/>
    <m/>
    <m/>
    <m/>
    <m/>
    <m/>
    <m/>
    <m/>
    <m/>
    <s v="Yes"/>
    <n v="606"/>
    <m/>
    <m/>
    <s v="Commented Video"/>
    <x v="1"/>
    <s v="impressive view, thank you for this wonderful video. have a nice day"/>
    <s v="UCAjXxpardFUDo42i7VFrDew"/>
    <s v="jecris channel"/>
    <s v="http://www.youtube.com/channel/UCAjXxpardFUDo42i7VFrDew"/>
    <m/>
    <s v="i3Ac89nZ_tI"/>
    <s v="https://www.youtube.com/watch?v=i3Ac89nZ_tI"/>
    <s v="none"/>
    <n v="1"/>
    <x v="603"/>
    <s v="13/11/2020 14:46:20"/>
    <m/>
    <m/>
    <s v=""/>
    <n v="1"/>
    <s v="9"/>
    <s v="9"/>
    <n v="4"/>
    <n v="33.333333333333336"/>
    <n v="0"/>
    <n v="0"/>
    <n v="0"/>
    <n v="0"/>
    <n v="8"/>
    <n v="66.66666666666667"/>
    <n v="12"/>
  </r>
  <r>
    <s v="UCU29V2Jl2unpcOxm1kPDqmw"/>
    <s v="UCsfazTT7oD8it_nvwSmxI1w"/>
    <m/>
    <m/>
    <m/>
    <m/>
    <m/>
    <m/>
    <m/>
    <m/>
    <s v="Yes"/>
    <n v="607"/>
    <m/>
    <m/>
    <s v="Replied Comment"/>
    <x v="0"/>
    <s v="That is awesome!"/>
    <s v="UCU29V2Jl2unpcOxm1kPDqmw"/>
    <s v="LADmob - UNSEEN walks"/>
    <s v="http://www.youtube.com/channel/UCU29V2Jl2unpcOxm1kPDqmw"/>
    <s v="Ugx6sQAELj9Kwf-StEN4AaABAg"/>
    <s v="i3Ac89nZ_tI"/>
    <s v="https://www.youtube.com/watch?v=i3Ac89nZ_tI"/>
    <s v="none"/>
    <n v="1"/>
    <x v="604"/>
    <s v="14/11/2020 11:35:52"/>
    <m/>
    <m/>
    <s v=""/>
    <n v="1"/>
    <s v="9"/>
    <s v="9"/>
    <n v="1"/>
    <n v="33.333333333333336"/>
    <n v="0"/>
    <n v="0"/>
    <n v="0"/>
    <n v="0"/>
    <n v="2"/>
    <n v="66.66666666666667"/>
    <n v="3"/>
  </r>
  <r>
    <s v="UCsfazTT7oD8it_nvwSmxI1w"/>
    <s v="UCU29V2Jl2unpcOxm1kPDqmw"/>
    <m/>
    <m/>
    <m/>
    <m/>
    <m/>
    <m/>
    <m/>
    <m/>
    <s v="Yes"/>
    <n v="608"/>
    <m/>
    <m/>
    <s v="Commented Video"/>
    <x v="1"/>
    <s v="Thanks for sharing! My new apartment will be at 10 George Street, and my new corporate offices on the 34th floor of One Canada Square :-)"/>
    <s v="UCsfazTT7oD8it_nvwSmxI1w"/>
    <s v="Gary English"/>
    <s v="http://www.youtube.com/channel/UCsfazTT7oD8it_nvwSmxI1w"/>
    <m/>
    <s v="i3Ac89nZ_tI"/>
    <s v="https://www.youtube.com/watch?v=i3Ac89nZ_tI"/>
    <s v="none"/>
    <n v="1"/>
    <x v="605"/>
    <s v="13/11/2020 21:55:22"/>
    <m/>
    <m/>
    <s v=""/>
    <n v="1"/>
    <s v="9"/>
    <s v="9"/>
    <n v="0"/>
    <n v="0"/>
    <n v="0"/>
    <n v="0"/>
    <n v="0"/>
    <n v="0"/>
    <n v="25"/>
    <n v="100"/>
    <n v="25"/>
  </r>
  <r>
    <s v="UCU29V2Jl2unpcOxm1kPDqmw"/>
    <s v="UCUxKLrOoCtzXeIrj26RBhRg"/>
    <m/>
    <m/>
    <m/>
    <m/>
    <m/>
    <m/>
    <m/>
    <m/>
    <s v="Yes"/>
    <n v="609"/>
    <m/>
    <m/>
    <s v="Replied Comment"/>
    <x v="0"/>
    <s v="Youre lucky to see every day this beautiful landscape :)"/>
    <s v="UCU29V2Jl2unpcOxm1kPDqmw"/>
    <s v="LADmob - UNSEEN walks"/>
    <s v="http://www.youtube.com/channel/UCU29V2Jl2unpcOxm1kPDqmw"/>
    <s v="Ugy-ngFK-l9r9y5IM_x4AaABAg"/>
    <s v="i3Ac89nZ_tI"/>
    <s v="https://www.youtube.com/watch?v=i3Ac89nZ_tI"/>
    <s v="none"/>
    <n v="0"/>
    <x v="606"/>
    <s v="17/11/2020 09:51:43"/>
    <m/>
    <m/>
    <s v=""/>
    <n v="1"/>
    <s v="9"/>
    <s v="9"/>
    <n v="2"/>
    <n v="22.22222222222222"/>
    <n v="0"/>
    <n v="0"/>
    <n v="0"/>
    <n v="0"/>
    <n v="7"/>
    <n v="77.77777777777777"/>
    <n v="9"/>
  </r>
  <r>
    <s v="UCUxKLrOoCtzXeIrj26RBhRg"/>
    <s v="UCU29V2Jl2unpcOxm1kPDqmw"/>
    <m/>
    <m/>
    <m/>
    <m/>
    <m/>
    <m/>
    <m/>
    <m/>
    <s v="Yes"/>
    <n v="610"/>
    <m/>
    <m/>
    <s v="Commented Video"/>
    <x v="1"/>
    <s v="I live here and it’s gorgeous"/>
    <s v="UCUxKLrOoCtzXeIrj26RBhRg"/>
    <s v="Violin Star"/>
    <s v="http://www.youtube.com/channel/UCUxKLrOoCtzXeIrj26RBhRg"/>
    <m/>
    <s v="i3Ac89nZ_tI"/>
    <s v="https://www.youtube.com/watch?v=i3Ac89nZ_tI"/>
    <s v="none"/>
    <n v="0"/>
    <x v="607"/>
    <s v="16/11/2020 04:44:11"/>
    <m/>
    <m/>
    <s v=""/>
    <n v="1"/>
    <s v="9"/>
    <s v="9"/>
    <n v="1"/>
    <n v="14.285714285714286"/>
    <n v="0"/>
    <n v="0"/>
    <n v="0"/>
    <n v="0"/>
    <n v="6"/>
    <n v="85.71428571428571"/>
    <n v="7"/>
  </r>
  <r>
    <s v="UCkV5aB0866koPMXuqWaUK5A"/>
    <s v="UCU29V2Jl2unpcOxm1kPDqmw"/>
    <m/>
    <m/>
    <m/>
    <m/>
    <m/>
    <m/>
    <m/>
    <m/>
    <s v="No"/>
    <n v="611"/>
    <m/>
    <m/>
    <s v="Commented Video"/>
    <x v="1"/>
    <s v="Thank you for sharing 💂🏻‍♂️👍🏻"/>
    <s v="UCkV5aB0866koPMXuqWaUK5A"/>
    <s v="Pablo Amat Gómez"/>
    <s v="http://www.youtube.com/channel/UCkV5aB0866koPMXuqWaUK5A"/>
    <m/>
    <s v="i3Ac89nZ_tI"/>
    <s v="https://www.youtube.com/watch?v=i3Ac89nZ_tI"/>
    <s v="none"/>
    <n v="0"/>
    <x v="608"/>
    <s v="22/02/2021 22:55:04"/>
    <m/>
    <m/>
    <s v=""/>
    <n v="1"/>
    <s v="9"/>
    <s v="9"/>
    <n v="1"/>
    <n v="25"/>
    <n v="0"/>
    <n v="0"/>
    <n v="0"/>
    <n v="0"/>
    <n v="3"/>
    <n v="75"/>
    <n v="4"/>
  </r>
  <r>
    <s v="UCF0lvofNehz94_Ve-leaFOg"/>
    <s v="UC2n4MvLJDH2-GWzjJrC58Zw"/>
    <m/>
    <m/>
    <m/>
    <m/>
    <m/>
    <m/>
    <m/>
    <m/>
    <s v="No"/>
    <n v="612"/>
    <m/>
    <m/>
    <s v="Commented Video"/>
    <x v="1"/>
    <s v="I&amp;#39;ll drink with you 🍷🥃"/>
    <s v="UCF0lvofNehz94_Ve-leaFOg"/>
    <s v="Timinenfield"/>
    <s v="http://www.youtube.com/channel/UCF0lvofNehz94_Ve-leaFOg"/>
    <m/>
    <s v="80f3JVN05YQ"/>
    <s v="https://www.youtube.com/watch?v=80f3JVN05YQ"/>
    <s v="none"/>
    <n v="2"/>
    <x v="609"/>
    <s v="15/08/2019 20:06:19"/>
    <m/>
    <m/>
    <s v=""/>
    <n v="1"/>
    <s v="3"/>
    <s v="3"/>
    <n v="0"/>
    <n v="0"/>
    <n v="0"/>
    <n v="0"/>
    <n v="0"/>
    <n v="0"/>
    <n v="6"/>
    <n v="100"/>
    <n v="6"/>
  </r>
  <r>
    <s v="UC2n4MvLJDH2-GWzjJrC58Zw"/>
    <s v="UCwWgsffHym9QQvqk9Okygfg"/>
    <m/>
    <m/>
    <m/>
    <m/>
    <m/>
    <m/>
    <m/>
    <m/>
    <s v="Yes"/>
    <n v="613"/>
    <m/>
    <m/>
    <s v="Replied Comment"/>
    <x v="0"/>
    <s v="Lol!"/>
    <s v="UC2n4MvLJDH2-GWzjJrC58Zw"/>
    <s v="Love and London"/>
    <s v="http://www.youtube.com/channel/UC2n4MvLJDH2-GWzjJrC58Zw"/>
    <s v="UgxcCPkdpJi5zS_pUal4AaABAg"/>
    <s v="80f3JVN05YQ"/>
    <s v="https://www.youtube.com/watch?v=80f3JVN05YQ"/>
    <s v="none"/>
    <n v="0"/>
    <x v="610"/>
    <s v="15/08/2019 20:58:36"/>
    <m/>
    <m/>
    <s v=""/>
    <n v="1"/>
    <s v="3"/>
    <s v="3"/>
    <n v="0"/>
    <n v="0"/>
    <n v="0"/>
    <n v="0"/>
    <n v="0"/>
    <n v="0"/>
    <n v="1"/>
    <n v="100"/>
    <n v="1"/>
  </r>
  <r>
    <s v="UCwWgsffHym9QQvqk9Okygfg"/>
    <s v="UC2n4MvLJDH2-GWzjJrC58Zw"/>
    <m/>
    <m/>
    <m/>
    <m/>
    <m/>
    <m/>
    <m/>
    <m/>
    <s v="Yes"/>
    <n v="614"/>
    <m/>
    <m/>
    <s v="Commented Video"/>
    <x v="1"/>
    <s v="All these summer videos are convincing my wife that summer would be a good time to visit!  Way to go Jess! :)"/>
    <s v="UCwWgsffHym9QQvqk9Okygfg"/>
    <s v="DrBrazell"/>
    <s v="http://www.youtube.com/channel/UCwWgsffHym9QQvqk9Okygfg"/>
    <m/>
    <s v="80f3JVN05YQ"/>
    <s v="https://www.youtube.com/watch?v=80f3JVN05YQ"/>
    <s v="none"/>
    <n v="0"/>
    <x v="611"/>
    <s v="15/08/2019 20:09:33"/>
    <m/>
    <m/>
    <s v=""/>
    <n v="1"/>
    <s v="3"/>
    <s v="3"/>
    <n v="2"/>
    <n v="9.523809523809524"/>
    <n v="0"/>
    <n v="0"/>
    <n v="0"/>
    <n v="0"/>
    <n v="19"/>
    <n v="90.47619047619048"/>
    <n v="21"/>
  </r>
  <r>
    <s v="UC2n4MvLJDH2-GWzjJrC58Zw"/>
    <s v="UCAFg786w2v991zsc8BNQagA"/>
    <m/>
    <m/>
    <m/>
    <m/>
    <m/>
    <m/>
    <m/>
    <m/>
    <s v="Yes"/>
    <n v="615"/>
    <m/>
    <m/>
    <s v="Replied Comment"/>
    <x v="0"/>
    <s v="Thanks!"/>
    <s v="UC2n4MvLJDH2-GWzjJrC58Zw"/>
    <s v="Love and London"/>
    <s v="http://www.youtube.com/channel/UC2n4MvLJDH2-GWzjJrC58Zw"/>
    <s v="UgyLD5NkcYDJ-i68ODN4AaABAg"/>
    <s v="80f3JVN05YQ"/>
    <s v="https://www.youtube.com/watch?v=80f3JVN05YQ"/>
    <s v="none"/>
    <n v="0"/>
    <x v="612"/>
    <s v="15/08/2019 20:58:17"/>
    <m/>
    <m/>
    <s v=""/>
    <n v="1"/>
    <s v="3"/>
    <s v="3"/>
    <n v="0"/>
    <n v="0"/>
    <n v="0"/>
    <n v="0"/>
    <n v="0"/>
    <n v="0"/>
    <n v="1"/>
    <n v="100"/>
    <n v="1"/>
  </r>
  <r>
    <s v="UCAFg786w2v991zsc8BNQagA"/>
    <s v="UC2n4MvLJDH2-GWzjJrC58Zw"/>
    <m/>
    <m/>
    <m/>
    <m/>
    <m/>
    <m/>
    <m/>
    <m/>
    <s v="Yes"/>
    <n v="616"/>
    <m/>
    <m/>
    <s v="Commented Video"/>
    <x v="1"/>
    <s v="I learn more about London after being there thanks to you"/>
    <s v="UCAFg786w2v991zsc8BNQagA"/>
    <s v="Lennart Beat"/>
    <s v="http://www.youtube.com/channel/UCAFg786w2v991zsc8BNQagA"/>
    <m/>
    <s v="80f3JVN05YQ"/>
    <s v="https://www.youtube.com/watch?v=80f3JVN05YQ"/>
    <s v="none"/>
    <n v="3"/>
    <x v="613"/>
    <s v="15/08/2019 20:10:50"/>
    <m/>
    <m/>
    <s v=""/>
    <n v="1"/>
    <s v="3"/>
    <s v="3"/>
    <n v="0"/>
    <n v="0"/>
    <n v="0"/>
    <n v="0"/>
    <n v="0"/>
    <n v="0"/>
    <n v="11"/>
    <n v="100"/>
    <n v="11"/>
  </r>
  <r>
    <s v="UCX8SRjJqk4N5n_8bjR3cPTA"/>
    <s v="UC2n4MvLJDH2-GWzjJrC58Zw"/>
    <m/>
    <m/>
    <m/>
    <m/>
    <m/>
    <m/>
    <m/>
    <m/>
    <s v="No"/>
    <n v="617"/>
    <m/>
    <m/>
    <s v="Commented Video"/>
    <x v="1"/>
    <s v="Hi, Jess, a fun and interesting video. That looked really hard work having to visit all those rooftop bars and have a drink in each. Looking forward to your next video soon."/>
    <s v="UCX8SRjJqk4N5n_8bjR3cPTA"/>
    <s v="Stephen Parker"/>
    <s v="http://www.youtube.com/channel/UCX8SRjJqk4N5n_8bjR3cPTA"/>
    <m/>
    <s v="80f3JVN05YQ"/>
    <s v="https://www.youtube.com/watch?v=80f3JVN05YQ"/>
    <s v="none"/>
    <n v="2"/>
    <x v="614"/>
    <s v="15/08/2019 20:10:51"/>
    <m/>
    <m/>
    <s v=""/>
    <n v="1"/>
    <s v="3"/>
    <s v="3"/>
    <n v="3"/>
    <n v="9.375"/>
    <n v="1"/>
    <n v="3.125"/>
    <n v="0"/>
    <n v="0"/>
    <n v="28"/>
    <n v="87.5"/>
    <n v="32"/>
  </r>
  <r>
    <s v="UC2n4MvLJDH2-GWzjJrC58Zw"/>
    <s v="UCUkIaf_z6ea1ajCOi6u5Xpw"/>
    <m/>
    <m/>
    <m/>
    <m/>
    <m/>
    <m/>
    <m/>
    <m/>
    <s v="Yes"/>
    <n v="618"/>
    <m/>
    <m/>
    <s v="Replied Comment"/>
    <x v="0"/>
    <s v="Yup there is! A rooftop cinema."/>
    <s v="UC2n4MvLJDH2-GWzjJrC58Zw"/>
    <s v="Love and London"/>
    <s v="http://www.youtube.com/channel/UC2n4MvLJDH2-GWzjJrC58Zw"/>
    <s v="UgynxNny4ZUkhxP8jnB4AaABAg"/>
    <s v="80f3JVN05YQ"/>
    <s v="https://www.youtube.com/watch?v=80f3JVN05YQ"/>
    <s v="none"/>
    <n v="0"/>
    <x v="615"/>
    <s v="15/08/2019 20:58:04"/>
    <m/>
    <m/>
    <s v=""/>
    <n v="1"/>
    <s v="3"/>
    <s v="3"/>
    <n v="0"/>
    <n v="0"/>
    <n v="0"/>
    <n v="0"/>
    <n v="0"/>
    <n v="0"/>
    <n v="6"/>
    <n v="100"/>
    <n v="6"/>
  </r>
  <r>
    <s v="UCUkIaf_z6ea1ajCOi6u5Xpw"/>
    <s v="UC2n4MvLJDH2-GWzjJrC58Zw"/>
    <m/>
    <m/>
    <m/>
    <m/>
    <m/>
    <m/>
    <m/>
    <m/>
    <s v="Yes"/>
    <n v="619"/>
    <m/>
    <m/>
    <s v="Commented Video"/>
    <x v="1"/>
    <s v="I just came back from London after doing a Shakespeare study abroad. Stayed in Stratford and stumbled upon Roof East. Definitely a place to check out and party. I believe there is a theater up there as well."/>
    <s v="UCUkIaf_z6ea1ajCOi6u5Xpw"/>
    <s v="Beefstu808"/>
    <s v="http://www.youtube.com/channel/UCUkIaf_z6ea1ajCOi6u5Xpw"/>
    <m/>
    <s v="80f3JVN05YQ"/>
    <s v="https://www.youtube.com/watch?v=80f3JVN05YQ"/>
    <s v="none"/>
    <n v="0"/>
    <x v="616"/>
    <s v="15/08/2019 20:33:39"/>
    <m/>
    <m/>
    <s v=""/>
    <n v="1"/>
    <s v="3"/>
    <s v="3"/>
    <n v="1"/>
    <n v="2.6315789473684212"/>
    <n v="1"/>
    <n v="2.6315789473684212"/>
    <n v="0"/>
    <n v="0"/>
    <n v="36"/>
    <n v="94.73684210526316"/>
    <n v="38"/>
  </r>
  <r>
    <s v="UCYwdQkLEUnQ_bEoPdA5vYuQ"/>
    <s v="UCgdFUdO62xb3WG9XyV2ZBwg"/>
    <m/>
    <m/>
    <m/>
    <m/>
    <m/>
    <m/>
    <m/>
    <m/>
    <s v="No"/>
    <n v="620"/>
    <m/>
    <m/>
    <s v="Replied Comment"/>
    <x v="0"/>
    <s v="It rains a lot"/>
    <s v="UCYwdQkLEUnQ_bEoPdA5vYuQ"/>
    <s v="jacob harris"/>
    <s v="http://www.youtube.com/channel/UCYwdQkLEUnQ_bEoPdA5vYuQ"/>
    <s v="UgzZyuMbnN2QEIrHydx4AaABAg"/>
    <s v="80f3JVN05YQ"/>
    <s v="https://www.youtube.com/watch?v=80f3JVN05YQ"/>
    <s v="none"/>
    <n v="1"/>
    <x v="617"/>
    <s v="19/08/2019 03:26:20"/>
    <m/>
    <m/>
    <s v=""/>
    <n v="1"/>
    <s v="3"/>
    <s v="3"/>
    <n v="0"/>
    <n v="0"/>
    <n v="0"/>
    <n v="0"/>
    <n v="0"/>
    <n v="0"/>
    <n v="4"/>
    <n v="100"/>
    <n v="4"/>
  </r>
  <r>
    <s v="UC7W2nvuM1ObIBI5jW0TWYhw"/>
    <s v="UC2n4MvLJDH2-GWzjJrC58Zw"/>
    <m/>
    <m/>
    <m/>
    <m/>
    <m/>
    <m/>
    <m/>
    <m/>
    <s v="No"/>
    <n v="621"/>
    <m/>
    <m/>
    <s v="Commented Video"/>
    <x v="1"/>
    <s v="Enjoying this channel! Didn’t know about 2 of these quirky bars."/>
    <s v="UC7W2nvuM1ObIBI5jW0TWYhw"/>
    <s v="Mark Monroe"/>
    <s v="http://www.youtube.com/channel/UC7W2nvuM1ObIBI5jW0TWYhw"/>
    <m/>
    <s v="80f3JVN05YQ"/>
    <s v="https://www.youtube.com/watch?v=80f3JVN05YQ"/>
    <s v="none"/>
    <n v="0"/>
    <x v="618"/>
    <s v="15/08/2019 21:05:48"/>
    <m/>
    <m/>
    <s v=""/>
    <n v="1"/>
    <s v="3"/>
    <s v="3"/>
    <n v="1"/>
    <n v="8.333333333333334"/>
    <n v="0"/>
    <n v="0"/>
    <n v="0"/>
    <n v="0"/>
    <n v="11"/>
    <n v="91.66666666666667"/>
    <n v="12"/>
  </r>
  <r>
    <s v="UC7hrfW1H_cIIvcg_IeCK2iA"/>
    <s v="UCXK84B42lKBOwSQz4uBPy6A"/>
    <m/>
    <m/>
    <m/>
    <m/>
    <m/>
    <m/>
    <m/>
    <m/>
    <s v="No"/>
    <n v="622"/>
    <m/>
    <m/>
    <s v="Replied Comment"/>
    <x v="0"/>
    <s v="Ha, i grew up in London, don&amp;#39;t worry that&amp;#39;s normal weather😁...that&amp;#39;s why i headed to Spain.."/>
    <s v="UC7hrfW1H_cIIvcg_IeCK2iA"/>
    <s v="OjosAzules 88"/>
    <s v="http://www.youtube.com/channel/UC7hrfW1H_cIIvcg_IeCK2iA"/>
    <s v="UgyDbkvZhvrSyaVpzqx4AaABAg"/>
    <s v="80f3JVN05YQ"/>
    <s v="https://www.youtube.com/watch?v=80f3JVN05YQ"/>
    <s v="none"/>
    <n v="0"/>
    <x v="619"/>
    <s v="15/08/2019 22:00:04"/>
    <m/>
    <m/>
    <s v=""/>
    <n v="1"/>
    <s v="3"/>
    <s v="3"/>
    <n v="0"/>
    <n v="0"/>
    <n v="1"/>
    <n v="4.3478260869565215"/>
    <n v="0"/>
    <n v="0"/>
    <n v="22"/>
    <n v="95.65217391304348"/>
    <n v="23"/>
  </r>
  <r>
    <s v="UCXK84B42lKBOwSQz4uBPy6A"/>
    <s v="UCXK84B42lKBOwSQz4uBPy6A"/>
    <m/>
    <m/>
    <m/>
    <m/>
    <m/>
    <m/>
    <m/>
    <m/>
    <s v="No"/>
    <n v="623"/>
    <m/>
    <m/>
    <s v="Replied Comment"/>
    <x v="0"/>
    <s v="Rob España88 I just got here. 🛫✈️🛬 I just came here from Phoenix, so I’m not used to seeing rain. 🤣"/>
    <s v="UCXK84B42lKBOwSQz4uBPy6A"/>
    <s v="Marin Angelov"/>
    <s v="http://www.youtube.com/channel/UCXK84B42lKBOwSQz4uBPy6A"/>
    <s v="UgyDbkvZhvrSyaVpzqx4AaABAg"/>
    <s v="80f3JVN05YQ"/>
    <s v="https://www.youtube.com/watch?v=80f3JVN05YQ"/>
    <s v="none"/>
    <n v="0"/>
    <x v="620"/>
    <s v="16/08/2019 00:13:46"/>
    <m/>
    <m/>
    <s v=""/>
    <n v="2"/>
    <s v="3"/>
    <s v="3"/>
    <n v="0"/>
    <n v="0"/>
    <n v="0"/>
    <n v="0"/>
    <n v="0"/>
    <n v="0"/>
    <n v="20"/>
    <n v="100"/>
    <n v="20"/>
  </r>
  <r>
    <s v="UC2n4MvLJDH2-GWzjJrC58Zw"/>
    <s v="UCXK84B42lKBOwSQz4uBPy6A"/>
    <m/>
    <m/>
    <m/>
    <m/>
    <m/>
    <m/>
    <m/>
    <m/>
    <s v="Yes"/>
    <n v="624"/>
    <m/>
    <m/>
    <s v="Replied Comment"/>
    <x v="0"/>
    <s v="You&amp;#39;ve only been here for a bit!"/>
    <s v="UC2n4MvLJDH2-GWzjJrC58Zw"/>
    <s v="Love and London"/>
    <s v="http://www.youtube.com/channel/UC2n4MvLJDH2-GWzjJrC58Zw"/>
    <s v="UgyDbkvZhvrSyaVpzqx4AaABAg"/>
    <s v="80f3JVN05YQ"/>
    <s v="https://www.youtube.com/watch?v=80f3JVN05YQ"/>
    <s v="none"/>
    <n v="1"/>
    <x v="621"/>
    <s v="16/08/2019 07:41:58"/>
    <m/>
    <m/>
    <s v=""/>
    <n v="1"/>
    <s v="3"/>
    <s v="3"/>
    <n v="0"/>
    <n v="0"/>
    <n v="0"/>
    <n v="0"/>
    <n v="0"/>
    <n v="0"/>
    <n v="9"/>
    <n v="100"/>
    <n v="9"/>
  </r>
  <r>
    <s v="UCXK84B42lKBOwSQz4uBPy6A"/>
    <s v="UCXK84B42lKBOwSQz4uBPy6A"/>
    <m/>
    <m/>
    <m/>
    <m/>
    <m/>
    <m/>
    <m/>
    <m/>
    <s v="No"/>
    <n v="625"/>
    <m/>
    <m/>
    <s v="Replied Comment"/>
    <x v="0"/>
    <s v="Love and London I’ve been here for almost six months now."/>
    <s v="UCXK84B42lKBOwSQz4uBPy6A"/>
    <s v="Marin Angelov"/>
    <s v="http://www.youtube.com/channel/UCXK84B42lKBOwSQz4uBPy6A"/>
    <s v="UgyDbkvZhvrSyaVpzqx4AaABAg"/>
    <s v="80f3JVN05YQ"/>
    <s v="https://www.youtube.com/watch?v=80f3JVN05YQ"/>
    <s v="none"/>
    <n v="0"/>
    <x v="622"/>
    <s v="16/08/2019 13:19:35"/>
    <m/>
    <m/>
    <s v=""/>
    <n v="2"/>
    <s v="3"/>
    <s v="3"/>
    <n v="1"/>
    <n v="8.333333333333334"/>
    <n v="0"/>
    <n v="0"/>
    <n v="0"/>
    <n v="0"/>
    <n v="11"/>
    <n v="91.66666666666667"/>
    <n v="12"/>
  </r>
  <r>
    <s v="UCXK84B42lKBOwSQz4uBPy6A"/>
    <s v="UC2n4MvLJDH2-GWzjJrC58Zw"/>
    <m/>
    <m/>
    <m/>
    <m/>
    <m/>
    <m/>
    <m/>
    <m/>
    <s v="Yes"/>
    <n v="626"/>
    <m/>
    <m/>
    <s v="Commented Video"/>
    <x v="1"/>
    <s v="It’s my first summer in London, but it’s been raining 🌧 the whole time. 😕"/>
    <s v="UCXK84B42lKBOwSQz4uBPy6A"/>
    <s v="Marin Angelov"/>
    <s v="http://www.youtube.com/channel/UCXK84B42lKBOwSQz4uBPy6A"/>
    <m/>
    <s v="80f3JVN05YQ"/>
    <s v="https://www.youtube.com/watch?v=80f3JVN05YQ"/>
    <s v="none"/>
    <n v="2"/>
    <x v="623"/>
    <s v="15/08/2019 21:42:56"/>
    <m/>
    <m/>
    <s v=""/>
    <n v="1"/>
    <s v="3"/>
    <s v="3"/>
    <n v="0"/>
    <n v="0"/>
    <n v="0"/>
    <n v="0"/>
    <n v="0"/>
    <n v="0"/>
    <n v="15"/>
    <n v="100"/>
    <n v="15"/>
  </r>
  <r>
    <s v="UC2n4MvLJDH2-GWzjJrC58Zw"/>
    <s v="UCDSNPbJEtk6sci5Rn0TY1LA"/>
    <m/>
    <m/>
    <m/>
    <m/>
    <m/>
    <m/>
    <m/>
    <m/>
    <s v="Yes"/>
    <n v="627"/>
    <m/>
    <m/>
    <s v="Replied Comment"/>
    <x v="0"/>
    <s v="Haha at least this video is a little more warranted ;)"/>
    <s v="UC2n4MvLJDH2-GWzjJrC58Zw"/>
    <s v="Love and London"/>
    <s v="http://www.youtube.com/channel/UC2n4MvLJDH2-GWzjJrC58Zw"/>
    <s v="UgxrJmhwW0wLFUpdBhN4AaABAg"/>
    <s v="80f3JVN05YQ"/>
    <s v="https://www.youtube.com/watch?v=80f3JVN05YQ"/>
    <s v="none"/>
    <n v="0"/>
    <x v="624"/>
    <s v="16/08/2019 07:41:41"/>
    <m/>
    <m/>
    <s v=""/>
    <n v="1"/>
    <s v="3"/>
    <s v="3"/>
    <n v="0"/>
    <n v="0"/>
    <n v="0"/>
    <n v="0"/>
    <n v="0"/>
    <n v="0"/>
    <n v="10"/>
    <n v="100"/>
    <n v="10"/>
  </r>
  <r>
    <s v="UCDSNPbJEtk6sci5Rn0TY1LA"/>
    <s v="UC2n4MvLJDH2-GWzjJrC58Zw"/>
    <m/>
    <m/>
    <m/>
    <m/>
    <m/>
    <m/>
    <m/>
    <m/>
    <s v="Yes"/>
    <n v="628"/>
    <m/>
    <m/>
    <s v="Commented Video"/>
    <x v="1"/>
    <s v="Your going to get accused of being an alcoholic again ;-)"/>
    <s v="UCDSNPbJEtk6sci5Rn0TY1LA"/>
    <s v="Arthur Gatward"/>
    <s v="http://www.youtube.com/channel/UCDSNPbJEtk6sci5Rn0TY1LA"/>
    <m/>
    <s v="80f3JVN05YQ"/>
    <s v="https://www.youtube.com/watch?v=80f3JVN05YQ"/>
    <s v="none"/>
    <n v="0"/>
    <x v="625"/>
    <s v="15/08/2019 22:09:20"/>
    <m/>
    <m/>
    <s v=""/>
    <n v="1"/>
    <s v="3"/>
    <s v="3"/>
    <n v="0"/>
    <n v="0"/>
    <n v="0"/>
    <n v="0"/>
    <n v="0"/>
    <n v="0"/>
    <n v="10"/>
    <n v="100"/>
    <n v="10"/>
  </r>
  <r>
    <s v="UC2n4MvLJDH2-GWzjJrC58Zw"/>
    <s v="UCuX1jvSOxY9Gn6bAj1R77Xw"/>
    <m/>
    <m/>
    <m/>
    <m/>
    <m/>
    <m/>
    <m/>
    <m/>
    <s v="Yes"/>
    <n v="629"/>
    <m/>
    <m/>
    <s v="Replied Comment"/>
    <x v="0"/>
    <s v="Thank you"/>
    <s v="UC2n4MvLJDH2-GWzjJrC58Zw"/>
    <s v="Love and London"/>
    <s v="http://www.youtube.com/channel/UC2n4MvLJDH2-GWzjJrC58Zw"/>
    <s v="UgxvLRRdpIcg8apEE1h4AaABAg"/>
    <s v="80f3JVN05YQ"/>
    <s v="https://www.youtube.com/watch?v=80f3JVN05YQ"/>
    <s v="none"/>
    <n v="0"/>
    <x v="626"/>
    <s v="16/08/2019 07:41:06"/>
    <m/>
    <m/>
    <s v=""/>
    <n v="1"/>
    <s v="3"/>
    <s v="3"/>
    <n v="1"/>
    <n v="50"/>
    <n v="0"/>
    <n v="0"/>
    <n v="0"/>
    <n v="0"/>
    <n v="1"/>
    <n v="50"/>
    <n v="2"/>
  </r>
  <r>
    <s v="UCuX1jvSOxY9Gn6bAj1R77Xw"/>
    <s v="UC2n4MvLJDH2-GWzjJrC58Zw"/>
    <m/>
    <m/>
    <m/>
    <m/>
    <m/>
    <m/>
    <m/>
    <m/>
    <s v="Yes"/>
    <n v="630"/>
    <m/>
    <m/>
    <s v="Commented Video"/>
    <x v="1"/>
    <s v="Loved, your videos are always the best :D"/>
    <s v="UCuX1jvSOxY9Gn6bAj1R77Xw"/>
    <s v="Arturo SM"/>
    <s v="http://www.youtube.com/channel/UCuX1jvSOxY9Gn6bAj1R77Xw"/>
    <m/>
    <s v="80f3JVN05YQ"/>
    <s v="https://www.youtube.com/watch?v=80f3JVN05YQ"/>
    <s v="none"/>
    <n v="0"/>
    <x v="627"/>
    <s v="15/08/2019 22:21:06"/>
    <m/>
    <m/>
    <s v=""/>
    <n v="1"/>
    <s v="3"/>
    <s v="3"/>
    <n v="2"/>
    <n v="25"/>
    <n v="0"/>
    <n v="0"/>
    <n v="0"/>
    <n v="0"/>
    <n v="6"/>
    <n v="75"/>
    <n v="8"/>
  </r>
  <r>
    <s v="UCVc8LVaK5eBW8Qpk6mzzieA"/>
    <s v="UC5y07HNM6EZyTiXkfQSucaw"/>
    <m/>
    <m/>
    <m/>
    <m/>
    <m/>
    <m/>
    <m/>
    <m/>
    <s v="No"/>
    <n v="631"/>
    <m/>
    <m/>
    <s v="Replied Comment"/>
    <x v="0"/>
    <s v="Simply not true."/>
    <s v="UCVc8LVaK5eBW8Qpk6mzzieA"/>
    <s v="Red Squirrel"/>
    <s v="http://www.youtube.com/channel/UCVc8LVaK5eBW8Qpk6mzzieA"/>
    <s v="UgyH4WEo1eSWaas68Vp4AaABAg"/>
    <s v="80f3JVN05YQ"/>
    <s v="https://www.youtube.com/watch?v=80f3JVN05YQ"/>
    <s v="none"/>
    <n v="0"/>
    <x v="628"/>
    <s v="16/08/2019 10:58:04"/>
    <m/>
    <m/>
    <s v=""/>
    <n v="1"/>
    <s v="3"/>
    <s v="3"/>
    <n v="0"/>
    <n v="0"/>
    <n v="0"/>
    <n v="0"/>
    <n v="0"/>
    <n v="0"/>
    <n v="3"/>
    <n v="100"/>
    <n v="3"/>
  </r>
  <r>
    <s v="UC5y07HNM6EZyTiXkfQSucaw"/>
    <s v="UC2n4MvLJDH2-GWzjJrC58Zw"/>
    <m/>
    <m/>
    <m/>
    <m/>
    <m/>
    <m/>
    <m/>
    <m/>
    <s v="No"/>
    <n v="632"/>
    <m/>
    <m/>
    <s v="Commented Video"/>
    <x v="1"/>
    <s v="You are invited to invite me next time :)"/>
    <s v="UC5y07HNM6EZyTiXkfQSucaw"/>
    <s v="Oded Gvaram"/>
    <s v="http://www.youtube.com/channel/UC5y07HNM6EZyTiXkfQSucaw"/>
    <m/>
    <s v="80f3JVN05YQ"/>
    <s v="https://www.youtube.com/watch?v=80f3JVN05YQ"/>
    <s v="none"/>
    <n v="0"/>
    <x v="629"/>
    <s v="15/08/2019 22:26:53"/>
    <m/>
    <m/>
    <s v=""/>
    <n v="1"/>
    <s v="3"/>
    <s v="3"/>
    <n v="0"/>
    <n v="0"/>
    <n v="0"/>
    <n v="0"/>
    <n v="0"/>
    <n v="0"/>
    <n v="8"/>
    <n v="100"/>
    <n v="8"/>
  </r>
  <r>
    <s v="UC2n4MvLJDH2-GWzjJrC58Zw"/>
    <s v="UCgdFUdO62xb3WG9XyV2ZBwg"/>
    <m/>
    <m/>
    <m/>
    <m/>
    <m/>
    <m/>
    <m/>
    <m/>
    <s v="Yes"/>
    <n v="633"/>
    <m/>
    <m/>
    <s v="Replied Comment"/>
    <x v="0"/>
    <s v="I can&amp;#39;t say. Here&amp;#39;s my video about how to figure out the weather for your trip: &lt;a href=&quot;https://www.youtube.com/watch?v=MKuAmGPXS5A&quot;&gt;https://www.youtube.com/watch?v=MKuAmGPXS5A&lt;/a&gt;"/>
    <s v="UC2n4MvLJDH2-GWzjJrC58Zw"/>
    <s v="Love and London"/>
    <s v="http://www.youtube.com/channel/UC2n4MvLJDH2-GWzjJrC58Zw"/>
    <s v="UgzZyuMbnN2QEIrHydx4AaABAg"/>
    <s v="80f3JVN05YQ"/>
    <s v="https://www.youtube.com/watch?v=80f3JVN05YQ"/>
    <s v="none"/>
    <n v="1"/>
    <x v="630"/>
    <s v="15/08/2019 20:57:47"/>
    <s v=" https://www.youtube.com/watch?v=MKuAmGPXS5A https://www.youtube.com/watch?v=MKuAmGPXS5A"/>
    <s v="youtube.com youtube.com"/>
    <s v=""/>
    <n v="2"/>
    <s v="3"/>
    <s v="3"/>
    <n v="0"/>
    <n v="0"/>
    <n v="0"/>
    <n v="0"/>
    <n v="0"/>
    <n v="0"/>
    <n v="37"/>
    <n v="100"/>
    <n v="37"/>
  </r>
  <r>
    <s v="UCgdFUdO62xb3WG9XyV2ZBwg"/>
    <s v="UCgdFUdO62xb3WG9XyV2ZBwg"/>
    <m/>
    <m/>
    <m/>
    <m/>
    <m/>
    <m/>
    <m/>
    <m/>
    <s v="No"/>
    <n v="634"/>
    <m/>
    <m/>
    <s v="Replied Comment"/>
    <x v="0"/>
    <s v="@Love and London Thank you. I will definitely watch."/>
    <s v="UCgdFUdO62xb3WG9XyV2ZBwg"/>
    <s v="Napoleon Santos"/>
    <s v="http://www.youtube.com/channel/UCgdFUdO62xb3WG9XyV2ZBwg"/>
    <s v="UgzZyuMbnN2QEIrHydx4AaABAg"/>
    <s v="80f3JVN05YQ"/>
    <s v="https://www.youtube.com/watch?v=80f3JVN05YQ"/>
    <s v="none"/>
    <n v="0"/>
    <x v="631"/>
    <s v="15/08/2019 22:54:40"/>
    <m/>
    <m/>
    <s v=""/>
    <n v="1"/>
    <s v="3"/>
    <s v="3"/>
    <n v="2"/>
    <n v="22.22222222222222"/>
    <n v="0"/>
    <n v="0"/>
    <n v="0"/>
    <n v="0"/>
    <n v="7"/>
    <n v="77.77777777777777"/>
    <n v="9"/>
  </r>
  <r>
    <s v="UCgdFUdO62xb3WG9XyV2ZBwg"/>
    <s v="UC2n4MvLJDH2-GWzjJrC58Zw"/>
    <m/>
    <m/>
    <m/>
    <m/>
    <m/>
    <m/>
    <m/>
    <m/>
    <s v="Yes"/>
    <n v="635"/>
    <m/>
    <m/>
    <s v="Commented Video"/>
    <x v="1"/>
    <s v="I&amp;#39;ll be visiting London late September ( My first visit) what&amp;#39;s the weather situation in London  in September? Are roof top bars an option during that time or are the weather temperatures cooler during the month?"/>
    <s v="UCgdFUdO62xb3WG9XyV2ZBwg"/>
    <s v="Napoleon Santos"/>
    <s v="http://www.youtube.com/channel/UCgdFUdO62xb3WG9XyV2ZBwg"/>
    <m/>
    <s v="80f3JVN05YQ"/>
    <s v="https://www.youtube.com/watch?v=80f3JVN05YQ"/>
    <s v="none"/>
    <n v="1"/>
    <x v="632"/>
    <s v="15/08/2019 20:33:21"/>
    <m/>
    <m/>
    <s v=""/>
    <n v="2"/>
    <s v="3"/>
    <s v="3"/>
    <n v="1"/>
    <n v="2.5641025641025643"/>
    <n v="0"/>
    <n v="0"/>
    <n v="0"/>
    <n v="0"/>
    <n v="38"/>
    <n v="97.43589743589743"/>
    <n v="39"/>
  </r>
  <r>
    <s v="UC2n4MvLJDH2-GWzjJrC58Zw"/>
    <s v="UCgdFUdO62xb3WG9XyV2ZBwg"/>
    <m/>
    <m/>
    <m/>
    <m/>
    <m/>
    <m/>
    <m/>
    <m/>
    <s v="Yes"/>
    <n v="636"/>
    <m/>
    <m/>
    <s v="Replied Comment"/>
    <x v="0"/>
    <s v="Doesn&amp;#39;t matter"/>
    <s v="UC2n4MvLJDH2-GWzjJrC58Zw"/>
    <s v="Love and London"/>
    <s v="http://www.youtube.com/channel/UC2n4MvLJDH2-GWzjJrC58Zw"/>
    <s v="UgzuhVQxNSjojvZIzjF4AaABAg"/>
    <s v="80f3JVN05YQ"/>
    <s v="https://www.youtube.com/watch?v=80f3JVN05YQ"/>
    <s v="none"/>
    <n v="1"/>
    <x v="633"/>
    <s v="16/08/2019 07:40:54"/>
    <m/>
    <m/>
    <s v=""/>
    <n v="2"/>
    <s v="3"/>
    <s v="3"/>
    <n v="0"/>
    <n v="0"/>
    <n v="0"/>
    <n v="0"/>
    <n v="0"/>
    <n v="0"/>
    <n v="4"/>
    <n v="100"/>
    <n v="4"/>
  </r>
  <r>
    <s v="UCgdFUdO62xb3WG9XyV2ZBwg"/>
    <s v="UC2n4MvLJDH2-GWzjJrC58Zw"/>
    <m/>
    <m/>
    <m/>
    <m/>
    <m/>
    <m/>
    <m/>
    <m/>
    <s v="Yes"/>
    <n v="637"/>
    <m/>
    <m/>
    <s v="Commented Video"/>
    <x v="1"/>
    <s v="another question...being an american visiting London. Is it ok for me to say &amp;quot;CHEERS&amp;quot;? Or is that too cliche&amp;#39; for me to do - not being from that country?"/>
    <s v="UCgdFUdO62xb3WG9XyV2ZBwg"/>
    <s v="Napoleon Santos"/>
    <s v="http://www.youtube.com/channel/UCgdFUdO62xb3WG9XyV2ZBwg"/>
    <m/>
    <s v="80f3JVN05YQ"/>
    <s v="https://www.youtube.com/watch?v=80f3JVN05YQ"/>
    <s v="none"/>
    <n v="0"/>
    <x v="634"/>
    <s v="15/08/2019 22:56:01"/>
    <m/>
    <m/>
    <s v=""/>
    <n v="2"/>
    <s v="3"/>
    <s v="3"/>
    <n v="0"/>
    <n v="0"/>
    <n v="1"/>
    <n v="3.125"/>
    <n v="0"/>
    <n v="0"/>
    <n v="31"/>
    <n v="96.875"/>
    <n v="32"/>
  </r>
  <r>
    <s v="UCgc2N28KF6Ki_PrCYn0jn3g"/>
    <s v="UCSVjmvqok0dVmxwHSCm7_Cw"/>
    <m/>
    <m/>
    <m/>
    <m/>
    <m/>
    <m/>
    <m/>
    <m/>
    <s v="No"/>
    <n v="638"/>
    <m/>
    <m/>
    <s v="Replied Comment"/>
    <x v="0"/>
    <s v="Rosie Cotton lol 😂"/>
    <s v="UCgc2N28KF6Ki_PrCYn0jn3g"/>
    <s v="Vio Uk"/>
    <s v="http://www.youtube.com/channel/UCgc2N28KF6Ki_PrCYn0jn3g"/>
    <s v="UgwrB3lW9vNx1wecAix4AaABAg"/>
    <s v="80f3JVN05YQ"/>
    <s v="https://www.youtube.com/watch?v=80f3JVN05YQ"/>
    <s v="none"/>
    <n v="0"/>
    <x v="635"/>
    <s v="22/08/2019 10:19:26"/>
    <m/>
    <m/>
    <s v=""/>
    <n v="1"/>
    <s v="3"/>
    <s v="3"/>
    <n v="0"/>
    <n v="0"/>
    <n v="0"/>
    <n v="0"/>
    <n v="0"/>
    <n v="0"/>
    <n v="3"/>
    <n v="100"/>
    <n v="3"/>
  </r>
  <r>
    <s v="UCSVjmvqok0dVmxwHSCm7_Cw"/>
    <s v="UC2n4MvLJDH2-GWzjJrC58Zw"/>
    <m/>
    <m/>
    <m/>
    <m/>
    <m/>
    <m/>
    <m/>
    <m/>
    <s v="No"/>
    <n v="639"/>
    <m/>
    <m/>
    <s v="Commented Video"/>
    <x v="1"/>
    <s v="Day drinking by yourself. . .🧐🤭😉"/>
    <s v="UCSVjmvqok0dVmxwHSCm7_Cw"/>
    <s v="Rosie Cotton"/>
    <s v="http://www.youtube.com/channel/UCSVjmvqok0dVmxwHSCm7_Cw"/>
    <m/>
    <s v="80f3JVN05YQ"/>
    <s v="https://www.youtube.com/watch?v=80f3JVN05YQ"/>
    <s v="none"/>
    <n v="0"/>
    <x v="636"/>
    <s v="16/08/2019 00:39:20"/>
    <m/>
    <m/>
    <s v=""/>
    <n v="1"/>
    <s v="3"/>
    <s v="3"/>
    <n v="0"/>
    <n v="0"/>
    <n v="0"/>
    <n v="0"/>
    <n v="0"/>
    <n v="0"/>
    <n v="4"/>
    <n v="100"/>
    <n v="4"/>
  </r>
  <r>
    <s v="UC2n4MvLJDH2-GWzjJrC58Zw"/>
    <s v="UCMlsfl4oyCqqH6MX6QSlASA"/>
    <m/>
    <m/>
    <m/>
    <m/>
    <m/>
    <m/>
    <m/>
    <m/>
    <s v="Yes"/>
    <n v="640"/>
    <m/>
    <m/>
    <s v="Replied Comment"/>
    <x v="0"/>
    <s v="I haven&amp;#39;t counted recently 😂"/>
    <s v="UC2n4MvLJDH2-GWzjJrC58Zw"/>
    <s v="Love and London"/>
    <s v="http://www.youtube.com/channel/UC2n4MvLJDH2-GWzjJrC58Zw"/>
    <s v="Ugyv7W9bFmtsaSoIAYx4AaABAg"/>
    <s v="80f3JVN05YQ"/>
    <s v="https://www.youtube.com/watch?v=80f3JVN05YQ"/>
    <s v="none"/>
    <n v="0"/>
    <x v="637"/>
    <s v="16/08/2019 07:40:02"/>
    <m/>
    <m/>
    <s v=""/>
    <n v="1"/>
    <s v="3"/>
    <s v="3"/>
    <n v="0"/>
    <n v="0"/>
    <n v="0"/>
    <n v="0"/>
    <n v="0"/>
    <n v="0"/>
    <n v="6"/>
    <n v="100"/>
    <n v="6"/>
  </r>
  <r>
    <s v="UCMlsfl4oyCqqH6MX6QSlASA"/>
    <s v="UC2n4MvLJDH2-GWzjJrC58Zw"/>
    <m/>
    <m/>
    <m/>
    <m/>
    <m/>
    <m/>
    <m/>
    <m/>
    <s v="Yes"/>
    <n v="641"/>
    <m/>
    <m/>
    <s v="Commented Video"/>
    <x v="1"/>
    <s v="Just a quick question. How many sunny days do you get? Most of the time it seems like Britain, like N.W. U.S. is usually damp."/>
    <s v="UCMlsfl4oyCqqH6MX6QSlASA"/>
    <s v="John F"/>
    <s v="http://www.youtube.com/channel/UCMlsfl4oyCqqH6MX6QSlASA"/>
    <m/>
    <s v="80f3JVN05YQ"/>
    <s v="https://www.youtube.com/watch?v=80f3JVN05YQ"/>
    <s v="none"/>
    <n v="0"/>
    <x v="638"/>
    <s v="16/08/2019 00:43:18"/>
    <m/>
    <m/>
    <s v=""/>
    <n v="1"/>
    <s v="3"/>
    <s v="3"/>
    <n v="2"/>
    <n v="7.407407407407407"/>
    <n v="0"/>
    <n v="0"/>
    <n v="0"/>
    <n v="0"/>
    <n v="25"/>
    <n v="92.5925925925926"/>
    <n v="27"/>
  </r>
  <r>
    <s v="UC2n4MvLJDH2-GWzjJrC58Zw"/>
    <s v="UCGaSc49MG1nYsZa3UeoPFDw"/>
    <m/>
    <m/>
    <m/>
    <m/>
    <m/>
    <m/>
    <m/>
    <m/>
    <s v="Yes"/>
    <n v="642"/>
    <m/>
    <m/>
    <s v="Replied Comment"/>
    <x v="0"/>
    <s v="Thanks!"/>
    <s v="UC2n4MvLJDH2-GWzjJrC58Zw"/>
    <s v="Love and London"/>
    <s v="http://www.youtube.com/channel/UC2n4MvLJDH2-GWzjJrC58Zw"/>
    <s v="Ugz8r2tb3tIHt2cKWfJ4AaABAg"/>
    <s v="80f3JVN05YQ"/>
    <s v="https://www.youtube.com/watch?v=80f3JVN05YQ"/>
    <s v="none"/>
    <n v="0"/>
    <x v="639"/>
    <s v="16/08/2019 07:39:38"/>
    <m/>
    <m/>
    <s v=""/>
    <n v="1"/>
    <s v="3"/>
    <s v="3"/>
    <n v="0"/>
    <n v="0"/>
    <n v="0"/>
    <n v="0"/>
    <n v="0"/>
    <n v="0"/>
    <n v="1"/>
    <n v="100"/>
    <n v="1"/>
  </r>
  <r>
    <s v="UCGaSc49MG1nYsZa3UeoPFDw"/>
    <s v="UC2n4MvLJDH2-GWzjJrC58Zw"/>
    <m/>
    <m/>
    <m/>
    <m/>
    <m/>
    <m/>
    <m/>
    <m/>
    <s v="Yes"/>
    <n v="643"/>
    <m/>
    <m/>
    <s v="Commented Video"/>
    <x v="1"/>
    <s v="I just got back from London and loved it! I plan to come visit again. New subscriber and love your videos and tips."/>
    <s v="UCGaSc49MG1nYsZa3UeoPFDw"/>
    <s v="Jerome Lim"/>
    <s v="http://www.youtube.com/channel/UCGaSc49MG1nYsZa3UeoPFDw"/>
    <m/>
    <s v="80f3JVN05YQ"/>
    <s v="https://www.youtube.com/watch?v=80f3JVN05YQ"/>
    <s v="none"/>
    <n v="0"/>
    <x v="640"/>
    <s v="16/08/2019 02:45:54"/>
    <m/>
    <m/>
    <s v=""/>
    <n v="1"/>
    <s v="3"/>
    <s v="3"/>
    <n v="2"/>
    <n v="8.695652173913043"/>
    <n v="0"/>
    <n v="0"/>
    <n v="0"/>
    <n v="0"/>
    <n v="21"/>
    <n v="91.30434782608695"/>
    <n v="23"/>
  </r>
  <r>
    <s v="UCgc2N28KF6Ki_PrCYn0jn3g"/>
    <s v="UCowefZ8fcgBpj1keCDAw6mw"/>
    <m/>
    <m/>
    <m/>
    <m/>
    <m/>
    <m/>
    <m/>
    <m/>
    <s v="No"/>
    <n v="644"/>
    <m/>
    <m/>
    <s v="Replied Comment"/>
    <x v="0"/>
    <s v="Christina cool 😎"/>
    <s v="UCgc2N28KF6Ki_PrCYn0jn3g"/>
    <s v="Vio Uk"/>
    <s v="http://www.youtube.com/channel/UCgc2N28KF6Ki_PrCYn0jn3g"/>
    <s v="UgzqYv4jvZx_ko4huON4AaABAg"/>
    <s v="80f3JVN05YQ"/>
    <s v="https://www.youtube.com/watch?v=80f3JVN05YQ"/>
    <s v="none"/>
    <n v="0"/>
    <x v="641"/>
    <s v="22/08/2019 10:19:13"/>
    <m/>
    <m/>
    <s v=""/>
    <n v="1"/>
    <s v="3"/>
    <s v="3"/>
    <n v="1"/>
    <n v="50"/>
    <n v="0"/>
    <n v="0"/>
    <n v="0"/>
    <n v="0"/>
    <n v="1"/>
    <n v="50"/>
    <n v="2"/>
  </r>
  <r>
    <s v="UCowefZ8fcgBpj1keCDAw6mw"/>
    <s v="UC2n4MvLJDH2-GWzjJrC58Zw"/>
    <m/>
    <m/>
    <m/>
    <m/>
    <m/>
    <m/>
    <m/>
    <m/>
    <s v="No"/>
    <n v="645"/>
    <m/>
    <m/>
    <s v="Commented Video"/>
    <x v="1"/>
    <s v="I AM SO HYPE! LMFAO I will be talking to myself at one of these bars too!"/>
    <s v="UCowefZ8fcgBpj1keCDAw6mw"/>
    <s v="Christina"/>
    <s v="http://www.youtube.com/channel/UCowefZ8fcgBpj1keCDAw6mw"/>
    <m/>
    <s v="80f3JVN05YQ"/>
    <s v="https://www.youtube.com/watch?v=80f3JVN05YQ"/>
    <s v="none"/>
    <n v="3"/>
    <x v="642"/>
    <s v="16/08/2019 03:16:24"/>
    <m/>
    <m/>
    <s v=""/>
    <n v="1"/>
    <s v="3"/>
    <s v="3"/>
    <n v="0"/>
    <n v="0"/>
    <n v="1"/>
    <n v="5.882352941176471"/>
    <n v="0"/>
    <n v="0"/>
    <n v="16"/>
    <n v="94.11764705882354"/>
    <n v="17"/>
  </r>
  <r>
    <s v="UCxjSI-_0ihVq3fmHh3m9HYw"/>
    <s v="UC2n4MvLJDH2-GWzjJrC58Zw"/>
    <m/>
    <m/>
    <m/>
    <m/>
    <m/>
    <m/>
    <m/>
    <m/>
    <s v="No"/>
    <n v="646"/>
    <m/>
    <m/>
    <s v="Commented Video"/>
    <x v="1"/>
    <s v="Skygarden in the city isnt quite an open rooftop bar but offers great views of the city. Also the oxo tower on the southbank has a cocktail bar with a terrace looking back towards st pauls cathedral and the financial district, stunning at night time. Maybe it was a blessing you didnt have a drinking pal, youd be wobbling with the number of choices you have in London! Great content again."/>
    <s v="UCxjSI-_0ihVq3fmHh3m9HYw"/>
    <s v="Castlelad"/>
    <s v="http://www.youtube.com/channel/UCxjSI-_0ihVq3fmHh3m9HYw"/>
    <m/>
    <s v="80f3JVN05YQ"/>
    <s v="https://www.youtube.com/watch?v=80f3JVN05YQ"/>
    <s v="none"/>
    <n v="1"/>
    <x v="643"/>
    <s v="16/08/2019 06:38:35"/>
    <m/>
    <m/>
    <s v=""/>
    <n v="1"/>
    <s v="3"/>
    <s v="3"/>
    <n v="4"/>
    <n v="5.633802816901408"/>
    <n v="0"/>
    <n v="0"/>
    <n v="0"/>
    <n v="0"/>
    <n v="67"/>
    <n v="94.36619718309859"/>
    <n v="71"/>
  </r>
  <r>
    <s v="UCTYIArFir6lVRAAleqVoeRQ"/>
    <s v="UC2n4MvLJDH2-GWzjJrC58Zw"/>
    <m/>
    <m/>
    <m/>
    <m/>
    <m/>
    <m/>
    <m/>
    <m/>
    <s v="No"/>
    <n v="647"/>
    <m/>
    <m/>
    <s v="Commented Video"/>
    <x v="1"/>
    <s v="I love Roof East. I&amp;#39;ll come with you next time you want to do one of these filmings ;)"/>
    <s v="UCTYIArFir6lVRAAleqVoeRQ"/>
    <s v="Roaming Required"/>
    <s v="http://www.youtube.com/channel/UCTYIArFir6lVRAAleqVoeRQ"/>
    <m/>
    <s v="80f3JVN05YQ"/>
    <s v="https://www.youtube.com/watch?v=80f3JVN05YQ"/>
    <s v="none"/>
    <n v="0"/>
    <x v="644"/>
    <s v="16/08/2019 14:50:03"/>
    <m/>
    <m/>
    <s v=""/>
    <n v="1"/>
    <s v="3"/>
    <s v="3"/>
    <n v="1"/>
    <n v="5"/>
    <n v="0"/>
    <n v="0"/>
    <n v="0"/>
    <n v="0"/>
    <n v="19"/>
    <n v="95"/>
    <n v="20"/>
  </r>
  <r>
    <s v="UC2n4MvLJDH2-GWzjJrC58Zw"/>
    <s v="UCrnFva61tPAlG3PNeTF9acQ"/>
    <m/>
    <m/>
    <m/>
    <m/>
    <m/>
    <m/>
    <m/>
    <m/>
    <s v="Yes"/>
    <n v="648"/>
    <m/>
    <m/>
    <s v="Replied Comment"/>
    <x v="0"/>
    <s v="Haha you can be my rooftop bar guest anytime, filming or not :D"/>
    <s v="UC2n4MvLJDH2-GWzjJrC58Zw"/>
    <s v="Love and London"/>
    <s v="http://www.youtube.com/channel/UC2n4MvLJDH2-GWzjJrC58Zw"/>
    <s v="UgzMv_q8iDic-B8yq3l4AaABAg"/>
    <s v="80f3JVN05YQ"/>
    <s v="https://www.youtube.com/watch?v=80f3JVN05YQ"/>
    <s v="none"/>
    <n v="5"/>
    <x v="645"/>
    <s v="18/08/2019 18:51:20"/>
    <m/>
    <m/>
    <s v=""/>
    <n v="2"/>
    <s v="3"/>
    <s v="3"/>
    <n v="0"/>
    <n v="0"/>
    <n v="0"/>
    <n v="0"/>
    <n v="0"/>
    <n v="0"/>
    <n v="13"/>
    <n v="100"/>
    <n v="13"/>
  </r>
  <r>
    <s v="UCgc2N28KF6Ki_PrCYn0jn3g"/>
    <s v="UCrnFva61tPAlG3PNeTF9acQ"/>
    <m/>
    <m/>
    <m/>
    <m/>
    <m/>
    <m/>
    <m/>
    <m/>
    <s v="No"/>
    <n v="649"/>
    <m/>
    <m/>
    <s v="Replied Comment"/>
    <x v="0"/>
    <s v="Cool 😎"/>
    <s v="UCgc2N28KF6Ki_PrCYn0jn3g"/>
    <s v="Vio Uk"/>
    <s v="http://www.youtube.com/channel/UCgc2N28KF6Ki_PrCYn0jn3g"/>
    <s v="UgzMv_q8iDic-B8yq3l4AaABAg"/>
    <s v="80f3JVN05YQ"/>
    <s v="https://www.youtube.com/watch?v=80f3JVN05YQ"/>
    <s v="none"/>
    <n v="0"/>
    <x v="646"/>
    <s v="22/08/2019 10:19:50"/>
    <m/>
    <m/>
    <s v=""/>
    <n v="1"/>
    <s v="3"/>
    <s v="3"/>
    <n v="1"/>
    <n v="100"/>
    <n v="0"/>
    <n v="0"/>
    <n v="0"/>
    <n v="0"/>
    <n v="0"/>
    <n v="0"/>
    <n v="1"/>
  </r>
  <r>
    <s v="UCrnFva61tPAlG3PNeTF9acQ"/>
    <s v="UC2n4MvLJDH2-GWzjJrC58Zw"/>
    <m/>
    <m/>
    <m/>
    <m/>
    <m/>
    <m/>
    <m/>
    <m/>
    <s v="Yes"/>
    <n v="650"/>
    <m/>
    <m/>
    <s v="Commented Video"/>
    <x v="1"/>
    <s v="Please can I start guesting on these??? 😂😂 I would have LOVED to have a cocktail with you xxxxx"/>
    <s v="UCrnFva61tPAlG3PNeTF9acQ"/>
    <s v="Lia Hatzakis"/>
    <s v="http://www.youtube.com/channel/UCrnFva61tPAlG3PNeTF9acQ"/>
    <m/>
    <s v="80f3JVN05YQ"/>
    <s v="https://www.youtube.com/watch?v=80f3JVN05YQ"/>
    <s v="none"/>
    <n v="5"/>
    <x v="647"/>
    <s v="16/08/2019 16:27:09"/>
    <m/>
    <m/>
    <s v=""/>
    <n v="2"/>
    <s v="3"/>
    <s v="3"/>
    <n v="1"/>
    <n v="5.555555555555555"/>
    <n v="0"/>
    <n v="0"/>
    <n v="0"/>
    <n v="0"/>
    <n v="17"/>
    <n v="94.44444444444444"/>
    <n v="18"/>
  </r>
  <r>
    <s v="UC2n4MvLJDH2-GWzjJrC58Zw"/>
    <s v="UCrnFva61tPAlG3PNeTF9acQ"/>
    <m/>
    <m/>
    <m/>
    <m/>
    <m/>
    <m/>
    <m/>
    <m/>
    <s v="Yes"/>
    <n v="651"/>
    <m/>
    <m/>
    <s v="Replied Comment"/>
    <x v="0"/>
    <s v="Thanks my love!"/>
    <s v="UC2n4MvLJDH2-GWzjJrC58Zw"/>
    <s v="Love and London"/>
    <s v="http://www.youtube.com/channel/UC2n4MvLJDH2-GWzjJrC58Zw"/>
    <s v="Ugwc957ttwvPz89C8Yx4AaABAg"/>
    <s v="80f3JVN05YQ"/>
    <s v="https://www.youtube.com/watch?v=80f3JVN05YQ"/>
    <s v="none"/>
    <n v="0"/>
    <x v="648"/>
    <s v="18/08/2019 18:51:03"/>
    <m/>
    <m/>
    <s v=""/>
    <n v="2"/>
    <s v="3"/>
    <s v="3"/>
    <n v="1"/>
    <n v="33.333333333333336"/>
    <n v="0"/>
    <n v="0"/>
    <n v="0"/>
    <n v="0"/>
    <n v="2"/>
    <n v="66.66666666666667"/>
    <n v="3"/>
  </r>
  <r>
    <s v="UCrnFva61tPAlG3PNeTF9acQ"/>
    <s v="UC2n4MvLJDH2-GWzjJrC58Zw"/>
    <m/>
    <m/>
    <m/>
    <m/>
    <m/>
    <m/>
    <m/>
    <m/>
    <s v="Yes"/>
    <n v="652"/>
    <m/>
    <m/>
    <s v="Commented Video"/>
    <x v="1"/>
    <s v="Love the sound of Aqua Kyoto! Thanks Jess xxx"/>
    <s v="UCrnFva61tPAlG3PNeTF9acQ"/>
    <s v="Lia Hatzakis"/>
    <s v="http://www.youtube.com/channel/UCrnFva61tPAlG3PNeTF9acQ"/>
    <m/>
    <s v="80f3JVN05YQ"/>
    <s v="https://www.youtube.com/watch?v=80f3JVN05YQ"/>
    <s v="none"/>
    <n v="0"/>
    <x v="649"/>
    <s v="16/08/2019 16:30:48"/>
    <m/>
    <m/>
    <s v=""/>
    <n v="2"/>
    <s v="3"/>
    <s v="3"/>
    <n v="1"/>
    <n v="11.11111111111111"/>
    <n v="0"/>
    <n v="0"/>
    <n v="0"/>
    <n v="0"/>
    <n v="8"/>
    <n v="88.88888888888889"/>
    <n v="9"/>
  </r>
  <r>
    <s v="UCUDEjKDVvLgSBD6vgc50gXw"/>
    <s v="UC2n4MvLJDH2-GWzjJrC58Zw"/>
    <m/>
    <m/>
    <m/>
    <m/>
    <m/>
    <m/>
    <m/>
    <m/>
    <s v="No"/>
    <n v="653"/>
    <m/>
    <m/>
    <s v="Commented Video"/>
    <x v="1"/>
    <s v="Great locations and it&amp;#39;s really strange you didn&amp;#39;t find anyone to join you :D"/>
    <s v="UCUDEjKDVvLgSBD6vgc50gXw"/>
    <s v="juozas kasiulis"/>
    <s v="http://www.youtube.com/channel/UCUDEjKDVvLgSBD6vgc50gXw"/>
    <m/>
    <s v="80f3JVN05YQ"/>
    <s v="https://www.youtube.com/watch?v=80f3JVN05YQ"/>
    <s v="none"/>
    <n v="0"/>
    <x v="650"/>
    <s v="16/08/2019 22:13:05"/>
    <m/>
    <m/>
    <s v=""/>
    <n v="1"/>
    <s v="3"/>
    <s v="3"/>
    <n v="1"/>
    <n v="5.555555555555555"/>
    <n v="1"/>
    <n v="5.555555555555555"/>
    <n v="0"/>
    <n v="0"/>
    <n v="16"/>
    <n v="88.88888888888889"/>
    <n v="18"/>
  </r>
  <r>
    <s v="UCuWMrvoF3OosJnlhmLV9ZVg"/>
    <s v="UC2n4MvLJDH2-GWzjJrC58Zw"/>
    <m/>
    <m/>
    <m/>
    <m/>
    <m/>
    <m/>
    <m/>
    <m/>
    <s v="No"/>
    <n v="654"/>
    <m/>
    <m/>
    <s v="Commented Video"/>
    <x v="1"/>
    <s v="Woow amazing rooftops. Great video, love it!!."/>
    <s v="UCuWMrvoF3OosJnlhmLV9ZVg"/>
    <s v="Pablo Federico Fidel Améndola"/>
    <s v="http://www.youtube.com/channel/UCuWMrvoF3OosJnlhmLV9ZVg"/>
    <m/>
    <s v="80f3JVN05YQ"/>
    <s v="https://www.youtube.com/watch?v=80f3JVN05YQ"/>
    <s v="none"/>
    <n v="1"/>
    <x v="651"/>
    <s v="17/08/2019 00:21:23"/>
    <m/>
    <m/>
    <s v=""/>
    <n v="1"/>
    <s v="3"/>
    <s v="3"/>
    <n v="3"/>
    <n v="42.857142857142854"/>
    <n v="0"/>
    <n v="0"/>
    <n v="0"/>
    <n v="0"/>
    <n v="4"/>
    <n v="57.142857142857146"/>
    <n v="7"/>
  </r>
  <r>
    <s v="UC2n4MvLJDH2-GWzjJrC58Zw"/>
    <s v="UCSq4Im1vFNOVF1R4Q0iZvmw"/>
    <m/>
    <m/>
    <m/>
    <m/>
    <m/>
    <m/>
    <m/>
    <m/>
    <s v="Yes"/>
    <n v="655"/>
    <m/>
    <m/>
    <s v="Replied Comment"/>
    <x v="0"/>
    <s v="Don&amp;#39;t! No cars!"/>
    <s v="UC2n4MvLJDH2-GWzjJrC58Zw"/>
    <s v="Love and London"/>
    <s v="http://www.youtube.com/channel/UC2n4MvLJDH2-GWzjJrC58Zw"/>
    <s v="Ugwxdyy-NueS6ZWFuUN4AaABAg"/>
    <s v="80f3JVN05YQ"/>
    <s v="https://www.youtube.com/watch?v=80f3JVN05YQ"/>
    <s v="none"/>
    <n v="0"/>
    <x v="652"/>
    <s v="18/08/2019 18:48:59"/>
    <m/>
    <m/>
    <s v=""/>
    <n v="1"/>
    <s v="3"/>
    <s v="3"/>
    <n v="0"/>
    <n v="0"/>
    <n v="0"/>
    <n v="0"/>
    <n v="0"/>
    <n v="0"/>
    <n v="5"/>
    <n v="100"/>
    <n v="5"/>
  </r>
  <r>
    <s v="UCSq4Im1vFNOVF1R4Q0iZvmw"/>
    <s v="UC2n4MvLJDH2-GWzjJrC58Zw"/>
    <m/>
    <m/>
    <m/>
    <m/>
    <m/>
    <m/>
    <m/>
    <m/>
    <s v="Yes"/>
    <n v="656"/>
    <m/>
    <m/>
    <s v="Commented Video"/>
    <x v="1"/>
    <s v="Hi,me and me boyfriend planning to come in London with car.Any advices?🙂"/>
    <s v="UCSq4Im1vFNOVF1R4Q0iZvmw"/>
    <s v="SA GS"/>
    <s v="http://www.youtube.com/channel/UCSq4Im1vFNOVF1R4Q0iZvmw"/>
    <m/>
    <s v="80f3JVN05YQ"/>
    <s v="https://www.youtube.com/watch?v=80f3JVN05YQ"/>
    <s v="none"/>
    <n v="0"/>
    <x v="653"/>
    <s v="17/08/2019 18:08:10"/>
    <m/>
    <m/>
    <s v=""/>
    <n v="1"/>
    <s v="3"/>
    <s v="3"/>
    <n v="0"/>
    <n v="0"/>
    <n v="0"/>
    <n v="0"/>
    <n v="0"/>
    <n v="0"/>
    <n v="14"/>
    <n v="100"/>
    <n v="14"/>
  </r>
  <r>
    <s v="UC2n4MvLJDH2-GWzjJrC58Zw"/>
    <s v="UCZ9uwWHcFPq0X0kLK6rnEgQ"/>
    <m/>
    <m/>
    <m/>
    <m/>
    <m/>
    <m/>
    <m/>
    <m/>
    <s v="Yes"/>
    <n v="657"/>
    <m/>
    <m/>
    <s v="Replied Comment"/>
    <x v="0"/>
    <s v="Thanks Dana"/>
    <s v="UC2n4MvLJDH2-GWzjJrC58Zw"/>
    <s v="Love and London"/>
    <s v="http://www.youtube.com/channel/UC2n4MvLJDH2-GWzjJrC58Zw"/>
    <s v="UgxJCZsMqi9IklDOxPp4AaABAg"/>
    <s v="80f3JVN05YQ"/>
    <s v="https://www.youtube.com/watch?v=80f3JVN05YQ"/>
    <s v="none"/>
    <n v="1"/>
    <x v="654"/>
    <s v="18/08/2019 18:48:49"/>
    <m/>
    <m/>
    <s v=""/>
    <n v="1"/>
    <s v="3"/>
    <s v="3"/>
    <n v="0"/>
    <n v="0"/>
    <n v="0"/>
    <n v="0"/>
    <n v="0"/>
    <n v="0"/>
    <n v="2"/>
    <n v="100"/>
    <n v="2"/>
  </r>
  <r>
    <s v="UCZ9uwWHcFPq0X0kLK6rnEgQ"/>
    <s v="UC2n4MvLJDH2-GWzjJrC58Zw"/>
    <m/>
    <m/>
    <m/>
    <m/>
    <m/>
    <m/>
    <m/>
    <m/>
    <s v="Yes"/>
    <n v="658"/>
    <m/>
    <m/>
    <s v="Commented Video"/>
    <x v="1"/>
    <s v="You have 110K subscribers that would love to have a drink with you. Keep making these great videos. We really enjoy them."/>
    <s v="UCZ9uwWHcFPq0X0kLK6rnEgQ"/>
    <s v="Dana Kreft"/>
    <s v="http://www.youtube.com/channel/UCZ9uwWHcFPq0X0kLK6rnEgQ"/>
    <m/>
    <s v="80f3JVN05YQ"/>
    <s v="https://www.youtube.com/watch?v=80f3JVN05YQ"/>
    <s v="none"/>
    <n v="1"/>
    <x v="655"/>
    <s v="17/08/2019 18:31:09"/>
    <m/>
    <m/>
    <s v=""/>
    <n v="1"/>
    <s v="3"/>
    <s v="3"/>
    <n v="3"/>
    <n v="13.636363636363637"/>
    <n v="0"/>
    <n v="0"/>
    <n v="0"/>
    <n v="0"/>
    <n v="19"/>
    <n v="86.36363636363636"/>
    <n v="22"/>
  </r>
  <r>
    <s v="UCSYMV5ebJmRbv2r9e2-rc6w"/>
    <s v="UC2n4MvLJDH2-GWzjJrC58Zw"/>
    <m/>
    <m/>
    <m/>
    <m/>
    <m/>
    <m/>
    <m/>
    <m/>
    <s v="No"/>
    <n v="659"/>
    <m/>
    <m/>
    <s v="Commented Video"/>
    <x v="1"/>
    <s v="My husband and I were one of the first people to be invited into The Culpeper when they opened in 2014... we were staying above the bar when they were renovating it and had 2 rooms up on Air BnB..."/>
    <s v="UCSYMV5ebJmRbv2r9e2-rc6w"/>
    <s v="Audrey Schoolcraft"/>
    <s v="http://www.youtube.com/channel/UCSYMV5ebJmRbv2r9e2-rc6w"/>
    <m/>
    <s v="80f3JVN05YQ"/>
    <s v="https://www.youtube.com/watch?v=80f3JVN05YQ"/>
    <s v="none"/>
    <n v="0"/>
    <x v="656"/>
    <s v="18/08/2019 01:44:39"/>
    <m/>
    <m/>
    <s v=""/>
    <n v="1"/>
    <s v="3"/>
    <s v="3"/>
    <n v="0"/>
    <n v="0"/>
    <n v="0"/>
    <n v="0"/>
    <n v="0"/>
    <n v="0"/>
    <n v="40"/>
    <n v="100"/>
    <n v="40"/>
  </r>
  <r>
    <s v="UC_RwyrxC63yOTY42eQaJ-9g"/>
    <s v="UC2n4MvLJDH2-GWzjJrC58Zw"/>
    <m/>
    <m/>
    <m/>
    <m/>
    <m/>
    <m/>
    <m/>
    <m/>
    <s v="No"/>
    <n v="660"/>
    <m/>
    <m/>
    <s v="Commented Video"/>
    <x v="1"/>
    <s v="thanks for the tips. I‘m in London at the moment and i‘m really sad, cause i can‘t do everything. Great job🙏"/>
    <s v="UC_RwyrxC63yOTY42eQaJ-9g"/>
    <s v="Paul Schröder"/>
    <s v="http://www.youtube.com/channel/UC_RwyrxC63yOTY42eQaJ-9g"/>
    <m/>
    <s v="80f3JVN05YQ"/>
    <s v="https://www.youtube.com/watch?v=80f3JVN05YQ"/>
    <s v="none"/>
    <n v="1"/>
    <x v="657"/>
    <s v="18/08/2019 09:03:24"/>
    <m/>
    <m/>
    <s v=""/>
    <n v="1"/>
    <s v="3"/>
    <s v="3"/>
    <n v="1"/>
    <n v="4.166666666666667"/>
    <n v="1"/>
    <n v="4.166666666666667"/>
    <n v="0"/>
    <n v="0"/>
    <n v="22"/>
    <n v="91.66666666666667"/>
    <n v="24"/>
  </r>
  <r>
    <s v="UC2n4MvLJDH2-GWzjJrC58Zw"/>
    <s v="UCcZS64S5payPuqr38_1BCFg"/>
    <m/>
    <m/>
    <m/>
    <m/>
    <m/>
    <m/>
    <m/>
    <m/>
    <s v="Yes"/>
    <n v="661"/>
    <m/>
    <m/>
    <s v="Replied Comment"/>
    <x v="0"/>
    <s v="Lol nope"/>
    <s v="UC2n4MvLJDH2-GWzjJrC58Zw"/>
    <s v="Love and London"/>
    <s v="http://www.youtube.com/channel/UC2n4MvLJDH2-GWzjJrC58Zw"/>
    <s v="UgxepwfgaUgy1C54v814AaABAg"/>
    <s v="80f3JVN05YQ"/>
    <s v="https://www.youtube.com/watch?v=80f3JVN05YQ"/>
    <s v="none"/>
    <n v="1"/>
    <x v="658"/>
    <s v="18/08/2019 18:46:47"/>
    <m/>
    <m/>
    <s v=""/>
    <n v="1"/>
    <s v="3"/>
    <s v="3"/>
    <n v="0"/>
    <n v="0"/>
    <n v="0"/>
    <n v="0"/>
    <n v="0"/>
    <n v="0"/>
    <n v="2"/>
    <n v="100"/>
    <n v="2"/>
  </r>
  <r>
    <s v="UCcZS64S5payPuqr38_1BCFg"/>
    <s v="UC2n4MvLJDH2-GWzjJrC58Zw"/>
    <m/>
    <m/>
    <m/>
    <m/>
    <m/>
    <m/>
    <m/>
    <m/>
    <s v="Yes"/>
    <n v="662"/>
    <m/>
    <m/>
    <s v="Commented Video"/>
    <x v="1"/>
    <s v="Are you also an actress?  I could swear I just saw you in an episode if Jack Ryan."/>
    <s v="UCcZS64S5payPuqr38_1BCFg"/>
    <s v="Lori Deatherage"/>
    <s v="http://www.youtube.com/channel/UCcZS64S5payPuqr38_1BCFg"/>
    <m/>
    <s v="80f3JVN05YQ"/>
    <s v="https://www.youtube.com/watch?v=80f3JVN05YQ"/>
    <s v="none"/>
    <n v="0"/>
    <x v="659"/>
    <s v="18/08/2019 16:48:50"/>
    <m/>
    <m/>
    <s v=""/>
    <n v="1"/>
    <s v="3"/>
    <s v="3"/>
    <n v="0"/>
    <n v="0"/>
    <n v="0"/>
    <n v="0"/>
    <n v="0"/>
    <n v="0"/>
    <n v="18"/>
    <n v="100"/>
    <n v="18"/>
  </r>
  <r>
    <s v="UC2n4MvLJDH2-GWzjJrC58Zw"/>
    <s v="UCoPPC9D1NnQDCtKSJKTjYOw"/>
    <m/>
    <m/>
    <m/>
    <m/>
    <m/>
    <m/>
    <m/>
    <m/>
    <s v="Yes"/>
    <n v="663"/>
    <m/>
    <m/>
    <s v="Replied Comment"/>
    <x v="0"/>
    <s v="Yes I have hundreds! Lol. Thanks for watching!"/>
    <s v="UC2n4MvLJDH2-GWzjJrC58Zw"/>
    <s v="Love and London"/>
    <s v="http://www.youtube.com/channel/UC2n4MvLJDH2-GWzjJrC58Zw"/>
    <s v="UgyMV3kTAhyzP5D0yld4AaABAg"/>
    <s v="80f3JVN05YQ"/>
    <s v="https://www.youtube.com/watch?v=80f3JVN05YQ"/>
    <s v="none"/>
    <n v="0"/>
    <x v="660"/>
    <s v="19/08/2019 08:55:25"/>
    <m/>
    <m/>
    <s v=""/>
    <n v="1"/>
    <s v="3"/>
    <s v="3"/>
    <n v="0"/>
    <n v="0"/>
    <n v="0"/>
    <n v="0"/>
    <n v="0"/>
    <n v="0"/>
    <n v="8"/>
    <n v="100"/>
    <n v="8"/>
  </r>
  <r>
    <s v="UCoPPC9D1NnQDCtKSJKTjYOw"/>
    <s v="UC2n4MvLJDH2-GWzjJrC58Zw"/>
    <m/>
    <m/>
    <m/>
    <m/>
    <m/>
    <m/>
    <m/>
    <m/>
    <s v="Yes"/>
    <n v="664"/>
    <m/>
    <m/>
    <s v="Commented Video"/>
    <x v="1"/>
    <s v="I didnt realize you had  so many videos on London LOL. IM From the states.  I discovered a few of your moving to London videos about a month ago. I might fly to Amsterdam next summer to meet my mom and sister after their cruise, and hoping to tourist London. Now I want to live there for a little bit LOL, or outskirts of London. Im hoping to become a Lactation consultant (IBCLC) and find a program in the UK."/>
    <s v="UCoPPC9D1NnQDCtKSJKTjYOw"/>
    <s v="Kayla Schregardus"/>
    <s v="http://www.youtube.com/channel/UCoPPC9D1NnQDCtKSJKTjYOw"/>
    <m/>
    <s v="80f3JVN05YQ"/>
    <s v="https://www.youtube.com/watch?v=80f3JVN05YQ"/>
    <s v="none"/>
    <n v="0"/>
    <x v="661"/>
    <s v="19/08/2019 02:02:08"/>
    <m/>
    <m/>
    <s v=""/>
    <n v="1"/>
    <s v="3"/>
    <s v="3"/>
    <n v="0"/>
    <n v="0"/>
    <n v="0"/>
    <n v="0"/>
    <n v="0"/>
    <n v="0"/>
    <n v="80"/>
    <n v="100"/>
    <n v="80"/>
  </r>
  <r>
    <s v="UCDbDnHE8fwWNgRNK7c8Nwog"/>
    <s v="UC2n4MvLJDH2-GWzjJrC58Zw"/>
    <m/>
    <m/>
    <m/>
    <m/>
    <m/>
    <m/>
    <m/>
    <m/>
    <s v="No"/>
    <n v="665"/>
    <m/>
    <m/>
    <s v="Commented Video"/>
    <x v="1"/>
    <s v="😎"/>
    <s v="UCDbDnHE8fwWNgRNK7c8Nwog"/>
    <s v="Baba Ramdev COOL 🏄 LIFE"/>
    <s v="http://www.youtube.com/channel/UCDbDnHE8fwWNgRNK7c8Nwog"/>
    <m/>
    <s v="80f3JVN05YQ"/>
    <s v="https://www.youtube.com/watch?v=80f3JVN05YQ"/>
    <s v="none"/>
    <n v="0"/>
    <x v="662"/>
    <s v="19/08/2019 10:51:20"/>
    <m/>
    <m/>
    <s v=""/>
    <n v="1"/>
    <s v="3"/>
    <s v="3"/>
    <n v="0"/>
    <n v="0"/>
    <n v="0"/>
    <n v="0"/>
    <n v="0"/>
    <n v="0"/>
    <n v="0"/>
    <n v="0"/>
    <n v="0"/>
  </r>
  <r>
    <s v="UC2n4MvLJDH2-GWzjJrC58Zw"/>
    <s v="UChr2W5ZUUxJGwGuwyXPjGRw"/>
    <m/>
    <m/>
    <m/>
    <m/>
    <m/>
    <m/>
    <m/>
    <m/>
    <s v="Yes"/>
    <n v="666"/>
    <m/>
    <m/>
    <s v="Replied Comment"/>
    <x v="0"/>
    <s v="Thanks Chris"/>
    <s v="UC2n4MvLJDH2-GWzjJrC58Zw"/>
    <s v="Love and London"/>
    <s v="http://www.youtube.com/channel/UC2n4MvLJDH2-GWzjJrC58Zw"/>
    <s v="UgybkgzPo5Uk4PZv8dB4AaABAg"/>
    <s v="80f3JVN05YQ"/>
    <s v="https://www.youtube.com/watch?v=80f3JVN05YQ"/>
    <s v="none"/>
    <n v="0"/>
    <x v="663"/>
    <s v="20/08/2019 16:48:55"/>
    <m/>
    <m/>
    <s v=""/>
    <n v="1"/>
    <s v="3"/>
    <s v="3"/>
    <n v="0"/>
    <n v="0"/>
    <n v="0"/>
    <n v="0"/>
    <n v="0"/>
    <n v="0"/>
    <n v="2"/>
    <n v="100"/>
    <n v="2"/>
  </r>
  <r>
    <s v="UChr2W5ZUUxJGwGuwyXPjGRw"/>
    <s v="UC2n4MvLJDH2-GWzjJrC58Zw"/>
    <m/>
    <m/>
    <m/>
    <m/>
    <m/>
    <m/>
    <m/>
    <m/>
    <s v="Yes"/>
    <n v="667"/>
    <m/>
    <m/>
    <s v="Commented Video"/>
    <x v="1"/>
    <s v="Hope you had a great Birthday, Jess! XOXO"/>
    <s v="UChr2W5ZUUxJGwGuwyXPjGRw"/>
    <s v="Chris Peters"/>
    <s v="http://www.youtube.com/channel/UChr2W5ZUUxJGwGuwyXPjGRw"/>
    <m/>
    <s v="80f3JVN05YQ"/>
    <s v="https://www.youtube.com/watch?v=80f3JVN05YQ"/>
    <s v="none"/>
    <n v="0"/>
    <x v="664"/>
    <s v="19/08/2019 16:47:47"/>
    <m/>
    <m/>
    <s v=""/>
    <n v="1"/>
    <s v="3"/>
    <s v="3"/>
    <n v="1"/>
    <n v="12.5"/>
    <n v="0"/>
    <n v="0"/>
    <n v="0"/>
    <n v="0"/>
    <n v="7"/>
    <n v="87.5"/>
    <n v="8"/>
  </r>
  <r>
    <s v="UC2n4MvLJDH2-GWzjJrC58Zw"/>
    <s v="UCdNaLUj1g121JiHM_z0CUlg"/>
    <m/>
    <m/>
    <m/>
    <m/>
    <m/>
    <m/>
    <m/>
    <m/>
    <s v="Yes"/>
    <n v="668"/>
    <m/>
    <m/>
    <s v="Replied Comment"/>
    <x v="0"/>
    <s v="Don&amp;#39;t do a day trip to Paris, that&amp;#39;s my helpful info :) Thanks for watching!"/>
    <s v="UC2n4MvLJDH2-GWzjJrC58Zw"/>
    <s v="Love and London"/>
    <s v="http://www.youtube.com/channel/UC2n4MvLJDH2-GWzjJrC58Zw"/>
    <s v="Ugz1Ft2LtvSQH_A-BOF4AaABAg"/>
    <s v="80f3JVN05YQ"/>
    <s v="https://www.youtube.com/watch?v=80f3JVN05YQ"/>
    <s v="none"/>
    <n v="0"/>
    <x v="665"/>
    <s v="20/08/2019 16:48:51"/>
    <m/>
    <m/>
    <s v=""/>
    <n v="1"/>
    <s v="3"/>
    <s v="3"/>
    <n v="1"/>
    <n v="5.555555555555555"/>
    <n v="0"/>
    <n v="0"/>
    <n v="0"/>
    <n v="0"/>
    <n v="17"/>
    <n v="94.44444444444444"/>
    <n v="18"/>
  </r>
  <r>
    <s v="UCdNaLUj1g121JiHM_z0CUlg"/>
    <s v="UC2n4MvLJDH2-GWzjJrC58Zw"/>
    <m/>
    <m/>
    <m/>
    <m/>
    <m/>
    <m/>
    <m/>
    <m/>
    <s v="Yes"/>
    <n v="669"/>
    <m/>
    <m/>
    <s v="Commented Video"/>
    <x v="1"/>
    <s v="THANK YOU  for all the great info on London you have been a huge help in our decision to go to London anniversary next spring . We have a question for you. Do you have any helpful info on the euro star to Paris for like a day trip?  Have you done it and is it worth it? Keep up the great work on the videos   they are awesome and very informative ! Job well  done"/>
    <s v="UCdNaLUj1g121JiHM_z0CUlg"/>
    <s v="John Baker"/>
    <s v="http://www.youtube.com/channel/UCdNaLUj1g121JiHM_z0CUlg"/>
    <m/>
    <s v="80f3JVN05YQ"/>
    <s v="https://www.youtube.com/watch?v=80f3JVN05YQ"/>
    <s v="none"/>
    <n v="0"/>
    <x v="666"/>
    <s v="19/08/2019 17:44:21"/>
    <m/>
    <m/>
    <s v=""/>
    <n v="1"/>
    <s v="3"/>
    <s v="3"/>
    <n v="9"/>
    <n v="12.162162162162161"/>
    <n v="0"/>
    <n v="0"/>
    <n v="0"/>
    <n v="0"/>
    <n v="65"/>
    <n v="87.83783783783784"/>
    <n v="74"/>
  </r>
  <r>
    <s v="UC2n4MvLJDH2-GWzjJrC58Zw"/>
    <s v="UCtqb24bCSdxnEkcQQLR2pMA"/>
    <m/>
    <m/>
    <m/>
    <m/>
    <m/>
    <m/>
    <m/>
    <m/>
    <s v="Yes"/>
    <n v="670"/>
    <m/>
    <m/>
    <s v="Replied Comment"/>
    <x v="0"/>
    <s v="Thanks!"/>
    <s v="UC2n4MvLJDH2-GWzjJrC58Zw"/>
    <s v="Love and London"/>
    <s v="http://www.youtube.com/channel/UC2n4MvLJDH2-GWzjJrC58Zw"/>
    <s v="UgzBk4JgbhHLpgFM39d4AaABAg"/>
    <s v="80f3JVN05YQ"/>
    <s v="https://www.youtube.com/watch?v=80f3JVN05YQ"/>
    <s v="none"/>
    <n v="0"/>
    <x v="667"/>
    <s v="20/08/2019 16:47:48"/>
    <m/>
    <m/>
    <s v=""/>
    <n v="1"/>
    <s v="3"/>
    <s v="3"/>
    <n v="0"/>
    <n v="0"/>
    <n v="0"/>
    <n v="0"/>
    <n v="0"/>
    <n v="0"/>
    <n v="1"/>
    <n v="100"/>
    <n v="1"/>
  </r>
  <r>
    <s v="UCtqb24bCSdxnEkcQQLR2pMA"/>
    <s v="UC2n4MvLJDH2-GWzjJrC58Zw"/>
    <m/>
    <m/>
    <m/>
    <m/>
    <m/>
    <m/>
    <m/>
    <m/>
    <s v="Yes"/>
    <n v="671"/>
    <m/>
    <m/>
    <s v="Commented Video"/>
    <x v="1"/>
    <s v="You really remind me of Monica Geller from Friends. Btw I&amp;#39;m going to London tomorrow for the first time and your videos are super helpful!"/>
    <s v="UCtqb24bCSdxnEkcQQLR2pMA"/>
    <s v="Dude!"/>
    <s v="http://www.youtube.com/channel/UCtqb24bCSdxnEkcQQLR2pMA"/>
    <m/>
    <s v="80f3JVN05YQ"/>
    <s v="https://www.youtube.com/watch?v=80f3JVN05YQ"/>
    <s v="none"/>
    <n v="0"/>
    <x v="668"/>
    <s v="19/08/2019 23:30:33"/>
    <m/>
    <m/>
    <s v=""/>
    <n v="1"/>
    <s v="3"/>
    <s v="3"/>
    <n v="2"/>
    <n v="7.407407407407407"/>
    <n v="0"/>
    <n v="0"/>
    <n v="0"/>
    <n v="0"/>
    <n v="25"/>
    <n v="92.5925925925926"/>
    <n v="27"/>
  </r>
  <r>
    <s v="UCFMHocMbkfmF0YiiyozVYZA"/>
    <s v="UC2n4MvLJDH2-GWzjJrC58Zw"/>
    <m/>
    <m/>
    <m/>
    <m/>
    <m/>
    <m/>
    <m/>
    <m/>
    <s v="No"/>
    <n v="672"/>
    <m/>
    <m/>
    <s v="Commented Video"/>
    <x v="1"/>
    <s v="Any advice for a student spending the semester in London? I love your videos :)"/>
    <s v="UCFMHocMbkfmF0YiiyozVYZA"/>
    <s v="Sophie"/>
    <s v="http://www.youtube.com/channel/UCFMHocMbkfmF0YiiyozVYZA"/>
    <m/>
    <s v="80f3JVN05YQ"/>
    <s v="https://www.youtube.com/watch?v=80f3JVN05YQ"/>
    <s v="none"/>
    <n v="0"/>
    <x v="669"/>
    <s v="20/08/2019 03:41:56"/>
    <m/>
    <m/>
    <s v=""/>
    <n v="1"/>
    <s v="3"/>
    <s v="3"/>
    <n v="1"/>
    <n v="7.142857142857143"/>
    <n v="0"/>
    <n v="0"/>
    <n v="0"/>
    <n v="0"/>
    <n v="13"/>
    <n v="92.85714285714286"/>
    <n v="14"/>
  </r>
  <r>
    <s v="UC2n4MvLJDH2-GWzjJrC58Zw"/>
    <s v="UCroL4lQdZE0O3aZuklwBheA"/>
    <m/>
    <m/>
    <m/>
    <m/>
    <m/>
    <m/>
    <m/>
    <m/>
    <s v="Yes"/>
    <n v="673"/>
    <m/>
    <m/>
    <s v="Replied Comment"/>
    <x v="0"/>
    <s v="Skylight Tobacco Dock 👍"/>
    <s v="UC2n4MvLJDH2-GWzjJrC58Zw"/>
    <s v="Love and London"/>
    <s v="http://www.youtube.com/channel/UC2n4MvLJDH2-GWzjJrC58Zw"/>
    <s v="UgwsCVrYhzBR9pOXN914AaABAg"/>
    <s v="80f3JVN05YQ"/>
    <s v="https://www.youtube.com/watch?v=80f3JVN05YQ"/>
    <s v="none"/>
    <n v="1"/>
    <x v="670"/>
    <s v="20/08/2019 16:47:06"/>
    <m/>
    <m/>
    <s v=""/>
    <n v="1"/>
    <s v="3"/>
    <s v="3"/>
    <n v="0"/>
    <n v="0"/>
    <n v="0"/>
    <n v="0"/>
    <n v="0"/>
    <n v="0"/>
    <n v="3"/>
    <n v="100"/>
    <n v="3"/>
  </r>
  <r>
    <s v="UCroL4lQdZE0O3aZuklwBheA"/>
    <s v="UC2n4MvLJDH2-GWzjJrC58Zw"/>
    <m/>
    <m/>
    <m/>
    <m/>
    <m/>
    <m/>
    <m/>
    <m/>
    <s v="Yes"/>
    <n v="674"/>
    <m/>
    <m/>
    <s v="Commented Video"/>
    <x v="1"/>
    <s v="I think one of those rooftops is open to ice skating in the winter.  Well, a roof somewhere in London had heavy drinking and ice  skating."/>
    <s v="UCroL4lQdZE0O3aZuklwBheA"/>
    <s v="Todd Boothbee"/>
    <s v="http://www.youtube.com/channel/UCroL4lQdZE0O3aZuklwBheA"/>
    <m/>
    <s v="80f3JVN05YQ"/>
    <s v="https://www.youtube.com/watch?v=80f3JVN05YQ"/>
    <s v="none"/>
    <n v="0"/>
    <x v="671"/>
    <s v="20/08/2019 07:11:26"/>
    <m/>
    <m/>
    <s v=""/>
    <n v="1"/>
    <s v="3"/>
    <s v="3"/>
    <n v="1"/>
    <n v="3.8461538461538463"/>
    <n v="0"/>
    <n v="0"/>
    <n v="0"/>
    <n v="0"/>
    <n v="25"/>
    <n v="96.15384615384616"/>
    <n v="26"/>
  </r>
  <r>
    <s v="UC2n4MvLJDH2-GWzjJrC58Zw"/>
    <s v="UCsoD8hpsvu01rtHhlgqKIOw"/>
    <m/>
    <m/>
    <m/>
    <m/>
    <m/>
    <m/>
    <m/>
    <m/>
    <s v="Yes"/>
    <n v="675"/>
    <m/>
    <m/>
    <s v="Replied Comment"/>
    <x v="0"/>
    <s v="The hotel? Nope wasn&amp;#39;t me!"/>
    <s v="UC2n4MvLJDH2-GWzjJrC58Zw"/>
    <s v="Love and London"/>
    <s v="http://www.youtube.com/channel/UC2n4MvLJDH2-GWzjJrC58Zw"/>
    <s v="UgyMqI0Qo05gaQqYLgt4AaABAg"/>
    <s v="80f3JVN05YQ"/>
    <s v="https://www.youtube.com/watch?v=80f3JVN05YQ"/>
    <s v="none"/>
    <n v="0"/>
    <x v="672"/>
    <s v="20/08/2019 16:46:47"/>
    <m/>
    <m/>
    <s v=""/>
    <n v="1"/>
    <s v="3"/>
    <s v="3"/>
    <n v="0"/>
    <n v="0"/>
    <n v="0"/>
    <n v="0"/>
    <n v="0"/>
    <n v="0"/>
    <n v="7"/>
    <n v="100"/>
    <n v="7"/>
  </r>
  <r>
    <s v="UCsoD8hpsvu01rtHhlgqKIOw"/>
    <s v="UC2n4MvLJDH2-GWzjJrC58Zw"/>
    <m/>
    <m/>
    <m/>
    <m/>
    <m/>
    <m/>
    <m/>
    <m/>
    <s v="Yes"/>
    <n v="676"/>
    <m/>
    <m/>
    <s v="Commented Video"/>
    <x v="1"/>
    <s v="Dear Jess, i think i saw you in the morning today around grovernors, is that you?"/>
    <s v="UCsoD8hpsvu01rtHhlgqKIOw"/>
    <s v="namakurinda"/>
    <s v="http://www.youtube.com/channel/UCsoD8hpsvu01rtHhlgqKIOw"/>
    <m/>
    <s v="80f3JVN05YQ"/>
    <s v="https://www.youtube.com/watch?v=80f3JVN05YQ"/>
    <s v="none"/>
    <n v="0"/>
    <x v="673"/>
    <s v="20/08/2019 13:05:12"/>
    <m/>
    <m/>
    <s v=""/>
    <n v="1"/>
    <s v="3"/>
    <s v="3"/>
    <n v="0"/>
    <n v="0"/>
    <n v="0"/>
    <n v="0"/>
    <n v="0"/>
    <n v="0"/>
    <n v="16"/>
    <n v="100"/>
    <n v="16"/>
  </r>
  <r>
    <s v="UC2n4MvLJDH2-GWzjJrC58Zw"/>
    <s v="UCbqFE9BJW8BhDn4gRxo3iKw"/>
    <m/>
    <m/>
    <m/>
    <m/>
    <m/>
    <m/>
    <m/>
    <m/>
    <s v="Yes"/>
    <n v="677"/>
    <m/>
    <m/>
    <s v="Replied Comment"/>
    <x v="0"/>
    <s v="I&amp;#39;ve already got one, and then a new one will be coming end of Sept!"/>
    <s v="UC2n4MvLJDH2-GWzjJrC58Zw"/>
    <s v="Love and London"/>
    <s v="http://www.youtube.com/channel/UC2n4MvLJDH2-GWzjJrC58Zw"/>
    <s v="UgxfEA2FJ_saaYIRDq54AaABAg"/>
    <s v="80f3JVN05YQ"/>
    <s v="https://www.youtube.com/watch?v=80f3JVN05YQ"/>
    <s v="none"/>
    <n v="1"/>
    <x v="674"/>
    <s v="22/08/2019 10:12:53"/>
    <m/>
    <m/>
    <s v=""/>
    <n v="1"/>
    <s v="3"/>
    <s v="3"/>
    <n v="0"/>
    <n v="0"/>
    <n v="0"/>
    <n v="0"/>
    <n v="0"/>
    <n v="0"/>
    <n v="17"/>
    <n v="100"/>
    <n v="17"/>
  </r>
  <r>
    <s v="UCbqFE9BJW8BhDn4gRxo3iKw"/>
    <s v="UCbqFE9BJW8BhDn4gRxo3iKw"/>
    <m/>
    <m/>
    <m/>
    <m/>
    <m/>
    <m/>
    <m/>
    <m/>
    <s v="No"/>
    <n v="678"/>
    <m/>
    <m/>
    <s v="Replied Comment"/>
    <x v="0"/>
    <s v="@Love and London I believe I&amp;#39;ve watched the video you&amp;#39;re talking about. If you feel like doing a neighborhood one anytime soon, we&amp;#39;re staying in fitzrovia. Love your channel!"/>
    <s v="UCbqFE9BJW8BhDn4gRxo3iKw"/>
    <s v="WITCH TITZ"/>
    <s v="http://www.youtube.com/channel/UCbqFE9BJW8BhDn4gRxo3iKw"/>
    <s v="UgxfEA2FJ_saaYIRDq54AaABAg"/>
    <s v="80f3JVN05YQ"/>
    <s v="https://www.youtube.com/watch?v=80f3JVN05YQ"/>
    <s v="none"/>
    <n v="0"/>
    <x v="675"/>
    <s v="22/08/2019 18:36:41"/>
    <m/>
    <m/>
    <s v=""/>
    <n v="1"/>
    <s v="3"/>
    <s v="3"/>
    <n v="3"/>
    <n v="8.571428571428571"/>
    <n v="0"/>
    <n v="0"/>
    <n v="0"/>
    <n v="0"/>
    <n v="32"/>
    <n v="91.42857142857143"/>
    <n v="35"/>
  </r>
  <r>
    <s v="UCbqFE9BJW8BhDn4gRxo3iKw"/>
    <s v="UC2n4MvLJDH2-GWzjJrC58Zw"/>
    <m/>
    <m/>
    <m/>
    <m/>
    <m/>
    <m/>
    <m/>
    <m/>
    <s v="Yes"/>
    <n v="679"/>
    <m/>
    <m/>
    <s v="Commented Video"/>
    <x v="1"/>
    <s v="Can you do a &amp;quot;fall in london&amp;quot; video soon? I&amp;#39;ll be there in Oct-november.."/>
    <s v="UCbqFE9BJW8BhDn4gRxo3iKw"/>
    <s v="WITCH TITZ"/>
    <s v="http://www.youtube.com/channel/UCbqFE9BJW8BhDn4gRxo3iKw"/>
    <m/>
    <s v="80f3JVN05YQ"/>
    <s v="https://www.youtube.com/watch?v=80f3JVN05YQ"/>
    <s v="none"/>
    <n v="1"/>
    <x v="676"/>
    <s v="21/08/2019 16:39:30"/>
    <m/>
    <m/>
    <s v=""/>
    <n v="1"/>
    <s v="3"/>
    <s v="3"/>
    <n v="0"/>
    <n v="0"/>
    <n v="1"/>
    <n v="5.2631578947368425"/>
    <n v="0"/>
    <n v="0"/>
    <n v="18"/>
    <n v="94.73684210526316"/>
    <n v="19"/>
  </r>
  <r>
    <s v="UCgc2N28KF6Ki_PrCYn0jn3g"/>
    <s v="UC2n4MvLJDH2-GWzjJrC58Zw"/>
    <m/>
    <m/>
    <m/>
    <m/>
    <m/>
    <m/>
    <m/>
    <m/>
    <s v="No"/>
    <n v="680"/>
    <m/>
    <m/>
    <s v="Commented Video"/>
    <x v="1"/>
    <s v="Lovely video 😊"/>
    <s v="UCgc2N28KF6Ki_PrCYn0jn3g"/>
    <s v="Vio Uk"/>
    <s v="http://www.youtube.com/channel/UCgc2N28KF6Ki_PrCYn0jn3g"/>
    <m/>
    <s v="80f3JVN05YQ"/>
    <s v="https://www.youtube.com/watch?v=80f3JVN05YQ"/>
    <s v="none"/>
    <n v="0"/>
    <x v="677"/>
    <s v="22/08/2019 10:17:10"/>
    <m/>
    <m/>
    <s v=""/>
    <n v="1"/>
    <s v="3"/>
    <s v="3"/>
    <n v="1"/>
    <n v="50"/>
    <n v="0"/>
    <n v="0"/>
    <n v="0"/>
    <n v="0"/>
    <n v="1"/>
    <n v="50"/>
    <n v="2"/>
  </r>
  <r>
    <s v="UCkW_9O022ywlyfy-5SGRW1Q"/>
    <s v="UC2n4MvLJDH2-GWzjJrC58Zw"/>
    <m/>
    <m/>
    <m/>
    <m/>
    <m/>
    <m/>
    <m/>
    <m/>
    <s v="No"/>
    <n v="681"/>
    <m/>
    <m/>
    <s v="Commented Video"/>
    <x v="1"/>
    <s v="thanks for your videos, they are very useful. and I like them a lot. :-)  best regards"/>
    <s v="UCkW_9O022ywlyfy-5SGRW1Q"/>
    <s v="santi"/>
    <s v="http://www.youtube.com/channel/UCkW_9O022ywlyfy-5SGRW1Q"/>
    <m/>
    <s v="80f3JVN05YQ"/>
    <s v="https://www.youtube.com/watch?v=80f3JVN05YQ"/>
    <s v="none"/>
    <n v="1"/>
    <x v="678"/>
    <d v="2019-03-09T16:59:22.000"/>
    <m/>
    <m/>
    <s v=""/>
    <n v="1"/>
    <s v="3"/>
    <s v="3"/>
    <n v="3"/>
    <n v="18.75"/>
    <n v="0"/>
    <n v="0"/>
    <n v="0"/>
    <n v="0"/>
    <n v="13"/>
    <n v="81.25"/>
    <n v="16"/>
  </r>
  <r>
    <s v="UC2n4MvLJDH2-GWzjJrC58Zw"/>
    <s v="UCkRsNZVbMS_0Wr2B-cxCCIQ"/>
    <m/>
    <m/>
    <m/>
    <m/>
    <m/>
    <m/>
    <m/>
    <m/>
    <s v="Yes"/>
    <n v="682"/>
    <m/>
    <m/>
    <s v="Replied Comment"/>
    <x v="0"/>
    <s v="There are tons of great pubs and it totally depends on where you&amp;#39;ll be. No need to travel far to &amp;quot;the best&amp;quot;"/>
    <s v="UC2n4MvLJDH2-GWzjJrC58Zw"/>
    <s v="Love and London"/>
    <s v="http://www.youtube.com/channel/UC2n4MvLJDH2-GWzjJrC58Zw"/>
    <s v="UgwEbfeuFimiETufIbd4AaABAg"/>
    <s v="80f3JVN05YQ"/>
    <s v="https://www.youtube.com/watch?v=80f3JVN05YQ"/>
    <s v="none"/>
    <n v="0"/>
    <x v="679"/>
    <d v="2019-09-09T09:32:02.000"/>
    <m/>
    <m/>
    <s v=""/>
    <n v="1"/>
    <s v="3"/>
    <s v="3"/>
    <n v="2"/>
    <n v="7.6923076923076925"/>
    <n v="0"/>
    <n v="0"/>
    <n v="0"/>
    <n v="0"/>
    <n v="24"/>
    <n v="92.3076923076923"/>
    <n v="26"/>
  </r>
  <r>
    <s v="UCkRsNZVbMS_0Wr2B-cxCCIQ"/>
    <s v="UC2n4MvLJDH2-GWzjJrC58Zw"/>
    <m/>
    <m/>
    <m/>
    <m/>
    <m/>
    <m/>
    <m/>
    <m/>
    <s v="Yes"/>
    <n v="683"/>
    <m/>
    <m/>
    <s v="Commented Video"/>
    <x v="1"/>
    <s v="I enjoy he videos I&amp;#39;ve seen...wondering if you have one on the best pubs in London?"/>
    <s v="UCkRsNZVbMS_0Wr2B-cxCCIQ"/>
    <s v="Lisa Schlotthauer"/>
    <s v="http://www.youtube.com/channel/UCkRsNZVbMS_0Wr2B-cxCCIQ"/>
    <m/>
    <s v="80f3JVN05YQ"/>
    <s v="https://www.youtube.com/watch?v=80f3JVN05YQ"/>
    <s v="none"/>
    <n v="0"/>
    <x v="680"/>
    <d v="2019-04-09T20:20:21.000"/>
    <m/>
    <m/>
    <s v=""/>
    <n v="1"/>
    <s v="3"/>
    <s v="3"/>
    <n v="2"/>
    <n v="10.526315789473685"/>
    <n v="0"/>
    <n v="0"/>
    <n v="0"/>
    <n v="0"/>
    <n v="17"/>
    <n v="89.47368421052632"/>
    <n v="19"/>
  </r>
  <r>
    <s v="UC2n4MvLJDH2-GWzjJrC58Zw"/>
    <s v="UCavg-qvmdkYDGwdNU_ZzU_Q"/>
    <m/>
    <m/>
    <m/>
    <m/>
    <m/>
    <m/>
    <m/>
    <m/>
    <s v="Yes"/>
    <n v="684"/>
    <m/>
    <m/>
    <s v="Replied Comment"/>
    <x v="0"/>
    <s v="Some of them are winterised. Check their websites!"/>
    <s v="UC2n4MvLJDH2-GWzjJrC58Zw"/>
    <s v="Love and London"/>
    <s v="http://www.youtube.com/channel/UC2n4MvLJDH2-GWzjJrC58Zw"/>
    <s v="UgyRmQUhH2yb3YgrPk14AaABAg"/>
    <s v="80f3JVN05YQ"/>
    <s v="https://www.youtube.com/watch?v=80f3JVN05YQ"/>
    <s v="none"/>
    <n v="0"/>
    <x v="681"/>
    <d v="2019-08-10T07:54:26.000"/>
    <m/>
    <m/>
    <s v=""/>
    <n v="1"/>
    <s v="3"/>
    <s v="3"/>
    <n v="0"/>
    <n v="0"/>
    <n v="0"/>
    <n v="0"/>
    <n v="0"/>
    <n v="0"/>
    <n v="8"/>
    <n v="100"/>
    <n v="8"/>
  </r>
  <r>
    <s v="UCavg-qvmdkYDGwdNU_ZzU_Q"/>
    <s v="UC2n4MvLJDH2-GWzjJrC58Zw"/>
    <m/>
    <m/>
    <m/>
    <m/>
    <m/>
    <m/>
    <m/>
    <m/>
    <s v="Yes"/>
    <n v="685"/>
    <m/>
    <m/>
    <s v="Commented Video"/>
    <x v="1"/>
    <s v="Would this be too cold to do in late February"/>
    <s v="UCavg-qvmdkYDGwdNU_ZzU_Q"/>
    <s v="no po"/>
    <s v="http://www.youtube.com/channel/UCavg-qvmdkYDGwdNU_ZzU_Q"/>
    <m/>
    <s v="80f3JVN05YQ"/>
    <s v="https://www.youtube.com/watch?v=80f3JVN05YQ"/>
    <s v="none"/>
    <n v="0"/>
    <x v="682"/>
    <d v="2019-07-10T15:41:17.000"/>
    <m/>
    <m/>
    <s v=""/>
    <n v="1"/>
    <s v="3"/>
    <s v="3"/>
    <n v="0"/>
    <n v="0"/>
    <n v="1"/>
    <n v="10"/>
    <n v="0"/>
    <n v="0"/>
    <n v="9"/>
    <n v="90"/>
    <n v="10"/>
  </r>
  <r>
    <s v="UCGCA-4ya4S2u1DL-T9HqzjA"/>
    <s v="UC2n4MvLJDH2-GWzjJrC58Zw"/>
    <m/>
    <m/>
    <m/>
    <m/>
    <m/>
    <m/>
    <m/>
    <m/>
    <s v="No"/>
    <n v="686"/>
    <m/>
    <m/>
    <s v="Commented Video"/>
    <x v="1"/>
    <s v="Who&amp;#39;s here reminiscing about the good old days before..COVID!!"/>
    <s v="UCGCA-4ya4S2u1DL-T9HqzjA"/>
    <s v="fran mellor"/>
    <s v="http://www.youtube.com/channel/UCGCA-4ya4S2u1DL-T9HqzjA"/>
    <m/>
    <s v="80f3JVN05YQ"/>
    <s v="https://www.youtube.com/watch?v=80f3JVN05YQ"/>
    <s v="none"/>
    <n v="0"/>
    <x v="683"/>
    <s v="20/05/2020 18:42:49"/>
    <m/>
    <m/>
    <s v=""/>
    <n v="2"/>
    <s v="3"/>
    <s v="3"/>
    <n v="1"/>
    <n v="8.333333333333334"/>
    <n v="0"/>
    <n v="0"/>
    <n v="0"/>
    <n v="0"/>
    <n v="11"/>
    <n v="91.66666666666667"/>
    <n v="12"/>
  </r>
  <r>
    <s v="UCGCA-4ya4S2u1DL-T9HqzjA"/>
    <s v="UC2n4MvLJDH2-GWzjJrC58Zw"/>
    <m/>
    <m/>
    <m/>
    <m/>
    <m/>
    <m/>
    <m/>
    <m/>
    <s v="No"/>
    <n v="687"/>
    <m/>
    <m/>
    <s v="Commented Video"/>
    <x v="1"/>
    <s v="These vids are my new going out.. LOL!"/>
    <s v="UCGCA-4ya4S2u1DL-T9HqzjA"/>
    <s v="fran mellor"/>
    <s v="http://www.youtube.com/channel/UCGCA-4ya4S2u1DL-T9HqzjA"/>
    <m/>
    <s v="80f3JVN05YQ"/>
    <s v="https://www.youtube.com/watch?v=80f3JVN05YQ"/>
    <s v="none"/>
    <n v="0"/>
    <x v="684"/>
    <s v="20/05/2020 18:44:43"/>
    <m/>
    <m/>
    <s v=""/>
    <n v="2"/>
    <s v="3"/>
    <s v="3"/>
    <n v="0"/>
    <n v="0"/>
    <n v="0"/>
    <n v="0"/>
    <n v="0"/>
    <n v="0"/>
    <n v="8"/>
    <n v="100"/>
    <n v="8"/>
  </r>
  <r>
    <s v="UC2n4MvLJDH2-GWzjJrC58Zw"/>
    <s v="UCJHXYwTuPLT9JFb5xoHZbVg"/>
    <m/>
    <m/>
    <m/>
    <m/>
    <m/>
    <m/>
    <m/>
    <m/>
    <s v="Yes"/>
    <n v="688"/>
    <m/>
    <m/>
    <s v="Replied Comment"/>
    <x v="0"/>
    <s v="Me tooooooo Carl 🍸"/>
    <s v="UC2n4MvLJDH2-GWzjJrC58Zw"/>
    <s v="Love and London"/>
    <s v="http://www.youtube.com/channel/UC2n4MvLJDH2-GWzjJrC58Zw"/>
    <s v="Ugz7FsrZAE91TuuBEDZ4AaABAg"/>
    <s v="80f3JVN05YQ"/>
    <s v="https://www.youtube.com/watch?v=80f3JVN05YQ"/>
    <s v="none"/>
    <n v="0"/>
    <x v="685"/>
    <d v="2020-12-06T09:17:48.000"/>
    <m/>
    <m/>
    <s v=""/>
    <n v="1"/>
    <s v="3"/>
    <s v="3"/>
    <n v="0"/>
    <n v="0"/>
    <n v="0"/>
    <n v="0"/>
    <n v="0"/>
    <n v="0"/>
    <n v="3"/>
    <n v="100"/>
    <n v="3"/>
  </r>
  <r>
    <s v="UCJHXYwTuPLT9JFb5xoHZbVg"/>
    <s v="UCJHXYwTuPLT9JFb5xoHZbVg"/>
    <m/>
    <m/>
    <m/>
    <m/>
    <m/>
    <m/>
    <m/>
    <m/>
    <s v="No"/>
    <n v="689"/>
    <m/>
    <m/>
    <s v="Replied Comment"/>
    <x v="0"/>
    <s v="Love and London. Cool. 👍😎🍺"/>
    <s v="UCJHXYwTuPLT9JFb5xoHZbVg"/>
    <s v="Carl T"/>
    <s v="http://www.youtube.com/channel/UCJHXYwTuPLT9JFb5xoHZbVg"/>
    <s v="Ugz7FsrZAE91TuuBEDZ4AaABAg"/>
    <s v="80f3JVN05YQ"/>
    <s v="https://www.youtube.com/watch?v=80f3JVN05YQ"/>
    <s v="none"/>
    <n v="0"/>
    <x v="686"/>
    <d v="2020-12-06T09:22:45.000"/>
    <m/>
    <m/>
    <s v=""/>
    <n v="1"/>
    <s v="3"/>
    <s v="3"/>
    <n v="2"/>
    <n v="50"/>
    <n v="0"/>
    <n v="0"/>
    <n v="0"/>
    <n v="0"/>
    <n v="2"/>
    <n v="50"/>
    <n v="4"/>
  </r>
  <r>
    <s v="UCJHXYwTuPLT9JFb5xoHZbVg"/>
    <s v="UC2n4MvLJDH2-GWzjJrC58Zw"/>
    <m/>
    <m/>
    <m/>
    <m/>
    <m/>
    <m/>
    <m/>
    <m/>
    <s v="Yes"/>
    <n v="690"/>
    <m/>
    <m/>
    <s v="Commented Video"/>
    <x v="1"/>
    <s v="I’m really looking forward to the bars opening again in England! I’m going to visit loads of the places that are being recommended on this channel."/>
    <s v="UCJHXYwTuPLT9JFb5xoHZbVg"/>
    <s v="Carl T"/>
    <s v="http://www.youtube.com/channel/UCJHXYwTuPLT9JFb5xoHZbVg"/>
    <m/>
    <s v="80f3JVN05YQ"/>
    <s v="https://www.youtube.com/watch?v=80f3JVN05YQ"/>
    <s v="none"/>
    <n v="0"/>
    <x v="687"/>
    <d v="2020-11-06T15:59:21.000"/>
    <m/>
    <m/>
    <s v=""/>
    <n v="1"/>
    <s v="3"/>
    <s v="3"/>
    <n v="1"/>
    <n v="3.5714285714285716"/>
    <n v="0"/>
    <n v="0"/>
    <n v="0"/>
    <n v="0"/>
    <n v="27"/>
    <n v="96.42857142857143"/>
    <n v="28"/>
  </r>
  <r>
    <s v="UC2n4MvLJDH2-GWzjJrC58Zw"/>
    <s v="UCvCQlpJFjnnhl3JjtEU1ARw"/>
    <m/>
    <m/>
    <m/>
    <m/>
    <m/>
    <m/>
    <m/>
    <m/>
    <s v="Yes"/>
    <n v="691"/>
    <m/>
    <m/>
    <s v="Replied Comment"/>
    <x v="0"/>
    <s v="yup! Thanks for watching Richard."/>
    <s v="UC2n4MvLJDH2-GWzjJrC58Zw"/>
    <s v="Love and London"/>
    <s v="http://www.youtube.com/channel/UC2n4MvLJDH2-GWzjJrC58Zw"/>
    <s v="UgyfJALSBkLu_vRjx9Z4AaABAg"/>
    <s v="80f3JVN05YQ"/>
    <s v="https://www.youtube.com/watch?v=80f3JVN05YQ"/>
    <s v="none"/>
    <n v="0"/>
    <x v="688"/>
    <d v="2020-03-07T08:23:35.000"/>
    <m/>
    <m/>
    <s v=""/>
    <n v="1"/>
    <s v="3"/>
    <s v="3"/>
    <n v="0"/>
    <n v="0"/>
    <n v="0"/>
    <n v="0"/>
    <n v="0"/>
    <n v="0"/>
    <n v="5"/>
    <n v="100"/>
    <n v="5"/>
  </r>
  <r>
    <s v="UCvCQlpJFjnnhl3JjtEU1ARw"/>
    <s v="UCvCQlpJFjnnhl3JjtEU1ARw"/>
    <m/>
    <m/>
    <m/>
    <m/>
    <m/>
    <m/>
    <m/>
    <m/>
    <s v="No"/>
    <n v="692"/>
    <m/>
    <m/>
    <s v="Replied Comment"/>
    <x v="0"/>
    <s v="@Love and London Just had a thought, I recently joined this group called Meetup, who put on social events across London, and I was thinking it would be cool for you guys to possibly collaborate on show casing venues frequented by their members. Could potentially give you even greater exposure. Anyhow,  good luck with the videos, and continue to enjoy London."/>
    <s v="UCvCQlpJFjnnhl3JjtEU1ARw"/>
    <s v="Richard Moore"/>
    <s v="http://www.youtube.com/channel/UCvCQlpJFjnnhl3JjtEU1ARw"/>
    <s v="UgyfJALSBkLu_vRjx9Z4AaABAg"/>
    <s v="80f3JVN05YQ"/>
    <s v="https://www.youtube.com/watch?v=80f3JVN05YQ"/>
    <s v="none"/>
    <n v="0"/>
    <x v="689"/>
    <d v="2020-03-07T15:26:12.000"/>
    <m/>
    <m/>
    <s v=""/>
    <n v="1"/>
    <s v="3"/>
    <s v="3"/>
    <n v="5"/>
    <n v="8.19672131147541"/>
    <n v="0"/>
    <n v="0"/>
    <n v="0"/>
    <n v="0"/>
    <n v="56"/>
    <n v="91.80327868852459"/>
    <n v="61"/>
  </r>
  <r>
    <s v="UCvCQlpJFjnnhl3JjtEU1ARw"/>
    <s v="UC2n4MvLJDH2-GWzjJrC58Zw"/>
    <m/>
    <m/>
    <m/>
    <m/>
    <m/>
    <m/>
    <m/>
    <m/>
    <s v="Yes"/>
    <n v="693"/>
    <m/>
    <m/>
    <s v="Commented Video"/>
    <x v="1"/>
    <s v="Nice video. Just wondered, as far as London rooftop bars are concerned, have you been to Radio Rooftop, or Madison Rooftop in St. Pauls? If not, definitley worth checking out. As is Jinbow Law in Aldgate, come to think of it."/>
    <s v="UCvCQlpJFjnnhl3JjtEU1ARw"/>
    <s v="Richard Moore"/>
    <s v="http://www.youtube.com/channel/UCvCQlpJFjnnhl3JjtEU1ARw"/>
    <m/>
    <s v="80f3JVN05YQ"/>
    <s v="https://www.youtube.com/watch?v=80f3JVN05YQ"/>
    <s v="none"/>
    <n v="0"/>
    <x v="690"/>
    <s v="29/06/2020 15:26:03"/>
    <m/>
    <m/>
    <s v=""/>
    <n v="1"/>
    <s v="3"/>
    <s v="3"/>
    <n v="2"/>
    <n v="4.878048780487805"/>
    <n v="1"/>
    <n v="2.4390243902439024"/>
    <n v="0"/>
    <n v="0"/>
    <n v="38"/>
    <n v="92.6829268292683"/>
    <n v="41"/>
  </r>
  <r>
    <s v="UCnWnhN-9oKU3jRE-M7WsjwA"/>
    <s v="UC2n4MvLJDH2-GWzjJrC58Zw"/>
    <m/>
    <m/>
    <m/>
    <m/>
    <m/>
    <m/>
    <m/>
    <m/>
    <s v="No"/>
    <n v="694"/>
    <m/>
    <m/>
    <s v="Commented Video"/>
    <x v="1"/>
    <s v="Wow ❤️❤️❤️❤️"/>
    <s v="UCnWnhN-9oKU3jRE-M7WsjwA"/>
    <s v="Paul Robinson"/>
    <s v="http://www.youtube.com/channel/UCnWnhN-9oKU3jRE-M7WsjwA"/>
    <m/>
    <s v="80f3JVN05YQ"/>
    <s v="https://www.youtube.com/watch?v=80f3JVN05YQ"/>
    <s v="none"/>
    <n v="0"/>
    <x v="691"/>
    <d v="2020-03-07T17:02:59.000"/>
    <m/>
    <m/>
    <s v=""/>
    <n v="1"/>
    <s v="3"/>
    <s v="3"/>
    <n v="1"/>
    <n v="100"/>
    <n v="0"/>
    <n v="0"/>
    <n v="0"/>
    <n v="0"/>
    <n v="0"/>
    <n v="0"/>
    <n v="1"/>
  </r>
  <r>
    <s v="UCqUQtnm8XzvKqaiSFYgztaw"/>
    <s v="UCrpWTj_O0oLZilvnDaLqElw"/>
    <m/>
    <m/>
    <m/>
    <m/>
    <m/>
    <m/>
    <m/>
    <m/>
    <s v="No"/>
    <n v="695"/>
    <m/>
    <m/>
    <s v="Commented Video"/>
    <x v="1"/>
    <s v="I visited Jin Bo Law last weekend with my girlfriends and had a fabulous time. There was a great vibe, good music, and the cocktails were delicious. The view is sensational too!"/>
    <s v="UCqUQtnm8XzvKqaiSFYgztaw"/>
    <s v="Racqs Real"/>
    <s v="http://www.youtube.com/channel/UCqUQtnm8XzvKqaiSFYgztaw"/>
    <m/>
    <s v="kIHMxfUtGmI"/>
    <s v="https://www.youtube.com/watch?v=kIHMxfUtGmI"/>
    <s v="none"/>
    <n v="1"/>
    <x v="692"/>
    <d v="2020-08-10T11:13:54.000"/>
    <m/>
    <m/>
    <s v=""/>
    <n v="1"/>
    <s v="6"/>
    <s v="6"/>
    <n v="5"/>
    <n v="15.625"/>
    <n v="0"/>
    <n v="0"/>
    <n v="0"/>
    <n v="0"/>
    <n v="27"/>
    <n v="84.375"/>
    <n v="32"/>
  </r>
  <r>
    <s v="UCqUQtnm8XzvKqaiSFYgztaw"/>
    <s v="UC2n4MvLJDH2-GWzjJrC58Zw"/>
    <m/>
    <m/>
    <m/>
    <m/>
    <m/>
    <m/>
    <m/>
    <m/>
    <s v="No"/>
    <n v="696"/>
    <m/>
    <m/>
    <s v="Commented Video"/>
    <x v="1"/>
    <s v="I visited Jin Bo Law Sky Bar last weekend with my girlfriends and had a fabulous time. There was a great vibe, good music, and the cocktails were delicious. The view is sensational too! If you are thinking about going, check out my vlog where you can see it all!"/>
    <s v="UCqUQtnm8XzvKqaiSFYgztaw"/>
    <s v="Racqs Real"/>
    <s v="http://www.youtube.com/channel/UCqUQtnm8XzvKqaiSFYgztaw"/>
    <m/>
    <s v="80f3JVN05YQ"/>
    <s v="https://www.youtube.com/watch?v=80f3JVN05YQ"/>
    <s v="none"/>
    <n v="0"/>
    <x v="693"/>
    <d v="2020-08-10T11:12:22.000"/>
    <m/>
    <m/>
    <s v=""/>
    <n v="1"/>
    <s v="6"/>
    <s v="3"/>
    <n v="5"/>
    <n v="10"/>
    <n v="0"/>
    <n v="0"/>
    <n v="0"/>
    <n v="0"/>
    <n v="45"/>
    <n v="90"/>
    <n v="50"/>
  </r>
  <r>
    <s v="UC2n4MvLJDH2-GWzjJrC58Zw"/>
    <s v="UCf2vOAqfiP6Cnf3zDUPIF6g"/>
    <m/>
    <m/>
    <m/>
    <m/>
    <m/>
    <m/>
    <m/>
    <m/>
    <s v="Yes"/>
    <n v="697"/>
    <m/>
    <m/>
    <s v="Replied Comment"/>
    <x v="0"/>
    <s v="Aw thank you so much Laurie, glad you&amp;#39;re enjoying the videos ;)"/>
    <s v="UC2n4MvLJDH2-GWzjJrC58Zw"/>
    <s v="Love and London"/>
    <s v="http://www.youtube.com/channel/UC2n4MvLJDH2-GWzjJrC58Zw"/>
    <s v="UgyylhIp4fcYDn1LZ9Z4AaABAg"/>
    <s v="80f3JVN05YQ"/>
    <s v="https://www.youtube.com/watch?v=80f3JVN05YQ"/>
    <s v="none"/>
    <n v="0"/>
    <x v="694"/>
    <d v="2020-09-11T09:20:02.000"/>
    <m/>
    <m/>
    <s v=""/>
    <n v="1"/>
    <s v="3"/>
    <s v="3"/>
    <n v="3"/>
    <n v="23.076923076923077"/>
    <n v="0"/>
    <n v="0"/>
    <n v="0"/>
    <n v="0"/>
    <n v="10"/>
    <n v="76.92307692307692"/>
    <n v="13"/>
  </r>
  <r>
    <s v="UCf2vOAqfiP6Cnf3zDUPIF6g"/>
    <s v="UC2n4MvLJDH2-GWzjJrC58Zw"/>
    <m/>
    <m/>
    <m/>
    <m/>
    <m/>
    <m/>
    <m/>
    <m/>
    <s v="Yes"/>
    <n v="698"/>
    <m/>
    <m/>
    <s v="Commented Video"/>
    <x v="1"/>
    <s v="I&amp;#39;ve just discovered your channel and love this video! I can&amp;#39;t believe you&amp;#39;re doing YouTube  in London better than TimeOut, Secret London, etc. 👏🏻"/>
    <s v="UCf2vOAqfiP6Cnf3zDUPIF6g"/>
    <s v="L C"/>
    <s v="http://www.youtube.com/channel/UCf2vOAqfiP6Cnf3zDUPIF6g"/>
    <m/>
    <s v="80f3JVN05YQ"/>
    <s v="https://www.youtube.com/watch?v=80f3JVN05YQ"/>
    <s v="none"/>
    <n v="0"/>
    <x v="695"/>
    <d v="2020-07-11T19:50:58.000"/>
    <m/>
    <m/>
    <s v=""/>
    <n v="1"/>
    <s v="3"/>
    <s v="3"/>
    <n v="2"/>
    <n v="6.896551724137931"/>
    <n v="0"/>
    <n v="0"/>
    <n v="0"/>
    <n v="0"/>
    <n v="27"/>
    <n v="93.10344827586206"/>
    <n v="29"/>
  </r>
  <r>
    <s v="UC2n4MvLJDH2-GWzjJrC58Zw"/>
    <s v="UCkeAucrTycuWwkJMQ6yMHIg"/>
    <m/>
    <m/>
    <m/>
    <m/>
    <m/>
    <m/>
    <m/>
    <m/>
    <s v="Yes"/>
    <n v="699"/>
    <m/>
    <m/>
    <s v="Replied Comment"/>
    <x v="0"/>
    <s v="The only way to do it!"/>
    <s v="UC2n4MvLJDH2-GWzjJrC58Zw"/>
    <s v="Love and London"/>
    <s v="http://www.youtube.com/channel/UC2n4MvLJDH2-GWzjJrC58Zw"/>
    <s v="Ugz40_Fi1hCN6THEhs54AaABAg"/>
    <s v="80f3JVN05YQ"/>
    <s v="https://www.youtube.com/watch?v=80f3JVN05YQ"/>
    <s v="none"/>
    <n v="0"/>
    <x v="696"/>
    <s v="18/04/2021 21:23:03"/>
    <m/>
    <m/>
    <s v=""/>
    <n v="1"/>
    <s v="3"/>
    <s v="3"/>
    <n v="0"/>
    <n v="0"/>
    <n v="0"/>
    <n v="0"/>
    <n v="0"/>
    <n v="0"/>
    <n v="6"/>
    <n v="100"/>
    <n v="6"/>
  </r>
  <r>
    <s v="UCkeAucrTycuWwkJMQ6yMHIg"/>
    <s v="UCkeAucrTycuWwkJMQ6yMHIg"/>
    <m/>
    <m/>
    <m/>
    <m/>
    <m/>
    <m/>
    <m/>
    <m/>
    <s v="No"/>
    <n v="700"/>
    <m/>
    <m/>
    <s v="Replied Comment"/>
    <x v="0"/>
    <s v="@Love and London yeah it&amp;#39;s the only way to taste the flavours."/>
    <s v="UCkeAucrTycuWwkJMQ6yMHIg"/>
    <s v="Ulises Lira"/>
    <s v="http://www.youtube.com/channel/UCkeAucrTycuWwkJMQ6yMHIg"/>
    <s v="Ugz40_Fi1hCN6THEhs54AaABAg"/>
    <s v="80f3JVN05YQ"/>
    <s v="https://www.youtube.com/watch?v=80f3JVN05YQ"/>
    <s v="none"/>
    <n v="0"/>
    <x v="697"/>
    <s v="18/04/2021 22:12:07"/>
    <m/>
    <m/>
    <s v=""/>
    <n v="1"/>
    <s v="3"/>
    <s v="3"/>
    <n v="1"/>
    <n v="7.142857142857143"/>
    <n v="0"/>
    <n v="0"/>
    <n v="0"/>
    <n v="0"/>
    <n v="13"/>
    <n v="92.85714285714286"/>
    <n v="14"/>
  </r>
  <r>
    <s v="UCkeAucrTycuWwkJMQ6yMHIg"/>
    <s v="UC2n4MvLJDH2-GWzjJrC58Zw"/>
    <m/>
    <m/>
    <m/>
    <m/>
    <m/>
    <m/>
    <m/>
    <m/>
    <s v="Yes"/>
    <n v="701"/>
    <m/>
    <m/>
    <s v="Commented Video"/>
    <x v="1"/>
    <s v="Jess it&amp;#39;s sipping out every cocktail.🤣🤣🤣"/>
    <s v="UCkeAucrTycuWwkJMQ6yMHIg"/>
    <s v="Ulises Lira"/>
    <s v="http://www.youtube.com/channel/UCkeAucrTycuWwkJMQ6yMHIg"/>
    <m/>
    <s v="80f3JVN05YQ"/>
    <s v="https://www.youtube.com/watch?v=80f3JVN05YQ"/>
    <s v="none"/>
    <n v="0"/>
    <x v="698"/>
    <s v="17/04/2021 04:26:51"/>
    <m/>
    <m/>
    <s v=""/>
    <n v="1"/>
    <s v="3"/>
    <s v="3"/>
    <n v="0"/>
    <n v="0"/>
    <n v="0"/>
    <n v="0"/>
    <n v="0"/>
    <n v="0"/>
    <n v="8"/>
    <n v="100"/>
    <n v="8"/>
  </r>
  <r>
    <s v="UC2n4MvLJDH2-GWzjJrC58Zw"/>
    <s v="UCO8wnd7l7D83prtjHV_wiyA"/>
    <m/>
    <m/>
    <m/>
    <m/>
    <m/>
    <m/>
    <m/>
    <m/>
    <s v="Yes"/>
    <n v="702"/>
    <m/>
    <m/>
    <s v="Replied Comment"/>
    <x v="0"/>
    <s v="You&amp;#39;re very welcome! Thanks for watching Nima."/>
    <s v="UC2n4MvLJDH2-GWzjJrC58Zw"/>
    <s v="Love and London"/>
    <s v="http://www.youtube.com/channel/UC2n4MvLJDH2-GWzjJrC58Zw"/>
    <s v="Ugzho7LkWVfR5ol9gqh4AaABAg"/>
    <s v="80f3JVN05YQ"/>
    <s v="https://www.youtube.com/watch?v=80f3JVN05YQ"/>
    <s v="none"/>
    <n v="0"/>
    <x v="699"/>
    <s v="18/04/2021 21:16:48"/>
    <m/>
    <m/>
    <s v=""/>
    <n v="1"/>
    <s v="3"/>
    <s v="3"/>
    <n v="1"/>
    <n v="11.11111111111111"/>
    <n v="0"/>
    <n v="0"/>
    <n v="0"/>
    <n v="0"/>
    <n v="8"/>
    <n v="88.88888888888889"/>
    <n v="9"/>
  </r>
  <r>
    <s v="UCO8wnd7l7D83prtjHV_wiyA"/>
    <s v="UC2n4MvLJDH2-GWzjJrC58Zw"/>
    <m/>
    <m/>
    <m/>
    <m/>
    <m/>
    <m/>
    <m/>
    <m/>
    <s v="Yes"/>
    <n v="703"/>
    <m/>
    <m/>
    <s v="Commented Video"/>
    <x v="1"/>
    <s v="Thank you for this!"/>
    <s v="UCO8wnd7l7D83prtjHV_wiyA"/>
    <s v="Nima Green"/>
    <s v="http://www.youtube.com/channel/UCO8wnd7l7D83prtjHV_wiyA"/>
    <m/>
    <s v="80f3JVN05YQ"/>
    <s v="https://www.youtube.com/watch?v=80f3JVN05YQ"/>
    <s v="none"/>
    <n v="0"/>
    <x v="700"/>
    <s v="18/04/2021 19:23:25"/>
    <m/>
    <m/>
    <s v=""/>
    <n v="1"/>
    <s v="3"/>
    <s v="3"/>
    <n v="1"/>
    <n v="25"/>
    <n v="0"/>
    <n v="0"/>
    <n v="0"/>
    <n v="0"/>
    <n v="3"/>
    <n v="75"/>
    <n v="4"/>
  </r>
  <r>
    <s v="UCJAsDqyUYYar1fo71XRvIXw"/>
    <s v="UCLP2J3yzHO9rZDyzie5Y5Og"/>
    <m/>
    <m/>
    <m/>
    <m/>
    <m/>
    <m/>
    <m/>
    <m/>
    <s v="No"/>
    <n v="704"/>
    <m/>
    <m/>
    <s v="Commented Video"/>
    <x v="1"/>
    <s v="I remember going here when I was a child ,nice to see it again."/>
    <s v="UCJAsDqyUYYar1fo71XRvIXw"/>
    <s v="Wendy Mitchell"/>
    <s v="http://www.youtube.com/channel/UCJAsDqyUYYar1fo71XRvIXw"/>
    <m/>
    <s v="gOv6hkcCBDU"/>
    <s v="https://www.youtube.com/watch?v=gOv6hkcCBDU"/>
    <s v="none"/>
    <n v="0"/>
    <x v="701"/>
    <s v="27/04/2018 21:47:24"/>
    <m/>
    <m/>
    <s v=""/>
    <n v="1"/>
    <s v="17"/>
    <s v="17"/>
    <n v="1"/>
    <n v="7.142857142857143"/>
    <n v="0"/>
    <n v="0"/>
    <n v="0"/>
    <n v="0"/>
    <n v="13"/>
    <n v="92.85714285714286"/>
    <n v="14"/>
  </r>
  <r>
    <s v="UC9lyUdwosxq_OxC1uggjUPA"/>
    <s v="UCLi0tnnxNwrs2dpMT0s07Mw"/>
    <m/>
    <m/>
    <m/>
    <m/>
    <m/>
    <m/>
    <m/>
    <m/>
    <s v="No"/>
    <n v="705"/>
    <m/>
    <m/>
    <s v="Commented Video"/>
    <x v="1"/>
    <s v="Amazing views, wish this had been open when I visited last year. &lt;br&gt;Love your videos 👍👍"/>
    <s v="UC9lyUdwosxq_OxC1uggjUPA"/>
    <s v="Photo Genius"/>
    <s v="http://www.youtube.com/channel/UC9lyUdwosxq_OxC1uggjUPA"/>
    <m/>
    <s v="fDCXpEe0ciU"/>
    <s v="https://www.youtube.com/watch?v=fDCXpEe0ciU"/>
    <s v="none"/>
    <n v="1"/>
    <x v="702"/>
    <s v="17/02/2019 00:40:55"/>
    <m/>
    <m/>
    <s v=""/>
    <n v="1"/>
    <s v="8"/>
    <s v="8"/>
    <n v="2"/>
    <n v="12.5"/>
    <n v="0"/>
    <n v="0"/>
    <n v="0"/>
    <n v="0"/>
    <n v="14"/>
    <n v="87.5"/>
    <n v="16"/>
  </r>
  <r>
    <s v="UCppyzV1-pGYK2ZBeDekNw6g"/>
    <s v="UCLi0tnnxNwrs2dpMT0s07Mw"/>
    <m/>
    <m/>
    <m/>
    <m/>
    <m/>
    <m/>
    <m/>
    <m/>
    <s v="No"/>
    <n v="706"/>
    <m/>
    <m/>
    <s v="Commented Video"/>
    <x v="1"/>
    <s v="Amazing view!😍😍😍 Really really well done!"/>
    <s v="UCppyzV1-pGYK2ZBeDekNw6g"/>
    <s v="Jason Yu"/>
    <s v="http://www.youtube.com/channel/UCppyzV1-pGYK2ZBeDekNw6g"/>
    <m/>
    <s v="fDCXpEe0ciU"/>
    <s v="https://www.youtube.com/watch?v=fDCXpEe0ciU"/>
    <s v="none"/>
    <n v="2"/>
    <x v="703"/>
    <s v="17/02/2019 03:47:36"/>
    <m/>
    <m/>
    <s v=""/>
    <n v="1"/>
    <s v="8"/>
    <s v="8"/>
    <n v="2"/>
    <n v="33.333333333333336"/>
    <n v="0"/>
    <n v="0"/>
    <n v="0"/>
    <n v="0"/>
    <n v="4"/>
    <n v="66.66666666666667"/>
    <n v="6"/>
  </r>
  <r>
    <s v="UCHKKr8QSIW8l560WdeSw-Fw"/>
    <s v="UCLi0tnnxNwrs2dpMT0s07Mw"/>
    <m/>
    <m/>
    <m/>
    <m/>
    <m/>
    <m/>
    <m/>
    <m/>
    <s v="No"/>
    <n v="707"/>
    <m/>
    <m/>
    <s v="Commented Video"/>
    <x v="1"/>
    <s v="Thank you for showing me this beautiful rooftop! 😊"/>
    <s v="UCHKKr8QSIW8l560WdeSw-Fw"/>
    <s v="Katarzyna Karpierz"/>
    <s v="http://www.youtube.com/channel/UCHKKr8QSIW8l560WdeSw-Fw"/>
    <m/>
    <s v="fDCXpEe0ciU"/>
    <s v="https://www.youtube.com/watch?v=fDCXpEe0ciU"/>
    <s v="none"/>
    <n v="3"/>
    <x v="704"/>
    <s v="17/02/2019 09:22:05"/>
    <m/>
    <m/>
    <s v=""/>
    <n v="1"/>
    <s v="8"/>
    <s v="8"/>
    <n v="2"/>
    <n v="25"/>
    <n v="0"/>
    <n v="0"/>
    <n v="0"/>
    <n v="0"/>
    <n v="6"/>
    <n v="75"/>
    <n v="8"/>
  </r>
  <r>
    <s v="UCUmkdKGjFVeTr3lScUidE8A"/>
    <s v="UCLi0tnnxNwrs2dpMT0s07Mw"/>
    <m/>
    <m/>
    <m/>
    <m/>
    <m/>
    <m/>
    <m/>
    <m/>
    <s v="No"/>
    <n v="708"/>
    <m/>
    <m/>
    <s v="Commented Video"/>
    <x v="1"/>
    <s v="Great Video, thank you! Will visit this :)"/>
    <s v="UCUmkdKGjFVeTr3lScUidE8A"/>
    <s v="schmomu"/>
    <s v="http://www.youtube.com/channel/UCUmkdKGjFVeTr3lScUidE8A"/>
    <m/>
    <s v="fDCXpEe0ciU"/>
    <s v="https://www.youtube.com/watch?v=fDCXpEe0ciU"/>
    <s v="none"/>
    <n v="2"/>
    <x v="705"/>
    <s v="17/02/2019 10:12:30"/>
    <m/>
    <m/>
    <s v=""/>
    <n v="1"/>
    <s v="8"/>
    <s v="8"/>
    <n v="2"/>
    <n v="28.571428571428573"/>
    <n v="0"/>
    <n v="0"/>
    <n v="0"/>
    <n v="0"/>
    <n v="5"/>
    <n v="71.42857142857143"/>
    <n v="7"/>
  </r>
  <r>
    <s v="UCha_5G6T3039lCb38VtkDIQ"/>
    <s v="UCLi0tnnxNwrs2dpMT0s07Mw"/>
    <m/>
    <m/>
    <m/>
    <m/>
    <m/>
    <m/>
    <m/>
    <m/>
    <s v="No"/>
    <n v="709"/>
    <m/>
    <m/>
    <s v="Commented Video"/>
    <x v="1"/>
    <s v="Mate this turned out amazing!! 🤩🤩👌🏼👌🏼"/>
    <s v="UCha_5G6T3039lCb38VtkDIQ"/>
    <s v="meletispix"/>
    <s v="http://www.youtube.com/channel/UCha_5G6T3039lCb38VtkDIQ"/>
    <m/>
    <s v="fDCXpEe0ciU"/>
    <s v="https://www.youtube.com/watch?v=fDCXpEe0ciU"/>
    <s v="none"/>
    <n v="2"/>
    <x v="706"/>
    <s v="17/02/2019 10:41:45"/>
    <m/>
    <m/>
    <s v=""/>
    <n v="1"/>
    <s v="8"/>
    <s v="8"/>
    <n v="1"/>
    <n v="20"/>
    <n v="0"/>
    <n v="0"/>
    <n v="0"/>
    <n v="0"/>
    <n v="4"/>
    <n v="80"/>
    <n v="5"/>
  </r>
  <r>
    <s v="UCt0pc4cGojE6o-lNJSZvCfA"/>
    <s v="UCLi0tnnxNwrs2dpMT0s07Mw"/>
    <m/>
    <m/>
    <m/>
    <m/>
    <m/>
    <m/>
    <m/>
    <m/>
    <s v="No"/>
    <n v="710"/>
    <m/>
    <m/>
    <s v="Commented Video"/>
    <x v="1"/>
    <s v="I’m in London this week. Must visit this place!"/>
    <s v="UCt0pc4cGojE6o-lNJSZvCfA"/>
    <s v="Stewart Carter"/>
    <s v="http://www.youtube.com/channel/UCt0pc4cGojE6o-lNJSZvCfA"/>
    <m/>
    <s v="fDCXpEe0ciU"/>
    <s v="https://www.youtube.com/watch?v=fDCXpEe0ciU"/>
    <s v="none"/>
    <n v="2"/>
    <x v="707"/>
    <s v="17/02/2019 10:43:47"/>
    <m/>
    <m/>
    <s v=""/>
    <n v="1"/>
    <s v="8"/>
    <s v="8"/>
    <n v="0"/>
    <n v="0"/>
    <n v="0"/>
    <n v="0"/>
    <n v="0"/>
    <n v="0"/>
    <n v="10"/>
    <n v="100"/>
    <n v="10"/>
  </r>
  <r>
    <s v="UCSNotlkaQzaA1x41XyDEnUQ"/>
    <s v="UCLi0tnnxNwrs2dpMT0s07Mw"/>
    <m/>
    <m/>
    <m/>
    <m/>
    <m/>
    <m/>
    <m/>
    <m/>
    <s v="No"/>
    <n v="711"/>
    <m/>
    <m/>
    <s v="Commented Video"/>
    <x v="1"/>
    <s v="Cool stuff, I think I’ll visit when it’s next sunny"/>
    <s v="UCSNotlkaQzaA1x41XyDEnUQ"/>
    <s v="Henry Young"/>
    <s v="http://www.youtube.com/channel/UCSNotlkaQzaA1x41XyDEnUQ"/>
    <m/>
    <s v="fDCXpEe0ciU"/>
    <s v="https://www.youtube.com/watch?v=fDCXpEe0ciU"/>
    <s v="none"/>
    <n v="2"/>
    <x v="708"/>
    <s v="17/02/2019 11:45:09"/>
    <m/>
    <m/>
    <s v=""/>
    <n v="1"/>
    <s v="8"/>
    <s v="8"/>
    <n v="1"/>
    <n v="8.333333333333334"/>
    <n v="0"/>
    <n v="0"/>
    <n v="0"/>
    <n v="0"/>
    <n v="11"/>
    <n v="91.66666666666667"/>
    <n v="12"/>
  </r>
  <r>
    <s v="UCzBRTGLhzuaB2An2otGPEzA"/>
    <s v="UCLi0tnnxNwrs2dpMT0s07Mw"/>
    <m/>
    <m/>
    <m/>
    <m/>
    <m/>
    <m/>
    <m/>
    <m/>
    <s v="No"/>
    <n v="712"/>
    <m/>
    <m/>
    <s v="Commented Video"/>
    <x v="1"/>
    <s v="Epic video mate"/>
    <s v="UCzBRTGLhzuaB2An2otGPEzA"/>
    <s v="Dom Ashoka"/>
    <s v="http://www.youtube.com/channel/UCzBRTGLhzuaB2An2otGPEzA"/>
    <m/>
    <s v="fDCXpEe0ciU"/>
    <s v="https://www.youtube.com/watch?v=fDCXpEe0ciU"/>
    <s v="none"/>
    <n v="1"/>
    <x v="709"/>
    <s v="17/02/2019 13:49:10"/>
    <m/>
    <m/>
    <s v=""/>
    <n v="1"/>
    <s v="8"/>
    <s v="8"/>
    <n v="0"/>
    <n v="0"/>
    <n v="0"/>
    <n v="0"/>
    <n v="0"/>
    <n v="0"/>
    <n v="3"/>
    <n v="100"/>
    <n v="3"/>
  </r>
  <r>
    <s v="UCt9_kJMwRziGaAUjifzys-Q"/>
    <s v="UCt9_kJMwRziGaAUjifzys-Q"/>
    <m/>
    <m/>
    <m/>
    <m/>
    <m/>
    <m/>
    <m/>
    <m/>
    <s v="No"/>
    <n v="713"/>
    <m/>
    <m/>
    <s v="Replied Comment"/>
    <x v="0"/>
    <s v="@London Viewpoints  thank you, I&amp;#39;ll look for it"/>
    <s v="UCt9_kJMwRziGaAUjifzys-Q"/>
    <s v="Marco Russo Travel Photography"/>
    <s v="http://www.youtube.com/channel/UCt9_kJMwRziGaAUjifzys-Q"/>
    <s v="Ugw1E0xJpIQrS_Go_H94AaABAg"/>
    <s v="fDCXpEe0ciU"/>
    <s v="https://www.youtube.com/watch?v=fDCXpEe0ciU"/>
    <s v="none"/>
    <n v="0"/>
    <x v="710"/>
    <s v="18/02/2019 10:38:18"/>
    <m/>
    <m/>
    <s v=""/>
    <n v="1"/>
    <s v="8"/>
    <s v="8"/>
    <n v="1"/>
    <n v="10"/>
    <n v="0"/>
    <n v="0"/>
    <n v="0"/>
    <n v="0"/>
    <n v="9"/>
    <n v="90"/>
    <n v="10"/>
  </r>
  <r>
    <s v="UCt9_kJMwRziGaAUjifzys-Q"/>
    <s v="UCLi0tnnxNwrs2dpMT0s07Mw"/>
    <m/>
    <m/>
    <m/>
    <m/>
    <m/>
    <m/>
    <m/>
    <m/>
    <s v="No"/>
    <n v="714"/>
    <m/>
    <m/>
    <s v="Commented Video"/>
    <x v="1"/>
    <s v="hello nice video can you tell me where to buy the black box that you put on the anti-reflection glass that you see in the video?"/>
    <s v="UCt9_kJMwRziGaAUjifzys-Q"/>
    <s v="Marco Russo Travel Photography"/>
    <s v="http://www.youtube.com/channel/UCt9_kJMwRziGaAUjifzys-Q"/>
    <m/>
    <s v="fDCXpEe0ciU"/>
    <s v="https://www.youtube.com/watch?v=fDCXpEe0ciU"/>
    <s v="none"/>
    <n v="1"/>
    <x v="711"/>
    <s v="17/02/2019 14:03:36"/>
    <m/>
    <m/>
    <s v=""/>
    <n v="1"/>
    <s v="8"/>
    <s v="8"/>
    <n v="1"/>
    <n v="3.7037037037037037"/>
    <n v="0"/>
    <n v="0"/>
    <n v="0"/>
    <n v="0"/>
    <n v="26"/>
    <n v="96.29629629629629"/>
    <n v="27"/>
  </r>
  <r>
    <s v="UCT-qa7_fRJMIsq4D1XotTrg"/>
    <s v="UCLi0tnnxNwrs2dpMT0s07Mw"/>
    <m/>
    <m/>
    <m/>
    <m/>
    <m/>
    <m/>
    <m/>
    <m/>
    <s v="No"/>
    <n v="715"/>
    <m/>
    <m/>
    <s v="Commented Video"/>
    <x v="1"/>
    <s v="677th subscriber. Way to go mate. 👊🏼"/>
    <s v="UCT-qa7_fRJMIsq4D1XotTrg"/>
    <s v="Vicky Shukla"/>
    <s v="http://www.youtube.com/channel/UCT-qa7_fRJMIsq4D1XotTrg"/>
    <m/>
    <s v="fDCXpEe0ciU"/>
    <s v="https://www.youtube.com/watch?v=fDCXpEe0ciU"/>
    <s v="none"/>
    <n v="3"/>
    <x v="712"/>
    <s v="18/02/2019 15:30:24"/>
    <m/>
    <m/>
    <s v=""/>
    <n v="1"/>
    <s v="8"/>
    <s v="8"/>
    <n v="0"/>
    <n v="0"/>
    <n v="0"/>
    <n v="0"/>
    <n v="0"/>
    <n v="0"/>
    <n v="6"/>
    <n v="100"/>
    <n v="6"/>
  </r>
  <r>
    <s v="UC6V6onFxAmp8XRofFkRKnNw"/>
    <s v="UCLi0tnnxNwrs2dpMT0s07Mw"/>
    <m/>
    <m/>
    <m/>
    <m/>
    <m/>
    <m/>
    <m/>
    <m/>
    <s v="No"/>
    <n v="716"/>
    <m/>
    <m/>
    <s v="Commented Video"/>
    <x v="1"/>
    <s v="Fantastic Video as Always  Michael. 👌🏼 Managed to get up There Sunday Morning @ opening Time, Fantastic Sunny Weather, And a Great Bunch of Pictures Gathered.. Can see this one Being a popular New Venue.  Stunning 360 Views as you say. 📷🙏🏻"/>
    <s v="UC6V6onFxAmp8XRofFkRKnNw"/>
    <s v="ShortiesPhotography1970 .Bryan."/>
    <s v="http://www.youtube.com/channel/UC6V6onFxAmp8XRofFkRKnNw"/>
    <m/>
    <s v="fDCXpEe0ciU"/>
    <s v="https://www.youtube.com/watch?v=fDCXpEe0ciU"/>
    <s v="none"/>
    <n v="0"/>
    <x v="713"/>
    <s v="19/02/2019 18:08:41"/>
    <m/>
    <m/>
    <s v=""/>
    <n v="1"/>
    <s v="8"/>
    <s v="8"/>
    <n v="5"/>
    <n v="12.820512820512821"/>
    <n v="0"/>
    <n v="0"/>
    <n v="0"/>
    <n v="0"/>
    <n v="34"/>
    <n v="87.17948717948718"/>
    <n v="39"/>
  </r>
  <r>
    <s v="UC0YOJ-_2bsDOXJ7lC7h_opw"/>
    <s v="UCLi0tnnxNwrs2dpMT0s07Mw"/>
    <m/>
    <m/>
    <m/>
    <m/>
    <m/>
    <m/>
    <m/>
    <m/>
    <s v="No"/>
    <n v="717"/>
    <m/>
    <m/>
    <s v="Commented Video"/>
    <x v="1"/>
    <s v="Adding it to my list for whenever I get a return trip to London"/>
    <s v="UC0YOJ-_2bsDOXJ7lC7h_opw"/>
    <s v="Stephen Ratke"/>
    <s v="http://www.youtube.com/channel/UC0YOJ-_2bsDOXJ7lC7h_opw"/>
    <m/>
    <s v="fDCXpEe0ciU"/>
    <s v="https://www.youtube.com/watch?v=fDCXpEe0ciU"/>
    <s v="none"/>
    <n v="2"/>
    <x v="714"/>
    <s v="23/02/2019 03:18:41"/>
    <m/>
    <m/>
    <s v=""/>
    <n v="1"/>
    <s v="8"/>
    <s v="8"/>
    <n v="0"/>
    <n v="0"/>
    <n v="0"/>
    <n v="0"/>
    <n v="0"/>
    <n v="0"/>
    <n v="14"/>
    <n v="100"/>
    <n v="14"/>
  </r>
  <r>
    <s v="UCdOO6yFY-o6DMJoLqDke5Jw"/>
    <s v="UCLi0tnnxNwrs2dpMT0s07Mw"/>
    <m/>
    <m/>
    <m/>
    <m/>
    <m/>
    <m/>
    <m/>
    <m/>
    <s v="No"/>
    <n v="718"/>
    <m/>
    <m/>
    <s v="Commented Video"/>
    <x v="1"/>
    <s v="Liking the video clip and you have done a remarkable job on the edit! If you have time let me know what you think of my latest video just need some feedback! 😃"/>
    <s v="UCdOO6yFY-o6DMJoLqDke5Jw"/>
    <s v="Eros Vellucci Vlogs"/>
    <s v="http://www.youtube.com/channel/UCdOO6yFY-o6DMJoLqDke5Jw"/>
    <m/>
    <s v="fDCXpEe0ciU"/>
    <s v="https://www.youtube.com/watch?v=fDCXpEe0ciU"/>
    <s v="none"/>
    <n v="1"/>
    <x v="715"/>
    <d v="2019-12-03T16:25:26.000"/>
    <m/>
    <m/>
    <s v=""/>
    <n v="1"/>
    <s v="8"/>
    <s v="8"/>
    <n v="2"/>
    <n v="6.25"/>
    <n v="0"/>
    <n v="0"/>
    <n v="0"/>
    <n v="0"/>
    <n v="30"/>
    <n v="93.75"/>
    <n v="32"/>
  </r>
  <r>
    <s v="UCIvJ7jMMPaFGOZEvpgGrCSg"/>
    <s v="UCLi0tnnxNwrs2dpMT0s07Mw"/>
    <m/>
    <m/>
    <m/>
    <m/>
    <m/>
    <m/>
    <m/>
    <m/>
    <s v="No"/>
    <n v="719"/>
    <m/>
    <m/>
    <s v="Commented Video"/>
    <x v="1"/>
    <s v="Hi Michael, What was that device that your fellow photographer put on the glass at the Garden 120.  Looked like some type of shade.  Thank you."/>
    <s v="UCIvJ7jMMPaFGOZEvpgGrCSg"/>
    <s v="David Hutchison"/>
    <s v="http://www.youtube.com/channel/UCIvJ7jMMPaFGOZEvpgGrCSg"/>
    <m/>
    <s v="fDCXpEe0ciU"/>
    <s v="https://www.youtube.com/watch?v=fDCXpEe0ciU"/>
    <s v="none"/>
    <n v="0"/>
    <x v="716"/>
    <s v="14/09/2019 16:16:05"/>
    <m/>
    <m/>
    <s v=""/>
    <n v="1"/>
    <s v="8"/>
    <s v="8"/>
    <n v="2"/>
    <n v="7.6923076923076925"/>
    <n v="0"/>
    <n v="0"/>
    <n v="0"/>
    <n v="0"/>
    <n v="24"/>
    <n v="92.3076923076923"/>
    <n v="26"/>
  </r>
  <r>
    <s v="UChI-cTok8fJePnryAd0mTvQ"/>
    <s v="UCMR_8qEieZ8CMqmphUSqiPg"/>
    <m/>
    <m/>
    <m/>
    <m/>
    <m/>
    <m/>
    <m/>
    <m/>
    <s v="Yes"/>
    <n v="720"/>
    <m/>
    <m/>
    <s v="Replied Comment"/>
    <x v="0"/>
    <s v="No - i think all of these rooftops dont allow tripods so just leave it in your bag and just say you wanna take pictures hand held -  have fun !!"/>
    <s v="UChI-cTok8fJePnryAd0mTvQ"/>
    <s v="Lifestyle Hal"/>
    <s v="http://www.youtube.com/channel/UChI-cTok8fJePnryAd0mTvQ"/>
    <s v="UgyMdo-hnyHRhssdoHR4AaABAg"/>
    <s v="vWMAV6nNPbo"/>
    <s v="https://www.youtube.com/watch?v=vWMAV6nNPbo"/>
    <s v="none"/>
    <n v="0"/>
    <x v="717"/>
    <d v="2019-07-10T09:10:52.000"/>
    <m/>
    <m/>
    <s v=""/>
    <n v="1"/>
    <s v="8"/>
    <s v="8"/>
    <n v="1"/>
    <n v="3.5714285714285716"/>
    <n v="0"/>
    <n v="0"/>
    <n v="0"/>
    <n v="0"/>
    <n v="27"/>
    <n v="96.42857142857143"/>
    <n v="28"/>
  </r>
  <r>
    <s v="UCMR_8qEieZ8CMqmphUSqiPg"/>
    <s v="UChI-cTok8fJePnryAd0mTvQ"/>
    <m/>
    <m/>
    <m/>
    <m/>
    <m/>
    <m/>
    <m/>
    <m/>
    <s v="Yes"/>
    <n v="721"/>
    <m/>
    <m/>
    <s v="Commented Video"/>
    <x v="1"/>
    <s v="Thanks for the video!! We didn&amp;#39;t know this viewpoint and look amazing!&lt;br&gt;Are you allowed to use tripod?"/>
    <s v="UCMR_8qEieZ8CMqmphUSqiPg"/>
    <s v="SeguirViajando"/>
    <s v="http://www.youtube.com/channel/UCMR_8qEieZ8CMqmphUSqiPg"/>
    <m/>
    <s v="vWMAV6nNPbo"/>
    <s v="https://www.youtube.com/watch?v=vWMAV6nNPbo"/>
    <s v="none"/>
    <n v="1"/>
    <x v="718"/>
    <d v="2019-06-10T09:54:23.000"/>
    <m/>
    <m/>
    <s v=""/>
    <n v="1"/>
    <s v="8"/>
    <s v="8"/>
    <n v="1"/>
    <n v="4.761904761904762"/>
    <n v="0"/>
    <n v="0"/>
    <n v="0"/>
    <n v="0"/>
    <n v="20"/>
    <n v="95.23809523809524"/>
    <n v="21"/>
  </r>
  <r>
    <s v="UCMR_8qEieZ8CMqmphUSqiPg"/>
    <s v="UCLi0tnnxNwrs2dpMT0s07Mw"/>
    <m/>
    <m/>
    <m/>
    <m/>
    <m/>
    <m/>
    <m/>
    <m/>
    <s v="No"/>
    <n v="722"/>
    <m/>
    <m/>
    <s v="Commented Video"/>
    <x v="1"/>
    <s v="Not tripods yet? Oooooh :("/>
    <s v="UCMR_8qEieZ8CMqmphUSqiPg"/>
    <s v="SeguirViajando"/>
    <s v="http://www.youtube.com/channel/UCMR_8qEieZ8CMqmphUSqiPg"/>
    <m/>
    <s v="fDCXpEe0ciU"/>
    <s v="https://www.youtube.com/watch?v=fDCXpEe0ciU"/>
    <s v="none"/>
    <n v="0"/>
    <x v="719"/>
    <d v="2019-06-10T20:19:20.000"/>
    <m/>
    <m/>
    <s v=""/>
    <n v="1"/>
    <s v="8"/>
    <s v="8"/>
    <n v="0"/>
    <n v="0"/>
    <n v="0"/>
    <n v="0"/>
    <n v="0"/>
    <n v="0"/>
    <n v="4"/>
    <n v="100"/>
    <n v="4"/>
  </r>
  <r>
    <s v="UCher9JyWJFRd5X3UrUYfmQQ"/>
    <s v="UCLi0tnnxNwrs2dpMT0s07Mw"/>
    <m/>
    <m/>
    <m/>
    <m/>
    <m/>
    <m/>
    <m/>
    <m/>
    <s v="No"/>
    <n v="723"/>
    <m/>
    <m/>
    <s v="Commented Video"/>
    <x v="1"/>
    <s v="See him today! In selfie factory! Bluewater.."/>
    <s v="UCher9JyWJFRd5X3UrUYfmQQ"/>
    <s v="Lucie Newman"/>
    <s v="http://www.youtube.com/channel/UCher9JyWJFRd5X3UrUYfmQQ"/>
    <m/>
    <s v="fDCXpEe0ciU"/>
    <s v="https://www.youtube.com/watch?v=fDCXpEe0ciU"/>
    <s v="none"/>
    <n v="0"/>
    <x v="720"/>
    <s v="18/12/2019 17:28:36"/>
    <m/>
    <m/>
    <s v=""/>
    <n v="1"/>
    <s v="8"/>
    <s v="8"/>
    <n v="0"/>
    <n v="0"/>
    <n v="0"/>
    <n v="0"/>
    <n v="0"/>
    <n v="0"/>
    <n v="7"/>
    <n v="100"/>
    <n v="7"/>
  </r>
  <r>
    <s v="UCGkozyEjUc_w8RpzsqsleUg"/>
    <s v="UCqsmoRPc38_nFPoZWDxeQjw"/>
    <m/>
    <m/>
    <m/>
    <m/>
    <m/>
    <m/>
    <m/>
    <m/>
    <s v="No"/>
    <n v="724"/>
    <m/>
    <m/>
    <s v="Commented Video"/>
    <x v="1"/>
    <s v="Very nice video"/>
    <s v="UCGkozyEjUc_w8RpzsqsleUg"/>
    <s v="Nasa Space"/>
    <s v="http://www.youtube.com/channel/UCGkozyEjUc_w8RpzsqsleUg"/>
    <m/>
    <s v="P84KQT_Se70"/>
    <s v="https://www.youtube.com/watch?v=P84KQT_Se70"/>
    <s v="none"/>
    <n v="0"/>
    <x v="721"/>
    <s v="28/07/2021 14:14:56"/>
    <m/>
    <m/>
    <s v=""/>
    <n v="1"/>
    <s v="11"/>
    <s v="11"/>
    <n v="1"/>
    <n v="33.333333333333336"/>
    <n v="0"/>
    <n v="0"/>
    <n v="0"/>
    <n v="0"/>
    <n v="2"/>
    <n v="66.66666666666667"/>
    <n v="3"/>
  </r>
  <r>
    <s v="UCcFE3tvK7gzDEaZsGLlUAzg"/>
    <s v="UCqsmoRPc38_nFPoZWDxeQjw"/>
    <m/>
    <m/>
    <m/>
    <m/>
    <m/>
    <m/>
    <m/>
    <m/>
    <s v="No"/>
    <n v="725"/>
    <m/>
    <m/>
    <s v="Commented Video"/>
    <x v="1"/>
    <s v="So beautiful place 😍😍"/>
    <s v="UCcFE3tvK7gzDEaZsGLlUAzg"/>
    <s v="Sandeep and Samprit's World"/>
    <s v="http://www.youtube.com/channel/UCcFE3tvK7gzDEaZsGLlUAzg"/>
    <m/>
    <s v="P84KQT_Se70"/>
    <s v="https://www.youtube.com/watch?v=P84KQT_Se70"/>
    <s v="none"/>
    <n v="0"/>
    <x v="722"/>
    <s v="28/07/2021 14:22:34"/>
    <m/>
    <m/>
    <s v=""/>
    <n v="1"/>
    <s v="11"/>
    <s v="11"/>
    <n v="1"/>
    <n v="33.333333333333336"/>
    <n v="0"/>
    <n v="0"/>
    <n v="0"/>
    <n v="0"/>
    <n v="2"/>
    <n v="66.66666666666667"/>
    <n v="3"/>
  </r>
  <r>
    <s v="UCp7C06qiG6_fhDsvuqgmnYw"/>
    <s v="UCqsmoRPc38_nFPoZWDxeQjw"/>
    <m/>
    <m/>
    <m/>
    <m/>
    <m/>
    <m/>
    <m/>
    <m/>
    <s v="No"/>
    <n v="726"/>
    <m/>
    <m/>
    <s v="Commented Video"/>
    <x v="1"/>
    <s v="Great sharing dear ❤️"/>
    <s v="UCp7C06qiG6_fhDsvuqgmnYw"/>
    <s v="Shika Bardhan"/>
    <s v="http://www.youtube.com/channel/UCp7C06qiG6_fhDsvuqgmnYw"/>
    <m/>
    <s v="P84KQT_Se70"/>
    <s v="https://www.youtube.com/watch?v=P84KQT_Se70"/>
    <s v="none"/>
    <n v="0"/>
    <x v="723"/>
    <s v="28/07/2021 14:47:12"/>
    <m/>
    <m/>
    <s v=""/>
    <n v="1"/>
    <s v="11"/>
    <s v="11"/>
    <n v="1"/>
    <n v="33.333333333333336"/>
    <n v="0"/>
    <n v="0"/>
    <n v="0"/>
    <n v="0"/>
    <n v="2"/>
    <n v="66.66666666666667"/>
    <n v="3"/>
  </r>
  <r>
    <s v="UC_ssXPpFCubgiNe2sNVmbgA"/>
    <s v="UCqsmoRPc38_nFPoZWDxeQjw"/>
    <m/>
    <m/>
    <m/>
    <m/>
    <m/>
    <m/>
    <m/>
    <m/>
    <s v="No"/>
    <n v="727"/>
    <m/>
    <m/>
    <s v="Commented Video"/>
    <x v="1"/>
    <s v="অনেক সুন্দর হয়েছে বিডিও টা খুব ভাল লাগল"/>
    <s v="UC_ssXPpFCubgiNe2sNVmbgA"/>
    <s v="Puja Dey"/>
    <s v="http://www.youtube.com/channel/UC_ssXPpFCubgiNe2sNVmbgA"/>
    <m/>
    <s v="P84KQT_Se70"/>
    <s v="https://www.youtube.com/watch?v=P84KQT_Se70"/>
    <s v="none"/>
    <n v="0"/>
    <x v="724"/>
    <s v="28/07/2021 14:49:54"/>
    <m/>
    <m/>
    <s v=""/>
    <n v="1"/>
    <s v="11"/>
    <s v="11"/>
    <n v="0"/>
    <n v="0"/>
    <n v="0"/>
    <n v="0"/>
    <n v="0"/>
    <n v="0"/>
    <n v="17"/>
    <n v="100"/>
    <n v="17"/>
  </r>
  <r>
    <s v="UCtJqZ6cw2RjcEMLQhUx8c7A"/>
    <s v="UCqsmoRPc38_nFPoZWDxeQjw"/>
    <m/>
    <m/>
    <m/>
    <m/>
    <m/>
    <m/>
    <m/>
    <m/>
    <s v="No"/>
    <n v="728"/>
    <m/>
    <m/>
    <s v="Commented Video"/>
    <x v="1"/>
    <s v="Wow so beautiful 😍😍"/>
    <s v="UCtJqZ6cw2RjcEMLQhUx8c7A"/>
    <s v="Ruma Dey"/>
    <s v="http://www.youtube.com/channel/UCtJqZ6cw2RjcEMLQhUx8c7A"/>
    <m/>
    <s v="P84KQT_Se70"/>
    <s v="https://www.youtube.com/watch?v=P84KQT_Se70"/>
    <s v="none"/>
    <n v="0"/>
    <x v="725"/>
    <s v="28/07/2021 14:53:28"/>
    <m/>
    <m/>
    <s v=""/>
    <n v="1"/>
    <s v="11"/>
    <s v="11"/>
    <n v="2"/>
    <n v="66.66666666666667"/>
    <n v="0"/>
    <n v="0"/>
    <n v="0"/>
    <n v="0"/>
    <n v="1"/>
    <n v="33.333333333333336"/>
    <n v="3"/>
  </r>
  <r>
    <s v="UCnPQib0Kk0VCIRF6wl_JHTA"/>
    <s v="UCqsmoRPc38_nFPoZWDxeQjw"/>
    <m/>
    <m/>
    <m/>
    <m/>
    <m/>
    <m/>
    <m/>
    <m/>
    <s v="No"/>
    <n v="729"/>
    <m/>
    <m/>
    <s v="Commented Video"/>
    <x v="1"/>
    <s v="wow didi wonderful  place"/>
    <s v="UCnPQib0Kk0VCIRF6wl_JHTA"/>
    <s v="Cooking Corner By Kamelia"/>
    <s v="http://www.youtube.com/channel/UCnPQib0Kk0VCIRF6wl_JHTA"/>
    <m/>
    <s v="P84KQT_Se70"/>
    <s v="https://www.youtube.com/watch?v=P84KQT_Se70"/>
    <s v="none"/>
    <n v="0"/>
    <x v="726"/>
    <s v="28/07/2021 14:57:57"/>
    <m/>
    <m/>
    <s v=""/>
    <n v="1"/>
    <s v="11"/>
    <s v="11"/>
    <n v="2"/>
    <n v="50"/>
    <n v="0"/>
    <n v="0"/>
    <n v="0"/>
    <n v="0"/>
    <n v="2"/>
    <n v="50"/>
    <n v="4"/>
  </r>
  <r>
    <s v="UCprhtJatma3ldWWViKaMDSQ"/>
    <s v="UCqsmoRPc38_nFPoZWDxeQjw"/>
    <m/>
    <m/>
    <m/>
    <m/>
    <m/>
    <m/>
    <m/>
    <m/>
    <s v="No"/>
    <n v="730"/>
    <m/>
    <m/>
    <s v="Commented Video"/>
    <x v="1"/>
    <s v="Wow wonder full video 😍😍"/>
    <s v="UCprhtJatma3ldWWViKaMDSQ"/>
    <s v="Sandeep Dey"/>
    <s v="http://www.youtube.com/channel/UCprhtJatma3ldWWViKaMDSQ"/>
    <m/>
    <s v="P84KQT_Se70"/>
    <s v="https://www.youtube.com/watch?v=P84KQT_Se70"/>
    <s v="none"/>
    <n v="0"/>
    <x v="727"/>
    <s v="28/07/2021 15:03:34"/>
    <m/>
    <m/>
    <s v=""/>
    <n v="1"/>
    <s v="11"/>
    <s v="11"/>
    <n v="2"/>
    <n v="50"/>
    <n v="0"/>
    <n v="0"/>
    <n v="0"/>
    <n v="0"/>
    <n v="2"/>
    <n v="50"/>
    <n v="4"/>
  </r>
  <r>
    <s v="UCTvPnYPcmyQ5qkv9Sp8QLgQ"/>
    <s v="UCqsmoRPc38_nFPoZWDxeQjw"/>
    <m/>
    <m/>
    <m/>
    <m/>
    <m/>
    <m/>
    <m/>
    <m/>
    <s v="No"/>
    <n v="731"/>
    <m/>
    <m/>
    <s v="Commented Video"/>
    <x v="1"/>
    <s v="😍😘❤️"/>
    <s v="UCTvPnYPcmyQ5qkv9Sp8QLgQ"/>
    <s v="Anusri Chowdhury"/>
    <s v="http://www.youtube.com/channel/UCTvPnYPcmyQ5qkv9Sp8QLgQ"/>
    <m/>
    <s v="P84KQT_Se70"/>
    <s v="https://www.youtube.com/watch?v=P84KQT_Se70"/>
    <s v="none"/>
    <n v="0"/>
    <x v="728"/>
    <s v="28/07/2021 15:05:14"/>
    <m/>
    <m/>
    <s v=""/>
    <n v="1"/>
    <s v="11"/>
    <s v="11"/>
    <n v="0"/>
    <n v="0"/>
    <n v="0"/>
    <n v="0"/>
    <n v="0"/>
    <n v="0"/>
    <n v="0"/>
    <n v="0"/>
    <n v="0"/>
  </r>
  <r>
    <s v="UCoGFC5t3WEgQ28VKiIsVimw"/>
    <s v="UCqsmoRPc38_nFPoZWDxeQjw"/>
    <m/>
    <m/>
    <m/>
    <m/>
    <m/>
    <m/>
    <m/>
    <m/>
    <s v="No"/>
    <n v="732"/>
    <m/>
    <m/>
    <s v="Commented Video"/>
    <x v="1"/>
    <s v="Amazing place looks beautiful tnx for sharing this video"/>
    <s v="UCoGFC5t3WEgQ28VKiIsVimw"/>
    <s v="Ripa khan"/>
    <s v="http://www.youtube.com/channel/UCoGFC5t3WEgQ28VKiIsVimw"/>
    <m/>
    <s v="P84KQT_Se70"/>
    <s v="https://www.youtube.com/watch?v=P84KQT_Se70"/>
    <s v="none"/>
    <n v="0"/>
    <x v="729"/>
    <s v="28/07/2021 23:50:59"/>
    <m/>
    <m/>
    <s v=""/>
    <n v="1"/>
    <s v="11"/>
    <s v="11"/>
    <n v="2"/>
    <n v="22.22222222222222"/>
    <n v="0"/>
    <n v="0"/>
    <n v="0"/>
    <n v="0"/>
    <n v="7"/>
    <n v="77.77777777777777"/>
    <n v="9"/>
  </r>
  <r>
    <s v="UCXuaGae3oCzPTaSp0gdBJJQ"/>
    <s v="UCqsmoRPc38_nFPoZWDxeQjw"/>
    <m/>
    <m/>
    <m/>
    <m/>
    <m/>
    <m/>
    <m/>
    <m/>
    <s v="No"/>
    <n v="733"/>
    <m/>
    <m/>
    <s v="Commented Video"/>
    <x v="1"/>
    <s v="oh, that is a hard pour.. it is just raining everywhere.. take care.. thanks for sharing the lovely garden"/>
    <s v="UCXuaGae3oCzPTaSp0gdBJJQ"/>
    <s v="Succulent Social"/>
    <s v="http://www.youtube.com/channel/UCXuaGae3oCzPTaSp0gdBJJQ"/>
    <m/>
    <s v="P84KQT_Se70"/>
    <s v="https://www.youtube.com/watch?v=P84KQT_Se70"/>
    <s v="none"/>
    <n v="0"/>
    <x v="730"/>
    <s v="29/07/2021 08:29:21"/>
    <m/>
    <m/>
    <s v=""/>
    <n v="1"/>
    <s v="11"/>
    <s v="11"/>
    <n v="1"/>
    <n v="5.2631578947368425"/>
    <n v="1"/>
    <n v="5.2631578947368425"/>
    <n v="0"/>
    <n v="0"/>
    <n v="17"/>
    <n v="89.47368421052632"/>
    <n v="19"/>
  </r>
  <r>
    <s v="UCpmP1HYDUxOdw7omF5Dztyw"/>
    <s v="UCqsmoRPc38_nFPoZWDxeQjw"/>
    <m/>
    <m/>
    <m/>
    <m/>
    <m/>
    <m/>
    <m/>
    <m/>
    <s v="No"/>
    <n v="734"/>
    <m/>
    <m/>
    <s v="Commented Video"/>
    <x v="1"/>
    <s v="Amazing 👍"/>
    <s v="UCpmP1HYDUxOdw7omF5Dztyw"/>
    <s v="ARTY IDEAS WITH PREETI"/>
    <s v="http://www.youtube.com/channel/UCpmP1HYDUxOdw7omF5Dztyw"/>
    <m/>
    <s v="P84KQT_Se70"/>
    <s v="https://www.youtube.com/watch?v=P84KQT_Se70"/>
    <s v="none"/>
    <n v="0"/>
    <x v="731"/>
    <s v="29/07/2021 17:14:38"/>
    <m/>
    <m/>
    <s v=""/>
    <n v="1"/>
    <s v="11"/>
    <s v="11"/>
    <n v="1"/>
    <n v="100"/>
    <n v="0"/>
    <n v="0"/>
    <n v="0"/>
    <n v="0"/>
    <n v="0"/>
    <n v="0"/>
    <n v="1"/>
  </r>
  <r>
    <s v="UCBq4yo8cH6tY3klFlLldmmQ"/>
    <s v="UC9Td1TpXDp_w8s7zyX2dJTA"/>
    <m/>
    <m/>
    <m/>
    <m/>
    <m/>
    <m/>
    <m/>
    <m/>
    <s v="No"/>
    <n v="735"/>
    <m/>
    <m/>
    <s v="Replied Comment"/>
    <x v="0"/>
    <s v="ManOnTheMoon it&amp;#39;s not glass...it&amp;#39;s etfe😆"/>
    <s v="UCBq4yo8cH6tY3klFlLldmmQ"/>
    <s v="Daniel Berende"/>
    <s v="http://www.youtube.com/channel/UCBq4yo8cH6tY3klFlLldmmQ"/>
    <s v="UghAtNnQ0StCdHgCoAEC"/>
    <s v="k0WsWXSk1dc"/>
    <s v="https://www.youtube.com/watch?v=k0WsWXSk1dc"/>
    <s v="none"/>
    <n v="0"/>
    <x v="732"/>
    <s v="23/02/2018 19:11:23"/>
    <m/>
    <m/>
    <s v=""/>
    <n v="1"/>
    <s v="13"/>
    <s v="13"/>
    <n v="0"/>
    <n v="0"/>
    <n v="0"/>
    <n v="0"/>
    <n v="0"/>
    <n v="0"/>
    <n v="10"/>
    <n v="100"/>
    <n v="10"/>
  </r>
  <r>
    <s v="UC9Td1TpXDp_w8s7zyX2dJTA"/>
    <s v="UCdNO3SSyxVGqW-xKmIVv9pQ"/>
    <m/>
    <m/>
    <m/>
    <m/>
    <m/>
    <m/>
    <m/>
    <m/>
    <s v="No"/>
    <n v="736"/>
    <m/>
    <m/>
    <s v="Commented Video"/>
    <x v="1"/>
    <s v="feel sorry for the window cleaner!"/>
    <s v="UC9Td1TpXDp_w8s7zyX2dJTA"/>
    <s v="ManOnTheMoon"/>
    <s v="http://www.youtube.com/channel/UC9Td1TpXDp_w8s7zyX2dJTA"/>
    <m/>
    <s v="k0WsWXSk1dc"/>
    <s v="https://www.youtube.com/watch?v=k0WsWXSk1dc"/>
    <s v="none"/>
    <n v="0"/>
    <x v="733"/>
    <s v="24/05/2017 10:17:00"/>
    <m/>
    <m/>
    <s v=""/>
    <n v="1"/>
    <s v="13"/>
    <s v="13"/>
    <n v="1"/>
    <n v="16.666666666666668"/>
    <n v="1"/>
    <n v="16.666666666666668"/>
    <n v="0"/>
    <n v="0"/>
    <n v="4"/>
    <n v="66.66666666666667"/>
    <n v="6"/>
  </r>
  <r>
    <s v="UCdNO3SSyxVGqW-xKmIVv9pQ"/>
    <s v="UCMh0ZdReKP6-QF7-DpuyeiA"/>
    <m/>
    <m/>
    <m/>
    <m/>
    <m/>
    <m/>
    <m/>
    <m/>
    <s v="Yes"/>
    <n v="737"/>
    <m/>
    <m/>
    <s v="Replied Comment"/>
    <x v="0"/>
    <s v="Thank you :-)"/>
    <s v="UCdNO3SSyxVGqW-xKmIVv9pQ"/>
    <s v="settime2588"/>
    <s v="http://www.youtube.com/channel/UCdNO3SSyxVGqW-xKmIVv9pQ"/>
    <s v="Ughl2KA7legH4ngCoAEC"/>
    <s v="k0WsWXSk1dc"/>
    <s v="https://www.youtube.com/watch?v=k0WsWXSk1dc"/>
    <s v="none"/>
    <n v="2"/>
    <x v="734"/>
    <s v="24/05/2017 21:55:27"/>
    <m/>
    <m/>
    <s v=""/>
    <n v="1"/>
    <s v="13"/>
    <s v="13"/>
    <n v="1"/>
    <n v="50"/>
    <n v="0"/>
    <n v="0"/>
    <n v="0"/>
    <n v="0"/>
    <n v="1"/>
    <n v="50"/>
    <n v="2"/>
  </r>
  <r>
    <s v="UCMh0ZdReKP6-QF7-DpuyeiA"/>
    <s v="UCdNO3SSyxVGqW-xKmIVv9pQ"/>
    <m/>
    <m/>
    <m/>
    <m/>
    <m/>
    <m/>
    <m/>
    <m/>
    <s v="Yes"/>
    <n v="738"/>
    <m/>
    <m/>
    <s v="Commented Video"/>
    <x v="1"/>
    <s v="cool man, your best walkabout so far.. other countries dont seem so far away now with these vids.. thanx for sharing."/>
    <s v="UCMh0ZdReKP6-QF7-DpuyeiA"/>
    <s v="David"/>
    <s v="http://www.youtube.com/channel/UCMh0ZdReKP6-QF7-DpuyeiA"/>
    <m/>
    <s v="k0WsWXSk1dc"/>
    <s v="https://www.youtube.com/watch?v=k0WsWXSk1dc"/>
    <s v="none"/>
    <n v="2"/>
    <x v="735"/>
    <s v="24/05/2017 11:55:51"/>
    <m/>
    <m/>
    <s v=""/>
    <n v="1"/>
    <s v="13"/>
    <s v="13"/>
    <n v="2"/>
    <n v="9.523809523809524"/>
    <n v="0"/>
    <n v="0"/>
    <n v="0"/>
    <n v="0"/>
    <n v="19"/>
    <n v="90.47619047619048"/>
    <n v="21"/>
  </r>
  <r>
    <s v="UCdNO3SSyxVGqW-xKmIVv9pQ"/>
    <s v="UC0OnbMLow17AdDG-WSvDpxg"/>
    <m/>
    <m/>
    <m/>
    <m/>
    <m/>
    <m/>
    <m/>
    <m/>
    <s v="Yes"/>
    <n v="739"/>
    <m/>
    <m/>
    <s v="Replied Comment"/>
    <x v="0"/>
    <s v="Thank you :-)"/>
    <s v="UCdNO3SSyxVGqW-xKmIVv9pQ"/>
    <s v="settime2588"/>
    <s v="http://www.youtube.com/channel/UCdNO3SSyxVGqW-xKmIVv9pQ"/>
    <s v="UgjqYPzLnLIzrHgCoAEC"/>
    <s v="k0WsWXSk1dc"/>
    <s v="https://www.youtube.com/watch?v=k0WsWXSk1dc"/>
    <s v="none"/>
    <n v="1"/>
    <x v="736"/>
    <s v="24/05/2017 21:55:20"/>
    <m/>
    <m/>
    <s v=""/>
    <n v="1"/>
    <s v="13"/>
    <s v="13"/>
    <n v="1"/>
    <n v="50"/>
    <n v="0"/>
    <n v="0"/>
    <n v="0"/>
    <n v="0"/>
    <n v="1"/>
    <n v="50"/>
    <n v="2"/>
  </r>
  <r>
    <s v="UC0OnbMLow17AdDG-WSvDpxg"/>
    <s v="UCdNO3SSyxVGqW-xKmIVv9pQ"/>
    <m/>
    <m/>
    <m/>
    <m/>
    <m/>
    <m/>
    <m/>
    <m/>
    <s v="Yes"/>
    <n v="740"/>
    <m/>
    <m/>
    <s v="Commented Video"/>
    <x v="1"/>
    <s v="нет слов, одни эмоции )))"/>
    <s v="UC0OnbMLow17AdDG-WSvDpxg"/>
    <s v="Dima Nemcov cz"/>
    <s v="http://www.youtube.com/channel/UC0OnbMLow17AdDG-WSvDpxg"/>
    <m/>
    <s v="k0WsWXSk1dc"/>
    <s v="https://www.youtube.com/watch?v=k0WsWXSk1dc"/>
    <s v="none"/>
    <n v="1"/>
    <x v="737"/>
    <s v="24/05/2017 20:45:32"/>
    <m/>
    <m/>
    <s v=""/>
    <n v="1"/>
    <s v="13"/>
    <s v="13"/>
    <n v="0"/>
    <n v="0"/>
    <n v="0"/>
    <n v="0"/>
    <n v="0"/>
    <n v="0"/>
    <n v="4"/>
    <n v="100"/>
    <n v="4"/>
  </r>
  <r>
    <s v="UC1-JSnAwpM5UVxddNIK0bsQ"/>
    <s v="UCdNO3SSyxVGqW-xKmIVv9pQ"/>
    <m/>
    <m/>
    <m/>
    <m/>
    <m/>
    <m/>
    <m/>
    <m/>
    <s v="No"/>
    <n v="741"/>
    <m/>
    <m/>
    <s v="Commented Video"/>
    <x v="1"/>
    <s v="that looks amazing!coming to London this weekend definitely would like to see this!"/>
    <s v="UC1-JSnAwpM5UVxddNIK0bsQ"/>
    <s v="Magdalena Olszyk"/>
    <s v="http://www.youtube.com/channel/UC1-JSnAwpM5UVxddNIK0bsQ"/>
    <m/>
    <s v="k0WsWXSk1dc"/>
    <s v="https://www.youtube.com/watch?v=k0WsWXSk1dc"/>
    <s v="none"/>
    <n v="2"/>
    <x v="738"/>
    <s v="24/05/2017 22:25:17"/>
    <m/>
    <m/>
    <s v=""/>
    <n v="1"/>
    <s v="13"/>
    <s v="13"/>
    <n v="2"/>
    <n v="14.285714285714286"/>
    <n v="0"/>
    <n v="0"/>
    <n v="0"/>
    <n v="0"/>
    <n v="12"/>
    <n v="85.71428571428571"/>
    <n v="14"/>
  </r>
  <r>
    <s v="UCJ5RQc_IezXrN-RkNnYBbDw"/>
    <s v="UCdNO3SSyxVGqW-xKmIVv9pQ"/>
    <m/>
    <m/>
    <m/>
    <m/>
    <m/>
    <m/>
    <m/>
    <m/>
    <s v="No"/>
    <n v="742"/>
    <m/>
    <m/>
    <s v="Commented Video"/>
    <x v="1"/>
    <s v="A beautiful oasis."/>
    <s v="UCJ5RQc_IezXrN-RkNnYBbDw"/>
    <s v="By the Numbers"/>
    <s v="http://www.youtube.com/channel/UCJ5RQc_IezXrN-RkNnYBbDw"/>
    <m/>
    <s v="k0WsWXSk1dc"/>
    <s v="https://www.youtube.com/watch?v=k0WsWXSk1dc"/>
    <s v="none"/>
    <n v="0"/>
    <x v="739"/>
    <d v="2018-06-03T01:43:23.000"/>
    <m/>
    <m/>
    <s v=""/>
    <n v="1"/>
    <s v="13"/>
    <s v="13"/>
    <n v="2"/>
    <n v="66.66666666666667"/>
    <n v="0"/>
    <n v="0"/>
    <n v="0"/>
    <n v="0"/>
    <n v="1"/>
    <n v="33.333333333333336"/>
    <n v="3"/>
  </r>
  <r>
    <s v="UCwI6bvoIYtPRh7Vgl7In0Sw"/>
    <s v="UCdNO3SSyxVGqW-xKmIVv9pQ"/>
    <m/>
    <m/>
    <m/>
    <m/>
    <m/>
    <m/>
    <m/>
    <m/>
    <s v="No"/>
    <n v="743"/>
    <m/>
    <m/>
    <s v="Commented Video"/>
    <x v="1"/>
    <s v="We love it! Thank you for capturing our project so beautifully! 👏🏼"/>
    <s v="UCwI6bvoIYtPRh7Vgl7In0Sw"/>
    <s v="WIEHAG Timber Construction"/>
    <s v="http://www.youtube.com/channel/UCwI6bvoIYtPRh7Vgl7In0Sw"/>
    <m/>
    <s v="k0WsWXSk1dc"/>
    <s v="https://www.youtube.com/watch?v=k0WsWXSk1dc"/>
    <s v="none"/>
    <n v="7"/>
    <x v="740"/>
    <s v="21/10/2018 20:10:31"/>
    <m/>
    <m/>
    <s v=""/>
    <n v="1"/>
    <s v="13"/>
    <s v="13"/>
    <n v="3"/>
    <n v="27.272727272727273"/>
    <n v="0"/>
    <n v="0"/>
    <n v="0"/>
    <n v="0"/>
    <n v="8"/>
    <n v="72.72727272727273"/>
    <n v="11"/>
  </r>
  <r>
    <s v="UCUMzXoG3zYGxL9zLS9ohBgg"/>
    <s v="UCdNO3SSyxVGqW-xKmIVv9pQ"/>
    <m/>
    <m/>
    <m/>
    <m/>
    <m/>
    <m/>
    <m/>
    <m/>
    <s v="No"/>
    <n v="744"/>
    <m/>
    <m/>
    <s v="Commented Video"/>
    <x v="1"/>
    <s v="Txx for making this video! I shaw the documentry about the making prosess of this bilding but not any this part."/>
    <s v="UCUMzXoG3zYGxL9zLS9ohBgg"/>
    <s v="Jens Aukema"/>
    <s v="http://www.youtube.com/channel/UCUMzXoG3zYGxL9zLS9ohBgg"/>
    <m/>
    <s v="k0WsWXSk1dc"/>
    <s v="https://www.youtube.com/watch?v=k0WsWXSk1dc"/>
    <s v="none"/>
    <n v="0"/>
    <x v="741"/>
    <d v="2018-10-11T15:26:27.000"/>
    <m/>
    <m/>
    <s v=""/>
    <n v="1"/>
    <s v="13"/>
    <s v="13"/>
    <n v="0"/>
    <n v="0"/>
    <n v="0"/>
    <n v="0"/>
    <n v="0"/>
    <n v="0"/>
    <n v="21"/>
    <n v="100"/>
    <n v="21"/>
  </r>
  <r>
    <s v="UCe_keHGR4qOcBanKbYy1f1w"/>
    <s v="UCdNO3SSyxVGqW-xKmIVv9pQ"/>
    <m/>
    <m/>
    <m/>
    <m/>
    <m/>
    <m/>
    <m/>
    <m/>
    <s v="No"/>
    <n v="745"/>
    <m/>
    <m/>
    <s v="Commented Video"/>
    <x v="1"/>
    <s v="watching this on day 17 of quarantine. anyone else remember outdoors?"/>
    <s v="UCe_keHGR4qOcBanKbYy1f1w"/>
    <s v="bbohemi s"/>
    <s v="http://www.youtube.com/channel/UCe_keHGR4qOcBanKbYy1f1w"/>
    <m/>
    <s v="k0WsWXSk1dc"/>
    <s v="https://www.youtube.com/watch?v=k0WsWXSk1dc"/>
    <s v="none"/>
    <n v="2"/>
    <x v="742"/>
    <d v="2020-06-04T20:43:45.000"/>
    <m/>
    <m/>
    <s v=""/>
    <n v="1"/>
    <s v="13"/>
    <s v="13"/>
    <n v="0"/>
    <n v="0"/>
    <n v="0"/>
    <n v="0"/>
    <n v="0"/>
    <n v="0"/>
    <n v="11"/>
    <n v="100"/>
    <n v="11"/>
  </r>
  <r>
    <s v="UCgnaHdju6k0N0Ee7rwnXMJg"/>
    <s v="UC_mzz_JnzArhhpGUy8KdGwg"/>
    <m/>
    <m/>
    <m/>
    <m/>
    <m/>
    <m/>
    <m/>
    <m/>
    <s v="No"/>
    <n v="746"/>
    <m/>
    <m/>
    <s v="Commented Video"/>
    <x v="1"/>
    <s v="Like if you love his videos💯🔥"/>
    <s v="UCgnaHdju6k0N0Ee7rwnXMJg"/>
    <s v="antonias life"/>
    <s v="http://www.youtube.com/channel/UCgnaHdju6k0N0Ee7rwnXMJg"/>
    <m/>
    <s v="tS9IXHSdzJs"/>
    <s v="https://www.youtube.com/watch?v=tS9IXHSdzJs"/>
    <s v="none"/>
    <n v="5"/>
    <x v="743"/>
    <d v="2019-04-03T18:02:31.000"/>
    <m/>
    <m/>
    <s v=""/>
    <n v="1"/>
    <s v="4"/>
    <s v="4"/>
    <n v="2"/>
    <n v="33.333333333333336"/>
    <n v="0"/>
    <n v="0"/>
    <n v="0"/>
    <n v="0"/>
    <n v="4"/>
    <n v="66.66666666666667"/>
    <n v="6"/>
  </r>
  <r>
    <s v="UC_mzz_JnzArhhpGUy8KdGwg"/>
    <s v="UCEwcfuw3xlPdi5v1FdONZ2w"/>
    <m/>
    <m/>
    <m/>
    <m/>
    <m/>
    <m/>
    <m/>
    <m/>
    <s v="Yes"/>
    <n v="747"/>
    <m/>
    <m/>
    <s v="Replied Comment"/>
    <x v="0"/>
    <s v="A nice relaxing Sunday - thanks for watching Dee :)"/>
    <s v="UC_mzz_JnzArhhpGUy8KdGwg"/>
    <s v="Watched Walker"/>
    <s v="http://www.youtube.com/channel/UC_mzz_JnzArhhpGUy8KdGwg"/>
    <s v="UgzB6R_0QnWtJh5p_v14AaABAg"/>
    <s v="tS9IXHSdzJs"/>
    <s v="https://www.youtube.com/watch?v=tS9IXHSdzJs"/>
    <s v="none"/>
    <n v="1"/>
    <x v="744"/>
    <d v="2019-04-03T18:18:25.000"/>
    <m/>
    <m/>
    <s v=""/>
    <n v="1"/>
    <s v="4"/>
    <s v="4"/>
    <n v="1"/>
    <n v="12.5"/>
    <n v="0"/>
    <n v="0"/>
    <n v="0"/>
    <n v="0"/>
    <n v="7"/>
    <n v="87.5"/>
    <n v="8"/>
  </r>
  <r>
    <s v="UCEwcfuw3xlPdi5v1FdONZ2w"/>
    <s v="UC_mzz_JnzArhhpGUy8KdGwg"/>
    <m/>
    <m/>
    <m/>
    <m/>
    <m/>
    <m/>
    <m/>
    <m/>
    <s v="Yes"/>
    <n v="748"/>
    <m/>
    <m/>
    <s v="Commented Video"/>
    <x v="1"/>
    <s v="Oh man just yesterday I had a full day in bed, just watching your videos! Thank you so much ♥ You make London accessible to the whole world :)"/>
    <s v="UCEwcfuw3xlPdi5v1FdONZ2w"/>
    <s v="Dee"/>
    <s v="http://www.youtube.com/channel/UCEwcfuw3xlPdi5v1FdONZ2w"/>
    <m/>
    <s v="tS9IXHSdzJs"/>
    <s v="https://www.youtube.com/watch?v=tS9IXHSdzJs"/>
    <s v="none"/>
    <n v="5"/>
    <x v="745"/>
    <d v="2019-04-03T18:09:09.000"/>
    <m/>
    <m/>
    <s v=""/>
    <n v="1"/>
    <s v="4"/>
    <s v="4"/>
    <n v="2"/>
    <n v="7.407407407407407"/>
    <n v="0"/>
    <n v="0"/>
    <n v="0"/>
    <n v="0"/>
    <n v="25"/>
    <n v="92.5925925925926"/>
    <n v="27"/>
  </r>
  <r>
    <s v="UCd5tGuyf50rswHW6ysms79Q"/>
    <s v="UC_mzz_JnzArhhpGUy8KdGwg"/>
    <m/>
    <m/>
    <m/>
    <m/>
    <m/>
    <m/>
    <m/>
    <m/>
    <s v="No"/>
    <n v="749"/>
    <m/>
    <m/>
    <s v="Commented Video"/>
    <x v="1"/>
    <s v="Awesome view 😍😍"/>
    <s v="UCd5tGuyf50rswHW6ysms79Q"/>
    <s v="Shubham Choudhary"/>
    <s v="http://www.youtube.com/channel/UCd5tGuyf50rswHW6ysms79Q"/>
    <m/>
    <s v="tS9IXHSdzJs"/>
    <s v="https://www.youtube.com/watch?v=tS9IXHSdzJs"/>
    <s v="none"/>
    <n v="0"/>
    <x v="746"/>
    <d v="2019-04-03T18:10:35.000"/>
    <m/>
    <m/>
    <s v=""/>
    <n v="1"/>
    <s v="4"/>
    <s v="4"/>
    <n v="1"/>
    <n v="50"/>
    <n v="0"/>
    <n v="0"/>
    <n v="0"/>
    <n v="0"/>
    <n v="1"/>
    <n v="50"/>
    <n v="2"/>
  </r>
  <r>
    <s v="UC5ZcPA6-X0whhYP1npEwe4Q"/>
    <s v="UC_mzz_JnzArhhpGUy8KdGwg"/>
    <m/>
    <m/>
    <m/>
    <m/>
    <m/>
    <m/>
    <m/>
    <m/>
    <s v="No"/>
    <n v="750"/>
    <m/>
    <m/>
    <s v="Commented Video"/>
    <x v="1"/>
    <s v="Love your vedioS for London..... Man&lt;br&gt;❤❤"/>
    <s v="UC5ZcPA6-X0whhYP1npEwe4Q"/>
    <s v="Pasha Khan"/>
    <s v="http://www.youtube.com/channel/UC5ZcPA6-X0whhYP1npEwe4Q"/>
    <m/>
    <s v="tS9IXHSdzJs"/>
    <s v="https://www.youtube.com/watch?v=tS9IXHSdzJs"/>
    <s v="none"/>
    <n v="0"/>
    <x v="747"/>
    <d v="2019-04-03T18:17:34.000"/>
    <m/>
    <m/>
    <s v=""/>
    <n v="1"/>
    <s v="4"/>
    <s v="4"/>
    <n v="1"/>
    <n v="14.285714285714286"/>
    <n v="0"/>
    <n v="0"/>
    <n v="0"/>
    <n v="0"/>
    <n v="6"/>
    <n v="85.71428571428571"/>
    <n v="7"/>
  </r>
  <r>
    <s v="UCEviggN0WxNwHiufusRgv_A"/>
    <s v="UC_mzz_JnzArhhpGUy8KdGwg"/>
    <m/>
    <m/>
    <m/>
    <m/>
    <m/>
    <m/>
    <m/>
    <m/>
    <s v="No"/>
    <n v="751"/>
    <m/>
    <m/>
    <s v="Commented Video"/>
    <x v="1"/>
    <s v="Great video! Looks far better than the sky garden"/>
    <s v="UCEviggN0WxNwHiufusRgv_A"/>
    <s v="A Bertolucci"/>
    <s v="http://www.youtube.com/channel/UCEviggN0WxNwHiufusRgv_A"/>
    <m/>
    <s v="tS9IXHSdzJs"/>
    <s v="https://www.youtube.com/watch?v=tS9IXHSdzJs"/>
    <s v="none"/>
    <n v="1"/>
    <x v="748"/>
    <d v="2019-04-03T18:35:29.000"/>
    <m/>
    <m/>
    <s v=""/>
    <n v="1"/>
    <s v="4"/>
    <s v="4"/>
    <n v="2"/>
    <n v="22.22222222222222"/>
    <n v="0"/>
    <n v="0"/>
    <n v="0"/>
    <n v="0"/>
    <n v="7"/>
    <n v="77.77777777777777"/>
    <n v="9"/>
  </r>
  <r>
    <s v="UCjf8R1DW406K8XAXDLi-kOA"/>
    <s v="UC_mzz_JnzArhhpGUy8KdGwg"/>
    <m/>
    <m/>
    <m/>
    <m/>
    <m/>
    <m/>
    <m/>
    <m/>
    <s v="No"/>
    <n v="752"/>
    <m/>
    <m/>
    <s v="Commented Video"/>
    <x v="1"/>
    <s v="What a view!!"/>
    <s v="UCjf8R1DW406K8XAXDLi-kOA"/>
    <s v="ColeinOne"/>
    <s v="http://www.youtube.com/channel/UCjf8R1DW406K8XAXDLi-kOA"/>
    <m/>
    <s v="tS9IXHSdzJs"/>
    <s v="https://www.youtube.com/watch?v=tS9IXHSdzJs"/>
    <s v="none"/>
    <n v="1"/>
    <x v="749"/>
    <d v="2019-04-03T18:38:20.000"/>
    <m/>
    <m/>
    <s v=""/>
    <n v="1"/>
    <s v="4"/>
    <s v="4"/>
    <n v="0"/>
    <n v="0"/>
    <n v="0"/>
    <n v="0"/>
    <n v="0"/>
    <n v="0"/>
    <n v="3"/>
    <n v="100"/>
    <n v="3"/>
  </r>
  <r>
    <s v="UC_mzz_JnzArhhpGUy8KdGwg"/>
    <s v="UCVCfdXYA9VBy89Rrc1NsOkA"/>
    <m/>
    <m/>
    <m/>
    <m/>
    <m/>
    <m/>
    <m/>
    <m/>
    <s v="Yes"/>
    <n v="753"/>
    <m/>
    <m/>
    <s v="Replied Comment"/>
    <x v="0"/>
    <s v="Philip, there’s the Shard but it’s not free to enter. There’s also Primrose Hill with good views."/>
    <s v="UC_mzz_JnzArhhpGUy8KdGwg"/>
    <s v="Watched Walker"/>
    <s v="http://www.youtube.com/channel/UC_mzz_JnzArhhpGUy8KdGwg"/>
    <s v="UgyuM8Hlacl1iNoWhJR4AaABAg"/>
    <s v="tS9IXHSdzJs"/>
    <s v="https://www.youtube.com/watch?v=tS9IXHSdzJs"/>
    <s v="none"/>
    <n v="0"/>
    <x v="750"/>
    <d v="2019-04-03T18:49:02.000"/>
    <m/>
    <m/>
    <s v=""/>
    <n v="1"/>
    <s v="4"/>
    <s v="4"/>
    <n v="2"/>
    <n v="10"/>
    <n v="0"/>
    <n v="0"/>
    <n v="0"/>
    <n v="0"/>
    <n v="18"/>
    <n v="90"/>
    <n v="20"/>
  </r>
  <r>
    <s v="UCVCfdXYA9VBy89Rrc1NsOkA"/>
    <s v="UC_mzz_JnzArhhpGUy8KdGwg"/>
    <m/>
    <m/>
    <m/>
    <m/>
    <m/>
    <m/>
    <m/>
    <m/>
    <s v="Yes"/>
    <n v="754"/>
    <m/>
    <m/>
    <s v="Commented Video"/>
    <x v="1"/>
    <s v="Hi Again Just watched This Vlog The Garden 120 Awesome once again ! was just wondering you of any other places with great views of London !"/>
    <s v="UCVCfdXYA9VBy89Rrc1NsOkA"/>
    <s v="Philip Hay"/>
    <s v="http://www.youtube.com/channel/UCVCfdXYA9VBy89Rrc1NsOkA"/>
    <m/>
    <s v="tS9IXHSdzJs"/>
    <s v="https://www.youtube.com/watch?v=tS9IXHSdzJs"/>
    <s v="none"/>
    <n v="0"/>
    <x v="751"/>
    <d v="2019-04-03T18:42:51.000"/>
    <m/>
    <m/>
    <s v=""/>
    <n v="1"/>
    <s v="4"/>
    <s v="4"/>
    <n v="2"/>
    <n v="8"/>
    <n v="0"/>
    <n v="0"/>
    <n v="0"/>
    <n v="0"/>
    <n v="23"/>
    <n v="92"/>
    <n v="25"/>
  </r>
  <r>
    <s v="UC_mzz_JnzArhhpGUy8KdGwg"/>
    <s v="UCdqC1ybp2Mbv2xR608Wboqg"/>
    <m/>
    <m/>
    <m/>
    <m/>
    <m/>
    <m/>
    <m/>
    <m/>
    <s v="Yes"/>
    <n v="755"/>
    <m/>
    <m/>
    <s v="Replied Comment"/>
    <x v="0"/>
    <s v="I appear in several of my videos if you look carefully! :)"/>
    <s v="UC_mzz_JnzArhhpGUy8KdGwg"/>
    <s v="Watched Walker"/>
    <s v="http://www.youtube.com/channel/UC_mzz_JnzArhhpGUy8KdGwg"/>
    <s v="UgwrKBPxbL1Wp8QXq9t4AaABAg"/>
    <s v="tS9IXHSdzJs"/>
    <s v="https://www.youtube.com/watch?v=tS9IXHSdzJs"/>
    <s v="none"/>
    <n v="1"/>
    <x v="752"/>
    <d v="2019-04-03T18:51:05.000"/>
    <m/>
    <m/>
    <s v=""/>
    <n v="1"/>
    <s v="4"/>
    <s v="4"/>
    <n v="0"/>
    <n v="0"/>
    <n v="0"/>
    <n v="0"/>
    <n v="0"/>
    <n v="0"/>
    <n v="11"/>
    <n v="100"/>
    <n v="11"/>
  </r>
  <r>
    <s v="UCdqC1ybp2Mbv2xR608Wboqg"/>
    <s v="UC_mzz_JnzArhhpGUy8KdGwg"/>
    <m/>
    <m/>
    <m/>
    <m/>
    <m/>
    <m/>
    <m/>
    <m/>
    <s v="Yes"/>
    <n v="756"/>
    <m/>
    <m/>
    <s v="Commented Video"/>
    <x v="1"/>
    <s v="&lt;a href=&quot;https://www.youtube.com/watch?v=tS9IXHSdzJs&amp;amp;t=4m35s&quot;&gt;4:35&lt;/a&gt; we know how you look"/>
    <s v="UCdqC1ybp2Mbv2xR608Wboqg"/>
    <s v="Владимир Кожин"/>
    <s v="http://www.youtube.com/channel/UCdqC1ybp2Mbv2xR608Wboqg"/>
    <m/>
    <s v="tS9IXHSdzJs"/>
    <s v="https://www.youtube.com/watch?v=tS9IXHSdzJs"/>
    <s v="none"/>
    <n v="5"/>
    <x v="753"/>
    <d v="2019-04-03T18:43:00.000"/>
    <s v=" https://www.youtube.com/watch?v=tS9IXHSdzJs&amp;amp;t=4m35s"/>
    <s v="youtube.com"/>
    <s v=""/>
    <n v="1"/>
    <s v="4"/>
    <s v="4"/>
    <n v="0"/>
    <n v="0"/>
    <n v="0"/>
    <n v="0"/>
    <n v="0"/>
    <n v="0"/>
    <n v="20"/>
    <n v="100"/>
    <n v="20"/>
  </r>
  <r>
    <s v="UC_mzz_JnzArhhpGUy8KdGwg"/>
    <s v="UC83yBpdeTa_AkuuvKbtTACQ"/>
    <m/>
    <m/>
    <m/>
    <m/>
    <m/>
    <m/>
    <m/>
    <m/>
    <s v="Yes"/>
    <n v="757"/>
    <m/>
    <m/>
    <s v="Replied Comment"/>
    <x v="0"/>
    <s v="Details in description :)"/>
    <s v="UC_mzz_JnzArhhpGUy8KdGwg"/>
    <s v="Watched Walker"/>
    <s v="http://www.youtube.com/channel/UC_mzz_JnzArhhpGUy8KdGwg"/>
    <s v="UgyB0luNeL-684xRp294AaABAg"/>
    <s v="tS9IXHSdzJs"/>
    <s v="https://www.youtube.com/watch?v=tS9IXHSdzJs"/>
    <s v="none"/>
    <n v="1"/>
    <x v="754"/>
    <d v="2019-04-03T18:47:08.000"/>
    <m/>
    <m/>
    <s v=""/>
    <n v="5"/>
    <s v="4"/>
    <s v="4"/>
    <n v="0"/>
    <n v="0"/>
    <n v="0"/>
    <n v="0"/>
    <n v="0"/>
    <n v="0"/>
    <n v="3"/>
    <n v="100"/>
    <n v="3"/>
  </r>
  <r>
    <s v="UC83yBpdeTa_AkuuvKbtTACQ"/>
    <s v="UC_mzz_JnzArhhpGUy8KdGwg"/>
    <m/>
    <m/>
    <m/>
    <m/>
    <m/>
    <m/>
    <m/>
    <m/>
    <s v="Yes"/>
    <n v="758"/>
    <m/>
    <m/>
    <s v="Commented Video"/>
    <x v="1"/>
    <s v="Where is this building ?"/>
    <s v="UC83yBpdeTa_AkuuvKbtTACQ"/>
    <s v="London0701"/>
    <s v="http://www.youtube.com/channel/UC83yBpdeTa_AkuuvKbtTACQ"/>
    <m/>
    <s v="tS9IXHSdzJs"/>
    <s v="https://www.youtube.com/watch?v=tS9IXHSdzJs"/>
    <s v="none"/>
    <n v="0"/>
    <x v="755"/>
    <d v="2019-04-03T18:43:21.000"/>
    <m/>
    <m/>
    <s v=""/>
    <n v="2"/>
    <s v="4"/>
    <s v="4"/>
    <n v="0"/>
    <n v="0"/>
    <n v="0"/>
    <n v="0"/>
    <n v="0"/>
    <n v="0"/>
    <n v="4"/>
    <n v="100"/>
    <n v="4"/>
  </r>
  <r>
    <s v="UC_mzz_JnzArhhpGUy8KdGwg"/>
    <s v="UC83yBpdeTa_AkuuvKbtTACQ"/>
    <m/>
    <m/>
    <m/>
    <m/>
    <m/>
    <m/>
    <m/>
    <m/>
    <s v="Yes"/>
    <n v="759"/>
    <m/>
    <m/>
    <s v="Replied Comment"/>
    <x v="0"/>
    <s v="Thank you! It&amp;#39;s a lovely space, hopefully it won&amp;#39;t get too busy as more people discover it."/>
    <s v="UC_mzz_JnzArhhpGUy8KdGwg"/>
    <s v="Watched Walker"/>
    <s v="http://www.youtube.com/channel/UC_mzz_JnzArhhpGUy8KdGwg"/>
    <s v="UgyoR0H6QMSZeiWtujp4AaABAg"/>
    <s v="tS9IXHSdzJs"/>
    <s v="https://www.youtube.com/watch?v="/>
    <s v="none"/>
    <n v="1"/>
    <x v="756"/>
    <d v="2019-04-03T18:55:35.000"/>
    <m/>
    <m/>
    <s v=""/>
    <n v="5"/>
    <s v="4"/>
    <s v="4"/>
    <n v="3"/>
    <n v="14.285714285714286"/>
    <n v="0"/>
    <n v="0"/>
    <n v="0"/>
    <n v="0"/>
    <n v="18"/>
    <n v="85.71428571428571"/>
    <n v="21"/>
  </r>
  <r>
    <s v="UC83yBpdeTa_AkuuvKbtTACQ"/>
    <s v="UC83yBpdeTa_AkuuvKbtTACQ"/>
    <m/>
    <m/>
    <m/>
    <m/>
    <m/>
    <m/>
    <m/>
    <m/>
    <s v="No"/>
    <n v="760"/>
    <m/>
    <m/>
    <s v="Replied Comment"/>
    <x v="0"/>
    <s v="@Watched Walker Is it ok if i help advertise your channel on mine ?"/>
    <s v="UC83yBpdeTa_AkuuvKbtTACQ"/>
    <s v="London0701"/>
    <s v="http://www.youtube.com/channel/UC83yBpdeTa_AkuuvKbtTACQ"/>
    <s v="UgyoR0H6QMSZeiWtujp4AaABAg"/>
    <s v="tS9IXHSdzJs"/>
    <s v="https://www.youtube.com/watch?v="/>
    <s v="none"/>
    <n v="0"/>
    <x v="757"/>
    <d v="2019-04-03T19:02:50.000"/>
    <m/>
    <m/>
    <s v=""/>
    <n v="4"/>
    <s v="4"/>
    <s v="4"/>
    <n v="0"/>
    <n v="0"/>
    <n v="0"/>
    <n v="0"/>
    <n v="0"/>
    <n v="0"/>
    <n v="13"/>
    <n v="100"/>
    <n v="13"/>
  </r>
  <r>
    <s v="UC_mzz_JnzArhhpGUy8KdGwg"/>
    <s v="UC83yBpdeTa_AkuuvKbtTACQ"/>
    <m/>
    <m/>
    <m/>
    <m/>
    <m/>
    <m/>
    <m/>
    <m/>
    <s v="Yes"/>
    <n v="761"/>
    <m/>
    <m/>
    <s v="Replied Comment"/>
    <x v="0"/>
    <s v="Drop me an email with details."/>
    <s v="UC_mzz_JnzArhhpGUy8KdGwg"/>
    <s v="Watched Walker"/>
    <s v="http://www.youtube.com/channel/UC_mzz_JnzArhhpGUy8KdGwg"/>
    <s v="UgyoR0H6QMSZeiWtujp4AaABAg"/>
    <s v="tS9IXHSdzJs"/>
    <s v="https://www.youtube.com/watch?v="/>
    <s v="none"/>
    <n v="0"/>
    <x v="758"/>
    <d v="2019-04-03T19:33:51.000"/>
    <m/>
    <m/>
    <s v=""/>
    <n v="5"/>
    <s v="4"/>
    <s v="4"/>
    <n v="0"/>
    <n v="0"/>
    <n v="0"/>
    <n v="0"/>
    <n v="0"/>
    <n v="0"/>
    <n v="6"/>
    <n v="100"/>
    <n v="6"/>
  </r>
  <r>
    <s v="UC83yBpdeTa_AkuuvKbtTACQ"/>
    <s v="UC83yBpdeTa_AkuuvKbtTACQ"/>
    <m/>
    <m/>
    <m/>
    <m/>
    <m/>
    <m/>
    <m/>
    <m/>
    <s v="No"/>
    <n v="762"/>
    <m/>
    <m/>
    <s v="Replied Comment"/>
    <x v="0"/>
    <s v="@Watched Walker i added your channel to my featured channels , i hope its ok? By the way is this building open everyday to the public or only at weekends ?"/>
    <s v="UC83yBpdeTa_AkuuvKbtTACQ"/>
    <s v="London0701"/>
    <s v="http://www.youtube.com/channel/UC83yBpdeTa_AkuuvKbtTACQ"/>
    <s v="UgyoR0H6QMSZeiWtujp4AaABAg"/>
    <s v="tS9IXHSdzJs"/>
    <s v="https://www.youtube.com/watch?v="/>
    <s v="none"/>
    <n v="0"/>
    <x v="759"/>
    <d v="2019-04-03T19:38:42.000"/>
    <m/>
    <m/>
    <s v=""/>
    <n v="4"/>
    <s v="4"/>
    <s v="4"/>
    <n v="0"/>
    <n v="0"/>
    <n v="0"/>
    <n v="0"/>
    <n v="0"/>
    <n v="0"/>
    <n v="29"/>
    <n v="100"/>
    <n v="29"/>
  </r>
  <r>
    <s v="UC83yBpdeTa_AkuuvKbtTACQ"/>
    <s v="UC83yBpdeTa_AkuuvKbtTACQ"/>
    <m/>
    <m/>
    <m/>
    <m/>
    <m/>
    <m/>
    <m/>
    <m/>
    <s v="No"/>
    <n v="763"/>
    <m/>
    <m/>
    <s v="Replied Comment"/>
    <x v="0"/>
    <s v="How did u create your youtube channel art , because i want to create one for my channel"/>
    <s v="UC83yBpdeTa_AkuuvKbtTACQ"/>
    <s v="London0701"/>
    <s v="http://www.youtube.com/channel/UC83yBpdeTa_AkuuvKbtTACQ"/>
    <s v="UgyoR0H6QMSZeiWtujp4AaABAg"/>
    <s v="tS9IXHSdzJs"/>
    <s v="https://www.youtube.com/watch?v="/>
    <s v="none"/>
    <n v="0"/>
    <x v="760"/>
    <d v="2019-04-03T21:51:24.000"/>
    <m/>
    <m/>
    <s v=""/>
    <n v="4"/>
    <s v="4"/>
    <s v="4"/>
    <n v="0"/>
    <n v="0"/>
    <n v="0"/>
    <n v="0"/>
    <n v="0"/>
    <n v="0"/>
    <n v="17"/>
    <n v="100"/>
    <n v="17"/>
  </r>
  <r>
    <s v="UC_mzz_JnzArhhpGUy8KdGwg"/>
    <s v="UC83yBpdeTa_AkuuvKbtTACQ"/>
    <m/>
    <m/>
    <m/>
    <m/>
    <m/>
    <m/>
    <m/>
    <m/>
    <s v="Yes"/>
    <n v="764"/>
    <m/>
    <m/>
    <s v="Replied Comment"/>
    <x v="0"/>
    <s v="I believe it’s everyday, check online for the times though."/>
    <s v="UC_mzz_JnzArhhpGUy8KdGwg"/>
    <s v="Watched Walker"/>
    <s v="http://www.youtube.com/channel/UC_mzz_JnzArhhpGUy8KdGwg"/>
    <s v="UgyoR0H6QMSZeiWtujp4AaABAg"/>
    <s v="tS9IXHSdzJs"/>
    <s v="https://www.youtube.com/watch?v="/>
    <s v="none"/>
    <n v="1"/>
    <x v="761"/>
    <d v="2019-04-03T21:53:51.000"/>
    <m/>
    <m/>
    <s v=""/>
    <n v="5"/>
    <s v="4"/>
    <s v="4"/>
    <n v="0"/>
    <n v="0"/>
    <n v="0"/>
    <n v="0"/>
    <n v="0"/>
    <n v="0"/>
    <n v="11"/>
    <n v="100"/>
    <n v="11"/>
  </r>
  <r>
    <s v="UC_mzz_JnzArhhpGUy8KdGwg"/>
    <s v="UC83yBpdeTa_AkuuvKbtTACQ"/>
    <m/>
    <m/>
    <m/>
    <m/>
    <m/>
    <m/>
    <m/>
    <m/>
    <s v="Yes"/>
    <n v="765"/>
    <m/>
    <m/>
    <s v="Replied Comment"/>
    <x v="0"/>
    <s v="I made the channel art in Photoshop, though there’s probably free software you can use or online templates."/>
    <s v="UC_mzz_JnzArhhpGUy8KdGwg"/>
    <s v="Watched Walker"/>
    <s v="http://www.youtube.com/channel/UC_mzz_JnzArhhpGUy8KdGwg"/>
    <s v="UgyoR0H6QMSZeiWtujp4AaABAg"/>
    <s v="tS9IXHSdzJs"/>
    <s v="https://www.youtube.com/watch?v="/>
    <s v="none"/>
    <n v="0"/>
    <x v="762"/>
    <d v="2019-04-03T21:54:56.000"/>
    <m/>
    <m/>
    <s v=""/>
    <n v="5"/>
    <s v="4"/>
    <s v="4"/>
    <n v="1"/>
    <n v="5.2631578947368425"/>
    <n v="0"/>
    <n v="0"/>
    <n v="0"/>
    <n v="0"/>
    <n v="18"/>
    <n v="94.73684210526316"/>
    <n v="19"/>
  </r>
  <r>
    <s v="UC83yBpdeTa_AkuuvKbtTACQ"/>
    <s v="UC83yBpdeTa_AkuuvKbtTACQ"/>
    <m/>
    <m/>
    <m/>
    <m/>
    <m/>
    <m/>
    <m/>
    <m/>
    <s v="No"/>
    <n v="766"/>
    <m/>
    <m/>
    <s v="Replied Comment"/>
    <x v="0"/>
    <s v="@Watched Walker i have been looking and none are good"/>
    <s v="UC83yBpdeTa_AkuuvKbtTACQ"/>
    <s v="London0701"/>
    <s v="http://www.youtube.com/channel/UC83yBpdeTa_AkuuvKbtTACQ"/>
    <s v="UgyoR0H6QMSZeiWtujp4AaABAg"/>
    <s v="tS9IXHSdzJs"/>
    <s v="https://www.youtube.com/watch?v="/>
    <s v="none"/>
    <n v="0"/>
    <x v="763"/>
    <d v="2019-04-03T21:57:52.000"/>
    <m/>
    <m/>
    <s v=""/>
    <n v="4"/>
    <s v="4"/>
    <s v="4"/>
    <n v="1"/>
    <n v="10"/>
    <n v="0"/>
    <n v="0"/>
    <n v="0"/>
    <n v="0"/>
    <n v="9"/>
    <n v="90"/>
    <n v="10"/>
  </r>
  <r>
    <s v="UC83yBpdeTa_AkuuvKbtTACQ"/>
    <s v="UC_mzz_JnzArhhpGUy8KdGwg"/>
    <m/>
    <m/>
    <m/>
    <m/>
    <m/>
    <m/>
    <m/>
    <m/>
    <s v="Yes"/>
    <n v="767"/>
    <m/>
    <m/>
    <s v="Commented Video"/>
    <x v="1"/>
    <s v="When i get my Samsung Galaxy S10 Plus this week i will visit this building , great video by the way and i find your videos great to watch and they also help me plan my visits when i am in the city."/>
    <s v="UC83yBpdeTa_AkuuvKbtTACQ"/>
    <s v="London0701"/>
    <s v="http://www.youtube.com/channel/UC83yBpdeTa_AkuuvKbtTACQ"/>
    <m/>
    <s v="tS9IXHSdzJs"/>
    <s v="https://www.youtube.com/watch?v=tS9IXHSdzJs"/>
    <s v="none"/>
    <n v="0"/>
    <x v="764"/>
    <d v="2019-04-03T18:52:59.000"/>
    <m/>
    <m/>
    <s v=""/>
    <n v="2"/>
    <s v="4"/>
    <s v="4"/>
    <n v="2"/>
    <n v="4.761904761904762"/>
    <n v="0"/>
    <n v="0"/>
    <n v="0"/>
    <n v="0"/>
    <n v="40"/>
    <n v="95.23809523809524"/>
    <n v="42"/>
  </r>
  <r>
    <s v="UC_mzz_JnzArhhpGUy8KdGwg"/>
    <s v="UCira_mhcRZQgqIjC-KtGPRQ"/>
    <m/>
    <m/>
    <m/>
    <m/>
    <m/>
    <m/>
    <m/>
    <m/>
    <s v="Yes"/>
    <n v="768"/>
    <m/>
    <m/>
    <s v="Replied Comment"/>
    <x v="0"/>
    <s v="You&amp;#39;re welcome Dana!"/>
    <s v="UC_mzz_JnzArhhpGUy8KdGwg"/>
    <s v="Watched Walker"/>
    <s v="http://www.youtube.com/channel/UC_mzz_JnzArhhpGUy8KdGwg"/>
    <s v="UgyHn9H0z7kCG-IAsjh4AaABAg"/>
    <s v="tS9IXHSdzJs"/>
    <s v="https://www.youtube.com/watch?v=tS9IXHSdzJs"/>
    <s v="none"/>
    <n v="1"/>
    <x v="765"/>
    <d v="2019-04-03T18:58:15.000"/>
    <m/>
    <m/>
    <s v=""/>
    <n v="1"/>
    <s v="4"/>
    <s v="4"/>
    <n v="1"/>
    <n v="20"/>
    <n v="0"/>
    <n v="0"/>
    <n v="0"/>
    <n v="0"/>
    <n v="4"/>
    <n v="80"/>
    <n v="5"/>
  </r>
  <r>
    <s v="UCira_mhcRZQgqIjC-KtGPRQ"/>
    <s v="UC_mzz_JnzArhhpGUy8KdGwg"/>
    <m/>
    <m/>
    <m/>
    <m/>
    <m/>
    <m/>
    <m/>
    <m/>
    <s v="Yes"/>
    <n v="769"/>
    <m/>
    <m/>
    <s v="Commented Video"/>
    <x v="1"/>
    <s v="Thanks for the nice video 👌🏻;-);-);-)"/>
    <s v="UCira_mhcRZQgqIjC-KtGPRQ"/>
    <s v="dana brichtova"/>
    <s v="http://www.youtube.com/channel/UCira_mhcRZQgqIjC-KtGPRQ"/>
    <m/>
    <s v="tS9IXHSdzJs"/>
    <s v="https://www.youtube.com/watch?v=tS9IXHSdzJs"/>
    <s v="none"/>
    <n v="0"/>
    <x v="766"/>
    <d v="2019-04-03T18:57:26.000"/>
    <m/>
    <m/>
    <s v=""/>
    <n v="1"/>
    <s v="4"/>
    <s v="4"/>
    <n v="1"/>
    <n v="20"/>
    <n v="0"/>
    <n v="0"/>
    <n v="0"/>
    <n v="0"/>
    <n v="4"/>
    <n v="80"/>
    <n v="5"/>
  </r>
  <r>
    <s v="UC_mzz_JnzArhhpGUy8KdGwg"/>
    <s v="UCM_vSQzPcjN_L-1EMslIjow"/>
    <m/>
    <m/>
    <m/>
    <m/>
    <m/>
    <m/>
    <m/>
    <m/>
    <s v="Yes"/>
    <n v="770"/>
    <m/>
    <m/>
    <s v="Replied Comment"/>
    <x v="0"/>
    <s v="Cheers Houda - thanks for watching!"/>
    <s v="UC_mzz_JnzArhhpGUy8KdGwg"/>
    <s v="Watched Walker"/>
    <s v="http://www.youtube.com/channel/UC_mzz_JnzArhhpGUy8KdGwg"/>
    <s v="UgxRxL_4087hC_XOiSx4AaABAg"/>
    <s v="tS9IXHSdzJs"/>
    <s v="https://www.youtube.com/watch?v=tS9IXHSdzJs"/>
    <s v="none"/>
    <n v="1"/>
    <x v="767"/>
    <d v="2019-04-03T18:58:42.000"/>
    <m/>
    <m/>
    <s v=""/>
    <n v="1"/>
    <s v="4"/>
    <s v="4"/>
    <n v="0"/>
    <n v="0"/>
    <n v="0"/>
    <n v="0"/>
    <n v="0"/>
    <n v="0"/>
    <n v="5"/>
    <n v="100"/>
    <n v="5"/>
  </r>
  <r>
    <s v="UCM_vSQzPcjN_L-1EMslIjow"/>
    <s v="UCM_vSQzPcjN_L-1EMslIjow"/>
    <m/>
    <m/>
    <m/>
    <m/>
    <m/>
    <m/>
    <m/>
    <m/>
    <s v="No"/>
    <n v="771"/>
    <m/>
    <m/>
    <s v="Replied Comment"/>
    <x v="0"/>
    <s v="@Watched Walker you are very welcome man! İ just go into you when i want to travel as simple as that , thanks again you makes things so easy for the rest of the world"/>
    <s v="UCM_vSQzPcjN_L-1EMslIjow"/>
    <s v="Houda Belala"/>
    <s v="http://www.youtube.com/channel/UCM_vSQzPcjN_L-1EMslIjow"/>
    <s v="UgxRxL_4087hC_XOiSx4AaABAg"/>
    <s v="tS9IXHSdzJs"/>
    <s v="https://www.youtube.com/watch?v=tS9IXHSdzJs"/>
    <s v="none"/>
    <n v="1"/>
    <x v="768"/>
    <d v="2019-04-03T19:00:39.000"/>
    <m/>
    <m/>
    <s v=""/>
    <n v="1"/>
    <s v="4"/>
    <s v="4"/>
    <n v="2"/>
    <n v="5.882352941176471"/>
    <n v="0"/>
    <n v="0"/>
    <n v="0"/>
    <n v="0"/>
    <n v="32"/>
    <n v="94.11764705882354"/>
    <n v="34"/>
  </r>
  <r>
    <s v="UCM_vSQzPcjN_L-1EMslIjow"/>
    <s v="UC_mzz_JnzArhhpGUy8KdGwg"/>
    <m/>
    <m/>
    <m/>
    <m/>
    <m/>
    <m/>
    <m/>
    <m/>
    <s v="Yes"/>
    <n v="772"/>
    <m/>
    <m/>
    <s v="Commented Video"/>
    <x v="1"/>
    <s v="Man i visited most of the world towns by your chanel , you are just amazing"/>
    <s v="UCM_vSQzPcjN_L-1EMslIjow"/>
    <s v="Houda Belala"/>
    <s v="http://www.youtube.com/channel/UCM_vSQzPcjN_L-1EMslIjow"/>
    <m/>
    <s v="tS9IXHSdzJs"/>
    <s v="https://www.youtube.com/watch?v=tS9IXHSdzJs"/>
    <s v="none"/>
    <n v="8"/>
    <x v="769"/>
    <d v="2019-04-03T18:57:30.000"/>
    <m/>
    <m/>
    <s v=""/>
    <n v="1"/>
    <s v="4"/>
    <s v="4"/>
    <n v="1"/>
    <n v="6.666666666666667"/>
    <n v="0"/>
    <n v="0"/>
    <n v="0"/>
    <n v="0"/>
    <n v="14"/>
    <n v="93.33333333333333"/>
    <n v="15"/>
  </r>
  <r>
    <s v="UC3suJoT2zJUqzYE1Y5-8dhg"/>
    <s v="UC_mzz_JnzArhhpGUy8KdGwg"/>
    <m/>
    <m/>
    <m/>
    <m/>
    <m/>
    <m/>
    <m/>
    <m/>
    <s v="No"/>
    <n v="773"/>
    <m/>
    <m/>
    <s v="Commented Video"/>
    <x v="1"/>
    <s v="Genial!"/>
    <s v="UC3suJoT2zJUqzYE1Y5-8dhg"/>
    <s v="Belen Fernandez Prieto"/>
    <s v="http://www.youtube.com/channel/UC3suJoT2zJUqzYE1Y5-8dhg"/>
    <m/>
    <s v="tS9IXHSdzJs"/>
    <s v="https://www.youtube.com/watch?v=tS9IXHSdzJs"/>
    <s v="none"/>
    <n v="1"/>
    <x v="770"/>
    <d v="2019-04-03T19:00:18.000"/>
    <m/>
    <m/>
    <s v=""/>
    <n v="1"/>
    <s v="4"/>
    <s v="4"/>
    <n v="1"/>
    <n v="100"/>
    <n v="0"/>
    <n v="0"/>
    <n v="0"/>
    <n v="0"/>
    <n v="0"/>
    <n v="0"/>
    <n v="1"/>
  </r>
  <r>
    <s v="UC_mzz_JnzArhhpGUy8KdGwg"/>
    <s v="UCWk8qaRj7jShI_2tBUK7APw"/>
    <m/>
    <m/>
    <m/>
    <m/>
    <m/>
    <m/>
    <m/>
    <m/>
    <s v="Yes"/>
    <n v="774"/>
    <m/>
    <m/>
    <s v="Replied Comment"/>
    <x v="0"/>
    <s v="Cheers Kathy, I really appreciate your kind words - greetings to Tampa!"/>
    <s v="UC_mzz_JnzArhhpGUy8KdGwg"/>
    <s v="Watched Walker"/>
    <s v="http://www.youtube.com/channel/UC_mzz_JnzArhhpGUy8KdGwg"/>
    <s v="UgzMPX-a0GYWuJjyVVl4AaABAg"/>
    <s v="tS9IXHSdzJs"/>
    <s v="https://www.youtube.com/watch?v=tS9IXHSdzJs"/>
    <s v="none"/>
    <n v="1"/>
    <x v="771"/>
    <d v="2019-04-03T20:10:50.000"/>
    <m/>
    <m/>
    <s v=""/>
    <n v="1"/>
    <s v="4"/>
    <s v="4"/>
    <n v="1"/>
    <n v="9.090909090909092"/>
    <n v="0"/>
    <n v="0"/>
    <n v="0"/>
    <n v="0"/>
    <n v="10"/>
    <n v="90.9090909090909"/>
    <n v="11"/>
  </r>
  <r>
    <s v="UCWk8qaRj7jShI_2tBUK7APw"/>
    <s v="UC_mzz_JnzArhhpGUy8KdGwg"/>
    <m/>
    <m/>
    <m/>
    <m/>
    <m/>
    <m/>
    <m/>
    <m/>
    <s v="Yes"/>
    <n v="775"/>
    <m/>
    <m/>
    <s v="Commented Video"/>
    <x v="1"/>
    <s v="Hello from Tampa, Florida...we love, love,  love your work. And a big thank you for including so much info in the filming and in the  description area. Keep up the GREAT work!!!"/>
    <s v="UCWk8qaRj7jShI_2tBUK7APw"/>
    <s v="Kathy Davis"/>
    <s v="http://www.youtube.com/channel/UCWk8qaRj7jShI_2tBUK7APw"/>
    <m/>
    <s v="tS9IXHSdzJs"/>
    <s v="https://www.youtube.com/watch?v=tS9IXHSdzJs"/>
    <s v="none"/>
    <n v="0"/>
    <x v="772"/>
    <d v="2019-04-03T19:44:18.000"/>
    <m/>
    <m/>
    <s v=""/>
    <n v="1"/>
    <s v="4"/>
    <s v="4"/>
    <n v="7"/>
    <n v="21.21212121212121"/>
    <n v="0"/>
    <n v="0"/>
    <n v="0"/>
    <n v="0"/>
    <n v="26"/>
    <n v="78.78787878787878"/>
    <n v="33"/>
  </r>
  <r>
    <s v="UC_mzz_JnzArhhpGUy8KdGwg"/>
    <s v="UCQdDgvr7KJSbiSMQuKef7_g"/>
    <m/>
    <m/>
    <m/>
    <m/>
    <m/>
    <m/>
    <m/>
    <m/>
    <s v="Yes"/>
    <n v="776"/>
    <m/>
    <m/>
    <s v="Replied Comment"/>
    <x v="0"/>
    <s v="It sure will Michael - it’s already a great space, it’ll look incredible when matured."/>
    <s v="UC_mzz_JnzArhhpGUy8KdGwg"/>
    <s v="Watched Walker"/>
    <s v="http://www.youtube.com/channel/UC_mzz_JnzArhhpGUy8KdGwg"/>
    <s v="UgwJblEBDGkIlFg6xQl4AaABAg"/>
    <s v="tS9IXHSdzJs"/>
    <s v="https://www.youtube.com/watch?v=tS9IXHSdzJs"/>
    <s v="none"/>
    <n v="0"/>
    <x v="773"/>
    <d v="2019-04-03T20:12:17.000"/>
    <m/>
    <m/>
    <s v=""/>
    <n v="1"/>
    <s v="4"/>
    <s v="4"/>
    <n v="2"/>
    <n v="12.5"/>
    <n v="0"/>
    <n v="0"/>
    <n v="0"/>
    <n v="0"/>
    <n v="14"/>
    <n v="87.5"/>
    <n v="16"/>
  </r>
  <r>
    <s v="UCQdDgvr7KJSbiSMQuKef7_g"/>
    <s v="UC_mzz_JnzArhhpGUy8KdGwg"/>
    <m/>
    <m/>
    <m/>
    <m/>
    <m/>
    <m/>
    <m/>
    <m/>
    <s v="Yes"/>
    <n v="777"/>
    <m/>
    <m/>
    <s v="Commented Video"/>
    <x v="1"/>
    <s v="This will be magical when the plants have grown over the tops of the frames and the schrubs have matured."/>
    <s v="UCQdDgvr7KJSbiSMQuKef7_g"/>
    <s v="msee"/>
    <s v="http://www.youtube.com/channel/UCQdDgvr7KJSbiSMQuKef7_g"/>
    <m/>
    <s v="tS9IXHSdzJs"/>
    <s v="https://www.youtube.com/watch?v=tS9IXHSdzJs"/>
    <s v="none"/>
    <n v="0"/>
    <x v="774"/>
    <d v="2019-04-03T20:00:36.000"/>
    <m/>
    <m/>
    <s v=""/>
    <n v="1"/>
    <s v="4"/>
    <s v="4"/>
    <n v="2"/>
    <n v="10"/>
    <n v="0"/>
    <n v="0"/>
    <n v="0"/>
    <n v="0"/>
    <n v="18"/>
    <n v="90"/>
    <n v="20"/>
  </r>
  <r>
    <s v="UC_mzz_JnzArhhpGUy8KdGwg"/>
    <s v="UC9eAx4k9U2-MfIgrk6Lprgg"/>
    <m/>
    <m/>
    <m/>
    <m/>
    <m/>
    <m/>
    <m/>
    <m/>
    <s v="Yes"/>
    <n v="778"/>
    <m/>
    <m/>
    <s v="Replied Comment"/>
    <x v="0"/>
    <s v="Thanks Lynne, I’m not sure about the modelling - best I stay behind the lens ;)"/>
    <s v="UC_mzz_JnzArhhpGUy8KdGwg"/>
    <s v="Watched Walker"/>
    <s v="http://www.youtube.com/channel/UC_mzz_JnzArhhpGUy8KdGwg"/>
    <s v="Ugx-5D6tJmSM_I7AD2R4AaABAg"/>
    <s v="tS9IXHSdzJs"/>
    <s v="https://www.youtube.com/watch?v=tS9IXHSdzJs"/>
    <s v="none"/>
    <n v="0"/>
    <x v="775"/>
    <d v="2019-04-03T20:16:47.000"/>
    <m/>
    <m/>
    <s v=""/>
    <n v="1"/>
    <s v="4"/>
    <s v="4"/>
    <n v="1"/>
    <n v="6.666666666666667"/>
    <n v="0"/>
    <n v="0"/>
    <n v="0"/>
    <n v="0"/>
    <n v="14"/>
    <n v="93.33333333333333"/>
    <n v="15"/>
  </r>
  <r>
    <s v="UC9eAx4k9U2-MfIgrk6Lprgg"/>
    <s v="UC_mzz_JnzArhhpGUy8KdGwg"/>
    <m/>
    <m/>
    <m/>
    <m/>
    <m/>
    <m/>
    <m/>
    <m/>
    <s v="Yes"/>
    <n v="779"/>
    <m/>
    <m/>
    <s v="Commented Video"/>
    <x v="1"/>
    <s v="A lot of photo shoots going on, they should ask you to model or show them how it&amp;#39;s done!!! Thanks for the beautiful video."/>
    <s v="UC9eAx4k9U2-MfIgrk6Lprgg"/>
    <s v="Lynne Morris"/>
    <s v="http://www.youtube.com/channel/UC9eAx4k9U2-MfIgrk6Lprgg"/>
    <m/>
    <s v="tS9IXHSdzJs"/>
    <s v="https://www.youtube.com/watch?v=tS9IXHSdzJs"/>
    <s v="none"/>
    <n v="0"/>
    <x v="776"/>
    <d v="2019-04-03T20:05:23.000"/>
    <m/>
    <m/>
    <s v=""/>
    <n v="1"/>
    <s v="4"/>
    <s v="4"/>
    <n v="1"/>
    <n v="3.8461538461538463"/>
    <n v="0"/>
    <n v="0"/>
    <n v="0"/>
    <n v="0"/>
    <n v="25"/>
    <n v="96.15384615384616"/>
    <n v="26"/>
  </r>
  <r>
    <s v="UC_mzz_JnzArhhpGUy8KdGwg"/>
    <s v="UC-lMDmalvYSq1BI7zNiTDaw"/>
    <m/>
    <m/>
    <m/>
    <m/>
    <m/>
    <m/>
    <m/>
    <m/>
    <s v="Yes"/>
    <n v="780"/>
    <m/>
    <m/>
    <s v="Replied Comment"/>
    <x v="0"/>
    <s v="Yes it’s definitely worth a visit, I loved my time in this garden and it’s only gonna get better when the plants mature - that’s unless they add a bar and music and ruin the atmosphere."/>
    <s v="UC_mzz_JnzArhhpGUy8KdGwg"/>
    <s v="Watched Walker"/>
    <s v="http://www.youtube.com/channel/UC_mzz_JnzArhhpGUy8KdGwg"/>
    <s v="UgwK_MiLDAV3WRfE7-R4AaABAg"/>
    <s v="tS9IXHSdzJs"/>
    <s v="https://www.youtube.com/watch?v=tS9IXHSdzJs"/>
    <s v="none"/>
    <n v="1"/>
    <x v="777"/>
    <d v="2019-04-03T21:12:04.000"/>
    <m/>
    <m/>
    <s v=""/>
    <n v="1"/>
    <s v="4"/>
    <s v="4"/>
    <n v="4"/>
    <n v="10.526315789473685"/>
    <n v="1"/>
    <n v="2.6315789473684212"/>
    <n v="0"/>
    <n v="0"/>
    <n v="33"/>
    <n v="86.84210526315789"/>
    <n v="38"/>
  </r>
  <r>
    <s v="UC-lMDmalvYSq1BI7zNiTDaw"/>
    <s v="UC_mzz_JnzArhhpGUy8KdGwg"/>
    <m/>
    <m/>
    <m/>
    <m/>
    <m/>
    <m/>
    <m/>
    <m/>
    <s v="Yes"/>
    <n v="781"/>
    <m/>
    <m/>
    <s v="Commented Video"/>
    <x v="1"/>
    <s v="Great view from up there! I&amp;#39;m gonna have to check this out next time I&amp;#39;m in London! :)"/>
    <s v="UC-lMDmalvYSq1BI7zNiTDaw"/>
    <s v="evancortez2"/>
    <s v="http://www.youtube.com/channel/UC-lMDmalvYSq1BI7zNiTDaw"/>
    <m/>
    <s v="tS9IXHSdzJs"/>
    <s v="https://www.youtube.com/watch?v=tS9IXHSdzJs"/>
    <s v="none"/>
    <n v="0"/>
    <x v="778"/>
    <d v="2019-04-03T20:56:46.000"/>
    <m/>
    <m/>
    <s v=""/>
    <n v="1"/>
    <s v="4"/>
    <s v="4"/>
    <n v="1"/>
    <n v="4.761904761904762"/>
    <n v="0"/>
    <n v="0"/>
    <n v="0"/>
    <n v="0"/>
    <n v="20"/>
    <n v="95.23809523809524"/>
    <n v="21"/>
  </r>
  <r>
    <s v="UC_mzz_JnzArhhpGUy8KdGwg"/>
    <s v="UC-hDebHnHerDnjqU_Wz5owQ"/>
    <m/>
    <m/>
    <m/>
    <m/>
    <m/>
    <m/>
    <m/>
    <m/>
    <s v="Yes"/>
    <n v="782"/>
    <m/>
    <m/>
    <s v="Replied Comment"/>
    <x v="0"/>
    <s v="Thank you :)"/>
    <s v="UC_mzz_JnzArhhpGUy8KdGwg"/>
    <s v="Watched Walker"/>
    <s v="http://www.youtube.com/channel/UC_mzz_JnzArhhpGUy8KdGwg"/>
    <s v="UgzVW-Wv8rt171GvzM94AaABAg"/>
    <s v="tS9IXHSdzJs"/>
    <s v="https://www.youtube.com/watch?v=tS9IXHSdzJs"/>
    <s v="none"/>
    <n v="1"/>
    <x v="779"/>
    <d v="2019-04-03T22:16:00.000"/>
    <m/>
    <m/>
    <s v=""/>
    <n v="1"/>
    <s v="4"/>
    <s v="4"/>
    <n v="1"/>
    <n v="50"/>
    <n v="0"/>
    <n v="0"/>
    <n v="0"/>
    <n v="0"/>
    <n v="1"/>
    <n v="50"/>
    <n v="2"/>
  </r>
  <r>
    <s v="UC-hDebHnHerDnjqU_Wz5owQ"/>
    <s v="UC_mzz_JnzArhhpGUy8KdGwg"/>
    <m/>
    <m/>
    <m/>
    <m/>
    <m/>
    <m/>
    <m/>
    <m/>
    <s v="Yes"/>
    <n v="783"/>
    <m/>
    <m/>
    <s v="Commented Video"/>
    <x v="1"/>
    <s v="Stunning skyline, and I really appreciate all your hard work. Another to add on the list to see, when we are down in London at some point."/>
    <s v="UC-hDebHnHerDnjqU_Wz5owQ"/>
    <s v="TalsVids"/>
    <s v="http://www.youtube.com/channel/UC-hDebHnHerDnjqU_Wz5owQ"/>
    <m/>
    <s v="tS9IXHSdzJs"/>
    <s v="https://www.youtube.com/watch?v=tS9IXHSdzJs"/>
    <s v="none"/>
    <n v="0"/>
    <x v="780"/>
    <d v="2019-04-03T22:05:37.000"/>
    <m/>
    <m/>
    <s v=""/>
    <n v="1"/>
    <s v="4"/>
    <s v="4"/>
    <n v="3"/>
    <n v="11.11111111111111"/>
    <n v="1"/>
    <n v="3.7037037037037037"/>
    <n v="0"/>
    <n v="0"/>
    <n v="23"/>
    <n v="85.18518518518519"/>
    <n v="27"/>
  </r>
  <r>
    <s v="UCs9MJ-TmN0-CLY2eNBHAltw"/>
    <s v="UC_mzz_JnzArhhpGUy8KdGwg"/>
    <m/>
    <m/>
    <m/>
    <m/>
    <m/>
    <m/>
    <m/>
    <m/>
    <s v="No"/>
    <n v="784"/>
    <m/>
    <m/>
    <s v="Commented Video"/>
    <x v="1"/>
    <s v="Love London 🇬🇧❤️"/>
    <s v="UCs9MJ-TmN0-CLY2eNBHAltw"/>
    <s v="Wanna Walk"/>
    <s v="http://www.youtube.com/channel/UCs9MJ-TmN0-CLY2eNBHAltw"/>
    <m/>
    <s v="tS9IXHSdzJs"/>
    <s v="https://www.youtube.com/watch?v=tS9IXHSdzJs"/>
    <s v="none"/>
    <n v="1"/>
    <x v="781"/>
    <d v="2019-04-03T22:13:41.000"/>
    <m/>
    <m/>
    <s v=""/>
    <n v="1"/>
    <s v="4"/>
    <s v="4"/>
    <n v="1"/>
    <n v="50"/>
    <n v="0"/>
    <n v="0"/>
    <n v="0"/>
    <n v="0"/>
    <n v="1"/>
    <n v="50"/>
    <n v="2"/>
  </r>
  <r>
    <s v="UCeLqxe2Fyy1zpvb36shuJGw"/>
    <s v="UC_mzz_JnzArhhpGUy8KdGwg"/>
    <m/>
    <m/>
    <m/>
    <m/>
    <m/>
    <m/>
    <m/>
    <m/>
    <s v="No"/>
    <n v="785"/>
    <m/>
    <m/>
    <s v="Commented Video"/>
    <x v="1"/>
    <s v="This building is amazing. Beautiful roof garden with stunning view. 👍🏻"/>
    <s v="UCeLqxe2Fyy1zpvb36shuJGw"/>
    <s v="More Locations"/>
    <s v="http://www.youtube.com/channel/UCeLqxe2Fyy1zpvb36shuJGw"/>
    <m/>
    <s v="tS9IXHSdzJs"/>
    <s v="https://www.youtube.com/watch?v=tS9IXHSdzJs"/>
    <s v="none"/>
    <n v="2"/>
    <x v="782"/>
    <d v="2019-04-03T22:35:35.000"/>
    <m/>
    <m/>
    <s v=""/>
    <n v="1"/>
    <s v="4"/>
    <s v="4"/>
    <n v="3"/>
    <n v="30"/>
    <n v="0"/>
    <n v="0"/>
    <n v="0"/>
    <n v="0"/>
    <n v="7"/>
    <n v="70"/>
    <n v="10"/>
  </r>
  <r>
    <s v="UC_mzz_JnzArhhpGUy8KdGwg"/>
    <s v="UCyOnDaKILlNWEmejJMiuKGg"/>
    <m/>
    <m/>
    <m/>
    <m/>
    <m/>
    <m/>
    <m/>
    <m/>
    <s v="Yes"/>
    <n v="786"/>
    <m/>
    <m/>
    <s v="Replied Comment"/>
    <x v="0"/>
    <s v="Thank you! :)"/>
    <s v="UC_mzz_JnzArhhpGUy8KdGwg"/>
    <s v="Watched Walker"/>
    <s v="http://www.youtube.com/channel/UC_mzz_JnzArhhpGUy8KdGwg"/>
    <s v="Ugxz_UHDe3K0dqz7fsF4AaABAg"/>
    <s v="tS9IXHSdzJs"/>
    <s v="https://www.youtube.com/watch?v=tS9IXHSdzJs"/>
    <s v="none"/>
    <n v="0"/>
    <x v="783"/>
    <d v="2019-04-03T23:25:21.000"/>
    <m/>
    <m/>
    <s v=""/>
    <n v="1"/>
    <s v="4"/>
    <s v="4"/>
    <n v="1"/>
    <n v="50"/>
    <n v="0"/>
    <n v="0"/>
    <n v="0"/>
    <n v="0"/>
    <n v="1"/>
    <n v="50"/>
    <n v="2"/>
  </r>
  <r>
    <s v="UCyOnDaKILlNWEmejJMiuKGg"/>
    <s v="UC_mzz_JnzArhhpGUy8KdGwg"/>
    <m/>
    <m/>
    <m/>
    <m/>
    <m/>
    <m/>
    <m/>
    <m/>
    <s v="Yes"/>
    <n v="787"/>
    <m/>
    <m/>
    <s v="Commented Video"/>
    <x v="1"/>
    <s v="Love all your videos!!"/>
    <s v="UCyOnDaKILlNWEmejJMiuKGg"/>
    <s v="Patty at Rumdycreations"/>
    <s v="http://www.youtube.com/channel/UCyOnDaKILlNWEmejJMiuKGg"/>
    <m/>
    <s v="tS9IXHSdzJs"/>
    <s v="https://www.youtube.com/watch?v=tS9IXHSdzJs"/>
    <s v="none"/>
    <n v="0"/>
    <x v="784"/>
    <d v="2019-04-03T23:17:15.000"/>
    <m/>
    <m/>
    <s v=""/>
    <n v="1"/>
    <s v="4"/>
    <s v="4"/>
    <n v="1"/>
    <n v="25"/>
    <n v="0"/>
    <n v="0"/>
    <n v="0"/>
    <n v="0"/>
    <n v="3"/>
    <n v="75"/>
    <n v="4"/>
  </r>
  <r>
    <s v="UC_mzz_JnzArhhpGUy8KdGwg"/>
    <s v="UCdQ9iOrNVbO94hDax02BryA"/>
    <m/>
    <m/>
    <m/>
    <m/>
    <m/>
    <m/>
    <m/>
    <m/>
    <s v="Yes"/>
    <n v="788"/>
    <m/>
    <m/>
    <s v="Replied Comment"/>
    <x v="0"/>
    <s v="That’s a long old flight! If you do visit again, hopefully you can time it for when we have good weather - it would be so annoying to get here during a rainy week!"/>
    <s v="UC_mzz_JnzArhhpGUy8KdGwg"/>
    <s v="Watched Walker"/>
    <s v="http://www.youtube.com/channel/UC_mzz_JnzArhhpGUy8KdGwg"/>
    <s v="UgzNTYrFikZrqY6ljwp4AaABAg"/>
    <s v="tS9IXHSdzJs"/>
    <s v="https://www.youtube.com/watch?v=tS9IXHSdzJs"/>
    <s v="none"/>
    <n v="0"/>
    <x v="785"/>
    <d v="2019-05-03T00:45:09.000"/>
    <m/>
    <m/>
    <s v=""/>
    <n v="1"/>
    <s v="4"/>
    <s v="4"/>
    <n v="1"/>
    <n v="2.9411764705882355"/>
    <n v="1"/>
    <n v="2.9411764705882355"/>
    <n v="0"/>
    <n v="0"/>
    <n v="32"/>
    <n v="94.11764705882354"/>
    <n v="34"/>
  </r>
  <r>
    <s v="UCdQ9iOrNVbO94hDax02BryA"/>
    <s v="UC_mzz_JnzArhhpGUy8KdGwg"/>
    <m/>
    <m/>
    <m/>
    <m/>
    <m/>
    <m/>
    <m/>
    <m/>
    <s v="Yes"/>
    <n v="789"/>
    <m/>
    <m/>
    <s v="Commented Video"/>
    <x v="1"/>
    <s v="That GoPro sure captures the whole picture........LOVE IT!!!!!!!!!!!!!!!!!!!!!!!!!! Image quality is superb. Your videos make me want to do the 22 hour flight from Australia for a week in London again."/>
    <s v="UCdQ9iOrNVbO94hDax02BryA"/>
    <s v="Distant Light Productions"/>
    <s v="http://www.youtube.com/channel/UCdQ9iOrNVbO94hDax02BryA"/>
    <m/>
    <s v="tS9IXHSdzJs"/>
    <s v="https://www.youtube.com/watch?v=tS9IXHSdzJs"/>
    <s v="none"/>
    <n v="0"/>
    <x v="786"/>
    <d v="2019-05-03T00:26:29.000"/>
    <m/>
    <m/>
    <s v=""/>
    <n v="1"/>
    <s v="4"/>
    <s v="4"/>
    <n v="2"/>
    <n v="6.25"/>
    <n v="0"/>
    <n v="0"/>
    <n v="0"/>
    <n v="0"/>
    <n v="30"/>
    <n v="93.75"/>
    <n v="32"/>
  </r>
  <r>
    <s v="UCBBX3hvZHXUnGPnFCoEobwA"/>
    <s v="UC_mzz_JnzArhhpGUy8KdGwg"/>
    <m/>
    <m/>
    <m/>
    <m/>
    <m/>
    <m/>
    <m/>
    <m/>
    <s v="No"/>
    <n v="790"/>
    <m/>
    <m/>
    <s v="Commented Video"/>
    <x v="1"/>
    <s v="love your vedieos"/>
    <s v="UCBBX3hvZHXUnGPnFCoEobwA"/>
    <s v="abishe prince"/>
    <s v="http://www.youtube.com/channel/UCBBX3hvZHXUnGPnFCoEobwA"/>
    <m/>
    <s v="tS9IXHSdzJs"/>
    <s v="https://www.youtube.com/watch?v=tS9IXHSdzJs"/>
    <s v="none"/>
    <n v="0"/>
    <x v="787"/>
    <d v="2019-05-03T04:33:46.000"/>
    <m/>
    <m/>
    <s v=""/>
    <n v="1"/>
    <s v="4"/>
    <s v="4"/>
    <n v="1"/>
    <n v="33.333333333333336"/>
    <n v="0"/>
    <n v="0"/>
    <n v="0"/>
    <n v="0"/>
    <n v="2"/>
    <n v="66.66666666666667"/>
    <n v="3"/>
  </r>
  <r>
    <s v="UCbbx7msYKamwOeRUkaqCTAQ"/>
    <s v="UCvUJkGPWzj100gTHN2AJopA"/>
    <m/>
    <m/>
    <m/>
    <m/>
    <m/>
    <m/>
    <m/>
    <m/>
    <s v="Yes"/>
    <n v="791"/>
    <m/>
    <m/>
    <s v="Replied Comment"/>
    <x v="0"/>
    <s v="Thanks for watching!"/>
    <s v="UCbbx7msYKamwOeRUkaqCTAQ"/>
    <s v="Geek Street Travels"/>
    <s v="http://www.youtube.com/channel/UCbbx7msYKamwOeRUkaqCTAQ"/>
    <s v="UgwJ9wzkoVYpQKEFHzR4AaABAg"/>
    <s v="-0Iauhp_Kug"/>
    <s v="https://www.youtube.com/watch?v=-0Iauhp_Kug"/>
    <s v="none"/>
    <n v="0"/>
    <x v="788"/>
    <d v="2020-12-05T22:30:16.000"/>
    <m/>
    <m/>
    <s v=""/>
    <n v="1"/>
    <s v="5"/>
    <s v="5"/>
    <n v="0"/>
    <n v="0"/>
    <n v="0"/>
    <n v="0"/>
    <n v="0"/>
    <n v="0"/>
    <n v="3"/>
    <n v="100"/>
    <n v="3"/>
  </r>
  <r>
    <s v="UCvUJkGPWzj100gTHN2AJopA"/>
    <s v="UCbbx7msYKamwOeRUkaqCTAQ"/>
    <m/>
    <m/>
    <m/>
    <m/>
    <m/>
    <m/>
    <m/>
    <m/>
    <s v="Yes"/>
    <n v="792"/>
    <m/>
    <m/>
    <s v="Commented Video"/>
    <x v="1"/>
    <s v="Great video! It&amp;#39;s always a wonderful experience. Please walk with me when you have time! Let&amp;#39;s help each other! Thank you! : )"/>
    <s v="UCvUJkGPWzj100gTHN2AJopA"/>
    <s v="Ambient Walking"/>
    <s v="http://www.youtube.com/channel/UCvUJkGPWzj100gTHN2AJopA"/>
    <m/>
    <s v="-0Iauhp_Kug"/>
    <s v="https://www.youtube.com/watch?v=-0Iauhp_Kug"/>
    <s v="none"/>
    <n v="1"/>
    <x v="789"/>
    <d v="2020-03-05T10:00:16.000"/>
    <m/>
    <m/>
    <s v=""/>
    <n v="1"/>
    <s v="5"/>
    <s v="5"/>
    <n v="3"/>
    <n v="12"/>
    <n v="0"/>
    <n v="0"/>
    <n v="0"/>
    <n v="0"/>
    <n v="22"/>
    <n v="88"/>
    <n v="25"/>
  </r>
  <r>
    <s v="UCvUJkGPWzj100gTHN2AJopA"/>
    <s v="UC_mzz_JnzArhhpGUy8KdGwg"/>
    <m/>
    <m/>
    <m/>
    <m/>
    <m/>
    <m/>
    <m/>
    <m/>
    <s v="No"/>
    <n v="793"/>
    <m/>
    <m/>
    <s v="Commented Video"/>
    <x v="1"/>
    <s v="Nice!"/>
    <s v="UCvUJkGPWzj100gTHN2AJopA"/>
    <s v="Ambient Walking"/>
    <s v="http://www.youtube.com/channel/UCvUJkGPWzj100gTHN2AJopA"/>
    <m/>
    <s v="tS9IXHSdzJs"/>
    <s v="https://www.youtube.com/watch?v=tS9IXHSdzJs"/>
    <s v="none"/>
    <n v="0"/>
    <x v="790"/>
    <d v="2019-05-03T05:17:24.000"/>
    <m/>
    <m/>
    <s v=""/>
    <n v="1"/>
    <s v="5"/>
    <s v="4"/>
    <n v="1"/>
    <n v="100"/>
    <n v="0"/>
    <n v="0"/>
    <n v="0"/>
    <n v="0"/>
    <n v="0"/>
    <n v="0"/>
    <n v="1"/>
  </r>
  <r>
    <s v="UCn2YnnD2g33upkbSMkQK-Bw"/>
    <s v="UC_mzz_JnzArhhpGUy8KdGwg"/>
    <m/>
    <m/>
    <m/>
    <m/>
    <m/>
    <m/>
    <m/>
    <m/>
    <s v="No"/>
    <n v="794"/>
    <m/>
    <m/>
    <s v="Commented Video"/>
    <x v="1"/>
    <s v="Cool video"/>
    <s v="UCn2YnnD2g33upkbSMkQK-Bw"/>
    <s v="Walking Tours"/>
    <s v="http://www.youtube.com/channel/UCn2YnnD2g33upkbSMkQK-Bw"/>
    <m/>
    <s v="tS9IXHSdzJs"/>
    <s v="https://www.youtube.com/watch?v=tS9IXHSdzJs"/>
    <s v="none"/>
    <n v="0"/>
    <x v="791"/>
    <d v="2019-05-03T08:04:19.000"/>
    <m/>
    <m/>
    <s v=""/>
    <n v="1"/>
    <s v="4"/>
    <s v="4"/>
    <n v="1"/>
    <n v="50"/>
    <n v="0"/>
    <n v="0"/>
    <n v="0"/>
    <n v="0"/>
    <n v="1"/>
    <n v="50"/>
    <n v="2"/>
  </r>
  <r>
    <s v="UC_mzz_JnzArhhpGUy8KdGwg"/>
    <s v="UCKCmUCH4vlzGIpc59vWVf7Q"/>
    <m/>
    <m/>
    <m/>
    <m/>
    <m/>
    <m/>
    <m/>
    <m/>
    <s v="Yes"/>
    <n v="795"/>
    <m/>
    <m/>
    <s v="Replied Comment"/>
    <x v="0"/>
    <s v="Adam, I prefer the atmosphere there too, especially being open air and more tranquil."/>
    <s v="UC_mzz_JnzArhhpGUy8KdGwg"/>
    <s v="Watched Walker"/>
    <s v="http://www.youtube.com/channel/UC_mzz_JnzArhhpGUy8KdGwg"/>
    <s v="UgzFwuamP2Xbzy4kCSN4AaABAg"/>
    <s v="tS9IXHSdzJs"/>
    <s v="https://www.youtube.com/watch?v=tS9IXHSdzJs"/>
    <s v="none"/>
    <n v="1"/>
    <x v="792"/>
    <d v="2019-05-03T12:12:40.000"/>
    <m/>
    <m/>
    <s v=""/>
    <n v="1"/>
    <s v="4"/>
    <s v="4"/>
    <n v="2"/>
    <n v="14.285714285714286"/>
    <n v="0"/>
    <n v="0"/>
    <n v="0"/>
    <n v="0"/>
    <n v="12"/>
    <n v="85.71428571428571"/>
    <n v="14"/>
  </r>
  <r>
    <s v="UCKCmUCH4vlzGIpc59vWVf7Q"/>
    <s v="UC_mzz_JnzArhhpGUy8KdGwg"/>
    <m/>
    <m/>
    <m/>
    <m/>
    <m/>
    <m/>
    <m/>
    <m/>
    <s v="Yes"/>
    <n v="796"/>
    <m/>
    <m/>
    <s v="Commented Video"/>
    <x v="1"/>
    <s v="Marvellous ! I think I prefer this to the Sky Garden.... I see it&amp;#39;s a Mecca for posers taking their Instagram snaps!! 😉"/>
    <s v="UCKCmUCH4vlzGIpc59vWVf7Q"/>
    <s v="ADAM"/>
    <s v="http://www.youtube.com/channel/UCKCmUCH4vlzGIpc59vWVf7Q"/>
    <m/>
    <s v="tS9IXHSdzJs"/>
    <s v="https://www.youtube.com/watch?v=tS9IXHSdzJs"/>
    <s v="none"/>
    <n v="0"/>
    <x v="793"/>
    <d v="2019-05-03T11:40:35.000"/>
    <m/>
    <m/>
    <s v=""/>
    <n v="1"/>
    <s v="4"/>
    <s v="4"/>
    <n v="2"/>
    <n v="8.695652173913043"/>
    <n v="0"/>
    <n v="0"/>
    <n v="0"/>
    <n v="0"/>
    <n v="21"/>
    <n v="91.30434782608695"/>
    <n v="23"/>
  </r>
  <r>
    <s v="UCBenSqtEDQHj7oh518x-87A"/>
    <s v="UC_mzz_JnzArhhpGUy8KdGwg"/>
    <m/>
    <m/>
    <m/>
    <m/>
    <m/>
    <m/>
    <m/>
    <m/>
    <s v="No"/>
    <n v="797"/>
    <m/>
    <m/>
    <s v="Commented Video"/>
    <x v="1"/>
    <s v="That’s really nice. Thanks!))"/>
    <s v="UCBenSqtEDQHj7oh518x-87A"/>
    <s v="Наталия Натали"/>
    <s v="http://www.youtube.com/channel/UCBenSqtEDQHj7oh518x-87A"/>
    <m/>
    <s v="tS9IXHSdzJs"/>
    <s v="https://www.youtube.com/watch?v=tS9IXHSdzJs"/>
    <s v="none"/>
    <n v="1"/>
    <x v="794"/>
    <d v="2019-05-03T12:12:39.000"/>
    <m/>
    <m/>
    <s v=""/>
    <n v="1"/>
    <s v="4"/>
    <s v="4"/>
    <n v="1"/>
    <n v="20"/>
    <n v="0"/>
    <n v="0"/>
    <n v="0"/>
    <n v="0"/>
    <n v="4"/>
    <n v="80"/>
    <n v="5"/>
  </r>
  <r>
    <s v="UC_mzz_JnzArhhpGUy8KdGwg"/>
    <s v="UCgIhMfk4dHm-1QFKcaewNQA"/>
    <m/>
    <m/>
    <m/>
    <m/>
    <m/>
    <m/>
    <m/>
    <m/>
    <s v="Yes"/>
    <n v="798"/>
    <m/>
    <m/>
    <s v="Replied Comment"/>
    <x v="0"/>
    <s v="You&amp;#39;re welcome Judith - though I&amp;#39;m surprised you managed to watch it, so well done!"/>
    <s v="UC_mzz_JnzArhhpGUy8KdGwg"/>
    <s v="Watched Walker"/>
    <s v="http://www.youtube.com/channel/UC_mzz_JnzArhhpGUy8KdGwg"/>
    <s v="UgzcijR5JGh-sw1JT_J4AaABAg"/>
    <s v="tS9IXHSdzJs"/>
    <s v="https://www.youtube.com/watch?v=tS9IXHSdzJs"/>
    <s v="none"/>
    <n v="1"/>
    <x v="795"/>
    <d v="2019-05-03T16:01:39.000"/>
    <m/>
    <m/>
    <s v=""/>
    <n v="1"/>
    <s v="4"/>
    <s v="4"/>
    <n v="2"/>
    <n v="11.11111111111111"/>
    <n v="0"/>
    <n v="0"/>
    <n v="0"/>
    <n v="0"/>
    <n v="16"/>
    <n v="88.88888888888889"/>
    <n v="18"/>
  </r>
  <r>
    <s v="UCgIhMfk4dHm-1QFKcaewNQA"/>
    <s v="UC_mzz_JnzArhhpGUy8KdGwg"/>
    <m/>
    <m/>
    <m/>
    <m/>
    <m/>
    <m/>
    <m/>
    <m/>
    <s v="Yes"/>
    <n v="799"/>
    <m/>
    <m/>
    <s v="Commented Video"/>
    <x v="1"/>
    <s v="My vertigo made itself quite a pest just watching the video! That bloke leaning backwards against the glass wall - AARGH!  Thanks for showing WW. You are a hero."/>
    <s v="UCgIhMfk4dHm-1QFKcaewNQA"/>
    <s v="Judith Bateson"/>
    <s v="http://www.youtube.com/channel/UCgIhMfk4dHm-1QFKcaewNQA"/>
    <m/>
    <s v="tS9IXHSdzJs"/>
    <s v="https://www.youtube.com/watch?v=tS9IXHSdzJs"/>
    <s v="none"/>
    <n v="0"/>
    <x v="796"/>
    <d v="2019-05-03T14:50:31.000"/>
    <m/>
    <m/>
    <s v=""/>
    <n v="1"/>
    <s v="4"/>
    <s v="4"/>
    <n v="1"/>
    <n v="3.5714285714285716"/>
    <n v="1"/>
    <n v="3.5714285714285716"/>
    <n v="0"/>
    <n v="0"/>
    <n v="26"/>
    <n v="92.85714285714286"/>
    <n v="28"/>
  </r>
  <r>
    <s v="UChhFIzikRU9cBMh-WPw0_qg"/>
    <s v="UCdNO3SSyxVGqW-xKmIVv9pQ"/>
    <m/>
    <m/>
    <m/>
    <m/>
    <m/>
    <m/>
    <m/>
    <m/>
    <s v="No"/>
    <n v="800"/>
    <m/>
    <m/>
    <s v="Commented Video"/>
    <x v="1"/>
    <s v="Seems like a pretty underutilized space."/>
    <s v="UChhFIzikRU9cBMh-WPw0_qg"/>
    <s v="Space Gleam Fiction"/>
    <s v="http://www.youtube.com/channel/UChhFIzikRU9cBMh-WPw0_qg"/>
    <m/>
    <s v="k0WsWXSk1dc"/>
    <s v="https://www.youtube.com/watch?v=k0WsWXSk1dc"/>
    <s v="none"/>
    <n v="2"/>
    <x v="797"/>
    <s v="26/02/2018 22:25:31"/>
    <m/>
    <m/>
    <s v=""/>
    <n v="1"/>
    <s v="13"/>
    <s v="13"/>
    <n v="2"/>
    <n v="33.333333333333336"/>
    <n v="0"/>
    <n v="0"/>
    <n v="0"/>
    <n v="0"/>
    <n v="4"/>
    <n v="66.66666666666667"/>
    <n v="6"/>
  </r>
  <r>
    <s v="UC_mzz_JnzArhhpGUy8KdGwg"/>
    <s v="UChhFIzikRU9cBMh-WPw0_qg"/>
    <m/>
    <m/>
    <m/>
    <m/>
    <m/>
    <m/>
    <m/>
    <m/>
    <s v="Yes"/>
    <n v="801"/>
    <m/>
    <m/>
    <s v="Replied Comment"/>
    <x v="0"/>
    <s v="Be fair Peter, there’s a water feature and some creepers too! ;)"/>
    <s v="UC_mzz_JnzArhhpGUy8KdGwg"/>
    <s v="Watched Walker"/>
    <s v="http://www.youtube.com/channel/UC_mzz_JnzArhhpGUy8KdGwg"/>
    <s v="UgyjRJxDcprDRfAoUYF4AaABAg"/>
    <s v="tS9IXHSdzJs"/>
    <s v="https://www.youtube.com/watch?v=tS9IXHSdzJs"/>
    <s v="none"/>
    <n v="0"/>
    <x v="798"/>
    <d v="2019-05-03T22:42:23.000"/>
    <m/>
    <m/>
    <s v=""/>
    <n v="1"/>
    <s v="4"/>
    <s v="13"/>
    <n v="1"/>
    <n v="8.333333333333334"/>
    <n v="0"/>
    <n v="0"/>
    <n v="0"/>
    <n v="0"/>
    <n v="11"/>
    <n v="91.66666666666667"/>
    <n v="12"/>
  </r>
  <r>
    <s v="UChhFIzikRU9cBMh-WPw0_qg"/>
    <s v="UChhFIzikRU9cBMh-WPw0_qg"/>
    <m/>
    <m/>
    <m/>
    <m/>
    <m/>
    <m/>
    <m/>
    <m/>
    <s v="No"/>
    <n v="802"/>
    <m/>
    <m/>
    <s v="Replied Comment"/>
    <x v="0"/>
    <s v="@Watched Walker still not quite constitutes a garden."/>
    <s v="UChhFIzikRU9cBMh-WPw0_qg"/>
    <s v="Space Gleam Fiction"/>
    <s v="http://www.youtube.com/channel/UChhFIzikRU9cBMh-WPw0_qg"/>
    <s v="UgyjRJxDcprDRfAoUYF4AaABAg"/>
    <s v="tS9IXHSdzJs"/>
    <s v="https://www.youtube.com/watch?v=tS9IXHSdzJs"/>
    <s v="none"/>
    <n v="0"/>
    <x v="799"/>
    <d v="2019-05-03T23:10:06.000"/>
    <m/>
    <m/>
    <s v=""/>
    <n v="1"/>
    <s v="13"/>
    <s v="13"/>
    <n v="0"/>
    <n v="0"/>
    <n v="0"/>
    <n v="0"/>
    <n v="0"/>
    <n v="0"/>
    <n v="8"/>
    <n v="100"/>
    <n v="8"/>
  </r>
  <r>
    <s v="UChhFIzikRU9cBMh-WPw0_qg"/>
    <s v="UC_mzz_JnzArhhpGUy8KdGwg"/>
    <m/>
    <m/>
    <m/>
    <m/>
    <m/>
    <m/>
    <m/>
    <m/>
    <s v="Yes"/>
    <n v="803"/>
    <m/>
    <m/>
    <s v="Commented Video"/>
    <x v="1"/>
    <s v="I don&amp;#39;t think a few bushes counts as a garden.. unless it&amp;#39;s a garden of skyscrapers"/>
    <s v="UChhFIzikRU9cBMh-WPw0_qg"/>
    <s v="Space Gleam Fiction"/>
    <s v="http://www.youtube.com/channel/UChhFIzikRU9cBMh-WPw0_qg"/>
    <m/>
    <s v="tS9IXHSdzJs"/>
    <s v="https://www.youtube.com/watch?v=tS9IXHSdzJs"/>
    <s v="none"/>
    <n v="0"/>
    <x v="800"/>
    <d v="2019-05-03T19:54:53.000"/>
    <m/>
    <m/>
    <s v=""/>
    <n v="1"/>
    <s v="13"/>
    <s v="4"/>
    <n v="0"/>
    <n v="0"/>
    <n v="0"/>
    <n v="0"/>
    <n v="0"/>
    <n v="0"/>
    <n v="20"/>
    <n v="100"/>
    <n v="20"/>
  </r>
  <r>
    <s v="UCeiPyrjvfb7XFCTDwJsIl6Q"/>
    <s v="UC_mzz_JnzArhhpGUy8KdGwg"/>
    <m/>
    <m/>
    <m/>
    <m/>
    <m/>
    <m/>
    <m/>
    <m/>
    <s v="No"/>
    <n v="804"/>
    <m/>
    <m/>
    <s v="Commented Video"/>
    <x v="1"/>
    <s v="View from the Shard cost £32.00, wow! it is free and feeling lucky by watching your video. Thanks."/>
    <s v="UCeiPyrjvfb7XFCTDwJsIl6Q"/>
    <s v="Delhi Walker"/>
    <s v="http://www.youtube.com/channel/UCeiPyrjvfb7XFCTDwJsIl6Q"/>
    <m/>
    <s v="tS9IXHSdzJs"/>
    <s v="https://www.youtube.com/watch?v=tS9IXHSdzJs"/>
    <s v="none"/>
    <n v="0"/>
    <x v="801"/>
    <d v="2019-06-03T11:51:30.000"/>
    <m/>
    <m/>
    <s v=""/>
    <n v="1"/>
    <s v="4"/>
    <s v="4"/>
    <n v="3"/>
    <n v="15.789473684210526"/>
    <n v="0"/>
    <n v="0"/>
    <n v="0"/>
    <n v="0"/>
    <n v="16"/>
    <n v="84.21052631578948"/>
    <n v="19"/>
  </r>
  <r>
    <s v="UC_mzz_JnzArhhpGUy8KdGwg"/>
    <s v="UCSex7PTBn_MKaACHgYcfI0w"/>
    <m/>
    <m/>
    <m/>
    <m/>
    <m/>
    <m/>
    <m/>
    <m/>
    <s v="Yes"/>
    <n v="805"/>
    <m/>
    <m/>
    <s v="Replied Comment"/>
    <x v="0"/>
    <s v="Yes, it&amp;#39;s free to enter and unlike the Sky Garden, you don’t need to book in advance (not yet anyway)."/>
    <s v="UC_mzz_JnzArhhpGUy8KdGwg"/>
    <s v="Watched Walker"/>
    <s v="http://www.youtube.com/channel/UC_mzz_JnzArhhpGUy8KdGwg"/>
    <s v="Ugw37Bia1lGidjTXIj14AaABAg"/>
    <s v="tS9IXHSdzJs"/>
    <s v="https://www.youtube.com/watch?v=tS9IXHSdzJs"/>
    <s v="none"/>
    <n v="0"/>
    <x v="802"/>
    <d v="2019-06-03T23:32:06.000"/>
    <m/>
    <m/>
    <s v=""/>
    <n v="1"/>
    <s v="4"/>
    <s v="4"/>
    <n v="1"/>
    <n v="4.3478260869565215"/>
    <n v="0"/>
    <n v="0"/>
    <n v="0"/>
    <n v="0"/>
    <n v="22"/>
    <n v="95.65217391304348"/>
    <n v="23"/>
  </r>
  <r>
    <s v="UCSex7PTBn_MKaACHgYcfI0w"/>
    <s v="UC_mzz_JnzArhhpGUy8KdGwg"/>
    <m/>
    <m/>
    <m/>
    <m/>
    <m/>
    <m/>
    <m/>
    <m/>
    <s v="Yes"/>
    <n v="806"/>
    <m/>
    <m/>
    <s v="Commented Video"/>
    <x v="1"/>
    <s v="Is it free to go up there?"/>
    <s v="UCSex7PTBn_MKaACHgYcfI0w"/>
    <s v="ioanamartin"/>
    <s v="http://www.youtube.com/channel/UCSex7PTBn_MKaACHgYcfI0w"/>
    <m/>
    <s v="tS9IXHSdzJs"/>
    <s v="https://www.youtube.com/watch?v=tS9IXHSdzJs"/>
    <s v="none"/>
    <n v="0"/>
    <x v="803"/>
    <d v="2019-06-03T23:04:34.000"/>
    <m/>
    <m/>
    <s v=""/>
    <n v="1"/>
    <s v="4"/>
    <s v="4"/>
    <n v="1"/>
    <n v="14.285714285714286"/>
    <n v="0"/>
    <n v="0"/>
    <n v="0"/>
    <n v="0"/>
    <n v="6"/>
    <n v="85.71428571428571"/>
    <n v="7"/>
  </r>
  <r>
    <s v="UCqQqwKmKnjNRWBPBbk0SYfQ"/>
    <s v="UC_mzz_JnzArhhpGUy8KdGwg"/>
    <m/>
    <m/>
    <m/>
    <m/>
    <m/>
    <m/>
    <m/>
    <m/>
    <s v="No"/>
    <n v="807"/>
    <m/>
    <m/>
    <s v="Commented Video"/>
    <x v="1"/>
    <s v="I have simply NO words to describe the amazingness of your breath-taking videos.... such minute details 👌AND the BEST thing is you EVEN show beautiful girls😉 or people passing by to have an idea of general people. &lt;br&gt;I can ONLY wish if you could cover Sydney, Melbourne, Adelaide and rest of Australia in same way... we badly need a ‘Watched Walker’ in Australia as well 😞coz i am going to immigrate to Melbourne within a year with my permanent residency INSHALLAH.&lt;br&gt;p.s i was there in UK 🇬🇧 from 2011-2013 for my master degree( MBA HRM) from GLyndwr university, &lt;a href=&quot;http://wales.uk/&quot;&gt;wales.UK&lt;/a&gt;&lt;br&gt;Hasan&lt;br&gt;Lahore, Pakistan"/>
    <s v="UCqQqwKmKnjNRWBPBbk0SYfQ"/>
    <s v="Hasan Khan"/>
    <s v="http://www.youtube.com/channel/UCqQqwKmKnjNRWBPBbk0SYfQ"/>
    <m/>
    <s v="tS9IXHSdzJs"/>
    <s v="https://www.youtube.com/watch?v=tS9IXHSdzJs"/>
    <s v="none"/>
    <n v="0"/>
    <x v="804"/>
    <d v="2019-07-03T06:25:58.000"/>
    <s v=" http://wales.uk/"/>
    <s v="wales.uk"/>
    <s v=""/>
    <n v="1"/>
    <s v="4"/>
    <s v="4"/>
    <n v="4"/>
    <n v="3.4482758620689653"/>
    <n v="1"/>
    <n v="0.8620689655172413"/>
    <n v="0"/>
    <n v="0"/>
    <n v="111"/>
    <n v="95.6896551724138"/>
    <n v="116"/>
  </r>
  <r>
    <s v="UC_mzz_JnzArhhpGUy8KdGwg"/>
    <s v="UCBkcw8h7epT_bK0QzuY2Bmg"/>
    <m/>
    <m/>
    <m/>
    <m/>
    <m/>
    <m/>
    <m/>
    <m/>
    <s v="Yes"/>
    <n v="808"/>
    <m/>
    <m/>
    <s v="Replied Comment"/>
    <x v="0"/>
    <s v="Thanks pal!"/>
    <s v="UC_mzz_JnzArhhpGUy8KdGwg"/>
    <s v="Watched Walker"/>
    <s v="http://www.youtube.com/channel/UC_mzz_JnzArhhpGUy8KdGwg"/>
    <s v="UgyxQvwgQjV5v8iat954AaABAg"/>
    <s v="tS9IXHSdzJs"/>
    <s v="https://www.youtube.com/watch?v=tS9IXHSdzJs"/>
    <s v="none"/>
    <n v="0"/>
    <x v="805"/>
    <d v="2019-12-03T10:56:20.000"/>
    <m/>
    <m/>
    <s v=""/>
    <n v="1"/>
    <s v="4"/>
    <s v="4"/>
    <n v="0"/>
    <n v="0"/>
    <n v="0"/>
    <n v="0"/>
    <n v="0"/>
    <n v="0"/>
    <n v="2"/>
    <n v="100"/>
    <n v="2"/>
  </r>
  <r>
    <s v="UCBkcw8h7epT_bK0QzuY2Bmg"/>
    <s v="UC_mzz_JnzArhhpGUy8KdGwg"/>
    <m/>
    <m/>
    <m/>
    <m/>
    <m/>
    <m/>
    <m/>
    <m/>
    <s v="Yes"/>
    <n v="809"/>
    <m/>
    <m/>
    <s v="Commented Video"/>
    <x v="1"/>
    <s v="Wow, such an incredible view! Amazing quality."/>
    <s v="UCBkcw8h7epT_bK0QzuY2Bmg"/>
    <s v="ActionKid"/>
    <s v="http://www.youtube.com/channel/UCBkcw8h7epT_bK0QzuY2Bmg"/>
    <m/>
    <s v="tS9IXHSdzJs"/>
    <s v="https://www.youtube.com/watch?v=tS9IXHSdzJs"/>
    <s v="none"/>
    <n v="0"/>
    <x v="806"/>
    <d v="2019-12-03T01:51:34.000"/>
    <m/>
    <m/>
    <s v=""/>
    <n v="1"/>
    <s v="4"/>
    <s v="4"/>
    <n v="3"/>
    <n v="42.857142857142854"/>
    <n v="0"/>
    <n v="0"/>
    <n v="0"/>
    <n v="0"/>
    <n v="4"/>
    <n v="57.142857142857146"/>
    <n v="7"/>
  </r>
  <r>
    <s v="UC_mzz_JnzArhhpGUy8KdGwg"/>
    <s v="UCnR8hz3lcn1_f1Ie5w3SUCg"/>
    <m/>
    <m/>
    <m/>
    <m/>
    <m/>
    <m/>
    <m/>
    <m/>
    <s v="Yes"/>
    <n v="810"/>
    <m/>
    <m/>
    <s v="Replied Comment"/>
    <x v="0"/>
    <s v="I use a fluffy wind muffler over the mic, but it doesn&amp;#39;t cut out all wind noise."/>
    <s v="UC_mzz_JnzArhhpGUy8KdGwg"/>
    <s v="Watched Walker"/>
    <s v="http://www.youtube.com/channel/UC_mzz_JnzArhhpGUy8KdGwg"/>
    <s v="UgxffKorSjxN7RNCWgV4AaABAg"/>
    <s v="tS9IXHSdzJs"/>
    <s v="https://www.youtube.com/watch?v=tS9IXHSdzJs"/>
    <s v="none"/>
    <n v="2"/>
    <x v="807"/>
    <s v="21/03/2019 10:15:02"/>
    <m/>
    <m/>
    <s v=""/>
    <n v="1"/>
    <s v="4"/>
    <s v="4"/>
    <n v="0"/>
    <n v="0"/>
    <n v="1"/>
    <n v="5.2631578947368425"/>
    <n v="0"/>
    <n v="0"/>
    <n v="18"/>
    <n v="94.73684210526316"/>
    <n v="19"/>
  </r>
  <r>
    <s v="UCnR8hz3lcn1_f1Ie5w3SUCg"/>
    <s v="UC_mzz_JnzArhhpGUy8KdGwg"/>
    <m/>
    <m/>
    <m/>
    <m/>
    <m/>
    <m/>
    <m/>
    <m/>
    <s v="Yes"/>
    <n v="811"/>
    <m/>
    <m/>
    <s v="Commented Video"/>
    <x v="1"/>
    <s v="what do you use to eliminate wind noise?"/>
    <s v="UCnR8hz3lcn1_f1Ie5w3SUCg"/>
    <s v="ait Chichar"/>
    <s v="http://www.youtube.com/channel/UCnR8hz3lcn1_f1Ie5w3SUCg"/>
    <m/>
    <s v="tS9IXHSdzJs"/>
    <s v="https://www.youtube.com/watch?v=tS9IXHSdzJs"/>
    <s v="none"/>
    <n v="0"/>
    <x v="808"/>
    <s v="21/03/2019 07:39:37"/>
    <m/>
    <m/>
    <s v=""/>
    <n v="1"/>
    <s v="4"/>
    <s v="4"/>
    <n v="0"/>
    <n v="0"/>
    <n v="1"/>
    <n v="12.5"/>
    <n v="0"/>
    <n v="0"/>
    <n v="7"/>
    <n v="87.5"/>
    <n v="8"/>
  </r>
  <r>
    <s v="UC_mzz_JnzArhhpGUy8KdGwg"/>
    <s v="UCAnqw5P2xCAzOIovoVzZl3Q"/>
    <m/>
    <m/>
    <m/>
    <m/>
    <m/>
    <m/>
    <m/>
    <m/>
    <s v="Yes"/>
    <n v="812"/>
    <m/>
    <m/>
    <s v="Replied Comment"/>
    <x v="0"/>
    <s v="Pagla, I made the most of a lovely day to get up there and film. Currently there is no ticketing or time limits, just turn up and enjoy! I&amp;#39;ve been a couple of times already and not even had to queue - just a quick trip through security to scan bags."/>
    <s v="UC_mzz_JnzArhhpGUy8KdGwg"/>
    <s v="Watched Walker"/>
    <s v="http://www.youtube.com/channel/UC_mzz_JnzArhhpGUy8KdGwg"/>
    <s v="UgzB8289V4Q5hZKMQep4AaABAg"/>
    <s v="tS9IXHSdzJs"/>
    <s v="https://www.youtube.com/watch?v=tS9IXHSdzJs"/>
    <s v="none"/>
    <n v="0"/>
    <x v="809"/>
    <s v="26/03/2019 17:37:25"/>
    <m/>
    <m/>
    <s v=""/>
    <n v="1"/>
    <s v="4"/>
    <s v="4"/>
    <n v="2"/>
    <n v="3.8461538461538463"/>
    <n v="1"/>
    <n v="1.9230769230769231"/>
    <n v="0"/>
    <n v="0"/>
    <n v="49"/>
    <n v="94.23076923076923"/>
    <n v="52"/>
  </r>
  <r>
    <s v="UCAnqw5P2xCAzOIovoVzZl3Q"/>
    <s v="UC_mzz_JnzArhhpGUy8KdGwg"/>
    <m/>
    <m/>
    <m/>
    <m/>
    <m/>
    <m/>
    <m/>
    <m/>
    <s v="Yes"/>
    <n v="813"/>
    <m/>
    <m/>
    <s v="Commented Video"/>
    <x v="1"/>
    <s v="You picked the ideal Feb. Day for this video. Beautiful sunshine and no wind. The roof area is huge. Is there a time limit of stay. Ticket ? The video projection of the garden in the ground floor is so life like. Thanks for showing us this marvel of London."/>
    <s v="UCAnqw5P2xCAzOIovoVzZl3Q"/>
    <s v="Pagla Ghora"/>
    <s v="http://www.youtube.com/channel/UCAnqw5P2xCAzOIovoVzZl3Q"/>
    <m/>
    <s v="tS9IXHSdzJs"/>
    <s v="https://www.youtube.com/watch?v=tS9IXHSdzJs"/>
    <s v="none"/>
    <n v="0"/>
    <x v="810"/>
    <s v="26/03/2019 17:08:54"/>
    <m/>
    <m/>
    <s v=""/>
    <n v="1"/>
    <s v="4"/>
    <s v="4"/>
    <n v="4"/>
    <n v="8.16326530612245"/>
    <n v="1"/>
    <n v="2.0408163265306123"/>
    <n v="0"/>
    <n v="0"/>
    <n v="44"/>
    <n v="89.79591836734694"/>
    <n v="49"/>
  </r>
  <r>
    <s v="UC_mzz_JnzArhhpGUy8KdGwg"/>
    <s v="UCFPjsVOFZYYm_c2FwVjbHKw"/>
    <m/>
    <m/>
    <m/>
    <m/>
    <m/>
    <m/>
    <m/>
    <m/>
    <s v="Yes"/>
    <n v="814"/>
    <m/>
    <m/>
    <s v="Replied Comment"/>
    <x v="0"/>
    <s v="Thank you so much! It’s a great new space in the city, so was cool to film."/>
    <s v="UC_mzz_JnzArhhpGUy8KdGwg"/>
    <s v="Watched Walker"/>
    <s v="http://www.youtube.com/channel/UC_mzz_JnzArhhpGUy8KdGwg"/>
    <s v="UgyDPcyMP2o5bJ9P9PJ4AaABAg"/>
    <s v="tS9IXHSdzJs"/>
    <s v="https://www.youtube.com/watch?v=tS9IXHSdzJs"/>
    <s v="none"/>
    <n v="0"/>
    <x v="811"/>
    <s v="25/07/2019 21:38:36"/>
    <m/>
    <m/>
    <s v=""/>
    <n v="1"/>
    <s v="4"/>
    <s v="4"/>
    <n v="3"/>
    <n v="16.666666666666668"/>
    <n v="0"/>
    <n v="0"/>
    <n v="0"/>
    <n v="0"/>
    <n v="15"/>
    <n v="83.33333333333333"/>
    <n v="18"/>
  </r>
  <r>
    <s v="UCFPjsVOFZYYm_c2FwVjbHKw"/>
    <s v="UC_mzz_JnzArhhpGUy8KdGwg"/>
    <m/>
    <m/>
    <m/>
    <m/>
    <m/>
    <m/>
    <m/>
    <m/>
    <s v="Yes"/>
    <n v="815"/>
    <m/>
    <m/>
    <s v="Commented Video"/>
    <x v="1"/>
    <s v="This is by far my favourite walk from your most recent clutch of videos. There&amp;#39;s a real cinematic quality and skill to it. The city is on show. Moreover, the views over London are of a city which would&amp;#39;ve been unrecognisable 10 years ago. Good stuff!👍"/>
    <s v="UCFPjsVOFZYYm_c2FwVjbHKw"/>
    <s v="titussoul64"/>
    <s v="http://www.youtube.com/channel/UCFPjsVOFZYYm_c2FwVjbHKw"/>
    <m/>
    <s v="tS9IXHSdzJs"/>
    <s v="https://www.youtube.com/watch?v=tS9IXHSdzJs"/>
    <s v="none"/>
    <n v="1"/>
    <x v="812"/>
    <s v="25/07/2019 20:07:43"/>
    <m/>
    <m/>
    <s v=""/>
    <n v="1"/>
    <s v="4"/>
    <s v="4"/>
    <n v="2"/>
    <n v="4"/>
    <n v="0"/>
    <n v="0"/>
    <n v="0"/>
    <n v="0"/>
    <n v="48"/>
    <n v="96"/>
    <n v="50"/>
  </r>
  <r>
    <s v="UCDyYwvC2cbJb44iqWLPz5pQ"/>
    <s v="UC_mzz_JnzArhhpGUy8KdGwg"/>
    <m/>
    <m/>
    <m/>
    <m/>
    <m/>
    <m/>
    <m/>
    <m/>
    <s v="No"/>
    <n v="816"/>
    <m/>
    <m/>
    <s v="Commented Video"/>
    <x v="1"/>
    <s v="beautiful 😊👍❤"/>
    <s v="UCDyYwvC2cbJb44iqWLPz5pQ"/>
    <s v="Arnel A"/>
    <s v="http://www.youtube.com/channel/UCDyYwvC2cbJb44iqWLPz5pQ"/>
    <m/>
    <s v="tS9IXHSdzJs"/>
    <s v="https://www.youtube.com/watch?v=tS9IXHSdzJs"/>
    <s v="none"/>
    <n v="1"/>
    <x v="813"/>
    <s v="20/08/2019 13:38:16"/>
    <m/>
    <m/>
    <s v=""/>
    <n v="1"/>
    <s v="4"/>
    <s v="4"/>
    <n v="1"/>
    <n v="100"/>
    <n v="0"/>
    <n v="0"/>
    <n v="0"/>
    <n v="0"/>
    <n v="0"/>
    <n v="0"/>
    <n v="1"/>
  </r>
  <r>
    <s v="UC_mzz_JnzArhhpGUy8KdGwg"/>
    <s v="UCblMkBEHgD7uaLC0lBFebGQ"/>
    <m/>
    <m/>
    <m/>
    <m/>
    <m/>
    <m/>
    <m/>
    <m/>
    <s v="Yes"/>
    <n v="817"/>
    <m/>
    <m/>
    <s v="Replied Comment"/>
    <x v="0"/>
    <s v="Yes, it&amp;#39;s free entry."/>
    <s v="UC_mzz_JnzArhhpGUy8KdGwg"/>
    <s v="Watched Walker"/>
    <s v="http://www.youtube.com/channel/UC_mzz_JnzArhhpGUy8KdGwg"/>
    <s v="Ugy9TUzF7h0VvXSLKzZ4AaABAg"/>
    <s v="tS9IXHSdzJs"/>
    <s v="https://www.youtube.com/watch?v=tS9IXHSdzJs"/>
    <s v="none"/>
    <n v="0"/>
    <x v="814"/>
    <d v="2020-01-07T14:51:30.000"/>
    <m/>
    <m/>
    <s v=""/>
    <n v="1"/>
    <s v="4"/>
    <s v="4"/>
    <n v="1"/>
    <n v="16.666666666666668"/>
    <n v="0"/>
    <n v="0"/>
    <n v="0"/>
    <n v="0"/>
    <n v="5"/>
    <n v="83.33333333333333"/>
    <n v="6"/>
  </r>
  <r>
    <s v="UCblMkBEHgD7uaLC0lBFebGQ"/>
    <s v="UC_mzz_JnzArhhpGUy8KdGwg"/>
    <m/>
    <m/>
    <m/>
    <m/>
    <m/>
    <m/>
    <m/>
    <m/>
    <s v="Yes"/>
    <n v="818"/>
    <m/>
    <m/>
    <s v="Commented Video"/>
    <x v="1"/>
    <s v="Is this free to visit?"/>
    <s v="UCblMkBEHgD7uaLC0lBFebGQ"/>
    <s v="LouHarv"/>
    <s v="http://www.youtube.com/channel/UCblMkBEHgD7uaLC0lBFebGQ"/>
    <m/>
    <s v="tS9IXHSdzJs"/>
    <s v="https://www.youtube.com/watch?v=tS9IXHSdzJs"/>
    <s v="none"/>
    <n v="0"/>
    <x v="815"/>
    <s v="30/06/2020 16:26:33"/>
    <m/>
    <m/>
    <s v=""/>
    <n v="1"/>
    <s v="4"/>
    <s v="4"/>
    <n v="1"/>
    <n v="20"/>
    <n v="0"/>
    <n v="0"/>
    <n v="0"/>
    <n v="0"/>
    <n v="4"/>
    <n v="80"/>
    <n v="5"/>
  </r>
  <r>
    <s v="UC7DURVLcH2NBsmLGwSVOP4Q"/>
    <s v="UC_mzz_JnzArhhpGUy8KdGwg"/>
    <m/>
    <m/>
    <m/>
    <m/>
    <m/>
    <m/>
    <m/>
    <m/>
    <s v="No"/>
    <n v="819"/>
    <m/>
    <m/>
    <s v="Commented Video"/>
    <x v="1"/>
    <s v="Gracias!! Excelente video...en estos momentos en que no se puede viajar, nos hace sentir que estamos allí"/>
    <s v="UC7DURVLcH2NBsmLGwSVOP4Q"/>
    <s v="Carina Amoroso"/>
    <s v="http://www.youtube.com/channel/UC7DURVLcH2NBsmLGwSVOP4Q"/>
    <m/>
    <s v="tS9IXHSdzJs"/>
    <s v="https://www.youtube.com/watch?v=tS9IXHSdzJs"/>
    <s v="none"/>
    <n v="0"/>
    <x v="816"/>
    <d v="2020-04-11T23:04:34.000"/>
    <m/>
    <m/>
    <s v=""/>
    <n v="1"/>
    <s v="4"/>
    <s v="4"/>
    <n v="0"/>
    <n v="0"/>
    <n v="0"/>
    <n v="0"/>
    <n v="0"/>
    <n v="0"/>
    <n v="18"/>
    <n v="100"/>
    <n v="18"/>
  </r>
  <r>
    <s v="UCDyFrFVz6c1UPBCY5ivsQXg"/>
    <s v="UCtwQDg4rXfyYezi6PEk6IlQ"/>
    <m/>
    <m/>
    <m/>
    <m/>
    <m/>
    <m/>
    <m/>
    <m/>
    <s v="No"/>
    <n v="820"/>
    <m/>
    <m/>
    <s v="Commented Video"/>
    <x v="1"/>
    <s v="Very interesting and inspiring. Shame the west hasn&amp;#39;t the courage to govern tall building regulations. Once they&amp;#39;re there light cannot reach plants, trees, animals and humans. Cold winds/draughts are very auspicious."/>
    <s v="UCDyFrFVz6c1UPBCY5ivsQXg"/>
    <s v="Epic Ellen"/>
    <s v="http://www.youtube.com/channel/UCDyFrFVz6c1UPBCY5ivsQXg"/>
    <m/>
    <s v="ukxbBgcz9Ow"/>
    <s v="https://www.youtube.com/watch?v=ukxbBgcz9Ow"/>
    <s v="none"/>
    <n v="0"/>
    <x v="817"/>
    <s v="20/05/2021 09:26:45"/>
    <m/>
    <m/>
    <s v=""/>
    <n v="4"/>
    <s v="12"/>
    <s v="12"/>
    <n v="4"/>
    <n v="11.11111111111111"/>
    <n v="2"/>
    <n v="5.555555555555555"/>
    <n v="0"/>
    <n v="0"/>
    <n v="30"/>
    <n v="83.33333333333333"/>
    <n v="36"/>
  </r>
  <r>
    <s v="UCDyFrFVz6c1UPBCY5ivsQXg"/>
    <s v="UCtwQDg4rXfyYezi6PEk6IlQ"/>
    <m/>
    <m/>
    <m/>
    <m/>
    <m/>
    <m/>
    <m/>
    <m/>
    <s v="No"/>
    <n v="821"/>
    <m/>
    <m/>
    <s v="Commented Video"/>
    <x v="1"/>
    <s v="Like Stefano&amp;#39;s green ideas"/>
    <s v="UCDyFrFVz6c1UPBCY5ivsQXg"/>
    <s v="Epic Ellen"/>
    <s v="http://www.youtube.com/channel/UCDyFrFVz6c1UPBCY5ivsQXg"/>
    <m/>
    <s v="ukxbBgcz9Ow"/>
    <s v="https://www.youtube.com/watch?v=ukxbBgcz9Ow"/>
    <s v="none"/>
    <n v="0"/>
    <x v="818"/>
    <s v="20/05/2021 09:28:33"/>
    <m/>
    <m/>
    <s v=""/>
    <n v="4"/>
    <s v="12"/>
    <s v="12"/>
    <n v="1"/>
    <n v="16.666666666666668"/>
    <n v="0"/>
    <n v="0"/>
    <n v="0"/>
    <n v="0"/>
    <n v="5"/>
    <n v="83.33333333333333"/>
    <n v="6"/>
  </r>
  <r>
    <s v="UCDyFrFVz6c1UPBCY5ivsQXg"/>
    <s v="UCtwQDg4rXfyYezi6PEk6IlQ"/>
    <m/>
    <m/>
    <m/>
    <m/>
    <m/>
    <m/>
    <m/>
    <m/>
    <s v="No"/>
    <n v="822"/>
    <m/>
    <m/>
    <s v="Commented Video"/>
    <x v="1"/>
    <s v="I love this guy."/>
    <s v="UCDyFrFVz6c1UPBCY5ivsQXg"/>
    <s v="Epic Ellen"/>
    <s v="http://www.youtube.com/channel/UCDyFrFVz6c1UPBCY5ivsQXg"/>
    <m/>
    <s v="ukxbBgcz9Ow"/>
    <s v="https://www.youtube.com/watch?v=ukxbBgcz9Ow"/>
    <s v="none"/>
    <n v="0"/>
    <x v="819"/>
    <s v="20/05/2021 09:31:22"/>
    <m/>
    <m/>
    <s v=""/>
    <n v="4"/>
    <s v="12"/>
    <s v="12"/>
    <n v="1"/>
    <n v="25"/>
    <n v="0"/>
    <n v="0"/>
    <n v="0"/>
    <n v="0"/>
    <n v="3"/>
    <n v="75"/>
    <n v="4"/>
  </r>
  <r>
    <s v="UCDyFrFVz6c1UPBCY5ivsQXg"/>
    <s v="UCtwQDg4rXfyYezi6PEk6IlQ"/>
    <m/>
    <m/>
    <m/>
    <m/>
    <m/>
    <m/>
    <m/>
    <m/>
    <s v="No"/>
    <n v="823"/>
    <m/>
    <m/>
    <s v="Commented Video"/>
    <x v="1"/>
    <s v="Sorry, should have said not very auspicious when mentioning draughts and cold"/>
    <s v="UCDyFrFVz6c1UPBCY5ivsQXg"/>
    <s v="Epic Ellen"/>
    <s v="http://www.youtube.com/channel/UCDyFrFVz6c1UPBCY5ivsQXg"/>
    <m/>
    <s v="ukxbBgcz9Ow"/>
    <s v="https://www.youtube.com/watch?v=ukxbBgcz9Ow"/>
    <s v="none"/>
    <n v="0"/>
    <x v="820"/>
    <s v="20/05/2021 09:35:26"/>
    <m/>
    <m/>
    <s v=""/>
    <n v="4"/>
    <s v="12"/>
    <s v="12"/>
    <n v="1"/>
    <n v="8.333333333333334"/>
    <n v="2"/>
    <n v="16.666666666666668"/>
    <n v="0"/>
    <n v="0"/>
    <n v="9"/>
    <n v="75"/>
    <n v="12"/>
  </r>
  <r>
    <s v="UCbbx7msYKamwOeRUkaqCTAQ"/>
    <s v="UCbbx7msYKamwOeRUkaqCTAQ"/>
    <m/>
    <m/>
    <m/>
    <m/>
    <m/>
    <m/>
    <m/>
    <m/>
    <s v="No"/>
    <n v="824"/>
    <m/>
    <m/>
    <s v="Commented Video"/>
    <x v="1"/>
    <s v="✅ Don&amp;#39;t Forget to like👍 comment✍and subscribe▶ to my channel!&lt;br&gt;✅ We have weekly uploads showing our travels around the world 🌎✈👙🌴☀🌞🛄&lt;br&gt;☕ If you enjoy my channel, you could support it by leaving a tip via my Ko-fi page it helps us continue making these videos!&lt;br&gt;&lt;a href=&quot;http://ko-fi.com/geekstreettravels&quot;&gt;http://ko-fi.com/geekstreettravels&lt;/a&gt;"/>
    <s v="UCbbx7msYKamwOeRUkaqCTAQ"/>
    <s v="Geek Street Travels"/>
    <s v="http://www.youtube.com/channel/UCbbx7msYKamwOeRUkaqCTAQ"/>
    <m/>
    <s v="-0Iauhp_Kug"/>
    <s v="https://www.youtube.com/watch?v=-0Iauhp_Kug"/>
    <s v="none"/>
    <n v="1"/>
    <x v="821"/>
    <d v="2020-03-05T09:48:49.000"/>
    <s v=" http://ko-fi.com/geekstreettravels http://ko-fi.com/geekstreettravels"/>
    <s v="ko-fi.com ko-fi.com"/>
    <s v=""/>
    <n v="2"/>
    <s v="5"/>
    <s v="5"/>
    <n v="3"/>
    <n v="4.761904761904762"/>
    <n v="0"/>
    <n v="0"/>
    <n v="0"/>
    <n v="0"/>
    <n v="60"/>
    <n v="95.23809523809524"/>
    <n v="63"/>
  </r>
  <r>
    <s v="UCbbx7msYKamwOeRUkaqCTAQ"/>
    <s v="UCbbx7msYKamwOeRUkaqCTAQ"/>
    <m/>
    <m/>
    <m/>
    <m/>
    <m/>
    <m/>
    <m/>
    <m/>
    <s v="No"/>
    <n v="825"/>
    <m/>
    <m/>
    <s v="Posted Video"/>
    <x v="2"/>
    <m/>
    <m/>
    <m/>
    <m/>
    <m/>
    <s v="-0Iauhp_Kug"/>
    <s v="https://www.youtube.com/watch?v=-0Iauhp_Kug"/>
    <m/>
    <m/>
    <x v="822"/>
    <m/>
    <m/>
    <m/>
    <m/>
    <n v="2"/>
    <s v="5"/>
    <s v="5"/>
    <m/>
    <m/>
    <m/>
    <m/>
    <m/>
    <m/>
    <m/>
    <m/>
    <m/>
  </r>
  <r>
    <s v="UC9l0mKCZRMJCZ-UFwDgrUjw"/>
    <s v="UC9l0mKCZRMJCZ-UFwDgrUjw"/>
    <m/>
    <m/>
    <m/>
    <m/>
    <m/>
    <m/>
    <m/>
    <m/>
    <s v="No"/>
    <n v="826"/>
    <m/>
    <m/>
    <s v="Posted Video"/>
    <x v="2"/>
    <m/>
    <m/>
    <m/>
    <m/>
    <m/>
    <s v="fdCzHc_2pAk"/>
    <s v="https://www.youtube.com/watch?v=fdCzHc_2pAk"/>
    <m/>
    <m/>
    <x v="823"/>
    <m/>
    <m/>
    <m/>
    <m/>
    <n v="1"/>
    <s v="14"/>
    <s v="14"/>
    <m/>
    <m/>
    <m/>
    <m/>
    <m/>
    <m/>
    <m/>
    <m/>
    <m/>
  </r>
  <r>
    <s v="UChCX4aOq9WdweUQFSkZEONw"/>
    <s v="UChCX4aOq9WdweUQFSkZEONw"/>
    <m/>
    <m/>
    <m/>
    <m/>
    <m/>
    <m/>
    <m/>
    <m/>
    <s v="No"/>
    <n v="827"/>
    <m/>
    <m/>
    <s v="Posted Video"/>
    <x v="2"/>
    <m/>
    <m/>
    <m/>
    <m/>
    <m/>
    <s v="1inpqIvABKc"/>
    <s v="https://www.youtube.com/watch?v=1inpqIvABKc"/>
    <m/>
    <m/>
    <x v="824"/>
    <m/>
    <m/>
    <m/>
    <m/>
    <n v="1"/>
    <s v="2"/>
    <s v="2"/>
    <m/>
    <m/>
    <m/>
    <m/>
    <m/>
    <m/>
    <m/>
    <m/>
    <m/>
  </r>
  <r>
    <s v="UC95j9mAz4GoXln_4lriXTUg"/>
    <s v="UC95j9mAz4GoXln_4lriXTUg"/>
    <m/>
    <m/>
    <m/>
    <m/>
    <m/>
    <m/>
    <m/>
    <m/>
    <s v="No"/>
    <n v="828"/>
    <m/>
    <m/>
    <s v="Posted Video"/>
    <x v="2"/>
    <m/>
    <m/>
    <m/>
    <m/>
    <m/>
    <s v="4Xrg5FtQnp4"/>
    <s v="https://www.youtube.com/watch?v=4Xrg5FtQnp4"/>
    <m/>
    <m/>
    <x v="825"/>
    <m/>
    <m/>
    <m/>
    <m/>
    <n v="1"/>
    <s v="10"/>
    <s v="10"/>
    <m/>
    <m/>
    <m/>
    <m/>
    <m/>
    <m/>
    <m/>
    <m/>
    <m/>
  </r>
  <r>
    <s v="UChI-cTok8fJePnryAd0mTvQ"/>
    <s v="UChI-cTok8fJePnryAd0mTvQ"/>
    <m/>
    <m/>
    <m/>
    <m/>
    <m/>
    <m/>
    <m/>
    <m/>
    <s v="No"/>
    <n v="829"/>
    <m/>
    <m/>
    <s v="Posted Video"/>
    <x v="2"/>
    <m/>
    <m/>
    <m/>
    <m/>
    <m/>
    <s v="vWMAV6nNPbo"/>
    <s v="https://www.youtube.com/watch?v=vWMAV6nNPbo"/>
    <m/>
    <m/>
    <x v="826"/>
    <m/>
    <m/>
    <m/>
    <m/>
    <n v="1"/>
    <s v="8"/>
    <s v="8"/>
    <m/>
    <m/>
    <m/>
    <m/>
    <m/>
    <m/>
    <m/>
    <m/>
    <m/>
  </r>
  <r>
    <s v="UCTtfpY4KcPLREJMMn06CR6w"/>
    <s v="UCTtfpY4KcPLREJMMn06CR6w"/>
    <m/>
    <m/>
    <m/>
    <m/>
    <m/>
    <m/>
    <m/>
    <m/>
    <s v="No"/>
    <n v="830"/>
    <m/>
    <m/>
    <s v="Posted Video"/>
    <x v="2"/>
    <m/>
    <m/>
    <m/>
    <m/>
    <m/>
    <s v="fN_6Kdu91so"/>
    <s v="https://www.youtube.com/watch?v=fN_6Kdu91so"/>
    <m/>
    <m/>
    <x v="827"/>
    <m/>
    <m/>
    <m/>
    <m/>
    <n v="1"/>
    <s v="15"/>
    <s v="15"/>
    <m/>
    <m/>
    <m/>
    <m/>
    <m/>
    <m/>
    <m/>
    <m/>
    <m/>
  </r>
  <r>
    <s v="UCgnm8eOSP2muRSWY3JJqZ6Q"/>
    <s v="UCgnm8eOSP2muRSWY3JJqZ6Q"/>
    <m/>
    <m/>
    <m/>
    <m/>
    <m/>
    <m/>
    <m/>
    <m/>
    <s v="No"/>
    <n v="831"/>
    <m/>
    <m/>
    <s v="Commented Video"/>
    <x v="1"/>
    <s v="PLEASE DON&amp;#39;T FORGET TO LIKE, COMMENT, SHARE AND SUBSCRIBE IN ORDER TO SUPPORT THIS CHANNEL._x000d_&lt;br&gt;_x000d_&lt;br&gt;THANKS FOR WATCHING."/>
    <s v="UCgnm8eOSP2muRSWY3JJqZ6Q"/>
    <s v="In Search of Ambience"/>
    <s v="http://www.youtube.com/channel/UCgnm8eOSP2muRSWY3JJqZ6Q"/>
    <m/>
    <s v="z_W3kQxvRqY"/>
    <s v="https://www.youtube.com/watch?v=z_W3kQxvRqY"/>
    <s v="none"/>
    <n v="0"/>
    <x v="828"/>
    <s v="22/09/2020 02:19:04"/>
    <m/>
    <m/>
    <s v=""/>
    <n v="2"/>
    <s v="9"/>
    <s v="9"/>
    <n v="2"/>
    <n v="9.090909090909092"/>
    <n v="0"/>
    <n v="0"/>
    <n v="0"/>
    <n v="0"/>
    <n v="20"/>
    <n v="90.9090909090909"/>
    <n v="22"/>
  </r>
  <r>
    <s v="UCgnm8eOSP2muRSWY3JJqZ6Q"/>
    <s v="UCgnm8eOSP2muRSWY3JJqZ6Q"/>
    <m/>
    <m/>
    <m/>
    <m/>
    <m/>
    <m/>
    <m/>
    <m/>
    <s v="No"/>
    <n v="832"/>
    <m/>
    <m/>
    <s v="Posted Video"/>
    <x v="2"/>
    <m/>
    <m/>
    <m/>
    <m/>
    <m/>
    <s v="z_W3kQxvRqY"/>
    <s v="https://www.youtube.com/watch?v=z_W3kQxvRqY"/>
    <m/>
    <m/>
    <x v="829"/>
    <m/>
    <m/>
    <m/>
    <m/>
    <n v="2"/>
    <s v="9"/>
    <s v="9"/>
    <m/>
    <m/>
    <m/>
    <m/>
    <m/>
    <m/>
    <m/>
    <m/>
    <m/>
  </r>
  <r>
    <s v="UCgCxFRbrO7_02dw8AYIhDLA"/>
    <s v="UCgCxFRbrO7_02dw8AYIhDLA"/>
    <m/>
    <m/>
    <m/>
    <m/>
    <m/>
    <m/>
    <m/>
    <m/>
    <s v="No"/>
    <n v="833"/>
    <m/>
    <m/>
    <s v="Posted Video"/>
    <x v="2"/>
    <m/>
    <m/>
    <m/>
    <m/>
    <m/>
    <s v="-X8Nj_r5zGE"/>
    <s v="https://www.youtube.com/watch?v=-X8Nj_r5zGE"/>
    <m/>
    <m/>
    <x v="830"/>
    <m/>
    <m/>
    <m/>
    <m/>
    <n v="1"/>
    <s v="16"/>
    <s v="16"/>
    <m/>
    <m/>
    <m/>
    <m/>
    <m/>
    <m/>
    <m/>
    <m/>
    <m/>
  </r>
  <r>
    <s v="UCPqCByYpHD66ebkhDfDvHcw"/>
    <s v="UCPqCByYpHD66ebkhDfDvHcw"/>
    <m/>
    <m/>
    <m/>
    <m/>
    <m/>
    <m/>
    <m/>
    <m/>
    <s v="No"/>
    <n v="834"/>
    <m/>
    <m/>
    <s v="Posted Video"/>
    <x v="2"/>
    <m/>
    <m/>
    <m/>
    <m/>
    <m/>
    <s v="Id2c6MkIsQM"/>
    <s v="https://www.youtube.com/watch?v=Id2c6MkIsQM"/>
    <m/>
    <m/>
    <x v="831"/>
    <m/>
    <m/>
    <m/>
    <m/>
    <n v="1"/>
    <s v="7"/>
    <s v="7"/>
    <m/>
    <m/>
    <m/>
    <m/>
    <m/>
    <m/>
    <m/>
    <m/>
    <m/>
  </r>
  <r>
    <s v="UCrpWTj_O0oLZilvnDaLqElw"/>
    <s v="UCrpWTj_O0oLZilvnDaLqElw"/>
    <m/>
    <m/>
    <m/>
    <m/>
    <m/>
    <m/>
    <m/>
    <m/>
    <s v="No"/>
    <n v="835"/>
    <m/>
    <m/>
    <s v="Commented Video"/>
    <x v="1"/>
    <s v="What is your favourite outdoor spot to visit to enjoy a cocktail?"/>
    <s v="UCrpWTj_O0oLZilvnDaLqElw"/>
    <s v="Ugo Arinzeh"/>
    <s v="http://www.youtube.com/channel/UCrpWTj_O0oLZilvnDaLqElw"/>
    <m/>
    <s v="kIHMxfUtGmI"/>
    <s v="https://www.youtube.com/watch?v=kIHMxfUtGmI"/>
    <s v="none"/>
    <n v="4"/>
    <x v="832"/>
    <s v="13/05/2020 15:04:55"/>
    <m/>
    <m/>
    <s v=""/>
    <n v="2"/>
    <s v="6"/>
    <s v="6"/>
    <n v="1"/>
    <n v="8.333333333333334"/>
    <n v="0"/>
    <n v="0"/>
    <n v="0"/>
    <n v="0"/>
    <n v="11"/>
    <n v="91.66666666666667"/>
    <n v="12"/>
  </r>
  <r>
    <s v="UCrpWTj_O0oLZilvnDaLqElw"/>
    <s v="UC2n4MvLJDH2-GWzjJrC58Zw"/>
    <m/>
    <m/>
    <m/>
    <m/>
    <m/>
    <m/>
    <m/>
    <m/>
    <s v="No"/>
    <n v="836"/>
    <m/>
    <m/>
    <s v="Commented Video"/>
    <x v="1"/>
    <s v="Love this video. Can I ask what camera you used to shoot it?"/>
    <s v="UCrpWTj_O0oLZilvnDaLqElw"/>
    <s v="Ugo Arinzeh"/>
    <s v="http://www.youtube.com/channel/UCrpWTj_O0oLZilvnDaLqElw"/>
    <m/>
    <s v="80f3JVN05YQ"/>
    <s v="https://www.youtube.com/watch?v=80f3JVN05YQ"/>
    <s v="none"/>
    <n v="2"/>
    <x v="833"/>
    <s v="23/08/2019 23:18:26"/>
    <m/>
    <m/>
    <s v=""/>
    <n v="1"/>
    <s v="6"/>
    <s v="3"/>
    <n v="1"/>
    <n v="7.6923076923076925"/>
    <n v="0"/>
    <n v="0"/>
    <n v="0"/>
    <n v="0"/>
    <n v="12"/>
    <n v="92.3076923076923"/>
    <n v="13"/>
  </r>
  <r>
    <s v="UCrpWTj_O0oLZilvnDaLqElw"/>
    <s v="UCrpWTj_O0oLZilvnDaLqElw"/>
    <m/>
    <m/>
    <m/>
    <m/>
    <m/>
    <m/>
    <m/>
    <m/>
    <s v="No"/>
    <n v="837"/>
    <m/>
    <m/>
    <s v="Posted Video"/>
    <x v="2"/>
    <m/>
    <m/>
    <m/>
    <m/>
    <m/>
    <s v="kIHMxfUtGmI"/>
    <s v="https://www.youtube.com/watch?v=kIHMxfUtGmI"/>
    <m/>
    <m/>
    <x v="834"/>
    <m/>
    <m/>
    <m/>
    <m/>
    <n v="2"/>
    <s v="6"/>
    <s v="6"/>
    <m/>
    <m/>
    <m/>
    <m/>
    <m/>
    <m/>
    <m/>
    <m/>
    <m/>
  </r>
  <r>
    <s v="UCU8eIap08OaLUFa2sD2UgOQ"/>
    <s v="UCU8eIap08OaLUFa2sD2UgOQ"/>
    <m/>
    <m/>
    <m/>
    <m/>
    <m/>
    <m/>
    <m/>
    <m/>
    <s v="No"/>
    <n v="838"/>
    <m/>
    <m/>
    <s v="Posted Video"/>
    <x v="2"/>
    <m/>
    <m/>
    <m/>
    <m/>
    <m/>
    <s v="qdZIVBRGIec"/>
    <s v="https://www.youtube.com/watch?v=qdZIVBRGIec"/>
    <m/>
    <m/>
    <x v="835"/>
    <m/>
    <m/>
    <m/>
    <m/>
    <n v="2"/>
    <s v="15"/>
    <s v="15"/>
    <m/>
    <m/>
    <m/>
    <m/>
    <m/>
    <m/>
    <m/>
    <m/>
    <m/>
  </r>
  <r>
    <s v="UCU8eIap08OaLUFa2sD2UgOQ"/>
    <s v="UCU8eIap08OaLUFa2sD2UgOQ"/>
    <m/>
    <m/>
    <m/>
    <m/>
    <m/>
    <m/>
    <m/>
    <m/>
    <s v="No"/>
    <n v="839"/>
    <m/>
    <m/>
    <s v="Posted Video"/>
    <x v="2"/>
    <m/>
    <m/>
    <m/>
    <m/>
    <m/>
    <s v="4SPuWhxLyb0"/>
    <s v="https://www.youtube.com/watch?v=4SPuWhxLyb0"/>
    <m/>
    <m/>
    <x v="836"/>
    <m/>
    <m/>
    <m/>
    <m/>
    <n v="2"/>
    <s v="15"/>
    <s v="15"/>
    <m/>
    <m/>
    <m/>
    <m/>
    <m/>
    <m/>
    <m/>
    <m/>
    <m/>
  </r>
  <r>
    <s v="UCbUhO-tut97b5IQhZ3i7TMA"/>
    <s v="UCbUhO-tut97b5IQhZ3i7TMA"/>
    <m/>
    <m/>
    <m/>
    <m/>
    <m/>
    <m/>
    <m/>
    <m/>
    <s v="No"/>
    <n v="840"/>
    <m/>
    <m/>
    <s v="Posted Video"/>
    <x v="2"/>
    <m/>
    <m/>
    <m/>
    <m/>
    <m/>
    <s v="xZPSNornzmk"/>
    <s v="https://www.youtube.com/watch?v=xZPSNornzmk"/>
    <m/>
    <m/>
    <x v="837"/>
    <m/>
    <m/>
    <m/>
    <m/>
    <n v="5"/>
    <s v="1"/>
    <s v="1"/>
    <m/>
    <m/>
    <m/>
    <m/>
    <m/>
    <m/>
    <m/>
    <m/>
    <m/>
  </r>
  <r>
    <s v="UCbUhO-tut97b5IQhZ3i7TMA"/>
    <s v="UCbUhO-tut97b5IQhZ3i7TMA"/>
    <m/>
    <m/>
    <m/>
    <m/>
    <m/>
    <m/>
    <m/>
    <m/>
    <s v="No"/>
    <n v="841"/>
    <m/>
    <m/>
    <s v="Posted Video"/>
    <x v="2"/>
    <m/>
    <m/>
    <m/>
    <m/>
    <m/>
    <s v="DrCnSoZUXAc"/>
    <s v="https://www.youtube.com/watch?v=DrCnSoZUXAc"/>
    <m/>
    <m/>
    <x v="838"/>
    <m/>
    <m/>
    <m/>
    <m/>
    <n v="5"/>
    <s v="1"/>
    <s v="1"/>
    <m/>
    <m/>
    <m/>
    <m/>
    <m/>
    <m/>
    <m/>
    <m/>
    <m/>
  </r>
  <r>
    <s v="UCbUhO-tut97b5IQhZ3i7TMA"/>
    <s v="UCbUhO-tut97b5IQhZ3i7TMA"/>
    <m/>
    <m/>
    <m/>
    <m/>
    <m/>
    <m/>
    <m/>
    <m/>
    <s v="No"/>
    <n v="842"/>
    <m/>
    <m/>
    <s v="Posted Video"/>
    <x v="2"/>
    <m/>
    <m/>
    <m/>
    <m/>
    <m/>
    <s v="-EA6GvKa0EA"/>
    <s v="https://www.youtube.com/watch?v=-EA6GvKa0EA"/>
    <m/>
    <m/>
    <x v="839"/>
    <m/>
    <m/>
    <m/>
    <m/>
    <n v="5"/>
    <s v="1"/>
    <s v="1"/>
    <m/>
    <m/>
    <m/>
    <m/>
    <m/>
    <m/>
    <m/>
    <m/>
    <m/>
  </r>
  <r>
    <s v="UCbUhO-tut97b5IQhZ3i7TMA"/>
    <s v="UCbUhO-tut97b5IQhZ3i7TMA"/>
    <m/>
    <m/>
    <m/>
    <m/>
    <m/>
    <m/>
    <m/>
    <m/>
    <s v="No"/>
    <n v="843"/>
    <m/>
    <m/>
    <s v="Posted Video"/>
    <x v="2"/>
    <m/>
    <m/>
    <m/>
    <m/>
    <m/>
    <s v="JCTlws1bpAY"/>
    <s v="https://www.youtube.com/watch?v=JCTlws1bpAY"/>
    <m/>
    <m/>
    <x v="840"/>
    <m/>
    <m/>
    <m/>
    <m/>
    <n v="5"/>
    <s v="1"/>
    <s v="1"/>
    <m/>
    <m/>
    <m/>
    <m/>
    <m/>
    <m/>
    <m/>
    <m/>
    <m/>
  </r>
  <r>
    <s v="UCbUhO-tut97b5IQhZ3i7TMA"/>
    <s v="UCbUhO-tut97b5IQhZ3i7TMA"/>
    <m/>
    <m/>
    <m/>
    <m/>
    <m/>
    <m/>
    <m/>
    <m/>
    <s v="No"/>
    <n v="844"/>
    <m/>
    <m/>
    <s v="Posted Video"/>
    <x v="2"/>
    <m/>
    <m/>
    <m/>
    <m/>
    <m/>
    <s v="7aRMkFHzJrc"/>
    <s v="https://www.youtube.com/watch?v=7aRMkFHzJrc"/>
    <m/>
    <m/>
    <x v="841"/>
    <m/>
    <m/>
    <m/>
    <m/>
    <n v="5"/>
    <s v="1"/>
    <s v="1"/>
    <m/>
    <m/>
    <m/>
    <m/>
    <m/>
    <m/>
    <m/>
    <m/>
    <m/>
  </r>
  <r>
    <s v="UCU29V2Jl2unpcOxm1kPDqmw"/>
    <s v="UCU29V2Jl2unpcOxm1kPDqmw"/>
    <m/>
    <m/>
    <m/>
    <m/>
    <m/>
    <m/>
    <m/>
    <m/>
    <s v="No"/>
    <n v="845"/>
    <m/>
    <m/>
    <s v="Posted Video"/>
    <x v="2"/>
    <m/>
    <m/>
    <m/>
    <m/>
    <m/>
    <s v="i3Ac89nZ_tI"/>
    <s v="https://www.youtube.com/watch?v=i3Ac89nZ_tI"/>
    <m/>
    <m/>
    <x v="842"/>
    <m/>
    <m/>
    <m/>
    <m/>
    <n v="1"/>
    <s v="9"/>
    <s v="9"/>
    <m/>
    <m/>
    <m/>
    <m/>
    <m/>
    <m/>
    <m/>
    <m/>
    <m/>
  </r>
  <r>
    <s v="UC7KnUtEo6OY38KDBP-XWWRg"/>
    <s v="UC7KnUtEo6OY38KDBP-XWWRg"/>
    <m/>
    <m/>
    <m/>
    <m/>
    <m/>
    <m/>
    <m/>
    <m/>
    <s v="No"/>
    <n v="846"/>
    <m/>
    <m/>
    <s v="Commented Video"/>
    <x v="1"/>
    <s v="📲 BOOK YOUR GUESTLIST / VIP TABLE NOW:  WHATSAPP +44 752 352 8885_x000d_&lt;br&gt;🛎️ BOOK ONLINE: &lt;a href=&quot;https://www.londonnightguide.com/roof-gardens-table-booking/&quot;&gt;https://www.londonnightguide.com/roof-gardens-table-booking/_x000d_&lt;/a&gt;&lt;br&gt;📸 FOLLOW US ON IG: &lt;a href=&quot;https://www.instagram.com/londonnightguide/&quot;&gt;https://www.instagram.com/londonnightguide/&lt;/a&gt;"/>
    <s v="UC7KnUtEo6OY38KDBP-XWWRg"/>
    <s v="London Night Guide"/>
    <s v="http://www.youtube.com/channel/UC7KnUtEo6OY38KDBP-XWWRg"/>
    <m/>
    <s v="9q7kOynKRkc"/>
    <s v="https://www.youtube.com/watch?v=9q7kOynKRkc"/>
    <s v="none"/>
    <n v="0"/>
    <x v="843"/>
    <s v="15/06/2021 23:01:32"/>
    <s v=" https://www.londonnightguide.com/roof-gardens-table-booking/ https://www.londonnightguide.com/roof-gardens-table-booking/ https://www.instagram.com/londonnightguide/ https://www.instagram.com/londonnightguide/"/>
    <s v="londonnightguide.com londonnightguide.com instagram.com instagram.com"/>
    <s v=""/>
    <n v="2"/>
    <s v="15"/>
    <s v="15"/>
    <n v="0"/>
    <n v="0"/>
    <n v="0"/>
    <n v="0"/>
    <n v="0"/>
    <n v="0"/>
    <n v="51"/>
    <n v="100"/>
    <n v="51"/>
  </r>
  <r>
    <s v="UC7KnUtEo6OY38KDBP-XWWRg"/>
    <s v="UC7KnUtEo6OY38KDBP-XWWRg"/>
    <m/>
    <m/>
    <m/>
    <m/>
    <m/>
    <m/>
    <m/>
    <m/>
    <s v="No"/>
    <n v="847"/>
    <m/>
    <m/>
    <s v="Posted Video"/>
    <x v="2"/>
    <m/>
    <m/>
    <m/>
    <m/>
    <m/>
    <s v="9q7kOynKRkc"/>
    <s v="https://www.youtube.com/watch?v=9q7kOynKRkc"/>
    <m/>
    <m/>
    <x v="844"/>
    <m/>
    <m/>
    <m/>
    <m/>
    <n v="2"/>
    <s v="15"/>
    <s v="15"/>
    <m/>
    <m/>
    <m/>
    <m/>
    <m/>
    <m/>
    <m/>
    <m/>
    <m/>
  </r>
  <r>
    <s v="UC2n4MvLJDH2-GWzjJrC58Zw"/>
    <s v="UC2n4MvLJDH2-GWzjJrC58Zw"/>
    <m/>
    <m/>
    <m/>
    <m/>
    <m/>
    <m/>
    <m/>
    <m/>
    <s v="No"/>
    <n v="848"/>
    <m/>
    <m/>
    <s v="Posted Video"/>
    <x v="2"/>
    <m/>
    <m/>
    <m/>
    <m/>
    <m/>
    <s v="80f3JVN05YQ"/>
    <s v="https://www.youtube.com/watch?v=80f3JVN05YQ"/>
    <m/>
    <m/>
    <x v="845"/>
    <m/>
    <m/>
    <m/>
    <m/>
    <n v="1"/>
    <s v="3"/>
    <s v="3"/>
    <m/>
    <m/>
    <m/>
    <m/>
    <m/>
    <m/>
    <m/>
    <m/>
    <m/>
  </r>
  <r>
    <s v="UCLP2J3yzHO9rZDyzie5Y5Og"/>
    <s v="UCLP2J3yzHO9rZDyzie5Y5Og"/>
    <m/>
    <m/>
    <m/>
    <m/>
    <m/>
    <m/>
    <m/>
    <m/>
    <s v="No"/>
    <n v="849"/>
    <m/>
    <m/>
    <s v="Posted Video"/>
    <x v="2"/>
    <m/>
    <m/>
    <m/>
    <m/>
    <m/>
    <s v="gOv6hkcCBDU"/>
    <s v="https://www.youtube.com/watch?v=gOv6hkcCBDU"/>
    <m/>
    <m/>
    <x v="846"/>
    <m/>
    <m/>
    <m/>
    <m/>
    <n v="1"/>
    <s v="17"/>
    <s v="17"/>
    <m/>
    <m/>
    <m/>
    <m/>
    <m/>
    <m/>
    <m/>
    <m/>
    <m/>
  </r>
  <r>
    <s v="UCLi0tnnxNwrs2dpMT0s07Mw"/>
    <s v="UCLi0tnnxNwrs2dpMT0s07Mw"/>
    <m/>
    <m/>
    <m/>
    <m/>
    <m/>
    <m/>
    <m/>
    <m/>
    <s v="No"/>
    <n v="850"/>
    <m/>
    <m/>
    <s v="Posted Video"/>
    <x v="2"/>
    <m/>
    <m/>
    <m/>
    <m/>
    <m/>
    <s v="fDCXpEe0ciU"/>
    <s v="https://www.youtube.com/watch?v=fDCXpEe0ciU"/>
    <m/>
    <m/>
    <x v="847"/>
    <m/>
    <m/>
    <m/>
    <m/>
    <n v="1"/>
    <s v="8"/>
    <s v="8"/>
    <m/>
    <m/>
    <m/>
    <m/>
    <m/>
    <m/>
    <m/>
    <m/>
    <m/>
  </r>
  <r>
    <s v="UCKl4op14Jkruaa8pTw1eSVA"/>
    <s v="UCKl4op14Jkruaa8pTw1eSVA"/>
    <m/>
    <m/>
    <m/>
    <m/>
    <m/>
    <m/>
    <m/>
    <m/>
    <s v="No"/>
    <n v="851"/>
    <m/>
    <m/>
    <s v="Posted Video"/>
    <x v="2"/>
    <m/>
    <m/>
    <m/>
    <m/>
    <m/>
    <s v="seHQLiXHzkE"/>
    <s v="https://www.youtube.com/watch?v=seHQLiXHzkE"/>
    <m/>
    <m/>
    <x v="848"/>
    <m/>
    <m/>
    <m/>
    <m/>
    <n v="1"/>
    <s v="15"/>
    <s v="15"/>
    <m/>
    <m/>
    <m/>
    <m/>
    <m/>
    <m/>
    <m/>
    <m/>
    <m/>
  </r>
  <r>
    <s v="UCqsmoRPc38_nFPoZWDxeQjw"/>
    <s v="UCqsmoRPc38_nFPoZWDxeQjw"/>
    <m/>
    <m/>
    <m/>
    <m/>
    <m/>
    <m/>
    <m/>
    <m/>
    <s v="No"/>
    <n v="852"/>
    <m/>
    <m/>
    <s v="Posted Video"/>
    <x v="2"/>
    <m/>
    <m/>
    <m/>
    <m/>
    <m/>
    <s v="P84KQT_Se70"/>
    <s v="https://www.youtube.com/watch?v=P84KQT_Se70"/>
    <m/>
    <m/>
    <x v="849"/>
    <m/>
    <m/>
    <m/>
    <m/>
    <n v="1"/>
    <s v="11"/>
    <s v="11"/>
    <m/>
    <m/>
    <m/>
    <m/>
    <m/>
    <m/>
    <m/>
    <m/>
    <m/>
  </r>
  <r>
    <s v="UCdNO3SSyxVGqW-xKmIVv9pQ"/>
    <s v="UCdNO3SSyxVGqW-xKmIVv9pQ"/>
    <m/>
    <m/>
    <m/>
    <m/>
    <m/>
    <m/>
    <m/>
    <m/>
    <s v="No"/>
    <n v="853"/>
    <m/>
    <m/>
    <s v="Posted Video"/>
    <x v="2"/>
    <m/>
    <m/>
    <m/>
    <m/>
    <m/>
    <s v="k0WsWXSk1dc"/>
    <s v="https://www.youtube.com/watch?v=k0WsWXSk1dc"/>
    <m/>
    <m/>
    <x v="850"/>
    <m/>
    <m/>
    <m/>
    <m/>
    <n v="1"/>
    <s v="13"/>
    <s v="13"/>
    <m/>
    <m/>
    <m/>
    <m/>
    <m/>
    <m/>
    <m/>
    <m/>
    <m/>
  </r>
  <r>
    <s v="UC_mzz_JnzArhhpGUy8KdGwg"/>
    <s v="UC_mzz_JnzArhhpGUy8KdGwg"/>
    <m/>
    <m/>
    <m/>
    <m/>
    <m/>
    <m/>
    <m/>
    <m/>
    <s v="No"/>
    <n v="854"/>
    <m/>
    <m/>
    <s v="Commented Video"/>
    <x v="1"/>
    <s v="&lt;b&gt;WANNA SUPPORT THIS CHANNEL?&lt;/b&gt; --&amp;gt; &lt;a href=&quot;https://www.ko-fi.com/watchedwalker&quot;&gt;https://www.ko-fi.com/watchedwalker&lt;/a&gt;&lt;br&gt;&lt;br&gt;FILMED: February 2019 (Weekend Afternoon) with GoPro Hero 7 Black&lt;br&gt;WATCHED WALKER’S GEAR LIST: &lt;a href=&quot;https://www.amazon.com/shop/watchedwalker&quot;&gt;https://www.amazon.com/shop/watchedwalker&lt;/a&gt; (US) &lt;a href=&quot;https://www.amazon.co.uk/shop/watchedwalker&quot;&gt;https://www.amazon.co.uk/shop/watchedwalker&lt;/a&gt; (UK)&lt;br&gt;&lt;br&gt;LOCATION MAP*: &lt;a href=&quot;https://goo.gl/maps/dH15NwZTWkR2&quot;&gt;https://goo.gl/maps/dH15NwZTWkR2&lt;/a&gt;  &lt;br&gt;&lt;br&gt;SIGHTS TIMESTAMPS:&lt;br&gt;&lt;a href=&quot;https://www.youtube.com/watch?v=tS9IXHSdzJs&amp;amp;t=00m10s&quot;&gt;00:10&lt;/a&gt;, &lt;a href=&quot;https://www.youtube.com/watch?v=tS9IXHSdzJs&amp;amp;t=06m09s&quot;&gt;06:09&lt;/a&gt;, &lt;a href=&quot;https://www.youtube.com/watch?v=tS9IXHSdzJs&amp;amp;t=10m30s&quot;&gt;10:30&lt;/a&gt;, &lt;a href=&quot;https://www.youtube.com/watch?v=tS9IXHSdzJs&amp;amp;t=13m52s&quot;&gt;13:52&lt;/a&gt; Walkie Talkie building&lt;br&gt;&lt;a href=&quot;https://www.youtube.com/watch?v=tS9IXHSdzJs&amp;amp;t=00m53s&quot;&gt;00:53&lt;/a&gt; Exterior of One Fen Court building at 120 Fenchurch Street &lt;br&gt;&lt;a href=&quot;https://www.youtube.com/watch?v=tS9IXHSdzJs&amp;amp;t=02m29s&quot;&gt;02:29&lt;/a&gt; Entrance to The Garden at 120 with a video art installation on the ceiling by Vong Phaophanit and Claire Oboussier, showing trees and sky as if looking up at the garden 15 floors above.&lt;br&gt;&lt;a href=&quot;https://www.youtube.com/watch?v=tS9IXHSdzJs&amp;amp;t=03m38s&quot;&gt;03:38&lt;/a&gt; Inside The Garden at 120 rooftop garden &lt;br&gt;&lt;a href=&quot;https://www.youtube.com/watch?v=tS9IXHSdzJs&amp;amp;t=03m56s&quot;&gt;03:56&lt;/a&gt;, &lt;a href=&quot;https://www.youtube.com/watch?v=tS9IXHSdzJs&amp;amp;t=09m27s&quot;&gt;09:27&lt;/a&gt;, &lt;a href=&quot;https://www.youtube.com/watch?v=tS9IXHSdzJs&amp;amp;t=18m22s&quot;&gt;18:22&lt;/a&gt; Fashion shoot taking place &lt;br&gt;&lt;a href=&quot;https://www.youtube.com/watch?v=tS9IXHSdzJs&amp;amp;t=04m01s&quot;&gt;04:01&lt;/a&gt;, &lt;a href=&quot;https://www.youtube.com/watch?v=tS9IXHSdzJs&amp;amp;t=13m56s&quot;&gt;13:56&lt;/a&gt;, &lt;a href=&quot;https://www.youtube.com/watch?v=tS9IXHSdzJs&amp;amp;t=20m20s&quot;&gt;20:20&lt;/a&gt; Sculptured hedges and wisteria covered pergolas within roof garden&lt;br&gt;&lt;a href=&quot;https://www.youtube.com/watch?v=tS9IXHSdzJs&amp;amp;t=04m35s&quot;&gt;04:35&lt;/a&gt; The Gherkin and other City of London Buildings &lt;br&gt;&lt;a href=&quot;https://www.youtube.com/watch?v=tS9IXHSdzJs&amp;amp;t=08m57s&quot;&gt;08:57&lt;/a&gt;, &lt;a href=&quot;https://www.youtube.com/watch?v=tS9IXHSdzJs&amp;amp;t=13m54s&quot;&gt;13:54&lt;/a&gt; The Shard building&lt;br&gt;&lt;a href=&quot;https://www.youtube.com/watch?v=tS9IXHSdzJs&amp;amp;t=08m58s&quot;&gt;08:58&lt;/a&gt;, &lt;a href=&quot;https://www.youtube.com/watch?v=tS9IXHSdzJs&amp;amp;t=11m25s&quot;&gt;11:25&lt;/a&gt;, &lt;a href=&quot;https://www.youtube.com/watch?v=tS9IXHSdzJs&amp;amp;t=12m40s&quot;&gt;12:40&lt;/a&gt;, &lt;a href=&quot;https://www.youtube.com/watch?v=tS9IXHSdzJs&amp;amp;t=20m55s&quot;&gt;20:55&lt;/a&gt; Geometric water feature on roof garden&lt;br&gt;&lt;a href=&quot;https://www.youtube.com/watch?v=tS9IXHSdzJs&amp;amp;t=11m42s&quot;&gt;11:42&lt;/a&gt; View towards Tower of London and Tower Bridge &lt;br&gt;&lt;a href=&quot;https://www.youtube.com/watch?v=tS9IXHSdzJs&amp;amp;t=15m48s&quot;&gt;15:48&lt;/a&gt; View towards Canary Wharf &lt;br&gt;&lt;br&gt;&lt;b&gt;*&lt;/b&gt; Spot the WATCHED WALKER Logo &lt;b&gt;*&lt;/b&gt;&lt;br&gt;In this video I’ve hidden ONE (1) Watched Walker logo - they could be on buildings, vehicles or anything else, so keep an eye out for them! &lt;br&gt;&lt;br&gt;…"/>
    <s v="UC_mzz_JnzArhhpGUy8KdGwg"/>
    <s v="Watched Walker"/>
    <s v="http://www.youtube.com/channel/UC_mzz_JnzArhhpGUy8KdGwg"/>
    <m/>
    <s v="tS9IXHSdzJs"/>
    <s v="https://www.youtube.com/watch?v=tS9IXHSdzJs"/>
    <s v="none"/>
    <n v="3"/>
    <x v="851"/>
    <s v="30/03/2019 17:21:17"/>
    <s v=" https://www.ko-fi.com/watchedwalker https://www.ko-fi.com/watchedwalker https://www.amazon.com/shop/watchedwalker https://www.amazon.com/shop/watchedwalker https://www.amazon.co.uk/shop/watchedwalker https://www.amazon.co.uk/shop/watchedwalker https://goo.gl/maps/dH15NwZTWkR2 https://goo.gl/maps/dH15NwZTWkR2 https://www.youtube.com/watch?v=tS9IXHSdzJs&amp;amp;t=00m10s https://www.youtube.com/watch?v=tS9IXHSdzJs&amp;amp;t=06m09s https://www.youtube.com/watch?v=tS9IXHSdzJs&amp;amp;t=10m30s https://www.youtube.com/watch?v=tS9IXHSdzJs&amp;amp;t=13m52s https://www.youtube.com/watch?v=tS9IXHSdzJs&amp;amp;t=00m53s https://www.youtube.com/watch?v=tS9IXHSdzJs&amp;amp;t=02m29s https://www.youtube.com/watch?v=tS9IXHSdzJs&amp;amp;t=03m38s https://www.youtube.com/watch?v=tS9IXHSdzJs&amp;amp;t=03m56s https://www.youtube.com/watch?v=tS9IXHSdzJs&amp;amp;t=09m27s https://www.youtube.com/watch?v=tS9IXHSdzJs&amp;amp;t=18m22s https://www.youtube.com/watch?v=tS9IXHSdzJs&amp;amp;t=04m01s https://www.youtube.com/watch?v=tS9IXHSdzJs&amp;amp;t=13m56s https://www.youtube.com/watch?v=tS9IXHSdzJs&amp;amp;t=20m20s https://www.youtube.com/watch?v=tS9IXHSdzJs&amp;amp;t=04m35s https://www.youtube.com/watch?v=tS9IXHSdzJs&amp;amp;t=08m57s https://www.youtube.com/watch?v=tS9IXHSdzJs&amp;amp;t=13m54s https://www.youtube.com/watch?v=tS9IXHSdzJs&amp;amp;t=08m58s https://www.youtube.com/watch?v=tS9IXHSdzJs&amp;amp;t=11m25s https://www.youtube.com/watch?v=tS9IXHSdzJs&amp;amp;t=12m40s https://www.youtube.com/watch?v=tS9IXHSdzJs&amp;amp;t=20m55s https://www.youtube.com/watch?v=tS9IXHSdzJs&amp;amp;t=11m42s https://www.youtube.com/watch?v=tS9IXHSdzJs&amp;amp;t=15m48s"/>
    <s v="ko-fi.com ko-fi.com amazon.com amazon.com co.uk co.uk goo.gl goo.gl youtube.com youtube.com youtube.com youtube.com youtube.com youtube.com youtube.com youtube.com youtube.com youtube.com youtube.com youtube.com youtube.com youtube.com youtube.com youtube.com youtube.com youtube.com youtube.com youtube.com youtube.com youtube.com"/>
    <s v=""/>
    <n v="2"/>
    <s v="4"/>
    <s v="4"/>
    <n v="2"/>
    <n v="0.34904013961605584"/>
    <n v="0"/>
    <n v="0"/>
    <n v="0"/>
    <n v="0"/>
    <n v="571"/>
    <n v="99.65095986038395"/>
    <n v="573"/>
  </r>
  <r>
    <s v="UC_mzz_JnzArhhpGUy8KdGwg"/>
    <s v="UC_mzz_JnzArhhpGUy8KdGwg"/>
    <m/>
    <m/>
    <m/>
    <m/>
    <m/>
    <m/>
    <m/>
    <m/>
    <s v="No"/>
    <n v="855"/>
    <m/>
    <m/>
    <s v="Posted Video"/>
    <x v="2"/>
    <m/>
    <m/>
    <m/>
    <m/>
    <m/>
    <s v="tS9IXHSdzJs"/>
    <s v="https://www.youtube.com/watch?v=tS9IXHSdzJs"/>
    <m/>
    <m/>
    <x v="852"/>
    <m/>
    <m/>
    <m/>
    <m/>
    <n v="2"/>
    <s v="4"/>
    <s v="4"/>
    <m/>
    <m/>
    <m/>
    <m/>
    <m/>
    <m/>
    <m/>
    <m/>
    <m/>
  </r>
  <r>
    <s v="UCtwQDg4rXfyYezi6PEk6IlQ"/>
    <s v="UCtwQDg4rXfyYezi6PEk6IlQ"/>
    <m/>
    <m/>
    <m/>
    <m/>
    <m/>
    <m/>
    <m/>
    <m/>
    <s v="No"/>
    <n v="856"/>
    <m/>
    <m/>
    <s v="Posted Video"/>
    <x v="2"/>
    <m/>
    <m/>
    <m/>
    <m/>
    <m/>
    <s v="MCG4DCvaQsw"/>
    <s v="https://www.youtube.com/watch?v=MCG4DCvaQsw"/>
    <m/>
    <m/>
    <x v="853"/>
    <m/>
    <m/>
    <m/>
    <m/>
    <n v="3"/>
    <s v="12"/>
    <s v="12"/>
    <m/>
    <m/>
    <m/>
    <m/>
    <m/>
    <m/>
    <m/>
    <m/>
    <m/>
  </r>
  <r>
    <s v="UCtwQDg4rXfyYezi6PEk6IlQ"/>
    <s v="UCtwQDg4rXfyYezi6PEk6IlQ"/>
    <m/>
    <m/>
    <m/>
    <m/>
    <m/>
    <m/>
    <m/>
    <m/>
    <s v="No"/>
    <n v="857"/>
    <m/>
    <m/>
    <s v="Posted Video"/>
    <x v="2"/>
    <m/>
    <m/>
    <m/>
    <m/>
    <m/>
    <s v="PzgmQp-7QuY"/>
    <s v="https://www.youtube.com/watch?v=PzgmQp-7QuY"/>
    <m/>
    <m/>
    <x v="854"/>
    <m/>
    <m/>
    <m/>
    <m/>
    <n v="3"/>
    <s v="12"/>
    <s v="12"/>
    <m/>
    <m/>
    <m/>
    <m/>
    <m/>
    <m/>
    <m/>
    <m/>
    <m/>
  </r>
  <r>
    <s v="UCtwQDg4rXfyYezi6PEk6IlQ"/>
    <s v="UCtwQDg4rXfyYezi6PEk6IlQ"/>
    <m/>
    <m/>
    <m/>
    <m/>
    <m/>
    <m/>
    <m/>
    <m/>
    <s v="No"/>
    <n v="858"/>
    <m/>
    <m/>
    <s v="Posted Video"/>
    <x v="2"/>
    <m/>
    <m/>
    <m/>
    <m/>
    <m/>
    <s v="ukxbBgcz9Ow"/>
    <s v="https://www.youtube.com/watch?v=ukxbBgcz9Ow"/>
    <m/>
    <m/>
    <x v="855"/>
    <m/>
    <m/>
    <m/>
    <m/>
    <n v="3"/>
    <s v="12"/>
    <s v="1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560" firstHeaderRow="1" firstDataRow="1" firstDataCol="1"/>
  <pivotFields count="4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57">
        <item x="308"/>
        <item x="49"/>
        <item x="600"/>
        <item x="48"/>
        <item x="834"/>
        <item x="832"/>
        <item x="445"/>
        <item x="446"/>
        <item x="447"/>
        <item x="448"/>
        <item x="449"/>
        <item x="451"/>
        <item x="452"/>
        <item x="453"/>
        <item x="455"/>
        <item x="456"/>
        <item x="457"/>
        <item x="247"/>
        <item x="242"/>
        <item x="244"/>
        <item x="536"/>
        <item x="246"/>
        <item x="535"/>
        <item x="403"/>
        <item x="253"/>
        <item x="320"/>
        <item x="567"/>
        <item x="324"/>
        <item x="598"/>
        <item x="597"/>
        <item x="594"/>
        <item x="592"/>
        <item x="595"/>
        <item x="603"/>
        <item x="602"/>
        <item x="605"/>
        <item x="399"/>
        <item x="398"/>
        <item x="555"/>
        <item x="459"/>
        <item x="460"/>
        <item x="461"/>
        <item x="463"/>
        <item x="51"/>
        <item x="464"/>
        <item x="466"/>
        <item x="249"/>
        <item x="107"/>
        <item x="475"/>
        <item x="185"/>
        <item x="716"/>
        <item x="604"/>
        <item x="313"/>
        <item x="327"/>
        <item x="328"/>
        <item x="316"/>
        <item x="571"/>
        <item x="831"/>
        <item x="417"/>
        <item x="418"/>
        <item x="419"/>
        <item x="420"/>
        <item x="421"/>
        <item x="422"/>
        <item x="423"/>
        <item x="425"/>
        <item x="424"/>
        <item x="426"/>
        <item x="427"/>
        <item x="428"/>
        <item x="429"/>
        <item x="430"/>
        <item x="431"/>
        <item x="432"/>
        <item x="433"/>
        <item x="434"/>
        <item x="468"/>
        <item x="50"/>
        <item x="470"/>
        <item x="471"/>
        <item x="534"/>
        <item x="248"/>
        <item x="108"/>
        <item x="110"/>
        <item x="109"/>
        <item x="843"/>
        <item x="478"/>
        <item x="845"/>
        <item x="609"/>
        <item x="611"/>
        <item x="613"/>
        <item x="614"/>
        <item x="616"/>
        <item x="632"/>
        <item x="630"/>
        <item x="615"/>
        <item x="612"/>
        <item x="610"/>
        <item x="618"/>
        <item x="623"/>
        <item x="619"/>
        <item x="625"/>
        <item x="627"/>
        <item x="629"/>
        <item x="631"/>
        <item x="634"/>
        <item x="295"/>
        <item x="301"/>
        <item x="310"/>
        <item x="311"/>
        <item x="309"/>
        <item x="407"/>
        <item x="317"/>
        <item x="559"/>
        <item x="560"/>
        <item x="561"/>
        <item x="556"/>
        <item x="557"/>
        <item x="558"/>
        <item x="435"/>
        <item x="437"/>
        <item x="436"/>
        <item x="438"/>
        <item x="408"/>
        <item x="409"/>
        <item x="197"/>
        <item x="250"/>
        <item x="331"/>
        <item x="336"/>
        <item x="620"/>
        <item x="636"/>
        <item x="638"/>
        <item x="640"/>
        <item x="642"/>
        <item x="643"/>
        <item x="639"/>
        <item x="637"/>
        <item x="633"/>
        <item x="626"/>
        <item x="624"/>
        <item x="621"/>
        <item x="628"/>
        <item x="622"/>
        <item x="644"/>
        <item x="647"/>
        <item x="649"/>
        <item x="650"/>
        <item x="288"/>
        <item x="383"/>
        <item x="302"/>
        <item x="607"/>
        <item x="847"/>
        <item x="702"/>
        <item x="703"/>
        <item x="704"/>
        <item x="705"/>
        <item x="706"/>
        <item x="707"/>
        <item x="708"/>
        <item x="709"/>
        <item x="711"/>
        <item x="698"/>
        <item x="538"/>
        <item x="334"/>
        <item x="335"/>
        <item x="651"/>
        <item x="196"/>
        <item x="191"/>
        <item x="187"/>
        <item x="202"/>
        <item x="653"/>
        <item x="655"/>
        <item x="566"/>
        <item x="568"/>
        <item x="303"/>
        <item x="606"/>
        <item x="710"/>
        <item x="712"/>
        <item x="261"/>
        <item x="260"/>
        <item x="439"/>
        <item x="71"/>
        <item x="700"/>
        <item x="699"/>
        <item x="696"/>
        <item x="697"/>
        <item x="32"/>
        <item x="2"/>
        <item x="656"/>
        <item x="657"/>
        <item x="659"/>
        <item x="658"/>
        <item x="654"/>
        <item x="652"/>
        <item x="648"/>
        <item x="645"/>
        <item x="393"/>
        <item x="259"/>
        <item x="720"/>
        <item x="713"/>
        <item x="564"/>
        <item x="440"/>
        <item x="540"/>
        <item x="539"/>
        <item x="661"/>
        <item x="617"/>
        <item x="660"/>
        <item x="662"/>
        <item x="664"/>
        <item x="666"/>
        <item x="668"/>
        <item x="384"/>
        <item x="683"/>
        <item x="684"/>
        <item x="450"/>
        <item x="458"/>
        <item x="467"/>
        <item x="469"/>
        <item x="465"/>
        <item x="462"/>
        <item x="454"/>
        <item x="817"/>
        <item x="818"/>
        <item x="819"/>
        <item x="820"/>
        <item x="252"/>
        <item x="669"/>
        <item x="671"/>
        <item x="673"/>
        <item x="813"/>
        <item x="672"/>
        <item x="670"/>
        <item x="667"/>
        <item x="665"/>
        <item x="663"/>
        <item x="118"/>
        <item x="296"/>
        <item x="406"/>
        <item x="404"/>
        <item x="854"/>
        <item x="329"/>
        <item x="401"/>
        <item x="402"/>
        <item x="400"/>
        <item x="808"/>
        <item x="807"/>
        <item x="441"/>
        <item x="251"/>
        <item x="570"/>
        <item x="676"/>
        <item x="573"/>
        <item x="386"/>
        <item x="740"/>
        <item x="137"/>
        <item x="263"/>
        <item x="836"/>
        <item x="608"/>
        <item x="411"/>
        <item x="273"/>
        <item x="674"/>
        <item x="677"/>
        <item x="641"/>
        <item x="635"/>
        <item x="646"/>
        <item x="675"/>
        <item x="385"/>
        <item x="829"/>
        <item x="828"/>
        <item x="337"/>
        <item x="325"/>
        <item x="732"/>
        <item x="714"/>
        <item x="850"/>
        <item x="272"/>
        <item x="833"/>
        <item x="192"/>
        <item x="199"/>
        <item x="193"/>
        <item x="392"/>
        <item x="394"/>
        <item x="271"/>
        <item x="733"/>
        <item x="735"/>
        <item x="737"/>
        <item x="736"/>
        <item x="734"/>
        <item x="738"/>
        <item x="541"/>
        <item x="589"/>
        <item x="588"/>
        <item x="827"/>
        <item x="405"/>
        <item x="413"/>
        <item x="412"/>
        <item x="198"/>
        <item x="823"/>
        <item x="53"/>
        <item x="55"/>
        <item x="57"/>
        <item x="59"/>
        <item x="62"/>
        <item x="64"/>
        <item x="66"/>
        <item x="812"/>
        <item x="811"/>
        <item x="189"/>
        <item x="844"/>
        <item x="797"/>
        <item x="318"/>
        <item x="810"/>
        <item x="809"/>
        <item x="70"/>
        <item x="330"/>
        <item x="111"/>
        <item x="853"/>
        <item x="387"/>
        <item x="389"/>
        <item x="258"/>
        <item x="339"/>
        <item x="338"/>
        <item x="476"/>
        <item x="477"/>
        <item x="395"/>
        <item x="305"/>
        <item x="304"/>
        <item x="826"/>
        <item x="498"/>
        <item x="499"/>
        <item x="319"/>
        <item x="701"/>
        <item x="69"/>
        <item x="60"/>
        <item x="58"/>
        <item x="56"/>
        <item x="54"/>
        <item x="63"/>
        <item x="65"/>
        <item x="67"/>
        <item x="68"/>
        <item x="52"/>
        <item x="61"/>
        <item x="416"/>
        <item x="414"/>
        <item x="549"/>
        <item x="548"/>
        <item x="388"/>
        <item x="314"/>
        <item x="315"/>
        <item x="410"/>
        <item x="255"/>
        <item x="849"/>
        <item x="721"/>
        <item x="722"/>
        <item x="723"/>
        <item x="724"/>
        <item x="725"/>
        <item x="726"/>
        <item x="727"/>
        <item x="728"/>
        <item x="729"/>
        <item x="194"/>
        <item x="186"/>
        <item x="265"/>
        <item x="837"/>
        <item x="690"/>
        <item x="112"/>
        <item x="254"/>
        <item x="730"/>
        <item x="731"/>
        <item x="298"/>
        <item x="297"/>
        <item x="396"/>
        <item x="846"/>
        <item x="72"/>
        <item x="326"/>
        <item x="73"/>
        <item x="74"/>
        <item x="562"/>
        <item x="75"/>
        <item x="76"/>
        <item x="77"/>
        <item x="78"/>
        <item x="79"/>
        <item x="80"/>
        <item x="81"/>
        <item x="82"/>
        <item x="415"/>
        <item x="113"/>
        <item x="815"/>
        <item x="839"/>
        <item x="391"/>
        <item x="390"/>
        <item x="306"/>
        <item x="119"/>
        <item x="120"/>
        <item x="83"/>
        <item x="84"/>
        <item x="86"/>
        <item x="85"/>
        <item x="87"/>
        <item x="343"/>
        <item x="88"/>
        <item x="89"/>
        <item x="90"/>
        <item x="91"/>
        <item x="92"/>
        <item x="93"/>
        <item x="94"/>
        <item x="97"/>
        <item x="563"/>
        <item x="825"/>
        <item x="182"/>
        <item x="183"/>
        <item x="184"/>
        <item x="188"/>
        <item x="190"/>
        <item x="195"/>
        <item x="565"/>
        <item x="551"/>
        <item x="841"/>
        <item x="484"/>
        <item x="489"/>
        <item x="491"/>
        <item x="494"/>
        <item x="492"/>
        <item x="490"/>
        <item x="488"/>
        <item x="479"/>
        <item x="480"/>
        <item x="496"/>
        <item x="495"/>
        <item x="481"/>
        <item x="482"/>
        <item x="483"/>
        <item x="503"/>
        <item x="502"/>
        <item x="505"/>
        <item x="504"/>
        <item x="509"/>
        <item x="508"/>
        <item x="485"/>
        <item x="493"/>
        <item x="512"/>
        <item x="515"/>
        <item x="517"/>
        <item x="519"/>
        <item x="522"/>
        <item x="552"/>
        <item x="553"/>
        <item x="511"/>
        <item x="516"/>
        <item x="518"/>
        <item x="520"/>
        <item x="521"/>
        <item x="550"/>
        <item x="274"/>
        <item x="275"/>
        <item x="276"/>
        <item x="290"/>
        <item x="289"/>
        <item x="201"/>
        <item x="380"/>
        <item x="277"/>
        <item x="278"/>
        <item x="279"/>
        <item x="281"/>
        <item x="285"/>
        <item x="545"/>
        <item x="542"/>
        <item x="543"/>
        <item x="840"/>
        <item x="280"/>
        <item x="284"/>
        <item x="256"/>
        <item x="257"/>
        <item x="528"/>
        <item x="342"/>
        <item x="345"/>
        <item x="739"/>
        <item x="848"/>
        <item x="524"/>
        <item x="523"/>
        <item x="526"/>
        <item x="525"/>
        <item x="544"/>
        <item x="531"/>
        <item x="346"/>
        <item x="348"/>
        <item x="349"/>
        <item x="510"/>
        <item x="350"/>
        <item x="351"/>
        <item x="354"/>
        <item x="356"/>
        <item x="358"/>
        <item x="360"/>
        <item x="362"/>
        <item x="363"/>
        <item x="364"/>
        <item x="365"/>
        <item x="292"/>
        <item x="291"/>
        <item x="497"/>
        <item x="530"/>
        <item x="529"/>
        <item x="838"/>
        <item x="204"/>
        <item x="207"/>
        <item x="205"/>
        <item x="203"/>
        <item x="209"/>
        <item x="211"/>
        <item x="213"/>
        <item x="283"/>
        <item x="514"/>
        <item x="216"/>
        <item x="214"/>
        <item x="218"/>
        <item x="220"/>
        <item x="222"/>
        <item x="208"/>
        <item x="210"/>
        <item x="212"/>
        <item x="282"/>
        <item x="513"/>
        <item x="215"/>
        <item x="217"/>
        <item x="219"/>
        <item x="221"/>
        <item x="367"/>
        <item x="554"/>
        <item x="527"/>
        <item x="341"/>
        <item x="344"/>
        <item x="347"/>
        <item x="352"/>
        <item x="355"/>
        <item x="357"/>
        <item x="359"/>
        <item x="361"/>
        <item x="366"/>
        <item x="353"/>
        <item x="294"/>
        <item x="293"/>
        <item x="501"/>
        <item x="224"/>
        <item x="507"/>
        <item x="487"/>
        <item x="226"/>
        <item x="228"/>
        <item x="230"/>
        <item x="227"/>
        <item x="225"/>
        <item x="486"/>
        <item x="506"/>
        <item x="223"/>
        <item x="500"/>
        <item x="229"/>
        <item x="369"/>
        <item x="370"/>
        <item x="368"/>
        <item x="533"/>
        <item x="232"/>
        <item x="532"/>
        <item x="231"/>
        <item x="371"/>
        <item x="373"/>
        <item x="372"/>
        <item x="375"/>
        <item x="234"/>
        <item x="206"/>
        <item x="236"/>
        <item x="238"/>
        <item x="443"/>
        <item x="442"/>
        <item x="287"/>
        <item x="741"/>
        <item x="233"/>
        <item x="235"/>
        <item x="237"/>
        <item x="241"/>
        <item x="239"/>
        <item x="240"/>
        <item x="377"/>
        <item x="374"/>
        <item x="286"/>
        <item x="376"/>
        <item x="300"/>
        <item x="299"/>
        <item x="200"/>
        <item x="243"/>
        <item x="379"/>
        <item x="378"/>
        <item x="245"/>
        <item x="537"/>
        <item x="547"/>
        <item x="546"/>
        <item x="382"/>
        <item x="381"/>
        <item x="264"/>
        <item x="312"/>
        <item x="678"/>
        <item x="397"/>
        <item x="852"/>
        <item x="743"/>
        <item x="851"/>
        <item x="745"/>
        <item x="746"/>
        <item x="747"/>
        <item x="744"/>
        <item x="748"/>
        <item x="749"/>
        <item x="751"/>
        <item x="753"/>
        <item x="755"/>
        <item x="754"/>
        <item x="750"/>
        <item x="752"/>
        <item x="764"/>
        <item x="756"/>
        <item x="766"/>
        <item x="769"/>
        <item x="765"/>
        <item x="767"/>
        <item x="770"/>
        <item x="768"/>
        <item x="757"/>
        <item x="758"/>
        <item x="759"/>
        <item x="772"/>
        <item x="774"/>
        <item x="776"/>
        <item x="771"/>
        <item x="773"/>
        <item x="775"/>
        <item x="778"/>
        <item x="777"/>
        <item x="760"/>
        <item x="761"/>
        <item x="762"/>
        <item x="763"/>
        <item x="780"/>
        <item x="781"/>
        <item x="779"/>
        <item x="782"/>
        <item x="784"/>
        <item x="783"/>
        <item x="262"/>
        <item x="680"/>
        <item x="322"/>
        <item x="786"/>
        <item x="785"/>
        <item x="787"/>
        <item x="790"/>
        <item x="791"/>
        <item x="793"/>
        <item x="794"/>
        <item x="792"/>
        <item x="796"/>
        <item x="795"/>
        <item x="800"/>
        <item x="798"/>
        <item x="799"/>
        <item x="307"/>
        <item x="801"/>
        <item x="803"/>
        <item x="802"/>
        <item x="718"/>
        <item x="719"/>
        <item x="804"/>
        <item x="717"/>
        <item x="682"/>
        <item x="321"/>
        <item x="681"/>
        <item x="679"/>
        <item x="323"/>
        <item x="806"/>
        <item x="805"/>
        <item x="715"/>
        <item x="569"/>
        <item x="270"/>
        <item x="95"/>
        <item x="98"/>
        <item x="96"/>
        <item x="99"/>
        <item x="100"/>
        <item x="101"/>
        <item x="814"/>
        <item x="117"/>
        <item x="268"/>
        <item x="102"/>
        <item x="103"/>
        <item x="104"/>
        <item x="822"/>
        <item x="1"/>
        <item x="3"/>
        <item x="5"/>
        <item x="7"/>
        <item x="9"/>
        <item x="821"/>
        <item x="789"/>
        <item x="11"/>
        <item x="13"/>
        <item x="15"/>
        <item x="17"/>
        <item x="19"/>
        <item x="21"/>
        <item x="23"/>
        <item x="25"/>
        <item x="27"/>
        <item x="688"/>
        <item x="689"/>
        <item x="691"/>
        <item x="114"/>
        <item x="824"/>
        <item x="122"/>
        <item x="123"/>
        <item x="124"/>
        <item x="125"/>
        <item x="126"/>
        <item x="266"/>
        <item x="269"/>
        <item x="267"/>
        <item x="29"/>
        <item x="8"/>
        <item x="4"/>
        <item x="31"/>
        <item x="33"/>
        <item x="128"/>
        <item x="129"/>
        <item x="130"/>
        <item x="131"/>
        <item x="132"/>
        <item x="133"/>
        <item x="127"/>
        <item x="816"/>
        <item x="35"/>
        <item x="34"/>
        <item x="37"/>
        <item x="39"/>
        <item x="41"/>
        <item x="105"/>
        <item x="115"/>
        <item x="134"/>
        <item x="135"/>
        <item x="742"/>
        <item x="43"/>
        <item x="38"/>
        <item x="106"/>
        <item x="332"/>
        <item x="116"/>
        <item x="572"/>
        <item x="136"/>
        <item x="695"/>
        <item x="693"/>
        <item x="692"/>
        <item x="45"/>
        <item x="694"/>
        <item x="47"/>
        <item x="842"/>
        <item x="577"/>
        <item x="579"/>
        <item x="583"/>
        <item x="585"/>
        <item x="580"/>
        <item x="587"/>
        <item x="601"/>
        <item x="687"/>
        <item x="591"/>
        <item x="590"/>
        <item x="586"/>
        <item x="584"/>
        <item x="578"/>
        <item x="576"/>
        <item x="581"/>
        <item x="582"/>
        <item x="599"/>
        <item x="46"/>
        <item x="44"/>
        <item x="42"/>
        <item x="40"/>
        <item x="36"/>
        <item x="30"/>
        <item x="28"/>
        <item x="26"/>
        <item x="24"/>
        <item x="22"/>
        <item x="20"/>
        <item x="18"/>
        <item x="16"/>
        <item x="14"/>
        <item x="12"/>
        <item x="10"/>
        <item x="788"/>
        <item x="6"/>
        <item x="0"/>
        <item x="685"/>
        <item x="686"/>
        <item x="593"/>
        <item x="596"/>
        <item x="835"/>
        <item x="340"/>
        <item x="855"/>
        <item x="444"/>
        <item x="830"/>
        <item x="121"/>
        <item x="474"/>
        <item x="473"/>
        <item x="472"/>
        <item x="142"/>
        <item x="138"/>
        <item x="139"/>
        <item x="140"/>
        <item x="141"/>
        <item x="143"/>
        <item x="144"/>
        <item x="145"/>
        <item x="146"/>
        <item x="147"/>
        <item x="152"/>
        <item x="148"/>
        <item x="149"/>
        <item x="150"/>
        <item x="151"/>
        <item x="153"/>
        <item x="158"/>
        <item x="154"/>
        <item x="155"/>
        <item x="156"/>
        <item x="157"/>
        <item x="163"/>
        <item x="159"/>
        <item x="160"/>
        <item x="164"/>
        <item x="161"/>
        <item x="162"/>
        <item x="165"/>
        <item x="166"/>
        <item x="167"/>
        <item x="168"/>
        <item x="169"/>
        <item x="170"/>
        <item x="171"/>
        <item x="172"/>
        <item x="575"/>
        <item x="177"/>
        <item x="173"/>
        <item x="174"/>
        <item x="175"/>
        <item x="176"/>
        <item x="178"/>
        <item x="179"/>
        <item x="180"/>
        <item x="181"/>
        <item x="574"/>
        <item x="33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35">
    <i>
      <x/>
    </i>
    <i>
      <x v="1"/>
    </i>
    <i>
      <x v="5"/>
    </i>
    <i>
      <x v="6"/>
    </i>
    <i>
      <x v="7"/>
    </i>
    <i>
      <x v="8"/>
    </i>
    <i>
      <x v="9"/>
    </i>
    <i>
      <x v="10"/>
    </i>
    <i>
      <x v="11"/>
    </i>
    <i>
      <x v="12"/>
    </i>
    <i>
      <x v="13"/>
    </i>
    <i>
      <x v="14"/>
    </i>
    <i>
      <x v="15"/>
    </i>
    <i>
      <x v="16"/>
    </i>
    <i>
      <x v="17"/>
    </i>
    <i>
      <x v="22"/>
    </i>
    <i>
      <x v="23"/>
    </i>
    <i>
      <x v="24"/>
    </i>
    <i>
      <x v="25"/>
    </i>
    <i>
      <x v="27"/>
    </i>
    <i>
      <x v="28"/>
    </i>
    <i>
      <x v="33"/>
    </i>
    <i>
      <x v="35"/>
    </i>
    <i>
      <x v="36"/>
    </i>
    <i>
      <x v="38"/>
    </i>
    <i>
      <x v="39"/>
    </i>
    <i>
      <x v="40"/>
    </i>
    <i>
      <x v="41"/>
    </i>
    <i>
      <x v="42"/>
    </i>
    <i>
      <x v="43"/>
    </i>
    <i>
      <x v="44"/>
    </i>
    <i>
      <x v="45"/>
    </i>
    <i>
      <x v="46"/>
    </i>
    <i>
      <x v="47"/>
    </i>
    <i>
      <x v="48"/>
    </i>
    <i>
      <x v="49"/>
    </i>
    <i>
      <x v="50"/>
    </i>
    <i>
      <x v="52"/>
    </i>
    <i>
      <x v="53"/>
    </i>
    <i>
      <x v="54"/>
    </i>
    <i>
      <x v="55"/>
    </i>
    <i>
      <x v="56"/>
    </i>
    <i>
      <x v="58"/>
    </i>
    <i>
      <x v="59"/>
    </i>
    <i>
      <x v="60"/>
    </i>
    <i>
      <x v="61"/>
    </i>
    <i>
      <x v="62"/>
    </i>
    <i>
      <x v="63"/>
    </i>
    <i>
      <x v="64"/>
    </i>
    <i>
      <x v="65"/>
    </i>
    <i>
      <x v="67"/>
    </i>
    <i>
      <x v="68"/>
    </i>
    <i>
      <x v="69"/>
    </i>
    <i>
      <x v="70"/>
    </i>
    <i>
      <x v="71"/>
    </i>
    <i>
      <x v="72"/>
    </i>
    <i>
      <x v="73"/>
    </i>
    <i>
      <x v="74"/>
    </i>
    <i>
      <x v="75"/>
    </i>
    <i>
      <x v="76"/>
    </i>
    <i>
      <x v="78"/>
    </i>
    <i>
      <x v="79"/>
    </i>
    <i>
      <x v="82"/>
    </i>
    <i>
      <x v="83"/>
    </i>
    <i>
      <x v="85"/>
    </i>
    <i>
      <x v="88"/>
    </i>
    <i>
      <x v="89"/>
    </i>
    <i>
      <x v="90"/>
    </i>
    <i>
      <x v="91"/>
    </i>
    <i>
      <x v="92"/>
    </i>
    <i>
      <x v="93"/>
    </i>
    <i>
      <x v="98"/>
    </i>
    <i>
      <x v="99"/>
    </i>
    <i>
      <x v="101"/>
    </i>
    <i>
      <x v="102"/>
    </i>
    <i>
      <x v="103"/>
    </i>
    <i>
      <x v="105"/>
    </i>
    <i>
      <x v="106"/>
    </i>
    <i>
      <x v="107"/>
    </i>
    <i>
      <x v="108"/>
    </i>
    <i>
      <x v="109"/>
    </i>
    <i>
      <x v="111"/>
    </i>
    <i>
      <x v="112"/>
    </i>
    <i>
      <x v="113"/>
    </i>
    <i>
      <x v="114"/>
    </i>
    <i>
      <x v="115"/>
    </i>
    <i>
      <x v="116"/>
    </i>
    <i>
      <x v="117"/>
    </i>
    <i>
      <x v="118"/>
    </i>
    <i>
      <x v="119"/>
    </i>
    <i>
      <x v="120"/>
    </i>
    <i>
      <x v="122"/>
    </i>
    <i>
      <x v="123"/>
    </i>
    <i>
      <x v="124"/>
    </i>
    <i>
      <x v="125"/>
    </i>
    <i>
      <x v="126"/>
    </i>
    <i>
      <x v="127"/>
    </i>
    <i>
      <x v="128"/>
    </i>
    <i>
      <x v="130"/>
    </i>
    <i>
      <x v="131"/>
    </i>
    <i>
      <x v="132"/>
    </i>
    <i>
      <x v="133"/>
    </i>
    <i>
      <x v="134"/>
    </i>
    <i>
      <x v="143"/>
    </i>
    <i>
      <x v="144"/>
    </i>
    <i>
      <x v="145"/>
    </i>
    <i>
      <x v="146"/>
    </i>
    <i>
      <x v="147"/>
    </i>
    <i>
      <x v="148"/>
    </i>
    <i>
      <x v="149"/>
    </i>
    <i>
      <x v="150"/>
    </i>
    <i>
      <x v="152"/>
    </i>
    <i>
      <x v="153"/>
    </i>
    <i>
      <x v="154"/>
    </i>
    <i>
      <x v="155"/>
    </i>
    <i>
      <x v="156"/>
    </i>
    <i>
      <x v="157"/>
    </i>
    <i>
      <x v="158"/>
    </i>
    <i>
      <x v="159"/>
    </i>
    <i>
      <x v="160"/>
    </i>
    <i>
      <x v="161"/>
    </i>
    <i>
      <x v="162"/>
    </i>
    <i>
      <x v="165"/>
    </i>
    <i>
      <x v="169"/>
    </i>
    <i>
      <x v="170"/>
    </i>
    <i>
      <x v="171"/>
    </i>
    <i>
      <x v="174"/>
    </i>
    <i>
      <x v="177"/>
    </i>
    <i>
      <x v="178"/>
    </i>
    <i>
      <x v="180"/>
    </i>
    <i>
      <x v="181"/>
    </i>
    <i>
      <x v="182"/>
    </i>
    <i>
      <x v="188"/>
    </i>
    <i>
      <x v="189"/>
    </i>
    <i>
      <x v="190"/>
    </i>
    <i>
      <x v="196"/>
    </i>
    <i>
      <x v="197"/>
    </i>
    <i>
      <x v="198"/>
    </i>
    <i>
      <x v="199"/>
    </i>
    <i>
      <x v="200"/>
    </i>
    <i>
      <x v="201"/>
    </i>
    <i>
      <x v="202"/>
    </i>
    <i>
      <x v="204"/>
    </i>
    <i>
      <x v="207"/>
    </i>
    <i>
      <x v="208"/>
    </i>
    <i>
      <x v="209"/>
    </i>
    <i>
      <x v="210"/>
    </i>
    <i>
      <x v="211"/>
    </i>
    <i>
      <x v="212"/>
    </i>
    <i>
      <x v="213"/>
    </i>
    <i>
      <x v="221"/>
    </i>
    <i>
      <x v="222"/>
    </i>
    <i>
      <x v="223"/>
    </i>
    <i>
      <x v="224"/>
    </i>
    <i>
      <x v="225"/>
    </i>
    <i>
      <x v="226"/>
    </i>
    <i>
      <x v="227"/>
    </i>
    <i>
      <x v="228"/>
    </i>
    <i>
      <x v="229"/>
    </i>
    <i>
      <x v="235"/>
    </i>
    <i>
      <x v="236"/>
    </i>
    <i>
      <x v="237"/>
    </i>
    <i>
      <x v="238"/>
    </i>
    <i>
      <x v="240"/>
    </i>
    <i>
      <x v="241"/>
    </i>
    <i>
      <x v="242"/>
    </i>
    <i>
      <x v="244"/>
    </i>
    <i>
      <x v="246"/>
    </i>
    <i>
      <x v="248"/>
    </i>
    <i>
      <x v="249"/>
    </i>
    <i>
      <x v="250"/>
    </i>
    <i>
      <x v="251"/>
    </i>
    <i>
      <x v="252"/>
    </i>
    <i>
      <x v="253"/>
    </i>
    <i>
      <x v="254"/>
    </i>
    <i>
      <x v="256"/>
    </i>
    <i>
      <x v="257"/>
    </i>
    <i>
      <x v="258"/>
    </i>
    <i>
      <x v="260"/>
    </i>
    <i>
      <x v="267"/>
    </i>
    <i>
      <x v="268"/>
    </i>
    <i>
      <x v="269"/>
    </i>
    <i>
      <x v="271"/>
    </i>
    <i>
      <x v="274"/>
    </i>
    <i>
      <x v="278"/>
    </i>
    <i>
      <x v="279"/>
    </i>
    <i>
      <x v="280"/>
    </i>
    <i>
      <x v="281"/>
    </i>
    <i>
      <x v="282"/>
    </i>
    <i>
      <x v="283"/>
    </i>
    <i>
      <x v="286"/>
    </i>
    <i>
      <x v="287"/>
    </i>
    <i>
      <x v="288"/>
    </i>
    <i>
      <x v="291"/>
    </i>
    <i>
      <x v="292"/>
    </i>
    <i>
      <x v="294"/>
    </i>
    <i>
      <x v="296"/>
    </i>
    <i>
      <x v="297"/>
    </i>
    <i>
      <x v="298"/>
    </i>
    <i>
      <x v="299"/>
    </i>
    <i>
      <x v="300"/>
    </i>
    <i>
      <x v="301"/>
    </i>
    <i>
      <x v="302"/>
    </i>
    <i>
      <x v="303"/>
    </i>
    <i>
      <x v="305"/>
    </i>
    <i>
      <x v="307"/>
    </i>
    <i>
      <x v="308"/>
    </i>
    <i>
      <x v="309"/>
    </i>
    <i>
      <x v="312"/>
    </i>
    <i>
      <x v="313"/>
    </i>
    <i>
      <x v="315"/>
    </i>
    <i>
      <x v="316"/>
    </i>
    <i>
      <x v="317"/>
    </i>
    <i>
      <x v="318"/>
    </i>
    <i>
      <x v="320"/>
    </i>
    <i>
      <x v="322"/>
    </i>
    <i>
      <x v="323"/>
    </i>
    <i>
      <x v="326"/>
    </i>
    <i>
      <x v="328"/>
    </i>
    <i>
      <x v="329"/>
    </i>
    <i>
      <x v="330"/>
    </i>
    <i>
      <x v="341"/>
    </i>
    <i>
      <x v="343"/>
    </i>
    <i>
      <x v="346"/>
    </i>
    <i>
      <x v="347"/>
    </i>
    <i>
      <x v="348"/>
    </i>
    <i>
      <x v="349"/>
    </i>
    <i>
      <x v="351"/>
    </i>
    <i>
      <x v="352"/>
    </i>
    <i>
      <x v="353"/>
    </i>
    <i>
      <x v="354"/>
    </i>
    <i>
      <x v="355"/>
    </i>
    <i>
      <x v="356"/>
    </i>
    <i>
      <x v="357"/>
    </i>
    <i>
      <x v="358"/>
    </i>
    <i>
      <x v="359"/>
    </i>
    <i>
      <x v="360"/>
    </i>
    <i>
      <x v="361"/>
    </i>
    <i>
      <x v="362"/>
    </i>
    <i>
      <x v="364"/>
    </i>
    <i>
      <x v="365"/>
    </i>
    <i>
      <x v="367"/>
    </i>
    <i>
      <x v="368"/>
    </i>
    <i>
      <x v="369"/>
    </i>
    <i>
      <x v="371"/>
    </i>
    <i>
      <x v="373"/>
    </i>
    <i>
      <x v="374"/>
    </i>
    <i>
      <x v="375"/>
    </i>
    <i>
      <x v="376"/>
    </i>
    <i>
      <x v="377"/>
    </i>
    <i>
      <x v="378"/>
    </i>
    <i>
      <x v="379"/>
    </i>
    <i>
      <x v="380"/>
    </i>
    <i>
      <x v="381"/>
    </i>
    <i>
      <x v="382"/>
    </i>
    <i>
      <x v="383"/>
    </i>
    <i>
      <x v="384"/>
    </i>
    <i>
      <x v="385"/>
    </i>
    <i>
      <x v="387"/>
    </i>
    <i>
      <x v="388"/>
    </i>
    <i>
      <x v="390"/>
    </i>
    <i>
      <x v="392"/>
    </i>
    <i>
      <x v="393"/>
    </i>
    <i>
      <x v="394"/>
    </i>
    <i>
      <x v="395"/>
    </i>
    <i>
      <x v="396"/>
    </i>
    <i>
      <x v="397"/>
    </i>
    <i>
      <x v="398"/>
    </i>
    <i>
      <x v="399"/>
    </i>
    <i>
      <x v="400"/>
    </i>
    <i>
      <x v="401"/>
    </i>
    <i>
      <x v="402"/>
    </i>
    <i>
      <x v="403"/>
    </i>
    <i>
      <x v="404"/>
    </i>
    <i>
      <x v="405"/>
    </i>
    <i>
      <x v="406"/>
    </i>
    <i>
      <x v="407"/>
    </i>
    <i>
      <x v="408"/>
    </i>
    <i>
      <x v="409"/>
    </i>
    <i>
      <x v="411"/>
    </i>
    <i>
      <x v="412"/>
    </i>
    <i>
      <x v="413"/>
    </i>
    <i>
      <x v="414"/>
    </i>
    <i>
      <x v="415"/>
    </i>
    <i>
      <x v="416"/>
    </i>
    <i>
      <x v="417"/>
    </i>
    <i>
      <x v="418"/>
    </i>
    <i>
      <x v="420"/>
    </i>
    <i>
      <x v="421"/>
    </i>
    <i>
      <x v="422"/>
    </i>
    <i>
      <x v="423"/>
    </i>
    <i>
      <x v="429"/>
    </i>
    <i>
      <x v="434"/>
    </i>
    <i>
      <x v="436"/>
    </i>
    <i>
      <x v="438"/>
    </i>
    <i>
      <x v="442"/>
    </i>
    <i>
      <x v="443"/>
    </i>
    <i>
      <x v="444"/>
    </i>
    <i>
      <x v="445"/>
    </i>
    <i>
      <x v="446"/>
    </i>
    <i>
      <x v="447"/>
    </i>
    <i>
      <x v="448"/>
    </i>
    <i>
      <x v="455"/>
    </i>
    <i>
      <x v="456"/>
    </i>
    <i>
      <x v="457"/>
    </i>
    <i>
      <x v="458"/>
    </i>
    <i>
      <x v="460"/>
    </i>
    <i>
      <x v="461"/>
    </i>
    <i>
      <x v="462"/>
    </i>
    <i>
      <x v="463"/>
    </i>
    <i>
      <x v="464"/>
    </i>
    <i>
      <x v="465"/>
    </i>
    <i>
      <x v="466"/>
    </i>
    <i>
      <x v="467"/>
    </i>
    <i>
      <x v="473"/>
    </i>
    <i>
      <x v="474"/>
    </i>
    <i>
      <x v="475"/>
    </i>
    <i>
      <x v="476"/>
    </i>
    <i>
      <x v="477"/>
    </i>
    <i>
      <x v="478"/>
    </i>
    <i>
      <x v="480"/>
    </i>
    <i>
      <x v="482"/>
    </i>
    <i>
      <x v="485"/>
    </i>
    <i>
      <x v="486"/>
    </i>
    <i>
      <x v="487"/>
    </i>
    <i>
      <x v="488"/>
    </i>
    <i>
      <x v="489"/>
    </i>
    <i>
      <x v="490"/>
    </i>
    <i>
      <x v="491"/>
    </i>
    <i>
      <x v="492"/>
    </i>
    <i>
      <x v="493"/>
    </i>
    <i>
      <x v="494"/>
    </i>
    <i>
      <x v="495"/>
    </i>
    <i>
      <x v="496"/>
    </i>
    <i>
      <x v="497"/>
    </i>
    <i>
      <x v="498"/>
    </i>
    <i>
      <x v="499"/>
    </i>
    <i>
      <x v="500"/>
    </i>
    <i>
      <x v="503"/>
    </i>
    <i>
      <x v="506"/>
    </i>
    <i>
      <x v="507"/>
    </i>
    <i>
      <x v="510"/>
    </i>
    <i>
      <x v="511"/>
    </i>
    <i>
      <x v="512"/>
    </i>
    <i>
      <x v="513"/>
    </i>
    <i>
      <x v="514"/>
    </i>
    <i>
      <x v="515"/>
    </i>
    <i>
      <x v="517"/>
    </i>
    <i>
      <x v="518"/>
    </i>
    <i>
      <x v="519"/>
    </i>
    <i>
      <x v="529"/>
    </i>
    <i>
      <x v="530"/>
    </i>
    <i>
      <x v="542"/>
    </i>
    <i>
      <x v="544"/>
    </i>
    <i>
      <x v="545"/>
    </i>
    <i>
      <x v="546"/>
    </i>
    <i>
      <x v="547"/>
    </i>
    <i>
      <x v="548"/>
    </i>
    <i>
      <x v="549"/>
    </i>
    <i>
      <x v="550"/>
    </i>
    <i>
      <x v="558"/>
    </i>
    <i>
      <x v="559"/>
    </i>
    <i>
      <x v="561"/>
    </i>
    <i>
      <x v="562"/>
    </i>
    <i>
      <x v="565"/>
    </i>
    <i>
      <x v="566"/>
    </i>
    <i>
      <x v="568"/>
    </i>
    <i>
      <x v="569"/>
    </i>
    <i>
      <x v="571"/>
    </i>
    <i>
      <x v="572"/>
    </i>
    <i>
      <x v="573"/>
    </i>
    <i>
      <x v="575"/>
    </i>
    <i>
      <x v="576"/>
    </i>
    <i>
      <x v="580"/>
    </i>
    <i>
      <x v="583"/>
    </i>
    <i>
      <x v="587"/>
    </i>
    <i>
      <x v="589"/>
    </i>
    <i>
      <x v="590"/>
    </i>
    <i>
      <x v="591"/>
    </i>
    <i>
      <x v="593"/>
    </i>
    <i>
      <x v="594"/>
    </i>
    <i>
      <x v="595"/>
    </i>
    <i>
      <x v="597"/>
    </i>
    <i>
      <x v="600"/>
    </i>
    <i>
      <x v="601"/>
    </i>
    <i>
      <x v="602"/>
    </i>
    <i>
      <x v="604"/>
    </i>
    <i>
      <x v="605"/>
    </i>
    <i>
      <x v="606"/>
    </i>
    <i>
      <x v="607"/>
    </i>
    <i>
      <x v="608"/>
    </i>
    <i>
      <x v="610"/>
    </i>
    <i>
      <x v="611"/>
    </i>
    <i>
      <x v="612"/>
    </i>
    <i>
      <x v="613"/>
    </i>
    <i>
      <x v="614"/>
    </i>
    <i>
      <x v="618"/>
    </i>
    <i>
      <x v="620"/>
    </i>
    <i>
      <x v="621"/>
    </i>
    <i>
      <x v="624"/>
    </i>
    <i>
      <x v="629"/>
    </i>
    <i>
      <x v="630"/>
    </i>
    <i>
      <x v="631"/>
    </i>
    <i>
      <x v="635"/>
    </i>
    <i>
      <x v="641"/>
    </i>
    <i>
      <x v="642"/>
    </i>
    <i>
      <x v="644"/>
    </i>
    <i>
      <x v="645"/>
    </i>
    <i>
      <x v="647"/>
    </i>
    <i>
      <x v="648"/>
    </i>
    <i>
      <x v="649"/>
    </i>
    <i>
      <x v="650"/>
    </i>
    <i>
      <x v="652"/>
    </i>
    <i>
      <x v="653"/>
    </i>
    <i>
      <x v="654"/>
    </i>
    <i>
      <x v="655"/>
    </i>
    <i>
      <x v="656"/>
    </i>
    <i>
      <x v="658"/>
    </i>
    <i>
      <x v="660"/>
    </i>
    <i>
      <x v="663"/>
    </i>
    <i>
      <x v="664"/>
    </i>
    <i>
      <x v="665"/>
    </i>
    <i>
      <x v="667"/>
    </i>
    <i>
      <x v="668"/>
    </i>
    <i>
      <x v="669"/>
    </i>
    <i>
      <x v="671"/>
    </i>
    <i>
      <x v="672"/>
    </i>
    <i>
      <x v="675"/>
    </i>
    <i>
      <x v="676"/>
    </i>
    <i>
      <x v="678"/>
    </i>
    <i>
      <x v="679"/>
    </i>
    <i>
      <x v="680"/>
    </i>
    <i>
      <x v="682"/>
    </i>
    <i>
      <x v="684"/>
    </i>
    <i>
      <x v="685"/>
    </i>
    <i>
      <x v="686"/>
    </i>
    <i>
      <x v="688"/>
    </i>
    <i>
      <x v="690"/>
    </i>
    <i>
      <x v="691"/>
    </i>
    <i>
      <x v="692"/>
    </i>
    <i>
      <x v="694"/>
    </i>
    <i>
      <x v="695"/>
    </i>
    <i>
      <x v="696"/>
    </i>
    <i>
      <x v="697"/>
    </i>
    <i>
      <x v="698"/>
    </i>
    <i>
      <x v="699"/>
    </i>
    <i>
      <x v="700"/>
    </i>
    <i>
      <x v="701"/>
    </i>
    <i>
      <x v="702"/>
    </i>
    <i>
      <x v="703"/>
    </i>
    <i>
      <x v="704"/>
    </i>
    <i>
      <x v="705"/>
    </i>
    <i>
      <x v="706"/>
    </i>
    <i>
      <x v="707"/>
    </i>
    <i>
      <x v="708"/>
    </i>
    <i>
      <x v="709"/>
    </i>
    <i>
      <x v="712"/>
    </i>
    <i>
      <x v="713"/>
    </i>
    <i>
      <x v="715"/>
    </i>
    <i>
      <x v="716"/>
    </i>
    <i>
      <x v="717"/>
    </i>
    <i>
      <x v="718"/>
    </i>
    <i>
      <x v="719"/>
    </i>
    <i>
      <x v="723"/>
    </i>
    <i>
      <x v="726"/>
    </i>
    <i>
      <x v="727"/>
    </i>
    <i>
      <x v="728"/>
    </i>
    <i>
      <x v="729"/>
    </i>
    <i>
      <x v="730"/>
    </i>
    <i>
      <x v="731"/>
    </i>
    <i>
      <x v="732"/>
    </i>
    <i>
      <x v="733"/>
    </i>
    <i>
      <x v="735"/>
    </i>
    <i>
      <x v="736"/>
    </i>
    <i>
      <x v="738"/>
    </i>
    <i>
      <x v="739"/>
    </i>
    <i>
      <x v="740"/>
    </i>
    <i>
      <x v="741"/>
    </i>
    <i>
      <x v="742"/>
    </i>
    <i>
      <x v="743"/>
    </i>
    <i>
      <x v="744"/>
    </i>
    <i>
      <x v="745"/>
    </i>
    <i>
      <x v="746"/>
    </i>
    <i>
      <x v="748"/>
    </i>
    <i>
      <x v="749"/>
    </i>
    <i>
      <x v="750"/>
    </i>
    <i>
      <x v="751"/>
    </i>
    <i>
      <x v="752"/>
    </i>
    <i>
      <x v="753"/>
    </i>
    <i>
      <x v="754"/>
    </i>
    <i>
      <x v="755"/>
    </i>
    <i>
      <x v="756"/>
    </i>
    <i>
      <x v="758"/>
    </i>
    <i>
      <x v="760"/>
    </i>
    <i>
      <x v="761"/>
    </i>
    <i>
      <x v="762"/>
    </i>
    <i>
      <x v="763"/>
    </i>
    <i>
      <x v="765"/>
    </i>
    <i>
      <x v="766"/>
    </i>
    <i>
      <x v="767"/>
    </i>
    <i>
      <x v="768"/>
    </i>
    <i>
      <x v="798"/>
    </i>
    <i>
      <x v="799"/>
    </i>
    <i>
      <x v="801"/>
    </i>
    <i>
      <x v="803"/>
    </i>
    <i>
      <x v="805"/>
    </i>
    <i>
      <x v="806"/>
    </i>
    <i>
      <x v="807"/>
    </i>
    <i>
      <x v="809"/>
    </i>
    <i>
      <x v="814"/>
    </i>
    <i>
      <x v="815"/>
    </i>
    <i>
      <x v="816"/>
    </i>
    <i>
      <x v="817"/>
    </i>
    <i>
      <x v="818"/>
    </i>
    <i>
      <x v="819"/>
    </i>
    <i>
      <x v="824"/>
    </i>
    <i>
      <x v="825"/>
    </i>
    <i>
      <x v="830"/>
    </i>
    <i>
      <x v="833"/>
    </i>
    <i>
      <x v="836"/>
    </i>
    <i>
      <x v="837"/>
    </i>
    <i>
      <x v="838"/>
    </i>
    <i>
      <x v="839"/>
    </i>
    <i>
      <x v="840"/>
    </i>
    <i>
      <x v="841"/>
    </i>
    <i>
      <x v="842"/>
    </i>
    <i>
      <x v="843"/>
    </i>
    <i>
      <x v="844"/>
    </i>
    <i>
      <x v="845"/>
    </i>
    <i>
      <x v="850"/>
    </i>
    <i>
      <x v="851"/>
    </i>
    <i>
      <x v="852"/>
    </i>
    <i>
      <x v="853"/>
    </i>
    <i>
      <x v="855"/>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500979686">
      <items count="3">
        <i x="1" s="1"/>
        <i x="0"/>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858" totalsRowShown="0" headerRowDxfId="329" dataDxfId="293">
  <autoFilter ref="A2:AP858"/>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12"/>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8">
      <calculatedColumnFormula>REPLACE(INDEX(GroupVertices[Group], MATCH(Edges[[#This Row],[Vertex 2]],GroupVertices[Vertex],0)),1,1,"")</calculatedColumnFormula>
    </tableColumn>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56" totalsRowShown="0" headerRowDxfId="211" dataDxfId="210">
  <autoFilter ref="A1:G1456"/>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5" totalsRowShown="0" headerRowDxfId="202" dataDxfId="201">
  <autoFilter ref="A1:L465"/>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160" dataDxfId="159">
  <autoFilter ref="A2:C25"/>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11" totalsRowShown="0" headerRowDxfId="136" dataDxfId="135">
  <autoFilter ref="A1:V11"/>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V24" totalsRowShown="0" headerRowDxfId="111" dataDxfId="110">
  <autoFilter ref="A14:V24"/>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7:V28" totalsRowShown="0" headerRowDxfId="86" dataDxfId="85">
  <autoFilter ref="A27:V28"/>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30:V40" totalsRowShown="0" headerRowDxfId="61" dataDxfId="60">
  <autoFilter ref="A30:V40"/>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33" totalsRowShown="0" headerRowDxfId="328" dataDxfId="279">
  <autoFilter ref="A2:BN533"/>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8">
      <calculatedColumnFormula>REPLACE(INDEX(GroupVertices[Group], MATCH(Vertices[[#This Row],[Vertex]],GroupVertices[Vertex],0)),1,1,"")</calculatedColumnFormula>
    </tableColumn>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43:V53" totalsRowShown="0" headerRowDxfId="36" dataDxfId="35">
  <autoFilter ref="A43:V53"/>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9" totalsRowShown="0" headerRowDxfId="327">
  <autoFilter ref="A2:AL19"/>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2" totalsRowShown="0" headerRowDxfId="324" dataDxfId="323">
  <autoFilter ref="A1:C532"/>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londonnightguide.com/roof-gardens-table-booking/" TargetMode="External" /><Relationship Id="rId2" Type="http://schemas.openxmlformats.org/officeDocument/2006/relationships/hyperlink" Target="https://www.instagram.com/londonnightguide/" TargetMode="External" /><Relationship Id="rId3" Type="http://schemas.openxmlformats.org/officeDocument/2006/relationships/hyperlink" Target="https://www.ko-fi.com/watchedwalker" TargetMode="External" /><Relationship Id="rId4" Type="http://schemas.openxmlformats.org/officeDocument/2006/relationships/hyperlink" Target="https://www.amazon.com/shop/watchedwalker" TargetMode="External" /><Relationship Id="rId5" Type="http://schemas.openxmlformats.org/officeDocument/2006/relationships/hyperlink" Target="https://www.amazon.co.uk/shop/watchedwalker" TargetMode="External" /><Relationship Id="rId6" Type="http://schemas.openxmlformats.org/officeDocument/2006/relationships/hyperlink" Target="https://goo.gl/maps/dH15NwZTWkR2" TargetMode="External" /><Relationship Id="rId7" Type="http://schemas.openxmlformats.org/officeDocument/2006/relationships/hyperlink" Target="https://www.youtube.com/watch?v=MKuAmGPXS5A" TargetMode="External" /><Relationship Id="rId8" Type="http://schemas.openxmlformats.org/officeDocument/2006/relationships/hyperlink" Target="http://dachyzielone.net/" TargetMode="External" /><Relationship Id="rId9" Type="http://schemas.openxmlformats.org/officeDocument/2006/relationships/hyperlink" Target="https://www.gardeners.com/how-to/growing-blue-hydrangeas/8609.html" TargetMode="External" /><Relationship Id="rId10" Type="http://schemas.openxmlformats.org/officeDocument/2006/relationships/hyperlink" Target="http://ko-fi.com/geekstreettravels" TargetMode="External" /><Relationship Id="rId11" Type="http://schemas.openxmlformats.org/officeDocument/2006/relationships/hyperlink" Target="https://www.gardeners.com/how-to/growing-blue-hydrangeas/8609.html" TargetMode="External" /><Relationship Id="rId12" Type="http://schemas.openxmlformats.org/officeDocument/2006/relationships/hyperlink" Target="http://www.youtube.com/results?search_query=%23newsubscriber" TargetMode="External" /><Relationship Id="rId13" Type="http://schemas.openxmlformats.org/officeDocument/2006/relationships/hyperlink" Target="http://www.youtube.com/results?search_query=%23MrCarrington" TargetMode="External" /><Relationship Id="rId14" Type="http://schemas.openxmlformats.org/officeDocument/2006/relationships/hyperlink" Target="http://stylish.xxx/" TargetMode="External" /><Relationship Id="rId15" Type="http://schemas.openxmlformats.org/officeDocument/2006/relationships/hyperlink" Target="https://www.youtube.com/watch?v=xZPSNornzmk&amp;amp;t=2m14s" TargetMode="External" /><Relationship Id="rId16" Type="http://schemas.openxmlformats.org/officeDocument/2006/relationships/hyperlink" Target="https://www.youtube.com/watch?v=MKuAmGPXS5A" TargetMode="External" /><Relationship Id="rId17" Type="http://schemas.openxmlformats.org/officeDocument/2006/relationships/hyperlink" Target="https://www.ko-fi.com/watchedwalker" TargetMode="External" /><Relationship Id="rId18" Type="http://schemas.openxmlformats.org/officeDocument/2006/relationships/hyperlink" Target="https://www.amazon.com/shop/watchedwalker" TargetMode="External" /><Relationship Id="rId19" Type="http://schemas.openxmlformats.org/officeDocument/2006/relationships/hyperlink" Target="https://www.amazon.co.uk/shop/watchedwalker" TargetMode="External" /><Relationship Id="rId20" Type="http://schemas.openxmlformats.org/officeDocument/2006/relationships/hyperlink" Target="https://goo.gl/maps/dH15NwZTWkR2" TargetMode="External" /><Relationship Id="rId21" Type="http://schemas.openxmlformats.org/officeDocument/2006/relationships/hyperlink" Target="https://www.youtube.com/watch?v=tS9IXHSdzJs&amp;amp;t=00m10s" TargetMode="External" /><Relationship Id="rId22" Type="http://schemas.openxmlformats.org/officeDocument/2006/relationships/hyperlink" Target="https://www.youtube.com/watch?v=tS9IXHSdzJs&amp;amp;t=06m09s" TargetMode="External" /><Relationship Id="rId23" Type="http://schemas.openxmlformats.org/officeDocument/2006/relationships/hyperlink" Target="https://www.youtube.com/watch?v=tS9IXHSdzJs&amp;amp;t=10m30s" TargetMode="External" /><Relationship Id="rId24" Type="http://schemas.openxmlformats.org/officeDocument/2006/relationships/hyperlink" Target="https://www.youtube.com/watch?v=tS9IXHSdzJs&amp;amp;t=13m52s" TargetMode="External" /><Relationship Id="rId25" Type="http://schemas.openxmlformats.org/officeDocument/2006/relationships/hyperlink" Target="https://www.youtube.com/watch?v=tS9IXHSdzJs&amp;amp;t=00m53s" TargetMode="External" /><Relationship Id="rId26" Type="http://schemas.openxmlformats.org/officeDocument/2006/relationships/hyperlink" Target="https://www.youtube.com/watch?v=tS9IXHSdzJs&amp;amp;t=02m29s" TargetMode="External" /><Relationship Id="rId27" Type="http://schemas.openxmlformats.org/officeDocument/2006/relationships/hyperlink" Target="http://ko-fi.com/geekstreettravels" TargetMode="External" /><Relationship Id="rId28" Type="http://schemas.openxmlformats.org/officeDocument/2006/relationships/hyperlink" Target="http://skyline.pe/" TargetMode="Externa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58"/>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2.421875" style="0" bestFit="1" customWidth="1"/>
    <col min="17" max="17" width="50.421875" style="0" customWidth="1"/>
    <col min="18" max="18" width="12.8515625" style="0" bestFit="1" customWidth="1"/>
    <col min="19" max="19" width="16.8515625" style="0" bestFit="1" customWidth="1"/>
    <col min="20" max="20" width="14.28125" style="0" bestFit="1" customWidth="1"/>
    <col min="21" max="21" width="11.421875" style="0" bestFit="1" customWidth="1"/>
    <col min="22" max="22" width="10.8515625" style="0" bestFit="1" customWidth="1"/>
    <col min="23" max="23" width="9.00390625" style="0" bestFit="1" customWidth="1"/>
    <col min="24" max="24" width="10.140625" style="0" bestFit="1" customWidth="1"/>
    <col min="25" max="25" width="8.57421875" style="0" bestFit="1" customWidth="1"/>
    <col min="26" max="26" width="12.57421875" style="0" bestFit="1" customWidth="1"/>
    <col min="27" max="27" width="13.28125" style="0" bestFit="1" customWidth="1"/>
    <col min="28" max="28" width="12.00390625" style="0" bestFit="1" customWidth="1"/>
    <col min="29" max="29" width="13.57421875" style="0" bestFit="1" customWidth="1"/>
    <col min="30" max="30" width="13.710937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213</v>
      </c>
      <c r="P2" s="13" t="s">
        <v>214</v>
      </c>
      <c r="Q2" s="13" t="s">
        <v>215</v>
      </c>
      <c r="R2" s="13" t="s">
        <v>216</v>
      </c>
      <c r="S2" s="13" t="s">
        <v>217</v>
      </c>
      <c r="T2" s="13" t="s">
        <v>218</v>
      </c>
      <c r="U2" s="13" t="s">
        <v>219</v>
      </c>
      <c r="V2" s="13" t="s">
        <v>220</v>
      </c>
      <c r="W2" s="13" t="s">
        <v>221</v>
      </c>
      <c r="X2" s="13" t="s">
        <v>222</v>
      </c>
      <c r="Y2" s="13" t="s">
        <v>223</v>
      </c>
      <c r="Z2" s="13" t="s">
        <v>224</v>
      </c>
      <c r="AA2" s="13" t="s">
        <v>225</v>
      </c>
      <c r="AB2" s="13" t="s">
        <v>226</v>
      </c>
      <c r="AC2" s="13" t="s">
        <v>227</v>
      </c>
      <c r="AD2" s="13" t="s">
        <v>228</v>
      </c>
      <c r="AE2" t="s">
        <v>3413</v>
      </c>
      <c r="AF2" s="13" t="s">
        <v>3444</v>
      </c>
      <c r="AG2" s="13" t="s">
        <v>3445</v>
      </c>
      <c r="AH2" s="54" t="s">
        <v>4158</v>
      </c>
      <c r="AI2" s="54" t="s">
        <v>4159</v>
      </c>
      <c r="AJ2" s="54" t="s">
        <v>4160</v>
      </c>
      <c r="AK2" s="54" t="s">
        <v>4161</v>
      </c>
      <c r="AL2" s="54" t="s">
        <v>4162</v>
      </c>
      <c r="AM2" s="54" t="s">
        <v>4163</v>
      </c>
      <c r="AN2" s="54" t="s">
        <v>4164</v>
      </c>
      <c r="AO2" s="54" t="s">
        <v>4165</v>
      </c>
      <c r="AP2" s="54" t="s">
        <v>4166</v>
      </c>
    </row>
    <row r="3" spans="1:42" ht="15" customHeight="1">
      <c r="A3" s="65" t="s">
        <v>230</v>
      </c>
      <c r="B3" s="65" t="s">
        <v>229</v>
      </c>
      <c r="C3" s="66" t="s">
        <v>5345</v>
      </c>
      <c r="D3" s="67">
        <v>3</v>
      </c>
      <c r="E3" s="68"/>
      <c r="F3" s="69">
        <v>40</v>
      </c>
      <c r="G3" s="66"/>
      <c r="H3" s="70"/>
      <c r="I3" s="71"/>
      <c r="J3" s="71"/>
      <c r="K3" s="35" t="s">
        <v>66</v>
      </c>
      <c r="L3" s="72">
        <v>3</v>
      </c>
      <c r="M3" s="72"/>
      <c r="N3" s="73"/>
      <c r="O3" s="80" t="s">
        <v>761</v>
      </c>
      <c r="P3" s="80" t="s">
        <v>763</v>
      </c>
      <c r="Q3" s="83" t="s">
        <v>765</v>
      </c>
      <c r="R3" s="80" t="s">
        <v>230</v>
      </c>
      <c r="S3" s="80" t="s">
        <v>1559</v>
      </c>
      <c r="T3" s="85" t="str">
        <f>HYPERLINK("http://www.youtube.com/channel/UCbbx7msYKamwOeRUkaqCTAQ")</f>
        <v>http://www.youtube.com/channel/UCbbx7msYKamwOeRUkaqCTAQ</v>
      </c>
      <c r="U3" s="80" t="s">
        <v>2305</v>
      </c>
      <c r="V3" s="80" t="s">
        <v>2306</v>
      </c>
      <c r="W3" s="85" t="str">
        <f>HYPERLINK("https://www.youtube.com/watch?v=-0Iauhp_Kug")</f>
        <v>https://www.youtube.com/watch?v=-0Iauhp_Kug</v>
      </c>
      <c r="X3" s="80" t="s">
        <v>2335</v>
      </c>
      <c r="Y3" s="80">
        <v>0</v>
      </c>
      <c r="Z3" s="87">
        <v>44170.93859953704</v>
      </c>
      <c r="AA3" s="87">
        <v>44170.93859953704</v>
      </c>
      <c r="AB3" s="80"/>
      <c r="AC3" s="80"/>
      <c r="AD3" s="83" t="s">
        <v>2782</v>
      </c>
      <c r="AE3" s="82">
        <v>1</v>
      </c>
      <c r="AF3" s="83" t="str">
        <f>REPLACE(INDEX(GroupVertices[Group],MATCH(Edges[[#This Row],[Vertex 1]],GroupVertices[Vertex],0)),1,1,"")</f>
        <v>5</v>
      </c>
      <c r="AG3" s="83" t="str">
        <f>REPLACE(INDEX(GroupVertices[Group],MATCH(Edges[[#This Row],[Vertex 2]],GroupVertices[Vertex],0)),1,1,"")</f>
        <v>5</v>
      </c>
      <c r="AH3" s="111">
        <v>0</v>
      </c>
      <c r="AI3" s="112">
        <v>0</v>
      </c>
      <c r="AJ3" s="111">
        <v>0</v>
      </c>
      <c r="AK3" s="112">
        <v>0</v>
      </c>
      <c r="AL3" s="111">
        <v>0</v>
      </c>
      <c r="AM3" s="112">
        <v>0</v>
      </c>
      <c r="AN3" s="111">
        <v>3</v>
      </c>
      <c r="AO3" s="112">
        <v>100</v>
      </c>
      <c r="AP3" s="111">
        <v>3</v>
      </c>
    </row>
    <row r="4" spans="1:42" ht="15" customHeight="1">
      <c r="A4" s="65" t="s">
        <v>229</v>
      </c>
      <c r="B4" s="65" t="s">
        <v>230</v>
      </c>
      <c r="C4" s="66" t="s">
        <v>5345</v>
      </c>
      <c r="D4" s="67">
        <v>3</v>
      </c>
      <c r="E4" s="68"/>
      <c r="F4" s="69">
        <v>40</v>
      </c>
      <c r="G4" s="66"/>
      <c r="H4" s="70"/>
      <c r="I4" s="71"/>
      <c r="J4" s="71"/>
      <c r="K4" s="35" t="s">
        <v>66</v>
      </c>
      <c r="L4" s="79">
        <v>4</v>
      </c>
      <c r="M4" s="79"/>
      <c r="N4" s="73"/>
      <c r="O4" s="81" t="s">
        <v>760</v>
      </c>
      <c r="P4" s="81" t="s">
        <v>215</v>
      </c>
      <c r="Q4" s="84" t="s">
        <v>764</v>
      </c>
      <c r="R4" s="81" t="s">
        <v>229</v>
      </c>
      <c r="S4" s="81" t="s">
        <v>1558</v>
      </c>
      <c r="T4" s="86" t="str">
        <f>HYPERLINK("http://www.youtube.com/channel/UCWHsCW7mURDlrfTO_LyitwQ")</f>
        <v>http://www.youtube.com/channel/UCWHsCW7mURDlrfTO_LyitwQ</v>
      </c>
      <c r="U4" s="81"/>
      <c r="V4" s="81" t="s">
        <v>2306</v>
      </c>
      <c r="W4" s="86" t="str">
        <f>HYPERLINK("https://www.youtube.com/watch?v=-0Iauhp_Kug")</f>
        <v>https://www.youtube.com/watch?v=-0Iauhp_Kug</v>
      </c>
      <c r="X4" s="81" t="s">
        <v>2335</v>
      </c>
      <c r="Y4" s="81">
        <v>1</v>
      </c>
      <c r="Z4" s="88">
        <v>43895.37740740741</v>
      </c>
      <c r="AA4" s="88">
        <v>43895.37740740741</v>
      </c>
      <c r="AB4" s="81"/>
      <c r="AC4" s="81"/>
      <c r="AD4" s="84" t="s">
        <v>2782</v>
      </c>
      <c r="AE4" s="82">
        <v>1</v>
      </c>
      <c r="AF4" s="83" t="str">
        <f>REPLACE(INDEX(GroupVertices[Group],MATCH(Edges[[#This Row],[Vertex 1]],GroupVertices[Vertex],0)),1,1,"")</f>
        <v>5</v>
      </c>
      <c r="AG4" s="83" t="str">
        <f>REPLACE(INDEX(GroupVertices[Group],MATCH(Edges[[#This Row],[Vertex 2]],GroupVertices[Vertex],0)),1,1,"")</f>
        <v>5</v>
      </c>
      <c r="AH4" s="111">
        <v>2</v>
      </c>
      <c r="AI4" s="112">
        <v>15.384615384615385</v>
      </c>
      <c r="AJ4" s="111">
        <v>0</v>
      </c>
      <c r="AK4" s="112">
        <v>0</v>
      </c>
      <c r="AL4" s="111">
        <v>0</v>
      </c>
      <c r="AM4" s="112">
        <v>0</v>
      </c>
      <c r="AN4" s="111">
        <v>11</v>
      </c>
      <c r="AO4" s="112">
        <v>84.61538461538461</v>
      </c>
      <c r="AP4" s="111">
        <v>13</v>
      </c>
    </row>
    <row r="5" spans="1:42" ht="15">
      <c r="A5" s="65" t="s">
        <v>230</v>
      </c>
      <c r="B5" s="65" t="s">
        <v>231</v>
      </c>
      <c r="C5" s="66" t="s">
        <v>5345</v>
      </c>
      <c r="D5" s="67">
        <v>3</v>
      </c>
      <c r="E5" s="68"/>
      <c r="F5" s="69">
        <v>40</v>
      </c>
      <c r="G5" s="66"/>
      <c r="H5" s="70"/>
      <c r="I5" s="71"/>
      <c r="J5" s="71"/>
      <c r="K5" s="35" t="s">
        <v>66</v>
      </c>
      <c r="L5" s="79">
        <v>5</v>
      </c>
      <c r="M5" s="79"/>
      <c r="N5" s="73"/>
      <c r="O5" s="81" t="s">
        <v>761</v>
      </c>
      <c r="P5" s="81" t="s">
        <v>763</v>
      </c>
      <c r="Q5" s="84" t="s">
        <v>765</v>
      </c>
      <c r="R5" s="81" t="s">
        <v>230</v>
      </c>
      <c r="S5" s="81" t="s">
        <v>1559</v>
      </c>
      <c r="T5" s="86" t="str">
        <f>HYPERLINK("http://www.youtube.com/channel/UCbbx7msYKamwOeRUkaqCTAQ")</f>
        <v>http://www.youtube.com/channel/UCbbx7msYKamwOeRUkaqCTAQ</v>
      </c>
      <c r="U5" s="81" t="s">
        <v>2079</v>
      </c>
      <c r="V5" s="81" t="s">
        <v>2306</v>
      </c>
      <c r="W5" s="86" t="str">
        <f>HYPERLINK("https://www.youtube.com/watch?v=-0Iauhp_Kug")</f>
        <v>https://www.youtube.com/watch?v=-0Iauhp_Kug</v>
      </c>
      <c r="X5" s="81" t="s">
        <v>2335</v>
      </c>
      <c r="Y5" s="81">
        <v>0</v>
      </c>
      <c r="Z5" s="81" t="s">
        <v>2336</v>
      </c>
      <c r="AA5" s="81" t="s">
        <v>2336</v>
      </c>
      <c r="AB5" s="81"/>
      <c r="AC5" s="81"/>
      <c r="AD5" s="84" t="s">
        <v>2782</v>
      </c>
      <c r="AE5" s="82">
        <v>1</v>
      </c>
      <c r="AF5" s="83" t="str">
        <f>REPLACE(INDEX(GroupVertices[Group],MATCH(Edges[[#This Row],[Vertex 1]],GroupVertices[Vertex],0)),1,1,"")</f>
        <v>5</v>
      </c>
      <c r="AG5" s="83" t="str">
        <f>REPLACE(INDEX(GroupVertices[Group],MATCH(Edges[[#This Row],[Vertex 2]],GroupVertices[Vertex],0)),1,1,"")</f>
        <v>5</v>
      </c>
      <c r="AH5" s="111">
        <v>0</v>
      </c>
      <c r="AI5" s="112">
        <v>0</v>
      </c>
      <c r="AJ5" s="111">
        <v>0</v>
      </c>
      <c r="AK5" s="112">
        <v>0</v>
      </c>
      <c r="AL5" s="111">
        <v>0</v>
      </c>
      <c r="AM5" s="112">
        <v>0</v>
      </c>
      <c r="AN5" s="111">
        <v>3</v>
      </c>
      <c r="AO5" s="112">
        <v>100</v>
      </c>
      <c r="AP5" s="111">
        <v>3</v>
      </c>
    </row>
    <row r="6" spans="1:42" ht="15">
      <c r="A6" s="65" t="s">
        <v>231</v>
      </c>
      <c r="B6" s="65" t="s">
        <v>230</v>
      </c>
      <c r="C6" s="66" t="s">
        <v>5345</v>
      </c>
      <c r="D6" s="67">
        <v>3</v>
      </c>
      <c r="E6" s="68"/>
      <c r="F6" s="69">
        <v>40</v>
      </c>
      <c r="G6" s="66"/>
      <c r="H6" s="70"/>
      <c r="I6" s="71"/>
      <c r="J6" s="71"/>
      <c r="K6" s="35" t="s">
        <v>66</v>
      </c>
      <c r="L6" s="79">
        <v>6</v>
      </c>
      <c r="M6" s="79"/>
      <c r="N6" s="73"/>
      <c r="O6" s="81" t="s">
        <v>760</v>
      </c>
      <c r="P6" s="81" t="s">
        <v>215</v>
      </c>
      <c r="Q6" s="84" t="s">
        <v>766</v>
      </c>
      <c r="R6" s="81" t="s">
        <v>231</v>
      </c>
      <c r="S6" s="81" t="s">
        <v>1560</v>
      </c>
      <c r="T6" s="86" t="str">
        <f>HYPERLINK("http://www.youtube.com/channel/UCS4mJk0uW_RNzpuPcDTyD_g")</f>
        <v>http://www.youtube.com/channel/UCS4mJk0uW_RNzpuPcDTyD_g</v>
      </c>
      <c r="U6" s="81"/>
      <c r="V6" s="81" t="s">
        <v>2306</v>
      </c>
      <c r="W6" s="86" t="str">
        <f>HYPERLINK("https://www.youtube.com/watch?v=-0Iauhp_Kug")</f>
        <v>https://www.youtube.com/watch?v=-0Iauhp_Kug</v>
      </c>
      <c r="X6" s="81" t="s">
        <v>2335</v>
      </c>
      <c r="Y6" s="81">
        <v>1</v>
      </c>
      <c r="Z6" s="88">
        <v>43895.38363425926</v>
      </c>
      <c r="AA6" s="88">
        <v>43895.38363425926</v>
      </c>
      <c r="AB6" s="81"/>
      <c r="AC6" s="81"/>
      <c r="AD6" s="84" t="s">
        <v>2782</v>
      </c>
      <c r="AE6" s="82">
        <v>1</v>
      </c>
      <c r="AF6" s="83" t="str">
        <f>REPLACE(INDEX(GroupVertices[Group],MATCH(Edges[[#This Row],[Vertex 1]],GroupVertices[Vertex],0)),1,1,"")</f>
        <v>5</v>
      </c>
      <c r="AG6" s="83" t="str">
        <f>REPLACE(INDEX(GroupVertices[Group],MATCH(Edges[[#This Row],[Vertex 2]],GroupVertices[Vertex],0)),1,1,"")</f>
        <v>5</v>
      </c>
      <c r="AH6" s="111">
        <v>1</v>
      </c>
      <c r="AI6" s="112">
        <v>6.666666666666667</v>
      </c>
      <c r="AJ6" s="111">
        <v>0</v>
      </c>
      <c r="AK6" s="112">
        <v>0</v>
      </c>
      <c r="AL6" s="111">
        <v>0</v>
      </c>
      <c r="AM6" s="112">
        <v>0</v>
      </c>
      <c r="AN6" s="111">
        <v>14</v>
      </c>
      <c r="AO6" s="112">
        <v>93.33333333333333</v>
      </c>
      <c r="AP6" s="111">
        <v>15</v>
      </c>
    </row>
    <row r="7" spans="1:42" ht="15">
      <c r="A7" s="65" t="s">
        <v>230</v>
      </c>
      <c r="B7" s="65" t="s">
        <v>232</v>
      </c>
      <c r="C7" s="66" t="s">
        <v>5345</v>
      </c>
      <c r="D7" s="67">
        <v>3</v>
      </c>
      <c r="E7" s="68"/>
      <c r="F7" s="69">
        <v>40</v>
      </c>
      <c r="G7" s="66"/>
      <c r="H7" s="70"/>
      <c r="I7" s="71"/>
      <c r="J7" s="71"/>
      <c r="K7" s="35" t="s">
        <v>66</v>
      </c>
      <c r="L7" s="79">
        <v>7</v>
      </c>
      <c r="M7" s="79"/>
      <c r="N7" s="73"/>
      <c r="O7" s="81" t="s">
        <v>761</v>
      </c>
      <c r="P7" s="81" t="s">
        <v>763</v>
      </c>
      <c r="Q7" s="84" t="s">
        <v>767</v>
      </c>
      <c r="R7" s="81" t="s">
        <v>230</v>
      </c>
      <c r="S7" s="81" t="s">
        <v>1559</v>
      </c>
      <c r="T7" s="86" t="str">
        <f>HYPERLINK("http://www.youtube.com/channel/UCbbx7msYKamwOeRUkaqCTAQ")</f>
        <v>http://www.youtube.com/channel/UCbbx7msYKamwOeRUkaqCTAQ</v>
      </c>
      <c r="U7" s="81" t="s">
        <v>2080</v>
      </c>
      <c r="V7" s="81" t="s">
        <v>2306</v>
      </c>
      <c r="W7" s="86" t="str">
        <f>HYPERLINK("https://www.youtube.com/watch?v=-0Iauhp_Kug")</f>
        <v>https://www.youtube.com/watch?v=-0Iauhp_Kug</v>
      </c>
      <c r="X7" s="81" t="s">
        <v>2335</v>
      </c>
      <c r="Y7" s="81">
        <v>1</v>
      </c>
      <c r="Z7" s="88">
        <v>43926.445925925924</v>
      </c>
      <c r="AA7" s="88">
        <v>43926.445925925924</v>
      </c>
      <c r="AB7" s="81"/>
      <c r="AC7" s="81"/>
      <c r="AD7" s="84" t="s">
        <v>2782</v>
      </c>
      <c r="AE7" s="82">
        <v>1</v>
      </c>
      <c r="AF7" s="83" t="str">
        <f>REPLACE(INDEX(GroupVertices[Group],MATCH(Edges[[#This Row],[Vertex 1]],GroupVertices[Vertex],0)),1,1,"")</f>
        <v>5</v>
      </c>
      <c r="AG7" s="83" t="str">
        <f>REPLACE(INDEX(GroupVertices[Group],MATCH(Edges[[#This Row],[Vertex 2]],GroupVertices[Vertex],0)),1,1,"")</f>
        <v>5</v>
      </c>
      <c r="AH7" s="111">
        <v>1</v>
      </c>
      <c r="AI7" s="112">
        <v>25</v>
      </c>
      <c r="AJ7" s="111">
        <v>0</v>
      </c>
      <c r="AK7" s="112">
        <v>0</v>
      </c>
      <c r="AL7" s="111">
        <v>0</v>
      </c>
      <c r="AM7" s="112">
        <v>0</v>
      </c>
      <c r="AN7" s="111">
        <v>3</v>
      </c>
      <c r="AO7" s="112">
        <v>75</v>
      </c>
      <c r="AP7" s="111">
        <v>4</v>
      </c>
    </row>
    <row r="8" spans="1:42" ht="15">
      <c r="A8" s="65" t="s">
        <v>232</v>
      </c>
      <c r="B8" s="65" t="s">
        <v>230</v>
      </c>
      <c r="C8" s="66" t="s">
        <v>5345</v>
      </c>
      <c r="D8" s="67">
        <v>3</v>
      </c>
      <c r="E8" s="68"/>
      <c r="F8" s="69">
        <v>40</v>
      </c>
      <c r="G8" s="66"/>
      <c r="H8" s="70"/>
      <c r="I8" s="71"/>
      <c r="J8" s="71"/>
      <c r="K8" s="35" t="s">
        <v>66</v>
      </c>
      <c r="L8" s="79">
        <v>8</v>
      </c>
      <c r="M8" s="79"/>
      <c r="N8" s="73"/>
      <c r="O8" s="81" t="s">
        <v>760</v>
      </c>
      <c r="P8" s="81" t="s">
        <v>215</v>
      </c>
      <c r="Q8" s="84" t="s">
        <v>768</v>
      </c>
      <c r="R8" s="81" t="s">
        <v>232</v>
      </c>
      <c r="S8" s="81" t="s">
        <v>1561</v>
      </c>
      <c r="T8" s="86" t="str">
        <f>HYPERLINK("http://www.youtube.com/channel/UC-8ZIiAhTcqRp-3qg0-lc5w")</f>
        <v>http://www.youtube.com/channel/UC-8ZIiAhTcqRp-3qg0-lc5w</v>
      </c>
      <c r="U8" s="81"/>
      <c r="V8" s="81" t="s">
        <v>2306</v>
      </c>
      <c r="W8" s="86" t="str">
        <f>HYPERLINK("https://www.youtube.com/watch?v=-0Iauhp_Kug")</f>
        <v>https://www.youtube.com/watch?v=-0Iauhp_Kug</v>
      </c>
      <c r="X8" s="81" t="s">
        <v>2335</v>
      </c>
      <c r="Y8" s="81">
        <v>2</v>
      </c>
      <c r="Z8" s="88">
        <v>43895.384375</v>
      </c>
      <c r="AA8" s="88">
        <v>43895.384375</v>
      </c>
      <c r="AB8" s="81"/>
      <c r="AC8" s="81"/>
      <c r="AD8" s="84" t="s">
        <v>2782</v>
      </c>
      <c r="AE8" s="82">
        <v>1</v>
      </c>
      <c r="AF8" s="83" t="str">
        <f>REPLACE(INDEX(GroupVertices[Group],MATCH(Edges[[#This Row],[Vertex 1]],GroupVertices[Vertex],0)),1,1,"")</f>
        <v>5</v>
      </c>
      <c r="AG8" s="83" t="str">
        <f>REPLACE(INDEX(GroupVertices[Group],MATCH(Edges[[#This Row],[Vertex 2]],GroupVertices[Vertex],0)),1,1,"")</f>
        <v>5</v>
      </c>
      <c r="AH8" s="111">
        <v>4</v>
      </c>
      <c r="AI8" s="112">
        <v>33.333333333333336</v>
      </c>
      <c r="AJ8" s="111">
        <v>0</v>
      </c>
      <c r="AK8" s="112">
        <v>0</v>
      </c>
      <c r="AL8" s="111">
        <v>0</v>
      </c>
      <c r="AM8" s="112">
        <v>0</v>
      </c>
      <c r="AN8" s="111">
        <v>8</v>
      </c>
      <c r="AO8" s="112">
        <v>66.66666666666667</v>
      </c>
      <c r="AP8" s="111">
        <v>12</v>
      </c>
    </row>
    <row r="9" spans="1:42" ht="15">
      <c r="A9" s="65" t="s">
        <v>230</v>
      </c>
      <c r="B9" s="65" t="s">
        <v>233</v>
      </c>
      <c r="C9" s="66" t="s">
        <v>5345</v>
      </c>
      <c r="D9" s="67">
        <v>3</v>
      </c>
      <c r="E9" s="68"/>
      <c r="F9" s="69">
        <v>40</v>
      </c>
      <c r="G9" s="66"/>
      <c r="H9" s="70"/>
      <c r="I9" s="71"/>
      <c r="J9" s="71"/>
      <c r="K9" s="35" t="s">
        <v>66</v>
      </c>
      <c r="L9" s="79">
        <v>9</v>
      </c>
      <c r="M9" s="79"/>
      <c r="N9" s="73"/>
      <c r="O9" s="81" t="s">
        <v>761</v>
      </c>
      <c r="P9" s="81" t="s">
        <v>763</v>
      </c>
      <c r="Q9" s="84" t="s">
        <v>769</v>
      </c>
      <c r="R9" s="81" t="s">
        <v>230</v>
      </c>
      <c r="S9" s="81" t="s">
        <v>1559</v>
      </c>
      <c r="T9" s="86" t="str">
        <f>HYPERLINK("http://www.youtube.com/channel/UCbbx7msYKamwOeRUkaqCTAQ")</f>
        <v>http://www.youtube.com/channel/UCbbx7msYKamwOeRUkaqCTAQ</v>
      </c>
      <c r="U9" s="81" t="s">
        <v>2081</v>
      </c>
      <c r="V9" s="81" t="s">
        <v>2306</v>
      </c>
      <c r="W9" s="86" t="str">
        <f>HYPERLINK("https://www.youtube.com/watch?v=-0Iauhp_Kug")</f>
        <v>https://www.youtube.com/watch?v=-0Iauhp_Kug</v>
      </c>
      <c r="X9" s="81" t="s">
        <v>2335</v>
      </c>
      <c r="Y9" s="81">
        <v>0</v>
      </c>
      <c r="Z9" s="88">
        <v>44170.93780092592</v>
      </c>
      <c r="AA9" s="88">
        <v>44170.93780092592</v>
      </c>
      <c r="AB9" s="81"/>
      <c r="AC9" s="81"/>
      <c r="AD9" s="84" t="s">
        <v>2782</v>
      </c>
      <c r="AE9" s="82">
        <v>1</v>
      </c>
      <c r="AF9" s="83" t="str">
        <f>REPLACE(INDEX(GroupVertices[Group],MATCH(Edges[[#This Row],[Vertex 1]],GroupVertices[Vertex],0)),1,1,"")</f>
        <v>5</v>
      </c>
      <c r="AG9" s="83" t="str">
        <f>REPLACE(INDEX(GroupVertices[Group],MATCH(Edges[[#This Row],[Vertex 2]],GroupVertices[Vertex],0)),1,1,"")</f>
        <v>5</v>
      </c>
      <c r="AH9" s="111">
        <v>0</v>
      </c>
      <c r="AI9" s="112">
        <v>0</v>
      </c>
      <c r="AJ9" s="111">
        <v>0</v>
      </c>
      <c r="AK9" s="112">
        <v>0</v>
      </c>
      <c r="AL9" s="111">
        <v>0</v>
      </c>
      <c r="AM9" s="112">
        <v>0</v>
      </c>
      <c r="AN9" s="111">
        <v>1</v>
      </c>
      <c r="AO9" s="112">
        <v>100</v>
      </c>
      <c r="AP9" s="111">
        <v>1</v>
      </c>
    </row>
    <row r="10" spans="1:42" ht="15">
      <c r="A10" s="65" t="s">
        <v>233</v>
      </c>
      <c r="B10" s="65" t="s">
        <v>230</v>
      </c>
      <c r="C10" s="66" t="s">
        <v>5345</v>
      </c>
      <c r="D10" s="67">
        <v>3</v>
      </c>
      <c r="E10" s="68"/>
      <c r="F10" s="69">
        <v>40</v>
      </c>
      <c r="G10" s="66"/>
      <c r="H10" s="70"/>
      <c r="I10" s="71"/>
      <c r="J10" s="71"/>
      <c r="K10" s="35" t="s">
        <v>66</v>
      </c>
      <c r="L10" s="79">
        <v>10</v>
      </c>
      <c r="M10" s="79"/>
      <c r="N10" s="73"/>
      <c r="O10" s="81" t="s">
        <v>760</v>
      </c>
      <c r="P10" s="81" t="s">
        <v>215</v>
      </c>
      <c r="Q10" s="84" t="s">
        <v>770</v>
      </c>
      <c r="R10" s="81" t="s">
        <v>233</v>
      </c>
      <c r="S10" s="81" t="s">
        <v>1562</v>
      </c>
      <c r="T10" s="86" t="str">
        <f>HYPERLINK("http://www.youtube.com/channel/UCuH63tK9Tl4UmYP5Spj8Ltw")</f>
        <v>http://www.youtube.com/channel/UCuH63tK9Tl4UmYP5Spj8Ltw</v>
      </c>
      <c r="U10" s="81"/>
      <c r="V10" s="81" t="s">
        <v>2306</v>
      </c>
      <c r="W10" s="86" t="str">
        <f>HYPERLINK("https://www.youtube.com/watch?v=-0Iauhp_Kug")</f>
        <v>https://www.youtube.com/watch?v=-0Iauhp_Kug</v>
      </c>
      <c r="X10" s="81" t="s">
        <v>2335</v>
      </c>
      <c r="Y10" s="81">
        <v>1</v>
      </c>
      <c r="Z10" s="88">
        <v>43895.387824074074</v>
      </c>
      <c r="AA10" s="88">
        <v>43895.387824074074</v>
      </c>
      <c r="AB10" s="81"/>
      <c r="AC10" s="81"/>
      <c r="AD10" s="84" t="s">
        <v>2782</v>
      </c>
      <c r="AE10" s="82">
        <v>1</v>
      </c>
      <c r="AF10" s="83" t="str">
        <f>REPLACE(INDEX(GroupVertices[Group],MATCH(Edges[[#This Row],[Vertex 1]],GroupVertices[Vertex],0)),1,1,"")</f>
        <v>5</v>
      </c>
      <c r="AG10" s="83" t="str">
        <f>REPLACE(INDEX(GroupVertices[Group],MATCH(Edges[[#This Row],[Vertex 2]],GroupVertices[Vertex],0)),1,1,"")</f>
        <v>5</v>
      </c>
      <c r="AH10" s="111">
        <v>1</v>
      </c>
      <c r="AI10" s="112">
        <v>33.333333333333336</v>
      </c>
      <c r="AJ10" s="111">
        <v>0</v>
      </c>
      <c r="AK10" s="112">
        <v>0</v>
      </c>
      <c r="AL10" s="111">
        <v>0</v>
      </c>
      <c r="AM10" s="112">
        <v>0</v>
      </c>
      <c r="AN10" s="111">
        <v>2</v>
      </c>
      <c r="AO10" s="112">
        <v>66.66666666666667</v>
      </c>
      <c r="AP10" s="111">
        <v>3</v>
      </c>
    </row>
    <row r="11" spans="1:42" ht="15">
      <c r="A11" s="65" t="s">
        <v>230</v>
      </c>
      <c r="B11" s="65" t="s">
        <v>234</v>
      </c>
      <c r="C11" s="66" t="s">
        <v>5345</v>
      </c>
      <c r="D11" s="67">
        <v>3</v>
      </c>
      <c r="E11" s="68"/>
      <c r="F11" s="69">
        <v>40</v>
      </c>
      <c r="G11" s="66"/>
      <c r="H11" s="70"/>
      <c r="I11" s="71"/>
      <c r="J11" s="71"/>
      <c r="K11" s="35" t="s">
        <v>66</v>
      </c>
      <c r="L11" s="79">
        <v>11</v>
      </c>
      <c r="M11" s="79"/>
      <c r="N11" s="73"/>
      <c r="O11" s="81" t="s">
        <v>761</v>
      </c>
      <c r="P11" s="81" t="s">
        <v>763</v>
      </c>
      <c r="Q11" s="84" t="s">
        <v>771</v>
      </c>
      <c r="R11" s="81" t="s">
        <v>230</v>
      </c>
      <c r="S11" s="81" t="s">
        <v>1559</v>
      </c>
      <c r="T11" s="86" t="str">
        <f>HYPERLINK("http://www.youtube.com/channel/UCbbx7msYKamwOeRUkaqCTAQ")</f>
        <v>http://www.youtube.com/channel/UCbbx7msYKamwOeRUkaqCTAQ</v>
      </c>
      <c r="U11" s="81" t="s">
        <v>2082</v>
      </c>
      <c r="V11" s="81" t="s">
        <v>2306</v>
      </c>
      <c r="W11" s="86" t="str">
        <f>HYPERLINK("https://www.youtube.com/watch?v=-0Iauhp_Kug")</f>
        <v>https://www.youtube.com/watch?v=-0Iauhp_Kug</v>
      </c>
      <c r="X11" s="81" t="s">
        <v>2335</v>
      </c>
      <c r="Y11" s="81">
        <v>0</v>
      </c>
      <c r="Z11" s="88">
        <v>43926.44582175926</v>
      </c>
      <c r="AA11" s="88">
        <v>43926.44582175926</v>
      </c>
      <c r="AB11" s="81"/>
      <c r="AC11" s="81"/>
      <c r="AD11" s="84" t="s">
        <v>2782</v>
      </c>
      <c r="AE11" s="82">
        <v>1</v>
      </c>
      <c r="AF11" s="83" t="str">
        <f>REPLACE(INDEX(GroupVertices[Group],MATCH(Edges[[#This Row],[Vertex 1]],GroupVertices[Vertex],0)),1,1,"")</f>
        <v>5</v>
      </c>
      <c r="AG11" s="83" t="str">
        <f>REPLACE(INDEX(GroupVertices[Group],MATCH(Edges[[#This Row],[Vertex 2]],GroupVertices[Vertex],0)),1,1,"")</f>
        <v>5</v>
      </c>
      <c r="AH11" s="111">
        <v>1</v>
      </c>
      <c r="AI11" s="112">
        <v>3.125</v>
      </c>
      <c r="AJ11" s="111">
        <v>0</v>
      </c>
      <c r="AK11" s="112">
        <v>0</v>
      </c>
      <c r="AL11" s="111">
        <v>0</v>
      </c>
      <c r="AM11" s="112">
        <v>0</v>
      </c>
      <c r="AN11" s="111">
        <v>31</v>
      </c>
      <c r="AO11" s="112">
        <v>96.875</v>
      </c>
      <c r="AP11" s="111">
        <v>32</v>
      </c>
    </row>
    <row r="12" spans="1:42" ht="15">
      <c r="A12" s="65" t="s">
        <v>234</v>
      </c>
      <c r="B12" s="65" t="s">
        <v>230</v>
      </c>
      <c r="C12" s="66" t="s">
        <v>5345</v>
      </c>
      <c r="D12" s="67">
        <v>3</v>
      </c>
      <c r="E12" s="68"/>
      <c r="F12" s="69">
        <v>40</v>
      </c>
      <c r="G12" s="66"/>
      <c r="H12" s="70"/>
      <c r="I12" s="71"/>
      <c r="J12" s="71"/>
      <c r="K12" s="35" t="s">
        <v>66</v>
      </c>
      <c r="L12" s="79">
        <v>12</v>
      </c>
      <c r="M12" s="79"/>
      <c r="N12" s="73"/>
      <c r="O12" s="81" t="s">
        <v>760</v>
      </c>
      <c r="P12" s="81" t="s">
        <v>215</v>
      </c>
      <c r="Q12" s="84" t="s">
        <v>772</v>
      </c>
      <c r="R12" s="81" t="s">
        <v>234</v>
      </c>
      <c r="S12" s="81" t="s">
        <v>1563</v>
      </c>
      <c r="T12" s="86" t="str">
        <f>HYPERLINK("http://www.youtube.com/channel/UC04EJMixTu9-xpNfxLeEpYg")</f>
        <v>http://www.youtube.com/channel/UC04EJMixTu9-xpNfxLeEpYg</v>
      </c>
      <c r="U12" s="81"/>
      <c r="V12" s="81" t="s">
        <v>2306</v>
      </c>
      <c r="W12" s="86" t="str">
        <f>HYPERLINK("https://www.youtube.com/watch?v=-0Iauhp_Kug")</f>
        <v>https://www.youtube.com/watch?v=-0Iauhp_Kug</v>
      </c>
      <c r="X12" s="81" t="s">
        <v>2335</v>
      </c>
      <c r="Y12" s="81">
        <v>2</v>
      </c>
      <c r="Z12" s="88">
        <v>43895.391180555554</v>
      </c>
      <c r="AA12" s="88">
        <v>43895.391180555554</v>
      </c>
      <c r="AB12" s="81"/>
      <c r="AC12" s="81"/>
      <c r="AD12" s="84" t="s">
        <v>2782</v>
      </c>
      <c r="AE12" s="82">
        <v>1</v>
      </c>
      <c r="AF12" s="83" t="str">
        <f>REPLACE(INDEX(GroupVertices[Group],MATCH(Edges[[#This Row],[Vertex 1]],GroupVertices[Vertex],0)),1,1,"")</f>
        <v>5</v>
      </c>
      <c r="AG12" s="83" t="str">
        <f>REPLACE(INDEX(GroupVertices[Group],MATCH(Edges[[#This Row],[Vertex 2]],GroupVertices[Vertex],0)),1,1,"")</f>
        <v>5</v>
      </c>
      <c r="AH12" s="111">
        <v>2</v>
      </c>
      <c r="AI12" s="112">
        <v>7.407407407407407</v>
      </c>
      <c r="AJ12" s="111">
        <v>0</v>
      </c>
      <c r="AK12" s="112">
        <v>0</v>
      </c>
      <c r="AL12" s="111">
        <v>0</v>
      </c>
      <c r="AM12" s="112">
        <v>0</v>
      </c>
      <c r="AN12" s="111">
        <v>25</v>
      </c>
      <c r="AO12" s="112">
        <v>92.5925925925926</v>
      </c>
      <c r="AP12" s="111">
        <v>27</v>
      </c>
    </row>
    <row r="13" spans="1:42" ht="15">
      <c r="A13" s="65" t="s">
        <v>230</v>
      </c>
      <c r="B13" s="65" t="s">
        <v>235</v>
      </c>
      <c r="C13" s="66" t="s">
        <v>5345</v>
      </c>
      <c r="D13" s="67">
        <v>3</v>
      </c>
      <c r="E13" s="68"/>
      <c r="F13" s="69">
        <v>40</v>
      </c>
      <c r="G13" s="66"/>
      <c r="H13" s="70"/>
      <c r="I13" s="71"/>
      <c r="J13" s="71"/>
      <c r="K13" s="35" t="s">
        <v>66</v>
      </c>
      <c r="L13" s="79">
        <v>13</v>
      </c>
      <c r="M13" s="79"/>
      <c r="N13" s="73"/>
      <c r="O13" s="81" t="s">
        <v>761</v>
      </c>
      <c r="P13" s="81" t="s">
        <v>763</v>
      </c>
      <c r="Q13" s="84" t="s">
        <v>765</v>
      </c>
      <c r="R13" s="81" t="s">
        <v>230</v>
      </c>
      <c r="S13" s="81" t="s">
        <v>1559</v>
      </c>
      <c r="T13" s="86" t="str">
        <f>HYPERLINK("http://www.youtube.com/channel/UCbbx7msYKamwOeRUkaqCTAQ")</f>
        <v>http://www.youtube.com/channel/UCbbx7msYKamwOeRUkaqCTAQ</v>
      </c>
      <c r="U13" s="81" t="s">
        <v>2083</v>
      </c>
      <c r="V13" s="81" t="s">
        <v>2306</v>
      </c>
      <c r="W13" s="86" t="str">
        <f>HYPERLINK("https://www.youtube.com/watch?v=-0Iauhp_Kug")</f>
        <v>https://www.youtube.com/watch?v=-0Iauhp_Kug</v>
      </c>
      <c r="X13" s="81" t="s">
        <v>2335</v>
      </c>
      <c r="Y13" s="81">
        <v>0</v>
      </c>
      <c r="Z13" s="88">
        <v>44170.93746527778</v>
      </c>
      <c r="AA13" s="88">
        <v>44170.93746527778</v>
      </c>
      <c r="AB13" s="81"/>
      <c r="AC13" s="81"/>
      <c r="AD13" s="84" t="s">
        <v>2782</v>
      </c>
      <c r="AE13" s="82">
        <v>1</v>
      </c>
      <c r="AF13" s="83" t="str">
        <f>REPLACE(INDEX(GroupVertices[Group],MATCH(Edges[[#This Row],[Vertex 1]],GroupVertices[Vertex],0)),1,1,"")</f>
        <v>5</v>
      </c>
      <c r="AG13" s="83" t="str">
        <f>REPLACE(INDEX(GroupVertices[Group],MATCH(Edges[[#This Row],[Vertex 2]],GroupVertices[Vertex],0)),1,1,"")</f>
        <v>5</v>
      </c>
      <c r="AH13" s="111">
        <v>0</v>
      </c>
      <c r="AI13" s="112">
        <v>0</v>
      </c>
      <c r="AJ13" s="111">
        <v>0</v>
      </c>
      <c r="AK13" s="112">
        <v>0</v>
      </c>
      <c r="AL13" s="111">
        <v>0</v>
      </c>
      <c r="AM13" s="112">
        <v>0</v>
      </c>
      <c r="AN13" s="111">
        <v>3</v>
      </c>
      <c r="AO13" s="112">
        <v>100</v>
      </c>
      <c r="AP13" s="111">
        <v>3</v>
      </c>
    </row>
    <row r="14" spans="1:42" ht="15">
      <c r="A14" s="65" t="s">
        <v>235</v>
      </c>
      <c r="B14" s="65" t="s">
        <v>230</v>
      </c>
      <c r="C14" s="66" t="s">
        <v>5345</v>
      </c>
      <c r="D14" s="67">
        <v>3</v>
      </c>
      <c r="E14" s="68"/>
      <c r="F14" s="69">
        <v>40</v>
      </c>
      <c r="G14" s="66"/>
      <c r="H14" s="70"/>
      <c r="I14" s="71"/>
      <c r="J14" s="71"/>
      <c r="K14" s="35" t="s">
        <v>66</v>
      </c>
      <c r="L14" s="79">
        <v>14</v>
      </c>
      <c r="M14" s="79"/>
      <c r="N14" s="73"/>
      <c r="O14" s="81" t="s">
        <v>760</v>
      </c>
      <c r="P14" s="81" t="s">
        <v>215</v>
      </c>
      <c r="Q14" s="84" t="s">
        <v>773</v>
      </c>
      <c r="R14" s="81" t="s">
        <v>235</v>
      </c>
      <c r="S14" s="81" t="s">
        <v>1564</v>
      </c>
      <c r="T14" s="86" t="str">
        <f>HYPERLINK("http://www.youtube.com/channel/UCjPlQsuslEAH_4AxlYT0eKQ")</f>
        <v>http://www.youtube.com/channel/UCjPlQsuslEAH_4AxlYT0eKQ</v>
      </c>
      <c r="U14" s="81"/>
      <c r="V14" s="81" t="s">
        <v>2306</v>
      </c>
      <c r="W14" s="86" t="str">
        <f>HYPERLINK("https://www.youtube.com/watch?v=-0Iauhp_Kug")</f>
        <v>https://www.youtube.com/watch?v=-0Iauhp_Kug</v>
      </c>
      <c r="X14" s="81" t="s">
        <v>2335</v>
      </c>
      <c r="Y14" s="81">
        <v>1</v>
      </c>
      <c r="Z14" s="88">
        <v>43895.43111111111</v>
      </c>
      <c r="AA14" s="88">
        <v>43895.43111111111</v>
      </c>
      <c r="AB14" s="81"/>
      <c r="AC14" s="81"/>
      <c r="AD14" s="84" t="s">
        <v>2782</v>
      </c>
      <c r="AE14" s="82">
        <v>1</v>
      </c>
      <c r="AF14" s="83" t="str">
        <f>REPLACE(INDEX(GroupVertices[Group],MATCH(Edges[[#This Row],[Vertex 1]],GroupVertices[Vertex],0)),1,1,"")</f>
        <v>5</v>
      </c>
      <c r="AG14" s="83" t="str">
        <f>REPLACE(INDEX(GroupVertices[Group],MATCH(Edges[[#This Row],[Vertex 2]],GroupVertices[Vertex],0)),1,1,"")</f>
        <v>5</v>
      </c>
      <c r="AH14" s="111">
        <v>1</v>
      </c>
      <c r="AI14" s="112">
        <v>8.333333333333334</v>
      </c>
      <c r="AJ14" s="111">
        <v>1</v>
      </c>
      <c r="AK14" s="112">
        <v>8.333333333333334</v>
      </c>
      <c r="AL14" s="111">
        <v>0</v>
      </c>
      <c r="AM14" s="112">
        <v>0</v>
      </c>
      <c r="AN14" s="111">
        <v>10</v>
      </c>
      <c r="AO14" s="112">
        <v>83.33333333333333</v>
      </c>
      <c r="AP14" s="111">
        <v>12</v>
      </c>
    </row>
    <row r="15" spans="1:42" ht="15">
      <c r="A15" s="65" t="s">
        <v>230</v>
      </c>
      <c r="B15" s="65" t="s">
        <v>236</v>
      </c>
      <c r="C15" s="66" t="s">
        <v>5345</v>
      </c>
      <c r="D15" s="67">
        <v>3</v>
      </c>
      <c r="E15" s="68"/>
      <c r="F15" s="69">
        <v>40</v>
      </c>
      <c r="G15" s="66"/>
      <c r="H15" s="70"/>
      <c r="I15" s="71"/>
      <c r="J15" s="71"/>
      <c r="K15" s="35" t="s">
        <v>66</v>
      </c>
      <c r="L15" s="79">
        <v>15</v>
      </c>
      <c r="M15" s="79"/>
      <c r="N15" s="73"/>
      <c r="O15" s="81" t="s">
        <v>761</v>
      </c>
      <c r="P15" s="81" t="s">
        <v>763</v>
      </c>
      <c r="Q15" s="84" t="s">
        <v>774</v>
      </c>
      <c r="R15" s="81" t="s">
        <v>230</v>
      </c>
      <c r="S15" s="81" t="s">
        <v>1559</v>
      </c>
      <c r="T15" s="86" t="str">
        <f>HYPERLINK("http://www.youtube.com/channel/UCbbx7msYKamwOeRUkaqCTAQ")</f>
        <v>http://www.youtube.com/channel/UCbbx7msYKamwOeRUkaqCTAQ</v>
      </c>
      <c r="U15" s="81" t="s">
        <v>2084</v>
      </c>
      <c r="V15" s="81" t="s">
        <v>2306</v>
      </c>
      <c r="W15" s="86" t="str">
        <f>HYPERLINK("https://www.youtube.com/watch?v=-0Iauhp_Kug")</f>
        <v>https://www.youtube.com/watch?v=-0Iauhp_Kug</v>
      </c>
      <c r="X15" s="81" t="s">
        <v>2335</v>
      </c>
      <c r="Y15" s="81">
        <v>1</v>
      </c>
      <c r="Z15" s="88">
        <v>44170.93734953704</v>
      </c>
      <c r="AA15" s="88">
        <v>44170.93734953704</v>
      </c>
      <c r="AB15" s="81"/>
      <c r="AC15" s="81"/>
      <c r="AD15" s="84" t="s">
        <v>2782</v>
      </c>
      <c r="AE15" s="82">
        <v>1</v>
      </c>
      <c r="AF15" s="83" t="str">
        <f>REPLACE(INDEX(GroupVertices[Group],MATCH(Edges[[#This Row],[Vertex 1]],GroupVertices[Vertex],0)),1,1,"")</f>
        <v>5</v>
      </c>
      <c r="AG15" s="83" t="str">
        <f>REPLACE(INDEX(GroupVertices[Group],MATCH(Edges[[#This Row],[Vertex 2]],GroupVertices[Vertex],0)),1,1,"")</f>
        <v>5</v>
      </c>
      <c r="AH15" s="111">
        <v>1</v>
      </c>
      <c r="AI15" s="112">
        <v>7.6923076923076925</v>
      </c>
      <c r="AJ15" s="111">
        <v>0</v>
      </c>
      <c r="AK15" s="112">
        <v>0</v>
      </c>
      <c r="AL15" s="111">
        <v>0</v>
      </c>
      <c r="AM15" s="112">
        <v>0</v>
      </c>
      <c r="AN15" s="111">
        <v>12</v>
      </c>
      <c r="AO15" s="112">
        <v>92.3076923076923</v>
      </c>
      <c r="AP15" s="111">
        <v>13</v>
      </c>
    </row>
    <row r="16" spans="1:42" ht="15">
      <c r="A16" s="65" t="s">
        <v>236</v>
      </c>
      <c r="B16" s="65" t="s">
        <v>230</v>
      </c>
      <c r="C16" s="66" t="s">
        <v>5345</v>
      </c>
      <c r="D16" s="67">
        <v>3</v>
      </c>
      <c r="E16" s="68"/>
      <c r="F16" s="69">
        <v>40</v>
      </c>
      <c r="G16" s="66"/>
      <c r="H16" s="70"/>
      <c r="I16" s="71"/>
      <c r="J16" s="71"/>
      <c r="K16" s="35" t="s">
        <v>66</v>
      </c>
      <c r="L16" s="79">
        <v>16</v>
      </c>
      <c r="M16" s="79"/>
      <c r="N16" s="73"/>
      <c r="O16" s="81" t="s">
        <v>760</v>
      </c>
      <c r="P16" s="81" t="s">
        <v>215</v>
      </c>
      <c r="Q16" s="84" t="s">
        <v>775</v>
      </c>
      <c r="R16" s="81" t="s">
        <v>236</v>
      </c>
      <c r="S16" s="81" t="s">
        <v>1565</v>
      </c>
      <c r="T16" s="86" t="str">
        <f>HYPERLINK("http://www.youtube.com/channel/UCVdMMs0ti6ZLsVs4cP6PNZw")</f>
        <v>http://www.youtube.com/channel/UCVdMMs0ti6ZLsVs4cP6PNZw</v>
      </c>
      <c r="U16" s="81"/>
      <c r="V16" s="81" t="s">
        <v>2306</v>
      </c>
      <c r="W16" s="86" t="str">
        <f>HYPERLINK("https://www.youtube.com/watch?v=-0Iauhp_Kug")</f>
        <v>https://www.youtube.com/watch?v=-0Iauhp_Kug</v>
      </c>
      <c r="X16" s="81" t="s">
        <v>2335</v>
      </c>
      <c r="Y16" s="81">
        <v>1</v>
      </c>
      <c r="Z16" s="88">
        <v>43895.47584490741</v>
      </c>
      <c r="AA16" s="88">
        <v>43895.47584490741</v>
      </c>
      <c r="AB16" s="81"/>
      <c r="AC16" s="81"/>
      <c r="AD16" s="84" t="s">
        <v>2782</v>
      </c>
      <c r="AE16" s="82">
        <v>1</v>
      </c>
      <c r="AF16" s="83" t="str">
        <f>REPLACE(INDEX(GroupVertices[Group],MATCH(Edges[[#This Row],[Vertex 1]],GroupVertices[Vertex],0)),1,1,"")</f>
        <v>5</v>
      </c>
      <c r="AG16" s="83" t="str">
        <f>REPLACE(INDEX(GroupVertices[Group],MATCH(Edges[[#This Row],[Vertex 2]],GroupVertices[Vertex],0)),1,1,"")</f>
        <v>5</v>
      </c>
      <c r="AH16" s="111">
        <v>1</v>
      </c>
      <c r="AI16" s="112">
        <v>11.11111111111111</v>
      </c>
      <c r="AJ16" s="111">
        <v>0</v>
      </c>
      <c r="AK16" s="112">
        <v>0</v>
      </c>
      <c r="AL16" s="111">
        <v>0</v>
      </c>
      <c r="AM16" s="112">
        <v>0</v>
      </c>
      <c r="AN16" s="111">
        <v>8</v>
      </c>
      <c r="AO16" s="112">
        <v>88.88888888888889</v>
      </c>
      <c r="AP16" s="111">
        <v>9</v>
      </c>
    </row>
    <row r="17" spans="1:42" ht="15">
      <c r="A17" s="65" t="s">
        <v>230</v>
      </c>
      <c r="B17" s="65" t="s">
        <v>237</v>
      </c>
      <c r="C17" s="66" t="s">
        <v>5345</v>
      </c>
      <c r="D17" s="67">
        <v>3</v>
      </c>
      <c r="E17" s="68"/>
      <c r="F17" s="69">
        <v>40</v>
      </c>
      <c r="G17" s="66"/>
      <c r="H17" s="70"/>
      <c r="I17" s="71"/>
      <c r="J17" s="71"/>
      <c r="K17" s="35" t="s">
        <v>66</v>
      </c>
      <c r="L17" s="79">
        <v>17</v>
      </c>
      <c r="M17" s="79"/>
      <c r="N17" s="73"/>
      <c r="O17" s="81" t="s">
        <v>761</v>
      </c>
      <c r="P17" s="81" t="s">
        <v>763</v>
      </c>
      <c r="Q17" s="84" t="s">
        <v>776</v>
      </c>
      <c r="R17" s="81" t="s">
        <v>230</v>
      </c>
      <c r="S17" s="81" t="s">
        <v>1559</v>
      </c>
      <c r="T17" s="86" t="str">
        <f>HYPERLINK("http://www.youtube.com/channel/UCbbx7msYKamwOeRUkaqCTAQ")</f>
        <v>http://www.youtube.com/channel/UCbbx7msYKamwOeRUkaqCTAQ</v>
      </c>
      <c r="U17" s="81" t="s">
        <v>2085</v>
      </c>
      <c r="V17" s="81" t="s">
        <v>2306</v>
      </c>
      <c r="W17" s="86" t="str">
        <f>HYPERLINK("https://www.youtube.com/watch?v=-0Iauhp_Kug")</f>
        <v>https://www.youtube.com/watch?v=-0Iauhp_Kug</v>
      </c>
      <c r="X17" s="81" t="s">
        <v>2335</v>
      </c>
      <c r="Y17" s="81">
        <v>0</v>
      </c>
      <c r="Z17" s="88">
        <v>44170.93640046296</v>
      </c>
      <c r="AA17" s="88">
        <v>44170.93640046296</v>
      </c>
      <c r="AB17" s="81"/>
      <c r="AC17" s="81"/>
      <c r="AD17" s="84" t="s">
        <v>2782</v>
      </c>
      <c r="AE17" s="82">
        <v>1</v>
      </c>
      <c r="AF17" s="83" t="str">
        <f>REPLACE(INDEX(GroupVertices[Group],MATCH(Edges[[#This Row],[Vertex 1]],GroupVertices[Vertex],0)),1,1,"")</f>
        <v>5</v>
      </c>
      <c r="AG17" s="83" t="str">
        <f>REPLACE(INDEX(GroupVertices[Group],MATCH(Edges[[#This Row],[Vertex 2]],GroupVertices[Vertex],0)),1,1,"")</f>
        <v>5</v>
      </c>
      <c r="AH17" s="111">
        <v>1</v>
      </c>
      <c r="AI17" s="112">
        <v>25</v>
      </c>
      <c r="AJ17" s="111">
        <v>0</v>
      </c>
      <c r="AK17" s="112">
        <v>0</v>
      </c>
      <c r="AL17" s="111">
        <v>0</v>
      </c>
      <c r="AM17" s="112">
        <v>0</v>
      </c>
      <c r="AN17" s="111">
        <v>3</v>
      </c>
      <c r="AO17" s="112">
        <v>75</v>
      </c>
      <c r="AP17" s="111">
        <v>4</v>
      </c>
    </row>
    <row r="18" spans="1:42" ht="15">
      <c r="A18" s="65" t="s">
        <v>237</v>
      </c>
      <c r="B18" s="65" t="s">
        <v>230</v>
      </c>
      <c r="C18" s="66" t="s">
        <v>5345</v>
      </c>
      <c r="D18" s="67">
        <v>3</v>
      </c>
      <c r="E18" s="68"/>
      <c r="F18" s="69">
        <v>40</v>
      </c>
      <c r="G18" s="66"/>
      <c r="H18" s="70"/>
      <c r="I18" s="71"/>
      <c r="J18" s="71"/>
      <c r="K18" s="35" t="s">
        <v>66</v>
      </c>
      <c r="L18" s="79">
        <v>18</v>
      </c>
      <c r="M18" s="79"/>
      <c r="N18" s="73"/>
      <c r="O18" s="81" t="s">
        <v>760</v>
      </c>
      <c r="P18" s="81" t="s">
        <v>215</v>
      </c>
      <c r="Q18" s="84" t="s">
        <v>777</v>
      </c>
      <c r="R18" s="81" t="s">
        <v>237</v>
      </c>
      <c r="S18" s="81" t="s">
        <v>1566</v>
      </c>
      <c r="T18" s="86" t="str">
        <f>HYPERLINK("http://www.youtube.com/channel/UCBkPK8xL9jUW1ooL7xow8fA")</f>
        <v>http://www.youtube.com/channel/UCBkPK8xL9jUW1ooL7xow8fA</v>
      </c>
      <c r="U18" s="81"/>
      <c r="V18" s="81" t="s">
        <v>2306</v>
      </c>
      <c r="W18" s="86" t="str">
        <f>HYPERLINK("https://www.youtube.com/watch?v=-0Iauhp_Kug")</f>
        <v>https://www.youtube.com/watch?v=-0Iauhp_Kug</v>
      </c>
      <c r="X18" s="81" t="s">
        <v>2335</v>
      </c>
      <c r="Y18" s="81">
        <v>1</v>
      </c>
      <c r="Z18" s="88">
        <v>43895.5459837963</v>
      </c>
      <c r="AA18" s="88">
        <v>43895.5459837963</v>
      </c>
      <c r="AB18" s="81"/>
      <c r="AC18" s="81"/>
      <c r="AD18" s="84" t="s">
        <v>2782</v>
      </c>
      <c r="AE18" s="82">
        <v>1</v>
      </c>
      <c r="AF18" s="83" t="str">
        <f>REPLACE(INDEX(GroupVertices[Group],MATCH(Edges[[#This Row],[Vertex 1]],GroupVertices[Vertex],0)),1,1,"")</f>
        <v>5</v>
      </c>
      <c r="AG18" s="83" t="str">
        <f>REPLACE(INDEX(GroupVertices[Group],MATCH(Edges[[#This Row],[Vertex 2]],GroupVertices[Vertex],0)),1,1,"")</f>
        <v>5</v>
      </c>
      <c r="AH18" s="111">
        <v>1</v>
      </c>
      <c r="AI18" s="112">
        <v>11.11111111111111</v>
      </c>
      <c r="AJ18" s="111">
        <v>0</v>
      </c>
      <c r="AK18" s="112">
        <v>0</v>
      </c>
      <c r="AL18" s="111">
        <v>0</v>
      </c>
      <c r="AM18" s="112">
        <v>0</v>
      </c>
      <c r="AN18" s="111">
        <v>8</v>
      </c>
      <c r="AO18" s="112">
        <v>88.88888888888889</v>
      </c>
      <c r="AP18" s="111">
        <v>9</v>
      </c>
    </row>
    <row r="19" spans="1:42" ht="15">
      <c r="A19" s="65" t="s">
        <v>230</v>
      </c>
      <c r="B19" s="65" t="s">
        <v>238</v>
      </c>
      <c r="C19" s="66" t="s">
        <v>5345</v>
      </c>
      <c r="D19" s="67">
        <v>3</v>
      </c>
      <c r="E19" s="68"/>
      <c r="F19" s="69">
        <v>40</v>
      </c>
      <c r="G19" s="66"/>
      <c r="H19" s="70"/>
      <c r="I19" s="71"/>
      <c r="J19" s="71"/>
      <c r="K19" s="35" t="s">
        <v>66</v>
      </c>
      <c r="L19" s="79">
        <v>19</v>
      </c>
      <c r="M19" s="79"/>
      <c r="N19" s="73"/>
      <c r="O19" s="81" t="s">
        <v>761</v>
      </c>
      <c r="P19" s="81" t="s">
        <v>763</v>
      </c>
      <c r="Q19" s="84" t="s">
        <v>765</v>
      </c>
      <c r="R19" s="81" t="s">
        <v>230</v>
      </c>
      <c r="S19" s="81" t="s">
        <v>1559</v>
      </c>
      <c r="T19" s="86" t="str">
        <f>HYPERLINK("http://www.youtube.com/channel/UCbbx7msYKamwOeRUkaqCTAQ")</f>
        <v>http://www.youtube.com/channel/UCbbx7msYKamwOeRUkaqCTAQ</v>
      </c>
      <c r="U19" s="81" t="s">
        <v>2086</v>
      </c>
      <c r="V19" s="81" t="s">
        <v>2306</v>
      </c>
      <c r="W19" s="86" t="str">
        <f>HYPERLINK("https://www.youtube.com/watch?v=-0Iauhp_Kug")</f>
        <v>https://www.youtube.com/watch?v=-0Iauhp_Kug</v>
      </c>
      <c r="X19" s="81" t="s">
        <v>2335</v>
      </c>
      <c r="Y19" s="81">
        <v>0</v>
      </c>
      <c r="Z19" s="88">
        <v>44170.93622685185</v>
      </c>
      <c r="AA19" s="88">
        <v>44170.93622685185</v>
      </c>
      <c r="AB19" s="81"/>
      <c r="AC19" s="81"/>
      <c r="AD19" s="84" t="s">
        <v>2782</v>
      </c>
      <c r="AE19" s="82">
        <v>1</v>
      </c>
      <c r="AF19" s="83" t="str">
        <f>REPLACE(INDEX(GroupVertices[Group],MATCH(Edges[[#This Row],[Vertex 1]],GroupVertices[Vertex],0)),1,1,"")</f>
        <v>5</v>
      </c>
      <c r="AG19" s="83" t="str">
        <f>REPLACE(INDEX(GroupVertices[Group],MATCH(Edges[[#This Row],[Vertex 2]],GroupVertices[Vertex],0)),1,1,"")</f>
        <v>5</v>
      </c>
      <c r="AH19" s="111">
        <v>0</v>
      </c>
      <c r="AI19" s="112">
        <v>0</v>
      </c>
      <c r="AJ19" s="111">
        <v>0</v>
      </c>
      <c r="AK19" s="112">
        <v>0</v>
      </c>
      <c r="AL19" s="111">
        <v>0</v>
      </c>
      <c r="AM19" s="112">
        <v>0</v>
      </c>
      <c r="AN19" s="111">
        <v>3</v>
      </c>
      <c r="AO19" s="112">
        <v>100</v>
      </c>
      <c r="AP19" s="111">
        <v>3</v>
      </c>
    </row>
    <row r="20" spans="1:42" ht="15">
      <c r="A20" s="65" t="s">
        <v>238</v>
      </c>
      <c r="B20" s="65" t="s">
        <v>230</v>
      </c>
      <c r="C20" s="66" t="s">
        <v>5345</v>
      </c>
      <c r="D20" s="67">
        <v>3</v>
      </c>
      <c r="E20" s="68"/>
      <c r="F20" s="69">
        <v>40</v>
      </c>
      <c r="G20" s="66"/>
      <c r="H20" s="70"/>
      <c r="I20" s="71"/>
      <c r="J20" s="71"/>
      <c r="K20" s="35" t="s">
        <v>66</v>
      </c>
      <c r="L20" s="79">
        <v>20</v>
      </c>
      <c r="M20" s="79"/>
      <c r="N20" s="73"/>
      <c r="O20" s="81" t="s">
        <v>760</v>
      </c>
      <c r="P20" s="81" t="s">
        <v>215</v>
      </c>
      <c r="Q20" s="84" t="s">
        <v>778</v>
      </c>
      <c r="R20" s="81" t="s">
        <v>238</v>
      </c>
      <c r="S20" s="81" t="s">
        <v>1567</v>
      </c>
      <c r="T20" s="86" t="str">
        <f>HYPERLINK("http://www.youtube.com/channel/UCbMLD5oAyYT9leb5m4Hpmyw")</f>
        <v>http://www.youtube.com/channel/UCbMLD5oAyYT9leb5m4Hpmyw</v>
      </c>
      <c r="U20" s="81"/>
      <c r="V20" s="81" t="s">
        <v>2306</v>
      </c>
      <c r="W20" s="86" t="str">
        <f>HYPERLINK("https://www.youtube.com/watch?v=-0Iauhp_Kug")</f>
        <v>https://www.youtube.com/watch?v=-0Iauhp_Kug</v>
      </c>
      <c r="X20" s="81" t="s">
        <v>2335</v>
      </c>
      <c r="Y20" s="81">
        <v>1</v>
      </c>
      <c r="Z20" s="88">
        <v>43895.600949074076</v>
      </c>
      <c r="AA20" s="88">
        <v>43895.600949074076</v>
      </c>
      <c r="AB20" s="81"/>
      <c r="AC20" s="81"/>
      <c r="AD20" s="84" t="s">
        <v>2782</v>
      </c>
      <c r="AE20" s="82">
        <v>1</v>
      </c>
      <c r="AF20" s="83" t="str">
        <f>REPLACE(INDEX(GroupVertices[Group],MATCH(Edges[[#This Row],[Vertex 1]],GroupVertices[Vertex],0)),1,1,"")</f>
        <v>5</v>
      </c>
      <c r="AG20" s="83" t="str">
        <f>REPLACE(INDEX(GroupVertices[Group],MATCH(Edges[[#This Row],[Vertex 2]],GroupVertices[Vertex],0)),1,1,"")</f>
        <v>5</v>
      </c>
      <c r="AH20" s="111">
        <v>4</v>
      </c>
      <c r="AI20" s="112">
        <v>21.05263157894737</v>
      </c>
      <c r="AJ20" s="111">
        <v>0</v>
      </c>
      <c r="AK20" s="112">
        <v>0</v>
      </c>
      <c r="AL20" s="111">
        <v>0</v>
      </c>
      <c r="AM20" s="112">
        <v>0</v>
      </c>
      <c r="AN20" s="111">
        <v>15</v>
      </c>
      <c r="AO20" s="112">
        <v>78.94736842105263</v>
      </c>
      <c r="AP20" s="111">
        <v>19</v>
      </c>
    </row>
    <row r="21" spans="1:42" ht="15">
      <c r="A21" s="65" t="s">
        <v>230</v>
      </c>
      <c r="B21" s="65" t="s">
        <v>239</v>
      </c>
      <c r="C21" s="66" t="s">
        <v>5345</v>
      </c>
      <c r="D21" s="67">
        <v>3</v>
      </c>
      <c r="E21" s="68"/>
      <c r="F21" s="69">
        <v>40</v>
      </c>
      <c r="G21" s="66"/>
      <c r="H21" s="70"/>
      <c r="I21" s="71"/>
      <c r="J21" s="71"/>
      <c r="K21" s="35" t="s">
        <v>66</v>
      </c>
      <c r="L21" s="79">
        <v>21</v>
      </c>
      <c r="M21" s="79"/>
      <c r="N21" s="73"/>
      <c r="O21" s="81" t="s">
        <v>761</v>
      </c>
      <c r="P21" s="81" t="s">
        <v>763</v>
      </c>
      <c r="Q21" s="84" t="s">
        <v>779</v>
      </c>
      <c r="R21" s="81" t="s">
        <v>230</v>
      </c>
      <c r="S21" s="81" t="s">
        <v>1559</v>
      </c>
      <c r="T21" s="86" t="str">
        <f>HYPERLINK("http://www.youtube.com/channel/UCbbx7msYKamwOeRUkaqCTAQ")</f>
        <v>http://www.youtube.com/channel/UCbbx7msYKamwOeRUkaqCTAQ</v>
      </c>
      <c r="U21" s="81" t="s">
        <v>2087</v>
      </c>
      <c r="V21" s="81" t="s">
        <v>2306</v>
      </c>
      <c r="W21" s="86" t="str">
        <f>HYPERLINK("https://www.youtube.com/watch?v=-0Iauhp_Kug")</f>
        <v>https://www.youtube.com/watch?v=-0Iauhp_Kug</v>
      </c>
      <c r="X21" s="81" t="s">
        <v>2335</v>
      </c>
      <c r="Y21" s="81">
        <v>0</v>
      </c>
      <c r="Z21" s="88">
        <v>44170.93592592593</v>
      </c>
      <c r="AA21" s="88">
        <v>44170.93592592593</v>
      </c>
      <c r="AB21" s="81"/>
      <c r="AC21" s="81"/>
      <c r="AD21" s="84" t="s">
        <v>2782</v>
      </c>
      <c r="AE21" s="82">
        <v>1</v>
      </c>
      <c r="AF21" s="83" t="str">
        <f>REPLACE(INDEX(GroupVertices[Group],MATCH(Edges[[#This Row],[Vertex 1]],GroupVertices[Vertex],0)),1,1,"")</f>
        <v>5</v>
      </c>
      <c r="AG21" s="83" t="str">
        <f>REPLACE(INDEX(GroupVertices[Group],MATCH(Edges[[#This Row],[Vertex 2]],GroupVertices[Vertex],0)),1,1,"")</f>
        <v>5</v>
      </c>
      <c r="AH21" s="111">
        <v>1</v>
      </c>
      <c r="AI21" s="112">
        <v>16.666666666666668</v>
      </c>
      <c r="AJ21" s="111">
        <v>0</v>
      </c>
      <c r="AK21" s="112">
        <v>0</v>
      </c>
      <c r="AL21" s="111">
        <v>0</v>
      </c>
      <c r="AM21" s="112">
        <v>0</v>
      </c>
      <c r="AN21" s="111">
        <v>5</v>
      </c>
      <c r="AO21" s="112">
        <v>83.33333333333333</v>
      </c>
      <c r="AP21" s="111">
        <v>6</v>
      </c>
    </row>
    <row r="22" spans="1:42" ht="15">
      <c r="A22" s="65" t="s">
        <v>239</v>
      </c>
      <c r="B22" s="65" t="s">
        <v>230</v>
      </c>
      <c r="C22" s="66" t="s">
        <v>5345</v>
      </c>
      <c r="D22" s="67">
        <v>3</v>
      </c>
      <c r="E22" s="68"/>
      <c r="F22" s="69">
        <v>40</v>
      </c>
      <c r="G22" s="66"/>
      <c r="H22" s="70"/>
      <c r="I22" s="71"/>
      <c r="J22" s="71"/>
      <c r="K22" s="35" t="s">
        <v>66</v>
      </c>
      <c r="L22" s="79">
        <v>22</v>
      </c>
      <c r="M22" s="79"/>
      <c r="N22" s="73"/>
      <c r="O22" s="81" t="s">
        <v>760</v>
      </c>
      <c r="P22" s="81" t="s">
        <v>215</v>
      </c>
      <c r="Q22" s="84" t="s">
        <v>780</v>
      </c>
      <c r="R22" s="81" t="s">
        <v>239</v>
      </c>
      <c r="S22" s="81" t="s">
        <v>1568</v>
      </c>
      <c r="T22" s="86" t="str">
        <f>HYPERLINK("http://www.youtube.com/channel/UCc1NLScmSAY5A8YZKLG23_g")</f>
        <v>http://www.youtube.com/channel/UCc1NLScmSAY5A8YZKLG23_g</v>
      </c>
      <c r="U22" s="81"/>
      <c r="V22" s="81" t="s">
        <v>2306</v>
      </c>
      <c r="W22" s="86" t="str">
        <f>HYPERLINK("https://www.youtube.com/watch?v=-0Iauhp_Kug")</f>
        <v>https://www.youtube.com/watch?v=-0Iauhp_Kug</v>
      </c>
      <c r="X22" s="81" t="s">
        <v>2335</v>
      </c>
      <c r="Y22" s="81">
        <v>1</v>
      </c>
      <c r="Z22" s="88">
        <v>43895.65704861111</v>
      </c>
      <c r="AA22" s="88">
        <v>43895.65704861111</v>
      </c>
      <c r="AB22" s="81"/>
      <c r="AC22" s="81"/>
      <c r="AD22" s="84" t="s">
        <v>2782</v>
      </c>
      <c r="AE22" s="82">
        <v>1</v>
      </c>
      <c r="AF22" s="83" t="str">
        <f>REPLACE(INDEX(GroupVertices[Group],MATCH(Edges[[#This Row],[Vertex 1]],GroupVertices[Vertex],0)),1,1,"")</f>
        <v>5</v>
      </c>
      <c r="AG22" s="83" t="str">
        <f>REPLACE(INDEX(GroupVertices[Group],MATCH(Edges[[#This Row],[Vertex 2]],GroupVertices[Vertex],0)),1,1,"")</f>
        <v>5</v>
      </c>
      <c r="AH22" s="111">
        <v>3</v>
      </c>
      <c r="AI22" s="112">
        <v>15.789473684210526</v>
      </c>
      <c r="AJ22" s="111">
        <v>0</v>
      </c>
      <c r="AK22" s="112">
        <v>0</v>
      </c>
      <c r="AL22" s="111">
        <v>0</v>
      </c>
      <c r="AM22" s="112">
        <v>0</v>
      </c>
      <c r="AN22" s="111">
        <v>16</v>
      </c>
      <c r="AO22" s="112">
        <v>84.21052631578948</v>
      </c>
      <c r="AP22" s="111">
        <v>19</v>
      </c>
    </row>
    <row r="23" spans="1:42" ht="15">
      <c r="A23" s="65" t="s">
        <v>230</v>
      </c>
      <c r="B23" s="65" t="s">
        <v>240</v>
      </c>
      <c r="C23" s="66" t="s">
        <v>5345</v>
      </c>
      <c r="D23" s="67">
        <v>3</v>
      </c>
      <c r="E23" s="68"/>
      <c r="F23" s="69">
        <v>40</v>
      </c>
      <c r="G23" s="66"/>
      <c r="H23" s="70"/>
      <c r="I23" s="71"/>
      <c r="J23" s="71"/>
      <c r="K23" s="35" t="s">
        <v>66</v>
      </c>
      <c r="L23" s="79">
        <v>23</v>
      </c>
      <c r="M23" s="79"/>
      <c r="N23" s="73"/>
      <c r="O23" s="81" t="s">
        <v>761</v>
      </c>
      <c r="P23" s="81" t="s">
        <v>763</v>
      </c>
      <c r="Q23" s="84" t="s">
        <v>765</v>
      </c>
      <c r="R23" s="81" t="s">
        <v>230</v>
      </c>
      <c r="S23" s="81" t="s">
        <v>1559</v>
      </c>
      <c r="T23" s="86" t="str">
        <f>HYPERLINK("http://www.youtube.com/channel/UCbbx7msYKamwOeRUkaqCTAQ")</f>
        <v>http://www.youtube.com/channel/UCbbx7msYKamwOeRUkaqCTAQ</v>
      </c>
      <c r="U23" s="81" t="s">
        <v>2088</v>
      </c>
      <c r="V23" s="81" t="s">
        <v>2306</v>
      </c>
      <c r="W23" s="86" t="str">
        <f>HYPERLINK("https://www.youtube.com/watch?v=-0Iauhp_Kug")</f>
        <v>https://www.youtube.com/watch?v=-0Iauhp_Kug</v>
      </c>
      <c r="X23" s="81" t="s">
        <v>2335</v>
      </c>
      <c r="Y23" s="81">
        <v>1</v>
      </c>
      <c r="Z23" s="88">
        <v>44170.935625</v>
      </c>
      <c r="AA23" s="88">
        <v>44170.935625</v>
      </c>
      <c r="AB23" s="81"/>
      <c r="AC23" s="81"/>
      <c r="AD23" s="84" t="s">
        <v>2782</v>
      </c>
      <c r="AE23" s="82">
        <v>1</v>
      </c>
      <c r="AF23" s="83" t="str">
        <f>REPLACE(INDEX(GroupVertices[Group],MATCH(Edges[[#This Row],[Vertex 1]],GroupVertices[Vertex],0)),1,1,"")</f>
        <v>5</v>
      </c>
      <c r="AG23" s="83" t="str">
        <f>REPLACE(INDEX(GroupVertices[Group],MATCH(Edges[[#This Row],[Vertex 2]],GroupVertices[Vertex],0)),1,1,"")</f>
        <v>5</v>
      </c>
      <c r="AH23" s="111">
        <v>0</v>
      </c>
      <c r="AI23" s="112">
        <v>0</v>
      </c>
      <c r="AJ23" s="111">
        <v>0</v>
      </c>
      <c r="AK23" s="112">
        <v>0</v>
      </c>
      <c r="AL23" s="111">
        <v>0</v>
      </c>
      <c r="AM23" s="112">
        <v>0</v>
      </c>
      <c r="AN23" s="111">
        <v>3</v>
      </c>
      <c r="AO23" s="112">
        <v>100</v>
      </c>
      <c r="AP23" s="111">
        <v>3</v>
      </c>
    </row>
    <row r="24" spans="1:42" ht="15">
      <c r="A24" s="65" t="s">
        <v>240</v>
      </c>
      <c r="B24" s="65" t="s">
        <v>230</v>
      </c>
      <c r="C24" s="66" t="s">
        <v>5345</v>
      </c>
      <c r="D24" s="67">
        <v>3</v>
      </c>
      <c r="E24" s="68"/>
      <c r="F24" s="69">
        <v>40</v>
      </c>
      <c r="G24" s="66"/>
      <c r="H24" s="70"/>
      <c r="I24" s="71"/>
      <c r="J24" s="71"/>
      <c r="K24" s="35" t="s">
        <v>66</v>
      </c>
      <c r="L24" s="79">
        <v>24</v>
      </c>
      <c r="M24" s="79"/>
      <c r="N24" s="73"/>
      <c r="O24" s="81" t="s">
        <v>760</v>
      </c>
      <c r="P24" s="81" t="s">
        <v>215</v>
      </c>
      <c r="Q24" s="84" t="s">
        <v>781</v>
      </c>
      <c r="R24" s="81" t="s">
        <v>240</v>
      </c>
      <c r="S24" s="81" t="s">
        <v>1569</v>
      </c>
      <c r="T24" s="86" t="str">
        <f>HYPERLINK("http://www.youtube.com/channel/UC5chbfKQNkEOJmms2XockTg")</f>
        <v>http://www.youtube.com/channel/UC5chbfKQNkEOJmms2XockTg</v>
      </c>
      <c r="U24" s="81"/>
      <c r="V24" s="81" t="s">
        <v>2306</v>
      </c>
      <c r="W24" s="86" t="str">
        <f>HYPERLINK("https://www.youtube.com/watch?v=-0Iauhp_Kug")</f>
        <v>https://www.youtube.com/watch?v=-0Iauhp_Kug</v>
      </c>
      <c r="X24" s="81" t="s">
        <v>2335</v>
      </c>
      <c r="Y24" s="81">
        <v>1</v>
      </c>
      <c r="Z24" s="88">
        <v>43895.73065972222</v>
      </c>
      <c r="AA24" s="88">
        <v>43895.73065972222</v>
      </c>
      <c r="AB24" s="81"/>
      <c r="AC24" s="81"/>
      <c r="AD24" s="84" t="s">
        <v>2782</v>
      </c>
      <c r="AE24" s="82">
        <v>1</v>
      </c>
      <c r="AF24" s="83" t="str">
        <f>REPLACE(INDEX(GroupVertices[Group],MATCH(Edges[[#This Row],[Vertex 1]],GroupVertices[Vertex],0)),1,1,"")</f>
        <v>5</v>
      </c>
      <c r="AG24" s="83" t="str">
        <f>REPLACE(INDEX(GroupVertices[Group],MATCH(Edges[[#This Row],[Vertex 2]],GroupVertices[Vertex],0)),1,1,"")</f>
        <v>5</v>
      </c>
      <c r="AH24" s="111">
        <v>2</v>
      </c>
      <c r="AI24" s="112">
        <v>16.666666666666668</v>
      </c>
      <c r="AJ24" s="111">
        <v>0</v>
      </c>
      <c r="AK24" s="112">
        <v>0</v>
      </c>
      <c r="AL24" s="111">
        <v>0</v>
      </c>
      <c r="AM24" s="112">
        <v>0</v>
      </c>
      <c r="AN24" s="111">
        <v>10</v>
      </c>
      <c r="AO24" s="112">
        <v>83.33333333333333</v>
      </c>
      <c r="AP24" s="111">
        <v>12</v>
      </c>
    </row>
    <row r="25" spans="1:42" ht="15">
      <c r="A25" s="65" t="s">
        <v>230</v>
      </c>
      <c r="B25" s="65" t="s">
        <v>241</v>
      </c>
      <c r="C25" s="66" t="s">
        <v>5345</v>
      </c>
      <c r="D25" s="67">
        <v>3</v>
      </c>
      <c r="E25" s="68"/>
      <c r="F25" s="69">
        <v>40</v>
      </c>
      <c r="G25" s="66"/>
      <c r="H25" s="70"/>
      <c r="I25" s="71"/>
      <c r="J25" s="71"/>
      <c r="K25" s="35" t="s">
        <v>66</v>
      </c>
      <c r="L25" s="79">
        <v>25</v>
      </c>
      <c r="M25" s="79"/>
      <c r="N25" s="73"/>
      <c r="O25" s="81" t="s">
        <v>761</v>
      </c>
      <c r="P25" s="81" t="s">
        <v>763</v>
      </c>
      <c r="Q25" s="84" t="s">
        <v>769</v>
      </c>
      <c r="R25" s="81" t="s">
        <v>230</v>
      </c>
      <c r="S25" s="81" t="s">
        <v>1559</v>
      </c>
      <c r="T25" s="86" t="str">
        <f>HYPERLINK("http://www.youtube.com/channel/UCbbx7msYKamwOeRUkaqCTAQ")</f>
        <v>http://www.youtube.com/channel/UCbbx7msYKamwOeRUkaqCTAQ</v>
      </c>
      <c r="U25" s="81" t="s">
        <v>2089</v>
      </c>
      <c r="V25" s="81" t="s">
        <v>2306</v>
      </c>
      <c r="W25" s="86" t="str">
        <f>HYPERLINK("https://www.youtube.com/watch?v=-0Iauhp_Kug")</f>
        <v>https://www.youtube.com/watch?v=-0Iauhp_Kug</v>
      </c>
      <c r="X25" s="81" t="s">
        <v>2335</v>
      </c>
      <c r="Y25" s="81">
        <v>0</v>
      </c>
      <c r="Z25" s="88">
        <v>44170.93548611111</v>
      </c>
      <c r="AA25" s="88">
        <v>44170.93548611111</v>
      </c>
      <c r="AB25" s="81"/>
      <c r="AC25" s="81"/>
      <c r="AD25" s="84" t="s">
        <v>2782</v>
      </c>
      <c r="AE25" s="82">
        <v>1</v>
      </c>
      <c r="AF25" s="83" t="str">
        <f>REPLACE(INDEX(GroupVertices[Group],MATCH(Edges[[#This Row],[Vertex 1]],GroupVertices[Vertex],0)),1,1,"")</f>
        <v>5</v>
      </c>
      <c r="AG25" s="83" t="str">
        <f>REPLACE(INDEX(GroupVertices[Group],MATCH(Edges[[#This Row],[Vertex 2]],GroupVertices[Vertex],0)),1,1,"")</f>
        <v>5</v>
      </c>
      <c r="AH25" s="111">
        <v>0</v>
      </c>
      <c r="AI25" s="112">
        <v>0</v>
      </c>
      <c r="AJ25" s="111">
        <v>0</v>
      </c>
      <c r="AK25" s="112">
        <v>0</v>
      </c>
      <c r="AL25" s="111">
        <v>0</v>
      </c>
      <c r="AM25" s="112">
        <v>0</v>
      </c>
      <c r="AN25" s="111">
        <v>1</v>
      </c>
      <c r="AO25" s="112">
        <v>100</v>
      </c>
      <c r="AP25" s="111">
        <v>1</v>
      </c>
    </row>
    <row r="26" spans="1:42" ht="15">
      <c r="A26" s="65" t="s">
        <v>241</v>
      </c>
      <c r="B26" s="65" t="s">
        <v>230</v>
      </c>
      <c r="C26" s="66" t="s">
        <v>5345</v>
      </c>
      <c r="D26" s="67">
        <v>3</v>
      </c>
      <c r="E26" s="68"/>
      <c r="F26" s="69">
        <v>40</v>
      </c>
      <c r="G26" s="66"/>
      <c r="H26" s="70"/>
      <c r="I26" s="71"/>
      <c r="J26" s="71"/>
      <c r="K26" s="35" t="s">
        <v>66</v>
      </c>
      <c r="L26" s="79">
        <v>26</v>
      </c>
      <c r="M26" s="79"/>
      <c r="N26" s="73"/>
      <c r="O26" s="81" t="s">
        <v>760</v>
      </c>
      <c r="P26" s="81" t="s">
        <v>215</v>
      </c>
      <c r="Q26" s="84" t="s">
        <v>782</v>
      </c>
      <c r="R26" s="81" t="s">
        <v>241</v>
      </c>
      <c r="S26" s="81" t="s">
        <v>1570</v>
      </c>
      <c r="T26" s="86" t="str">
        <f>HYPERLINK("http://www.youtube.com/channel/UCoExLMApVon6EJ8ESt1WgeQ")</f>
        <v>http://www.youtube.com/channel/UCoExLMApVon6EJ8ESt1WgeQ</v>
      </c>
      <c r="U26" s="81"/>
      <c r="V26" s="81" t="s">
        <v>2306</v>
      </c>
      <c r="W26" s="86" t="str">
        <f>HYPERLINK("https://www.youtube.com/watch?v=-0Iauhp_Kug")</f>
        <v>https://www.youtube.com/watch?v=-0Iauhp_Kug</v>
      </c>
      <c r="X26" s="81" t="s">
        <v>2335</v>
      </c>
      <c r="Y26" s="81">
        <v>1</v>
      </c>
      <c r="Z26" s="88">
        <v>43895.80517361111</v>
      </c>
      <c r="AA26" s="88">
        <v>43895.80517361111</v>
      </c>
      <c r="AB26" s="81"/>
      <c r="AC26" s="81"/>
      <c r="AD26" s="84" t="s">
        <v>2782</v>
      </c>
      <c r="AE26" s="82">
        <v>1</v>
      </c>
      <c r="AF26" s="83" t="str">
        <f>REPLACE(INDEX(GroupVertices[Group],MATCH(Edges[[#This Row],[Vertex 1]],GroupVertices[Vertex],0)),1,1,"")</f>
        <v>5</v>
      </c>
      <c r="AG26" s="83" t="str">
        <f>REPLACE(INDEX(GroupVertices[Group],MATCH(Edges[[#This Row],[Vertex 2]],GroupVertices[Vertex],0)),1,1,"")</f>
        <v>5</v>
      </c>
      <c r="AH26" s="111">
        <v>2</v>
      </c>
      <c r="AI26" s="112">
        <v>50</v>
      </c>
      <c r="AJ26" s="111">
        <v>0</v>
      </c>
      <c r="AK26" s="112">
        <v>0</v>
      </c>
      <c r="AL26" s="111">
        <v>0</v>
      </c>
      <c r="AM26" s="112">
        <v>0</v>
      </c>
      <c r="AN26" s="111">
        <v>2</v>
      </c>
      <c r="AO26" s="112">
        <v>50</v>
      </c>
      <c r="AP26" s="111">
        <v>4</v>
      </c>
    </row>
    <row r="27" spans="1:42" ht="15">
      <c r="A27" s="65" t="s">
        <v>230</v>
      </c>
      <c r="B27" s="65" t="s">
        <v>242</v>
      </c>
      <c r="C27" s="66" t="s">
        <v>5345</v>
      </c>
      <c r="D27" s="67">
        <v>3</v>
      </c>
      <c r="E27" s="68"/>
      <c r="F27" s="69">
        <v>40</v>
      </c>
      <c r="G27" s="66"/>
      <c r="H27" s="70"/>
      <c r="I27" s="71"/>
      <c r="J27" s="71"/>
      <c r="K27" s="35" t="s">
        <v>66</v>
      </c>
      <c r="L27" s="79">
        <v>27</v>
      </c>
      <c r="M27" s="79"/>
      <c r="N27" s="73"/>
      <c r="O27" s="81" t="s">
        <v>761</v>
      </c>
      <c r="P27" s="81" t="s">
        <v>763</v>
      </c>
      <c r="Q27" s="84" t="s">
        <v>783</v>
      </c>
      <c r="R27" s="81" t="s">
        <v>230</v>
      </c>
      <c r="S27" s="81" t="s">
        <v>1559</v>
      </c>
      <c r="T27" s="86" t="str">
        <f>HYPERLINK("http://www.youtube.com/channel/UCbbx7msYKamwOeRUkaqCTAQ")</f>
        <v>http://www.youtube.com/channel/UCbbx7msYKamwOeRUkaqCTAQ</v>
      </c>
      <c r="U27" s="81" t="s">
        <v>2090</v>
      </c>
      <c r="V27" s="81" t="s">
        <v>2306</v>
      </c>
      <c r="W27" s="86" t="str">
        <f>HYPERLINK("https://www.youtube.com/watch?v=-0Iauhp_Kug")</f>
        <v>https://www.youtube.com/watch?v=-0Iauhp_Kug</v>
      </c>
      <c r="X27" s="81" t="s">
        <v>2335</v>
      </c>
      <c r="Y27" s="81">
        <v>0</v>
      </c>
      <c r="Z27" s="88">
        <v>44170.93539351852</v>
      </c>
      <c r="AA27" s="88">
        <v>44170.93539351852</v>
      </c>
      <c r="AB27" s="81"/>
      <c r="AC27" s="81"/>
      <c r="AD27" s="84" t="s">
        <v>2782</v>
      </c>
      <c r="AE27" s="82">
        <v>1</v>
      </c>
      <c r="AF27" s="83" t="str">
        <f>REPLACE(INDEX(GroupVertices[Group],MATCH(Edges[[#This Row],[Vertex 1]],GroupVertices[Vertex],0)),1,1,"")</f>
        <v>5</v>
      </c>
      <c r="AG27" s="83" t="str">
        <f>REPLACE(INDEX(GroupVertices[Group],MATCH(Edges[[#This Row],[Vertex 2]],GroupVertices[Vertex],0)),1,1,"")</f>
        <v>5</v>
      </c>
      <c r="AH27" s="111">
        <v>0</v>
      </c>
      <c r="AI27" s="112">
        <v>0</v>
      </c>
      <c r="AJ27" s="111">
        <v>0</v>
      </c>
      <c r="AK27" s="112">
        <v>0</v>
      </c>
      <c r="AL27" s="111">
        <v>0</v>
      </c>
      <c r="AM27" s="112">
        <v>0</v>
      </c>
      <c r="AN27" s="111">
        <v>4</v>
      </c>
      <c r="AO27" s="112">
        <v>100</v>
      </c>
      <c r="AP27" s="111">
        <v>4</v>
      </c>
    </row>
    <row r="28" spans="1:42" ht="15">
      <c r="A28" s="65" t="s">
        <v>242</v>
      </c>
      <c r="B28" s="65" t="s">
        <v>230</v>
      </c>
      <c r="C28" s="66" t="s">
        <v>5345</v>
      </c>
      <c r="D28" s="67">
        <v>3</v>
      </c>
      <c r="E28" s="68"/>
      <c r="F28" s="69">
        <v>40</v>
      </c>
      <c r="G28" s="66"/>
      <c r="H28" s="70"/>
      <c r="I28" s="71"/>
      <c r="J28" s="71"/>
      <c r="K28" s="35" t="s">
        <v>66</v>
      </c>
      <c r="L28" s="79">
        <v>28</v>
      </c>
      <c r="M28" s="79"/>
      <c r="N28" s="73"/>
      <c r="O28" s="81" t="s">
        <v>760</v>
      </c>
      <c r="P28" s="81" t="s">
        <v>215</v>
      </c>
      <c r="Q28" s="84" t="s">
        <v>784</v>
      </c>
      <c r="R28" s="81" t="s">
        <v>242</v>
      </c>
      <c r="S28" s="81" t="s">
        <v>1571</v>
      </c>
      <c r="T28" s="86" t="str">
        <f>HYPERLINK("http://www.youtube.com/channel/UCvVhBidV5kG4G58AVemMDsw")</f>
        <v>http://www.youtube.com/channel/UCvVhBidV5kG4G58AVemMDsw</v>
      </c>
      <c r="U28" s="81"/>
      <c r="V28" s="81" t="s">
        <v>2306</v>
      </c>
      <c r="W28" s="86" t="str">
        <f>HYPERLINK("https://www.youtube.com/watch?v=-0Iauhp_Kug")</f>
        <v>https://www.youtube.com/watch?v=-0Iauhp_Kug</v>
      </c>
      <c r="X28" s="81" t="s">
        <v>2335</v>
      </c>
      <c r="Y28" s="81">
        <v>1</v>
      </c>
      <c r="Z28" s="88">
        <v>43895.82318287037</v>
      </c>
      <c r="AA28" s="88">
        <v>43895.82318287037</v>
      </c>
      <c r="AB28" s="81"/>
      <c r="AC28" s="81"/>
      <c r="AD28" s="84" t="s">
        <v>2782</v>
      </c>
      <c r="AE28" s="82">
        <v>1</v>
      </c>
      <c r="AF28" s="83" t="str">
        <f>REPLACE(INDEX(GroupVertices[Group],MATCH(Edges[[#This Row],[Vertex 1]],GroupVertices[Vertex],0)),1,1,"")</f>
        <v>5</v>
      </c>
      <c r="AG28" s="83" t="str">
        <f>REPLACE(INDEX(GroupVertices[Group],MATCH(Edges[[#This Row],[Vertex 2]],GroupVertices[Vertex],0)),1,1,"")</f>
        <v>5</v>
      </c>
      <c r="AH28" s="111">
        <v>1</v>
      </c>
      <c r="AI28" s="112">
        <v>16.666666666666668</v>
      </c>
      <c r="AJ28" s="111">
        <v>0</v>
      </c>
      <c r="AK28" s="112">
        <v>0</v>
      </c>
      <c r="AL28" s="111">
        <v>0</v>
      </c>
      <c r="AM28" s="112">
        <v>0</v>
      </c>
      <c r="AN28" s="111">
        <v>5</v>
      </c>
      <c r="AO28" s="112">
        <v>83.33333333333333</v>
      </c>
      <c r="AP28" s="111">
        <v>6</v>
      </c>
    </row>
    <row r="29" spans="1:42" ht="15">
      <c r="A29" s="65" t="s">
        <v>230</v>
      </c>
      <c r="B29" s="65" t="s">
        <v>243</v>
      </c>
      <c r="C29" s="66" t="s">
        <v>5345</v>
      </c>
      <c r="D29" s="67">
        <v>3</v>
      </c>
      <c r="E29" s="68"/>
      <c r="F29" s="69">
        <v>40</v>
      </c>
      <c r="G29" s="66"/>
      <c r="H29" s="70"/>
      <c r="I29" s="71"/>
      <c r="J29" s="71"/>
      <c r="K29" s="35" t="s">
        <v>66</v>
      </c>
      <c r="L29" s="79">
        <v>29</v>
      </c>
      <c r="M29" s="79"/>
      <c r="N29" s="73"/>
      <c r="O29" s="81" t="s">
        <v>761</v>
      </c>
      <c r="P29" s="81" t="s">
        <v>763</v>
      </c>
      <c r="Q29" s="84" t="s">
        <v>765</v>
      </c>
      <c r="R29" s="81" t="s">
        <v>230</v>
      </c>
      <c r="S29" s="81" t="s">
        <v>1559</v>
      </c>
      <c r="T29" s="86" t="str">
        <f>HYPERLINK("http://www.youtube.com/channel/UCbbx7msYKamwOeRUkaqCTAQ")</f>
        <v>http://www.youtube.com/channel/UCbbx7msYKamwOeRUkaqCTAQ</v>
      </c>
      <c r="U29" s="81" t="s">
        <v>2091</v>
      </c>
      <c r="V29" s="81" t="s">
        <v>2306</v>
      </c>
      <c r="W29" s="86" t="str">
        <f>HYPERLINK("https://www.youtube.com/watch?v=-0Iauhp_Kug")</f>
        <v>https://www.youtube.com/watch?v=-0Iauhp_Kug</v>
      </c>
      <c r="X29" s="81" t="s">
        <v>2335</v>
      </c>
      <c r="Y29" s="81">
        <v>0</v>
      </c>
      <c r="Z29" s="88">
        <v>44170.935266203705</v>
      </c>
      <c r="AA29" s="88">
        <v>44170.935266203705</v>
      </c>
      <c r="AB29" s="81"/>
      <c r="AC29" s="81"/>
      <c r="AD29" s="84" t="s">
        <v>2782</v>
      </c>
      <c r="AE29" s="82">
        <v>1</v>
      </c>
      <c r="AF29" s="83" t="str">
        <f>REPLACE(INDEX(GroupVertices[Group],MATCH(Edges[[#This Row],[Vertex 1]],GroupVertices[Vertex],0)),1,1,"")</f>
        <v>5</v>
      </c>
      <c r="AG29" s="83" t="str">
        <f>REPLACE(INDEX(GroupVertices[Group],MATCH(Edges[[#This Row],[Vertex 2]],GroupVertices[Vertex],0)),1,1,"")</f>
        <v>5</v>
      </c>
      <c r="AH29" s="111">
        <v>0</v>
      </c>
      <c r="AI29" s="112">
        <v>0</v>
      </c>
      <c r="AJ29" s="111">
        <v>0</v>
      </c>
      <c r="AK29" s="112">
        <v>0</v>
      </c>
      <c r="AL29" s="111">
        <v>0</v>
      </c>
      <c r="AM29" s="112">
        <v>0</v>
      </c>
      <c r="AN29" s="111">
        <v>3</v>
      </c>
      <c r="AO29" s="112">
        <v>100</v>
      </c>
      <c r="AP29" s="111">
        <v>3</v>
      </c>
    </row>
    <row r="30" spans="1:42" ht="15">
      <c r="A30" s="65" t="s">
        <v>243</v>
      </c>
      <c r="B30" s="65" t="s">
        <v>230</v>
      </c>
      <c r="C30" s="66" t="s">
        <v>5345</v>
      </c>
      <c r="D30" s="67">
        <v>3</v>
      </c>
      <c r="E30" s="68"/>
      <c r="F30" s="69">
        <v>40</v>
      </c>
      <c r="G30" s="66"/>
      <c r="H30" s="70"/>
      <c r="I30" s="71"/>
      <c r="J30" s="71"/>
      <c r="K30" s="35" t="s">
        <v>66</v>
      </c>
      <c r="L30" s="79">
        <v>30</v>
      </c>
      <c r="M30" s="79"/>
      <c r="N30" s="73"/>
      <c r="O30" s="81" t="s">
        <v>760</v>
      </c>
      <c r="P30" s="81" t="s">
        <v>215</v>
      </c>
      <c r="Q30" s="84" t="s">
        <v>785</v>
      </c>
      <c r="R30" s="81" t="s">
        <v>243</v>
      </c>
      <c r="S30" s="81" t="s">
        <v>1572</v>
      </c>
      <c r="T30" s="86" t="str">
        <f>HYPERLINK("http://www.youtube.com/channel/UC5dbPaVx1F_hyrstYlPIBDw")</f>
        <v>http://www.youtube.com/channel/UC5dbPaVx1F_hyrstYlPIBDw</v>
      </c>
      <c r="U30" s="81"/>
      <c r="V30" s="81" t="s">
        <v>2306</v>
      </c>
      <c r="W30" s="86" t="str">
        <f>HYPERLINK("https://www.youtube.com/watch?v=-0Iauhp_Kug")</f>
        <v>https://www.youtube.com/watch?v=-0Iauhp_Kug</v>
      </c>
      <c r="X30" s="81" t="s">
        <v>2335</v>
      </c>
      <c r="Y30" s="81">
        <v>1</v>
      </c>
      <c r="Z30" s="88">
        <v>43895.91238425926</v>
      </c>
      <c r="AA30" s="88">
        <v>43895.91238425926</v>
      </c>
      <c r="AB30" s="81"/>
      <c r="AC30" s="81"/>
      <c r="AD30" s="84" t="s">
        <v>2782</v>
      </c>
      <c r="AE30" s="82">
        <v>1</v>
      </c>
      <c r="AF30" s="83" t="str">
        <f>REPLACE(INDEX(GroupVertices[Group],MATCH(Edges[[#This Row],[Vertex 1]],GroupVertices[Vertex],0)),1,1,"")</f>
        <v>5</v>
      </c>
      <c r="AG30" s="83" t="str">
        <f>REPLACE(INDEX(GroupVertices[Group],MATCH(Edges[[#This Row],[Vertex 2]],GroupVertices[Vertex],0)),1,1,"")</f>
        <v>5</v>
      </c>
      <c r="AH30" s="111">
        <v>2</v>
      </c>
      <c r="AI30" s="112">
        <v>18.181818181818183</v>
      </c>
      <c r="AJ30" s="111">
        <v>0</v>
      </c>
      <c r="AK30" s="112">
        <v>0</v>
      </c>
      <c r="AL30" s="111">
        <v>0</v>
      </c>
      <c r="AM30" s="112">
        <v>0</v>
      </c>
      <c r="AN30" s="111">
        <v>9</v>
      </c>
      <c r="AO30" s="112">
        <v>81.81818181818181</v>
      </c>
      <c r="AP30" s="111">
        <v>11</v>
      </c>
    </row>
    <row r="31" spans="1:42" ht="15">
      <c r="A31" s="65" t="s">
        <v>230</v>
      </c>
      <c r="B31" s="65" t="s">
        <v>244</v>
      </c>
      <c r="C31" s="66" t="s">
        <v>5345</v>
      </c>
      <c r="D31" s="67">
        <v>3</v>
      </c>
      <c r="E31" s="68"/>
      <c r="F31" s="69">
        <v>40</v>
      </c>
      <c r="G31" s="66"/>
      <c r="H31" s="70"/>
      <c r="I31" s="71"/>
      <c r="J31" s="71"/>
      <c r="K31" s="35" t="s">
        <v>66</v>
      </c>
      <c r="L31" s="79">
        <v>31</v>
      </c>
      <c r="M31" s="79"/>
      <c r="N31" s="73"/>
      <c r="O31" s="81" t="s">
        <v>761</v>
      </c>
      <c r="P31" s="81" t="s">
        <v>763</v>
      </c>
      <c r="Q31" s="84" t="s">
        <v>765</v>
      </c>
      <c r="R31" s="81" t="s">
        <v>230</v>
      </c>
      <c r="S31" s="81" t="s">
        <v>1559</v>
      </c>
      <c r="T31" s="86" t="str">
        <f>HYPERLINK("http://www.youtube.com/channel/UCbbx7msYKamwOeRUkaqCTAQ")</f>
        <v>http://www.youtube.com/channel/UCbbx7msYKamwOeRUkaqCTAQ</v>
      </c>
      <c r="U31" s="81" t="s">
        <v>2092</v>
      </c>
      <c r="V31" s="81" t="s">
        <v>2306</v>
      </c>
      <c r="W31" s="86" t="str">
        <f>HYPERLINK("https://www.youtube.com/watch?v=-0Iauhp_Kug")</f>
        <v>https://www.youtube.com/watch?v=-0Iauhp_Kug</v>
      </c>
      <c r="X31" s="81" t="s">
        <v>2335</v>
      </c>
      <c r="Y31" s="81">
        <v>0</v>
      </c>
      <c r="Z31" s="88">
        <v>44170.93515046296</v>
      </c>
      <c r="AA31" s="88">
        <v>44170.93515046296</v>
      </c>
      <c r="AB31" s="81"/>
      <c r="AC31" s="81"/>
      <c r="AD31" s="84" t="s">
        <v>2782</v>
      </c>
      <c r="AE31" s="82">
        <v>1</v>
      </c>
      <c r="AF31" s="83" t="str">
        <f>REPLACE(INDEX(GroupVertices[Group],MATCH(Edges[[#This Row],[Vertex 1]],GroupVertices[Vertex],0)),1,1,"")</f>
        <v>5</v>
      </c>
      <c r="AG31" s="83" t="str">
        <f>REPLACE(INDEX(GroupVertices[Group],MATCH(Edges[[#This Row],[Vertex 2]],GroupVertices[Vertex],0)),1,1,"")</f>
        <v>5</v>
      </c>
      <c r="AH31" s="111">
        <v>0</v>
      </c>
      <c r="AI31" s="112">
        <v>0</v>
      </c>
      <c r="AJ31" s="111">
        <v>0</v>
      </c>
      <c r="AK31" s="112">
        <v>0</v>
      </c>
      <c r="AL31" s="111">
        <v>0</v>
      </c>
      <c r="AM31" s="112">
        <v>0</v>
      </c>
      <c r="AN31" s="111">
        <v>3</v>
      </c>
      <c r="AO31" s="112">
        <v>100</v>
      </c>
      <c r="AP31" s="111">
        <v>3</v>
      </c>
    </row>
    <row r="32" spans="1:42" ht="15">
      <c r="A32" s="65" t="s">
        <v>244</v>
      </c>
      <c r="B32" s="65" t="s">
        <v>230</v>
      </c>
      <c r="C32" s="66" t="s">
        <v>5345</v>
      </c>
      <c r="D32" s="67">
        <v>3</v>
      </c>
      <c r="E32" s="68"/>
      <c r="F32" s="69">
        <v>40</v>
      </c>
      <c r="G32" s="66"/>
      <c r="H32" s="70"/>
      <c r="I32" s="71"/>
      <c r="J32" s="71"/>
      <c r="K32" s="35" t="s">
        <v>66</v>
      </c>
      <c r="L32" s="79">
        <v>32</v>
      </c>
      <c r="M32" s="79"/>
      <c r="N32" s="73"/>
      <c r="O32" s="81" t="s">
        <v>760</v>
      </c>
      <c r="P32" s="81" t="s">
        <v>215</v>
      </c>
      <c r="Q32" s="84" t="s">
        <v>786</v>
      </c>
      <c r="R32" s="81" t="s">
        <v>244</v>
      </c>
      <c r="S32" s="81" t="s">
        <v>1573</v>
      </c>
      <c r="T32" s="86" t="str">
        <f>HYPERLINK("http://www.youtube.com/channel/UCWHMmYJfAwLnajyyUDJsyjw")</f>
        <v>http://www.youtube.com/channel/UCWHMmYJfAwLnajyyUDJsyjw</v>
      </c>
      <c r="U32" s="81"/>
      <c r="V32" s="81" t="s">
        <v>2306</v>
      </c>
      <c r="W32" s="86" t="str">
        <f>HYPERLINK("https://www.youtube.com/watch?v=-0Iauhp_Kug")</f>
        <v>https://www.youtube.com/watch?v=-0Iauhp_Kug</v>
      </c>
      <c r="X32" s="81" t="s">
        <v>2335</v>
      </c>
      <c r="Y32" s="81">
        <v>2</v>
      </c>
      <c r="Z32" s="88">
        <v>43926.43587962963</v>
      </c>
      <c r="AA32" s="88">
        <v>43926.43587962963</v>
      </c>
      <c r="AB32" s="81"/>
      <c r="AC32" s="81"/>
      <c r="AD32" s="84" t="s">
        <v>2782</v>
      </c>
      <c r="AE32" s="82">
        <v>1</v>
      </c>
      <c r="AF32" s="83" t="str">
        <f>REPLACE(INDEX(GroupVertices[Group],MATCH(Edges[[#This Row],[Vertex 1]],GroupVertices[Vertex],0)),1,1,"")</f>
        <v>5</v>
      </c>
      <c r="AG32" s="83" t="str">
        <f>REPLACE(INDEX(GroupVertices[Group],MATCH(Edges[[#This Row],[Vertex 2]],GroupVertices[Vertex],0)),1,1,"")</f>
        <v>5</v>
      </c>
      <c r="AH32" s="111">
        <v>2</v>
      </c>
      <c r="AI32" s="112">
        <v>28.571428571428573</v>
      </c>
      <c r="AJ32" s="111">
        <v>0</v>
      </c>
      <c r="AK32" s="112">
        <v>0</v>
      </c>
      <c r="AL32" s="111">
        <v>0</v>
      </c>
      <c r="AM32" s="112">
        <v>0</v>
      </c>
      <c r="AN32" s="111">
        <v>5</v>
      </c>
      <c r="AO32" s="112">
        <v>71.42857142857143</v>
      </c>
      <c r="AP32" s="111">
        <v>7</v>
      </c>
    </row>
    <row r="33" spans="1:42" ht="15">
      <c r="A33" s="65" t="s">
        <v>230</v>
      </c>
      <c r="B33" s="65" t="s">
        <v>245</v>
      </c>
      <c r="C33" s="66" t="s">
        <v>5345</v>
      </c>
      <c r="D33" s="67">
        <v>3</v>
      </c>
      <c r="E33" s="68"/>
      <c r="F33" s="69">
        <v>40</v>
      </c>
      <c r="G33" s="66"/>
      <c r="H33" s="70"/>
      <c r="I33" s="71"/>
      <c r="J33" s="71"/>
      <c r="K33" s="35" t="s">
        <v>66</v>
      </c>
      <c r="L33" s="79">
        <v>33</v>
      </c>
      <c r="M33" s="79"/>
      <c r="N33" s="73"/>
      <c r="O33" s="81" t="s">
        <v>761</v>
      </c>
      <c r="P33" s="81" t="s">
        <v>763</v>
      </c>
      <c r="Q33" s="84" t="s">
        <v>787</v>
      </c>
      <c r="R33" s="81" t="s">
        <v>230</v>
      </c>
      <c r="S33" s="81" t="s">
        <v>1559</v>
      </c>
      <c r="T33" s="86" t="str">
        <f>HYPERLINK("http://www.youtube.com/channel/UCbbx7msYKamwOeRUkaqCTAQ")</f>
        <v>http://www.youtube.com/channel/UCbbx7msYKamwOeRUkaqCTAQ</v>
      </c>
      <c r="U33" s="81" t="s">
        <v>2093</v>
      </c>
      <c r="V33" s="81" t="s">
        <v>2306</v>
      </c>
      <c r="W33" s="86" t="str">
        <f>HYPERLINK("https://www.youtube.com/watch?v=-0Iauhp_Kug")</f>
        <v>https://www.youtube.com/watch?v=-0Iauhp_Kug</v>
      </c>
      <c r="X33" s="81" t="s">
        <v>2335</v>
      </c>
      <c r="Y33" s="81">
        <v>1</v>
      </c>
      <c r="Z33" s="88">
        <v>44170.935</v>
      </c>
      <c r="AA33" s="88">
        <v>44170.935</v>
      </c>
      <c r="AB33" s="81"/>
      <c r="AC33" s="81"/>
      <c r="AD33" s="84" t="s">
        <v>2782</v>
      </c>
      <c r="AE33" s="82">
        <v>1</v>
      </c>
      <c r="AF33" s="83" t="str">
        <f>REPLACE(INDEX(GroupVertices[Group],MATCH(Edges[[#This Row],[Vertex 1]],GroupVertices[Vertex],0)),1,1,"")</f>
        <v>5</v>
      </c>
      <c r="AG33" s="83" t="str">
        <f>REPLACE(INDEX(GroupVertices[Group],MATCH(Edges[[#This Row],[Vertex 2]],GroupVertices[Vertex],0)),1,1,"")</f>
        <v>5</v>
      </c>
      <c r="AH33" s="111">
        <v>0</v>
      </c>
      <c r="AI33" s="112">
        <v>0</v>
      </c>
      <c r="AJ33" s="111">
        <v>0</v>
      </c>
      <c r="AK33" s="112">
        <v>0</v>
      </c>
      <c r="AL33" s="111">
        <v>0</v>
      </c>
      <c r="AM33" s="112">
        <v>0</v>
      </c>
      <c r="AN33" s="111">
        <v>3</v>
      </c>
      <c r="AO33" s="112">
        <v>100</v>
      </c>
      <c r="AP33" s="111">
        <v>3</v>
      </c>
    </row>
    <row r="34" spans="1:42" ht="15">
      <c r="A34" s="65" t="s">
        <v>245</v>
      </c>
      <c r="B34" s="65" t="s">
        <v>230</v>
      </c>
      <c r="C34" s="66" t="s">
        <v>5345</v>
      </c>
      <c r="D34" s="67">
        <v>3</v>
      </c>
      <c r="E34" s="68"/>
      <c r="F34" s="69">
        <v>40</v>
      </c>
      <c r="G34" s="66"/>
      <c r="H34" s="70"/>
      <c r="I34" s="71"/>
      <c r="J34" s="71"/>
      <c r="K34" s="35" t="s">
        <v>66</v>
      </c>
      <c r="L34" s="79">
        <v>34</v>
      </c>
      <c r="M34" s="79"/>
      <c r="N34" s="73"/>
      <c r="O34" s="81" t="s">
        <v>760</v>
      </c>
      <c r="P34" s="81" t="s">
        <v>215</v>
      </c>
      <c r="Q34" s="84" t="s">
        <v>788</v>
      </c>
      <c r="R34" s="81" t="s">
        <v>245</v>
      </c>
      <c r="S34" s="81" t="s">
        <v>1574</v>
      </c>
      <c r="T34" s="86" t="str">
        <f>HYPERLINK("http://www.youtube.com/channel/UCUdKpfoeqOhuCLZ7iZSopnw")</f>
        <v>http://www.youtube.com/channel/UCUdKpfoeqOhuCLZ7iZSopnw</v>
      </c>
      <c r="U34" s="81"/>
      <c r="V34" s="81" t="s">
        <v>2306</v>
      </c>
      <c r="W34" s="86" t="str">
        <f>HYPERLINK("https://www.youtube.com/watch?v=-0Iauhp_Kug")</f>
        <v>https://www.youtube.com/watch?v=-0Iauhp_Kug</v>
      </c>
      <c r="X34" s="81" t="s">
        <v>2335</v>
      </c>
      <c r="Y34" s="81">
        <v>1</v>
      </c>
      <c r="Z34" s="88">
        <v>43926.71046296296</v>
      </c>
      <c r="AA34" s="88">
        <v>43926.71046296296</v>
      </c>
      <c r="AB34" s="81"/>
      <c r="AC34" s="81"/>
      <c r="AD34" s="84" t="s">
        <v>2782</v>
      </c>
      <c r="AE34" s="82">
        <v>1</v>
      </c>
      <c r="AF34" s="83" t="str">
        <f>REPLACE(INDEX(GroupVertices[Group],MATCH(Edges[[#This Row],[Vertex 1]],GroupVertices[Vertex],0)),1,1,"")</f>
        <v>5</v>
      </c>
      <c r="AG34" s="83" t="str">
        <f>REPLACE(INDEX(GroupVertices[Group],MATCH(Edges[[#This Row],[Vertex 2]],GroupVertices[Vertex],0)),1,1,"")</f>
        <v>5</v>
      </c>
      <c r="AH34" s="111">
        <v>4</v>
      </c>
      <c r="AI34" s="112">
        <v>21.05263157894737</v>
      </c>
      <c r="AJ34" s="111">
        <v>0</v>
      </c>
      <c r="AK34" s="112">
        <v>0</v>
      </c>
      <c r="AL34" s="111">
        <v>0</v>
      </c>
      <c r="AM34" s="112">
        <v>0</v>
      </c>
      <c r="AN34" s="111">
        <v>15</v>
      </c>
      <c r="AO34" s="112">
        <v>78.94736842105263</v>
      </c>
      <c r="AP34" s="111">
        <v>19</v>
      </c>
    </row>
    <row r="35" spans="1:42" ht="15">
      <c r="A35" s="65" t="s">
        <v>230</v>
      </c>
      <c r="B35" s="65" t="s">
        <v>246</v>
      </c>
      <c r="C35" s="66" t="s">
        <v>5345</v>
      </c>
      <c r="D35" s="67">
        <v>3</v>
      </c>
      <c r="E35" s="68"/>
      <c r="F35" s="69">
        <v>40</v>
      </c>
      <c r="G35" s="66"/>
      <c r="H35" s="70"/>
      <c r="I35" s="71"/>
      <c r="J35" s="71"/>
      <c r="K35" s="35" t="s">
        <v>66</v>
      </c>
      <c r="L35" s="79">
        <v>35</v>
      </c>
      <c r="M35" s="79"/>
      <c r="N35" s="73"/>
      <c r="O35" s="81" t="s">
        <v>761</v>
      </c>
      <c r="P35" s="81" t="s">
        <v>763</v>
      </c>
      <c r="Q35" s="84" t="s">
        <v>789</v>
      </c>
      <c r="R35" s="81" t="s">
        <v>230</v>
      </c>
      <c r="S35" s="81" t="s">
        <v>1559</v>
      </c>
      <c r="T35" s="86" t="str">
        <f>HYPERLINK("http://www.youtube.com/channel/UCbbx7msYKamwOeRUkaqCTAQ")</f>
        <v>http://www.youtube.com/channel/UCbbx7msYKamwOeRUkaqCTAQ</v>
      </c>
      <c r="U35" s="81" t="s">
        <v>2094</v>
      </c>
      <c r="V35" s="81" t="s">
        <v>2306</v>
      </c>
      <c r="W35" s="86" t="str">
        <f>HYPERLINK("https://www.youtube.com/watch?v=-0Iauhp_Kug")</f>
        <v>https://www.youtube.com/watch?v=-0Iauhp_Kug</v>
      </c>
      <c r="X35" s="81" t="s">
        <v>2335</v>
      </c>
      <c r="Y35" s="81">
        <v>0</v>
      </c>
      <c r="Z35" s="81" t="s">
        <v>2337</v>
      </c>
      <c r="AA35" s="81" t="s">
        <v>2337</v>
      </c>
      <c r="AB35" s="81"/>
      <c r="AC35" s="81"/>
      <c r="AD35" s="84" t="s">
        <v>2782</v>
      </c>
      <c r="AE35" s="82">
        <v>1</v>
      </c>
      <c r="AF35" s="83" t="str">
        <f>REPLACE(INDEX(GroupVertices[Group],MATCH(Edges[[#This Row],[Vertex 1]],GroupVertices[Vertex],0)),1,1,"")</f>
        <v>5</v>
      </c>
      <c r="AG35" s="83" t="str">
        <f>REPLACE(INDEX(GroupVertices[Group],MATCH(Edges[[#This Row],[Vertex 2]],GroupVertices[Vertex],0)),1,1,"")</f>
        <v>5</v>
      </c>
      <c r="AH35" s="111">
        <v>1</v>
      </c>
      <c r="AI35" s="112">
        <v>25</v>
      </c>
      <c r="AJ35" s="111">
        <v>0</v>
      </c>
      <c r="AK35" s="112">
        <v>0</v>
      </c>
      <c r="AL35" s="111">
        <v>0</v>
      </c>
      <c r="AM35" s="112">
        <v>0</v>
      </c>
      <c r="AN35" s="111">
        <v>3</v>
      </c>
      <c r="AO35" s="112">
        <v>75</v>
      </c>
      <c r="AP35" s="111">
        <v>4</v>
      </c>
    </row>
    <row r="36" spans="1:42" ht="15">
      <c r="A36" s="65" t="s">
        <v>246</v>
      </c>
      <c r="B36" s="65" t="s">
        <v>230</v>
      </c>
      <c r="C36" s="66" t="s">
        <v>5345</v>
      </c>
      <c r="D36" s="67">
        <v>3</v>
      </c>
      <c r="E36" s="68"/>
      <c r="F36" s="69">
        <v>40</v>
      </c>
      <c r="G36" s="66"/>
      <c r="H36" s="70"/>
      <c r="I36" s="71"/>
      <c r="J36" s="71"/>
      <c r="K36" s="35" t="s">
        <v>66</v>
      </c>
      <c r="L36" s="79">
        <v>36</v>
      </c>
      <c r="M36" s="79"/>
      <c r="N36" s="73"/>
      <c r="O36" s="81" t="s">
        <v>760</v>
      </c>
      <c r="P36" s="81" t="s">
        <v>215</v>
      </c>
      <c r="Q36" s="84" t="s">
        <v>790</v>
      </c>
      <c r="R36" s="81" t="s">
        <v>246</v>
      </c>
      <c r="S36" s="81" t="s">
        <v>1575</v>
      </c>
      <c r="T36" s="86" t="str">
        <f>HYPERLINK("http://www.youtube.com/channel/UCNDgFfJaEdGb5X1xgKIVmmg")</f>
        <v>http://www.youtube.com/channel/UCNDgFfJaEdGb5X1xgKIVmmg</v>
      </c>
      <c r="U36" s="81"/>
      <c r="V36" s="81" t="s">
        <v>2306</v>
      </c>
      <c r="W36" s="86" t="str">
        <f>HYPERLINK("https://www.youtube.com/watch?v=-0Iauhp_Kug")</f>
        <v>https://www.youtube.com/watch?v=-0Iauhp_Kug</v>
      </c>
      <c r="X36" s="81" t="s">
        <v>2335</v>
      </c>
      <c r="Y36" s="81">
        <v>1</v>
      </c>
      <c r="Z36" s="88">
        <v>43926.96695601852</v>
      </c>
      <c r="AA36" s="88">
        <v>43926.96695601852</v>
      </c>
      <c r="AB36" s="81"/>
      <c r="AC36" s="81"/>
      <c r="AD36" s="84" t="s">
        <v>2782</v>
      </c>
      <c r="AE36" s="82">
        <v>1</v>
      </c>
      <c r="AF36" s="83" t="str">
        <f>REPLACE(INDEX(GroupVertices[Group],MATCH(Edges[[#This Row],[Vertex 1]],GroupVertices[Vertex],0)),1,1,"")</f>
        <v>5</v>
      </c>
      <c r="AG36" s="83" t="str">
        <f>REPLACE(INDEX(GroupVertices[Group],MATCH(Edges[[#This Row],[Vertex 2]],GroupVertices[Vertex],0)),1,1,"")</f>
        <v>5</v>
      </c>
      <c r="AH36" s="111">
        <v>1</v>
      </c>
      <c r="AI36" s="112">
        <v>16.666666666666668</v>
      </c>
      <c r="AJ36" s="111">
        <v>0</v>
      </c>
      <c r="AK36" s="112">
        <v>0</v>
      </c>
      <c r="AL36" s="111">
        <v>0</v>
      </c>
      <c r="AM36" s="112">
        <v>0</v>
      </c>
      <c r="AN36" s="111">
        <v>5</v>
      </c>
      <c r="AO36" s="112">
        <v>83.33333333333333</v>
      </c>
      <c r="AP36" s="111">
        <v>6</v>
      </c>
    </row>
    <row r="37" spans="1:42" ht="15">
      <c r="A37" s="65" t="s">
        <v>230</v>
      </c>
      <c r="B37" s="65" t="s">
        <v>247</v>
      </c>
      <c r="C37" s="66" t="s">
        <v>5345</v>
      </c>
      <c r="D37" s="67">
        <v>3</v>
      </c>
      <c r="E37" s="68"/>
      <c r="F37" s="69">
        <v>40</v>
      </c>
      <c r="G37" s="66"/>
      <c r="H37" s="70"/>
      <c r="I37" s="71"/>
      <c r="J37" s="71"/>
      <c r="K37" s="35" t="s">
        <v>66</v>
      </c>
      <c r="L37" s="79">
        <v>37</v>
      </c>
      <c r="M37" s="79"/>
      <c r="N37" s="73"/>
      <c r="O37" s="81" t="s">
        <v>761</v>
      </c>
      <c r="P37" s="81" t="s">
        <v>763</v>
      </c>
      <c r="Q37" s="84" t="s">
        <v>791</v>
      </c>
      <c r="R37" s="81" t="s">
        <v>230</v>
      </c>
      <c r="S37" s="81" t="s">
        <v>1559</v>
      </c>
      <c r="T37" s="86" t="str">
        <f>HYPERLINK("http://www.youtube.com/channel/UCbbx7msYKamwOeRUkaqCTAQ")</f>
        <v>http://www.youtube.com/channel/UCbbx7msYKamwOeRUkaqCTAQ</v>
      </c>
      <c r="U37" s="81" t="s">
        <v>2095</v>
      </c>
      <c r="V37" s="81" t="s">
        <v>2306</v>
      </c>
      <c r="W37" s="86" t="str">
        <f>HYPERLINK("https://www.youtube.com/watch?v=-0Iauhp_Kug")</f>
        <v>https://www.youtube.com/watch?v=-0Iauhp_Kug</v>
      </c>
      <c r="X37" s="81" t="s">
        <v>2335</v>
      </c>
      <c r="Y37" s="81">
        <v>0</v>
      </c>
      <c r="Z37" s="88">
        <v>43956.425358796296</v>
      </c>
      <c r="AA37" s="88">
        <v>43956.425358796296</v>
      </c>
      <c r="AB37" s="81"/>
      <c r="AC37" s="81"/>
      <c r="AD37" s="84" t="s">
        <v>2782</v>
      </c>
      <c r="AE37" s="82">
        <v>1</v>
      </c>
      <c r="AF37" s="83" t="str">
        <f>REPLACE(INDEX(GroupVertices[Group],MATCH(Edges[[#This Row],[Vertex 1]],GroupVertices[Vertex],0)),1,1,"")</f>
        <v>5</v>
      </c>
      <c r="AG37" s="83" t="str">
        <f>REPLACE(INDEX(GroupVertices[Group],MATCH(Edges[[#This Row],[Vertex 2]],GroupVertices[Vertex],0)),1,1,"")</f>
        <v>5</v>
      </c>
      <c r="AH37" s="111">
        <v>2</v>
      </c>
      <c r="AI37" s="112">
        <v>6.25</v>
      </c>
      <c r="AJ37" s="111">
        <v>0</v>
      </c>
      <c r="AK37" s="112">
        <v>0</v>
      </c>
      <c r="AL37" s="111">
        <v>0</v>
      </c>
      <c r="AM37" s="112">
        <v>0</v>
      </c>
      <c r="AN37" s="111">
        <v>30</v>
      </c>
      <c r="AO37" s="112">
        <v>93.75</v>
      </c>
      <c r="AP37" s="111">
        <v>32</v>
      </c>
    </row>
    <row r="38" spans="1:42" ht="15">
      <c r="A38" s="65" t="s">
        <v>247</v>
      </c>
      <c r="B38" s="65" t="s">
        <v>230</v>
      </c>
      <c r="C38" s="66" t="s">
        <v>5345</v>
      </c>
      <c r="D38" s="67">
        <v>3</v>
      </c>
      <c r="E38" s="68"/>
      <c r="F38" s="69">
        <v>40</v>
      </c>
      <c r="G38" s="66"/>
      <c r="H38" s="70"/>
      <c r="I38" s="71"/>
      <c r="J38" s="71"/>
      <c r="K38" s="35" t="s">
        <v>66</v>
      </c>
      <c r="L38" s="79">
        <v>38</v>
      </c>
      <c r="M38" s="79"/>
      <c r="N38" s="73"/>
      <c r="O38" s="81" t="s">
        <v>760</v>
      </c>
      <c r="P38" s="81" t="s">
        <v>215</v>
      </c>
      <c r="Q38" s="84" t="s">
        <v>792</v>
      </c>
      <c r="R38" s="81" t="s">
        <v>247</v>
      </c>
      <c r="S38" s="81" t="s">
        <v>1576</v>
      </c>
      <c r="T38" s="86" t="str">
        <f>HYPERLINK("http://www.youtube.com/channel/UCnwsJfmM3LAMLY5fdTSf-BA")</f>
        <v>http://www.youtube.com/channel/UCnwsJfmM3LAMLY5fdTSf-BA</v>
      </c>
      <c r="U38" s="81"/>
      <c r="V38" s="81" t="s">
        <v>2306</v>
      </c>
      <c r="W38" s="86" t="str">
        <f>HYPERLINK("https://www.youtube.com/watch?v=-0Iauhp_Kug")</f>
        <v>https://www.youtube.com/watch?v=-0Iauhp_Kug</v>
      </c>
      <c r="X38" s="81" t="s">
        <v>2335</v>
      </c>
      <c r="Y38" s="81">
        <v>1</v>
      </c>
      <c r="Z38" s="88">
        <v>43956.04172453703</v>
      </c>
      <c r="AA38" s="88">
        <v>43956.04172453703</v>
      </c>
      <c r="AB38" s="81"/>
      <c r="AC38" s="81"/>
      <c r="AD38" s="84" t="s">
        <v>2782</v>
      </c>
      <c r="AE38" s="82">
        <v>1</v>
      </c>
      <c r="AF38" s="83" t="str">
        <f>REPLACE(INDEX(GroupVertices[Group],MATCH(Edges[[#This Row],[Vertex 1]],GroupVertices[Vertex],0)),1,1,"")</f>
        <v>5</v>
      </c>
      <c r="AG38" s="83" t="str">
        <f>REPLACE(INDEX(GroupVertices[Group],MATCH(Edges[[#This Row],[Vertex 2]],GroupVertices[Vertex],0)),1,1,"")</f>
        <v>5</v>
      </c>
      <c r="AH38" s="111">
        <v>5</v>
      </c>
      <c r="AI38" s="112">
        <v>10.416666666666666</v>
      </c>
      <c r="AJ38" s="111">
        <v>0</v>
      </c>
      <c r="AK38" s="112">
        <v>0</v>
      </c>
      <c r="AL38" s="111">
        <v>0</v>
      </c>
      <c r="AM38" s="112">
        <v>0</v>
      </c>
      <c r="AN38" s="111">
        <v>43</v>
      </c>
      <c r="AO38" s="112">
        <v>89.58333333333333</v>
      </c>
      <c r="AP38" s="111">
        <v>48</v>
      </c>
    </row>
    <row r="39" spans="1:42" ht="15">
      <c r="A39" s="65" t="s">
        <v>230</v>
      </c>
      <c r="B39" s="65" t="s">
        <v>248</v>
      </c>
      <c r="C39" s="66" t="s">
        <v>5345</v>
      </c>
      <c r="D39" s="67">
        <v>3</v>
      </c>
      <c r="E39" s="68"/>
      <c r="F39" s="69">
        <v>40</v>
      </c>
      <c r="G39" s="66"/>
      <c r="H39" s="70"/>
      <c r="I39" s="71"/>
      <c r="J39" s="71"/>
      <c r="K39" s="35" t="s">
        <v>66</v>
      </c>
      <c r="L39" s="79">
        <v>39</v>
      </c>
      <c r="M39" s="79"/>
      <c r="N39" s="73"/>
      <c r="O39" s="81" t="s">
        <v>761</v>
      </c>
      <c r="P39" s="81" t="s">
        <v>763</v>
      </c>
      <c r="Q39" s="84" t="s">
        <v>793</v>
      </c>
      <c r="R39" s="81" t="s">
        <v>230</v>
      </c>
      <c r="S39" s="81" t="s">
        <v>1559</v>
      </c>
      <c r="T39" s="86" t="str">
        <f>HYPERLINK("http://www.youtube.com/channel/UCbbx7msYKamwOeRUkaqCTAQ")</f>
        <v>http://www.youtube.com/channel/UCbbx7msYKamwOeRUkaqCTAQ</v>
      </c>
      <c r="U39" s="81" t="s">
        <v>2096</v>
      </c>
      <c r="V39" s="81" t="s">
        <v>2306</v>
      </c>
      <c r="W39" s="86" t="str">
        <f>HYPERLINK("https://www.youtube.com/watch?v=-0Iauhp_Kug")</f>
        <v>https://www.youtube.com/watch?v=-0Iauhp_Kug</v>
      </c>
      <c r="X39" s="81" t="s">
        <v>2335</v>
      </c>
      <c r="Y39" s="81">
        <v>0</v>
      </c>
      <c r="Z39" s="88">
        <v>44170.93460648148</v>
      </c>
      <c r="AA39" s="88">
        <v>44170.93460648148</v>
      </c>
      <c r="AB39" s="81"/>
      <c r="AC39" s="81"/>
      <c r="AD39" s="84" t="s">
        <v>2782</v>
      </c>
      <c r="AE39" s="82">
        <v>1</v>
      </c>
      <c r="AF39" s="83" t="str">
        <f>REPLACE(INDEX(GroupVertices[Group],MATCH(Edges[[#This Row],[Vertex 1]],GroupVertices[Vertex],0)),1,1,"")</f>
        <v>5</v>
      </c>
      <c r="AG39" s="83" t="str">
        <f>REPLACE(INDEX(GroupVertices[Group],MATCH(Edges[[#This Row],[Vertex 2]],GroupVertices[Vertex],0)),1,1,"")</f>
        <v>5</v>
      </c>
      <c r="AH39" s="111">
        <v>0</v>
      </c>
      <c r="AI39" s="112">
        <v>0</v>
      </c>
      <c r="AJ39" s="111">
        <v>0</v>
      </c>
      <c r="AK39" s="112">
        <v>0</v>
      </c>
      <c r="AL39" s="111">
        <v>0</v>
      </c>
      <c r="AM39" s="112">
        <v>0</v>
      </c>
      <c r="AN39" s="111">
        <v>4</v>
      </c>
      <c r="AO39" s="112">
        <v>100</v>
      </c>
      <c r="AP39" s="111">
        <v>4</v>
      </c>
    </row>
    <row r="40" spans="1:42" ht="15">
      <c r="A40" s="65" t="s">
        <v>248</v>
      </c>
      <c r="B40" s="65" t="s">
        <v>230</v>
      </c>
      <c r="C40" s="66" t="s">
        <v>5345</v>
      </c>
      <c r="D40" s="67">
        <v>3</v>
      </c>
      <c r="E40" s="68"/>
      <c r="F40" s="69">
        <v>40</v>
      </c>
      <c r="G40" s="66"/>
      <c r="H40" s="70"/>
      <c r="I40" s="71"/>
      <c r="J40" s="71"/>
      <c r="K40" s="35" t="s">
        <v>66</v>
      </c>
      <c r="L40" s="79">
        <v>40</v>
      </c>
      <c r="M40" s="79"/>
      <c r="N40" s="73"/>
      <c r="O40" s="81" t="s">
        <v>760</v>
      </c>
      <c r="P40" s="81" t="s">
        <v>215</v>
      </c>
      <c r="Q40" s="84" t="s">
        <v>794</v>
      </c>
      <c r="R40" s="81" t="s">
        <v>248</v>
      </c>
      <c r="S40" s="81" t="s">
        <v>1577</v>
      </c>
      <c r="T40" s="86" t="str">
        <f>HYPERLINK("http://www.youtube.com/channel/UCK4aieEbRXehxvhd-VGlcMw")</f>
        <v>http://www.youtube.com/channel/UCK4aieEbRXehxvhd-VGlcMw</v>
      </c>
      <c r="U40" s="81"/>
      <c r="V40" s="81" t="s">
        <v>2306</v>
      </c>
      <c r="W40" s="86" t="str">
        <f>HYPERLINK("https://www.youtube.com/watch?v=-0Iauhp_Kug")</f>
        <v>https://www.youtube.com/watch?v=-0Iauhp_Kug</v>
      </c>
      <c r="X40" s="81" t="s">
        <v>2335</v>
      </c>
      <c r="Y40" s="81">
        <v>1</v>
      </c>
      <c r="Z40" s="88">
        <v>43956.47105324074</v>
      </c>
      <c r="AA40" s="88">
        <v>43956.47105324074</v>
      </c>
      <c r="AB40" s="81"/>
      <c r="AC40" s="81"/>
      <c r="AD40" s="84" t="s">
        <v>2782</v>
      </c>
      <c r="AE40" s="82">
        <v>1</v>
      </c>
      <c r="AF40" s="83" t="str">
        <f>REPLACE(INDEX(GroupVertices[Group],MATCH(Edges[[#This Row],[Vertex 1]],GroupVertices[Vertex],0)),1,1,"")</f>
        <v>5</v>
      </c>
      <c r="AG40" s="83" t="str">
        <f>REPLACE(INDEX(GroupVertices[Group],MATCH(Edges[[#This Row],[Vertex 2]],GroupVertices[Vertex],0)),1,1,"")</f>
        <v>5</v>
      </c>
      <c r="AH40" s="111">
        <v>3</v>
      </c>
      <c r="AI40" s="112">
        <v>30</v>
      </c>
      <c r="AJ40" s="111">
        <v>0</v>
      </c>
      <c r="AK40" s="112">
        <v>0</v>
      </c>
      <c r="AL40" s="111">
        <v>0</v>
      </c>
      <c r="AM40" s="112">
        <v>0</v>
      </c>
      <c r="AN40" s="111">
        <v>7</v>
      </c>
      <c r="AO40" s="112">
        <v>70</v>
      </c>
      <c r="AP40" s="111">
        <v>10</v>
      </c>
    </row>
    <row r="41" spans="1:42" ht="15">
      <c r="A41" s="65" t="s">
        <v>230</v>
      </c>
      <c r="B41" s="65" t="s">
        <v>249</v>
      </c>
      <c r="C41" s="66" t="s">
        <v>5345</v>
      </c>
      <c r="D41" s="67">
        <v>3</v>
      </c>
      <c r="E41" s="68"/>
      <c r="F41" s="69">
        <v>40</v>
      </c>
      <c r="G41" s="66"/>
      <c r="H41" s="70"/>
      <c r="I41" s="71"/>
      <c r="J41" s="71"/>
      <c r="K41" s="35" t="s">
        <v>66</v>
      </c>
      <c r="L41" s="79">
        <v>41</v>
      </c>
      <c r="M41" s="79"/>
      <c r="N41" s="73"/>
      <c r="O41" s="81" t="s">
        <v>761</v>
      </c>
      <c r="P41" s="81" t="s">
        <v>763</v>
      </c>
      <c r="Q41" s="84" t="s">
        <v>795</v>
      </c>
      <c r="R41" s="81" t="s">
        <v>230</v>
      </c>
      <c r="S41" s="81" t="s">
        <v>1559</v>
      </c>
      <c r="T41" s="86" t="str">
        <f>HYPERLINK("http://www.youtube.com/channel/UCbbx7msYKamwOeRUkaqCTAQ")</f>
        <v>http://www.youtube.com/channel/UCbbx7msYKamwOeRUkaqCTAQ</v>
      </c>
      <c r="U41" s="81" t="s">
        <v>2097</v>
      </c>
      <c r="V41" s="81" t="s">
        <v>2306</v>
      </c>
      <c r="W41" s="86" t="str">
        <f>HYPERLINK("https://www.youtube.com/watch?v=-0Iauhp_Kug")</f>
        <v>https://www.youtube.com/watch?v=-0Iauhp_Kug</v>
      </c>
      <c r="X41" s="81" t="s">
        <v>2335</v>
      </c>
      <c r="Y41" s="81">
        <v>0</v>
      </c>
      <c r="Z41" s="88">
        <v>43987.51069444444</v>
      </c>
      <c r="AA41" s="88">
        <v>43987.51069444444</v>
      </c>
      <c r="AB41" s="81"/>
      <c r="AC41" s="81"/>
      <c r="AD41" s="84" t="s">
        <v>2782</v>
      </c>
      <c r="AE41" s="82">
        <v>1</v>
      </c>
      <c r="AF41" s="83" t="str">
        <f>REPLACE(INDEX(GroupVertices[Group],MATCH(Edges[[#This Row],[Vertex 1]],GroupVertices[Vertex],0)),1,1,"")</f>
        <v>5</v>
      </c>
      <c r="AG41" s="83" t="str">
        <f>REPLACE(INDEX(GroupVertices[Group],MATCH(Edges[[#This Row],[Vertex 2]],GroupVertices[Vertex],0)),1,1,"")</f>
        <v>5</v>
      </c>
      <c r="AH41" s="111">
        <v>2</v>
      </c>
      <c r="AI41" s="112">
        <v>7.6923076923076925</v>
      </c>
      <c r="AJ41" s="111">
        <v>0</v>
      </c>
      <c r="AK41" s="112">
        <v>0</v>
      </c>
      <c r="AL41" s="111">
        <v>0</v>
      </c>
      <c r="AM41" s="112">
        <v>0</v>
      </c>
      <c r="AN41" s="111">
        <v>24</v>
      </c>
      <c r="AO41" s="112">
        <v>92.3076923076923</v>
      </c>
      <c r="AP41" s="111">
        <v>26</v>
      </c>
    </row>
    <row r="42" spans="1:42" ht="15">
      <c r="A42" s="65" t="s">
        <v>249</v>
      </c>
      <c r="B42" s="65" t="s">
        <v>230</v>
      </c>
      <c r="C42" s="66" t="s">
        <v>5345</v>
      </c>
      <c r="D42" s="67">
        <v>3</v>
      </c>
      <c r="E42" s="68"/>
      <c r="F42" s="69">
        <v>40</v>
      </c>
      <c r="G42" s="66"/>
      <c r="H42" s="70"/>
      <c r="I42" s="71"/>
      <c r="J42" s="71"/>
      <c r="K42" s="35" t="s">
        <v>66</v>
      </c>
      <c r="L42" s="79">
        <v>42</v>
      </c>
      <c r="M42" s="79"/>
      <c r="N42" s="73"/>
      <c r="O42" s="81" t="s">
        <v>760</v>
      </c>
      <c r="P42" s="81" t="s">
        <v>215</v>
      </c>
      <c r="Q42" s="84" t="s">
        <v>796</v>
      </c>
      <c r="R42" s="81" t="s">
        <v>249</v>
      </c>
      <c r="S42" s="81" t="s">
        <v>1578</v>
      </c>
      <c r="T42" s="86" t="str">
        <f>HYPERLINK("http://www.youtube.com/channel/UCeFHMi__WiI_7gyId_i-aqA")</f>
        <v>http://www.youtube.com/channel/UCeFHMi__WiI_7gyId_i-aqA</v>
      </c>
      <c r="U42" s="81"/>
      <c r="V42" s="81" t="s">
        <v>2306</v>
      </c>
      <c r="W42" s="86" t="str">
        <f>HYPERLINK("https://www.youtube.com/watch?v=-0Iauhp_Kug")</f>
        <v>https://www.youtube.com/watch?v=-0Iauhp_Kug</v>
      </c>
      <c r="X42" s="81" t="s">
        <v>2335</v>
      </c>
      <c r="Y42" s="81">
        <v>1</v>
      </c>
      <c r="Z42" s="88">
        <v>43956.70706018519</v>
      </c>
      <c r="AA42" s="88">
        <v>43956.70706018519</v>
      </c>
      <c r="AB42" s="81"/>
      <c r="AC42" s="81"/>
      <c r="AD42" s="84" t="s">
        <v>2782</v>
      </c>
      <c r="AE42" s="82">
        <v>1</v>
      </c>
      <c r="AF42" s="83" t="str">
        <f>REPLACE(INDEX(GroupVertices[Group],MATCH(Edges[[#This Row],[Vertex 1]],GroupVertices[Vertex],0)),1,1,"")</f>
        <v>5</v>
      </c>
      <c r="AG42" s="83" t="str">
        <f>REPLACE(INDEX(GroupVertices[Group],MATCH(Edges[[#This Row],[Vertex 2]],GroupVertices[Vertex],0)),1,1,"")</f>
        <v>5</v>
      </c>
      <c r="AH42" s="111">
        <v>6</v>
      </c>
      <c r="AI42" s="112">
        <v>21.428571428571427</v>
      </c>
      <c r="AJ42" s="111">
        <v>0</v>
      </c>
      <c r="AK42" s="112">
        <v>0</v>
      </c>
      <c r="AL42" s="111">
        <v>0</v>
      </c>
      <c r="AM42" s="112">
        <v>0</v>
      </c>
      <c r="AN42" s="111">
        <v>22</v>
      </c>
      <c r="AO42" s="112">
        <v>78.57142857142857</v>
      </c>
      <c r="AP42" s="111">
        <v>28</v>
      </c>
    </row>
    <row r="43" spans="1:42" ht="15">
      <c r="A43" s="65" t="s">
        <v>230</v>
      </c>
      <c r="B43" s="65" t="s">
        <v>250</v>
      </c>
      <c r="C43" s="66" t="s">
        <v>5345</v>
      </c>
      <c r="D43" s="67">
        <v>3</v>
      </c>
      <c r="E43" s="68"/>
      <c r="F43" s="69">
        <v>40</v>
      </c>
      <c r="G43" s="66"/>
      <c r="H43" s="70"/>
      <c r="I43" s="71"/>
      <c r="J43" s="71"/>
      <c r="K43" s="35" t="s">
        <v>66</v>
      </c>
      <c r="L43" s="79">
        <v>43</v>
      </c>
      <c r="M43" s="79"/>
      <c r="N43" s="73"/>
      <c r="O43" s="81" t="s">
        <v>761</v>
      </c>
      <c r="P43" s="81" t="s">
        <v>763</v>
      </c>
      <c r="Q43" s="84" t="s">
        <v>769</v>
      </c>
      <c r="R43" s="81" t="s">
        <v>230</v>
      </c>
      <c r="S43" s="81" t="s">
        <v>1559</v>
      </c>
      <c r="T43" s="86" t="str">
        <f>HYPERLINK("http://www.youtube.com/channel/UCbbx7msYKamwOeRUkaqCTAQ")</f>
        <v>http://www.youtube.com/channel/UCbbx7msYKamwOeRUkaqCTAQ</v>
      </c>
      <c r="U43" s="81" t="s">
        <v>2098</v>
      </c>
      <c r="V43" s="81" t="s">
        <v>2306</v>
      </c>
      <c r="W43" s="86" t="str">
        <f>HYPERLINK("https://www.youtube.com/watch?v=-0Iauhp_Kug")</f>
        <v>https://www.youtube.com/watch?v=-0Iauhp_Kug</v>
      </c>
      <c r="X43" s="81" t="s">
        <v>2335</v>
      </c>
      <c r="Y43" s="81">
        <v>0</v>
      </c>
      <c r="Z43" s="88">
        <v>44170.93436342593</v>
      </c>
      <c r="AA43" s="88">
        <v>44170.93436342593</v>
      </c>
      <c r="AB43" s="81"/>
      <c r="AC43" s="81"/>
      <c r="AD43" s="84" t="s">
        <v>2782</v>
      </c>
      <c r="AE43" s="82">
        <v>1</v>
      </c>
      <c r="AF43" s="83" t="str">
        <f>REPLACE(INDEX(GroupVertices[Group],MATCH(Edges[[#This Row],[Vertex 1]],GroupVertices[Vertex],0)),1,1,"")</f>
        <v>5</v>
      </c>
      <c r="AG43" s="83" t="str">
        <f>REPLACE(INDEX(GroupVertices[Group],MATCH(Edges[[#This Row],[Vertex 2]],GroupVertices[Vertex],0)),1,1,"")</f>
        <v>5</v>
      </c>
      <c r="AH43" s="111">
        <v>0</v>
      </c>
      <c r="AI43" s="112">
        <v>0</v>
      </c>
      <c r="AJ43" s="111">
        <v>0</v>
      </c>
      <c r="AK43" s="112">
        <v>0</v>
      </c>
      <c r="AL43" s="111">
        <v>0</v>
      </c>
      <c r="AM43" s="112">
        <v>0</v>
      </c>
      <c r="AN43" s="111">
        <v>1</v>
      </c>
      <c r="AO43" s="112">
        <v>100</v>
      </c>
      <c r="AP43" s="111">
        <v>1</v>
      </c>
    </row>
    <row r="44" spans="1:42" ht="15">
      <c r="A44" s="65" t="s">
        <v>250</v>
      </c>
      <c r="B44" s="65" t="s">
        <v>230</v>
      </c>
      <c r="C44" s="66" t="s">
        <v>5345</v>
      </c>
      <c r="D44" s="67">
        <v>3</v>
      </c>
      <c r="E44" s="68"/>
      <c r="F44" s="69">
        <v>40</v>
      </c>
      <c r="G44" s="66"/>
      <c r="H44" s="70"/>
      <c r="I44" s="71"/>
      <c r="J44" s="71"/>
      <c r="K44" s="35" t="s">
        <v>66</v>
      </c>
      <c r="L44" s="79">
        <v>44</v>
      </c>
      <c r="M44" s="79"/>
      <c r="N44" s="73"/>
      <c r="O44" s="81" t="s">
        <v>760</v>
      </c>
      <c r="P44" s="81" t="s">
        <v>215</v>
      </c>
      <c r="Q44" s="84" t="s">
        <v>797</v>
      </c>
      <c r="R44" s="81" t="s">
        <v>250</v>
      </c>
      <c r="S44" s="81" t="s">
        <v>1579</v>
      </c>
      <c r="T44" s="86" t="str">
        <f>HYPERLINK("http://www.youtube.com/channel/UCQrnl3v9mkozB6Z_zmBWpLw")</f>
        <v>http://www.youtube.com/channel/UCQrnl3v9mkozB6Z_zmBWpLw</v>
      </c>
      <c r="U44" s="81"/>
      <c r="V44" s="81" t="s">
        <v>2306</v>
      </c>
      <c r="W44" s="86" t="str">
        <f>HYPERLINK("https://www.youtube.com/watch?v=-0Iauhp_Kug")</f>
        <v>https://www.youtube.com/watch?v=-0Iauhp_Kug</v>
      </c>
      <c r="X44" s="81" t="s">
        <v>2335</v>
      </c>
      <c r="Y44" s="81">
        <v>1</v>
      </c>
      <c r="Z44" s="88">
        <v>43956.71052083333</v>
      </c>
      <c r="AA44" s="88">
        <v>43956.71052083333</v>
      </c>
      <c r="AB44" s="81"/>
      <c r="AC44" s="81"/>
      <c r="AD44" s="84" t="s">
        <v>2782</v>
      </c>
      <c r="AE44" s="82">
        <v>1</v>
      </c>
      <c r="AF44" s="83" t="str">
        <f>REPLACE(INDEX(GroupVertices[Group],MATCH(Edges[[#This Row],[Vertex 1]],GroupVertices[Vertex],0)),1,1,"")</f>
        <v>5</v>
      </c>
      <c r="AG44" s="83" t="str">
        <f>REPLACE(INDEX(GroupVertices[Group],MATCH(Edges[[#This Row],[Vertex 2]],GroupVertices[Vertex],0)),1,1,"")</f>
        <v>5</v>
      </c>
      <c r="AH44" s="111">
        <v>1</v>
      </c>
      <c r="AI44" s="112">
        <v>100</v>
      </c>
      <c r="AJ44" s="111">
        <v>0</v>
      </c>
      <c r="AK44" s="112">
        <v>0</v>
      </c>
      <c r="AL44" s="111">
        <v>0</v>
      </c>
      <c r="AM44" s="112">
        <v>0</v>
      </c>
      <c r="AN44" s="111">
        <v>0</v>
      </c>
      <c r="AO44" s="112">
        <v>0</v>
      </c>
      <c r="AP44" s="111">
        <v>1</v>
      </c>
    </row>
    <row r="45" spans="1:42" ht="15">
      <c r="A45" s="65" t="s">
        <v>230</v>
      </c>
      <c r="B45" s="65" t="s">
        <v>251</v>
      </c>
      <c r="C45" s="66" t="s">
        <v>5345</v>
      </c>
      <c r="D45" s="67">
        <v>3</v>
      </c>
      <c r="E45" s="68"/>
      <c r="F45" s="69">
        <v>40</v>
      </c>
      <c r="G45" s="66"/>
      <c r="H45" s="70"/>
      <c r="I45" s="71"/>
      <c r="J45" s="71"/>
      <c r="K45" s="35" t="s">
        <v>66</v>
      </c>
      <c r="L45" s="79">
        <v>45</v>
      </c>
      <c r="M45" s="79"/>
      <c r="N45" s="73"/>
      <c r="O45" s="81" t="s">
        <v>761</v>
      </c>
      <c r="P45" s="81" t="s">
        <v>763</v>
      </c>
      <c r="Q45" s="84" t="s">
        <v>798</v>
      </c>
      <c r="R45" s="81" t="s">
        <v>230</v>
      </c>
      <c r="S45" s="81" t="s">
        <v>1559</v>
      </c>
      <c r="T45" s="86" t="str">
        <f>HYPERLINK("http://www.youtube.com/channel/UCbbx7msYKamwOeRUkaqCTAQ")</f>
        <v>http://www.youtube.com/channel/UCbbx7msYKamwOeRUkaqCTAQ</v>
      </c>
      <c r="U45" s="81" t="s">
        <v>2099</v>
      </c>
      <c r="V45" s="81" t="s">
        <v>2306</v>
      </c>
      <c r="W45" s="86" t="str">
        <f>HYPERLINK("https://www.youtube.com/watch?v=-0Iauhp_Kug")</f>
        <v>https://www.youtube.com/watch?v=-0Iauhp_Kug</v>
      </c>
      <c r="X45" s="81" t="s">
        <v>2335</v>
      </c>
      <c r="Y45" s="81">
        <v>0</v>
      </c>
      <c r="Z45" s="88">
        <v>44170.934212962966</v>
      </c>
      <c r="AA45" s="88">
        <v>44170.934212962966</v>
      </c>
      <c r="AB45" s="81"/>
      <c r="AC45" s="81"/>
      <c r="AD45" s="84" t="s">
        <v>2782</v>
      </c>
      <c r="AE45" s="82">
        <v>1</v>
      </c>
      <c r="AF45" s="83" t="str">
        <f>REPLACE(INDEX(GroupVertices[Group],MATCH(Edges[[#This Row],[Vertex 1]],GroupVertices[Vertex],0)),1,1,"")</f>
        <v>5</v>
      </c>
      <c r="AG45" s="83" t="str">
        <f>REPLACE(INDEX(GroupVertices[Group],MATCH(Edges[[#This Row],[Vertex 2]],GroupVertices[Vertex],0)),1,1,"")</f>
        <v>5</v>
      </c>
      <c r="AH45" s="111">
        <v>1</v>
      </c>
      <c r="AI45" s="112">
        <v>16.666666666666668</v>
      </c>
      <c r="AJ45" s="111">
        <v>0</v>
      </c>
      <c r="AK45" s="112">
        <v>0</v>
      </c>
      <c r="AL45" s="111">
        <v>0</v>
      </c>
      <c r="AM45" s="112">
        <v>0</v>
      </c>
      <c r="AN45" s="111">
        <v>5</v>
      </c>
      <c r="AO45" s="112">
        <v>83.33333333333333</v>
      </c>
      <c r="AP45" s="111">
        <v>6</v>
      </c>
    </row>
    <row r="46" spans="1:42" ht="15">
      <c r="A46" s="65" t="s">
        <v>251</v>
      </c>
      <c r="B46" s="65" t="s">
        <v>230</v>
      </c>
      <c r="C46" s="66" t="s">
        <v>5345</v>
      </c>
      <c r="D46" s="67">
        <v>3</v>
      </c>
      <c r="E46" s="68"/>
      <c r="F46" s="69">
        <v>40</v>
      </c>
      <c r="G46" s="66"/>
      <c r="H46" s="70"/>
      <c r="I46" s="71"/>
      <c r="J46" s="71"/>
      <c r="K46" s="35" t="s">
        <v>66</v>
      </c>
      <c r="L46" s="79">
        <v>46</v>
      </c>
      <c r="M46" s="79"/>
      <c r="N46" s="73"/>
      <c r="O46" s="81" t="s">
        <v>760</v>
      </c>
      <c r="P46" s="81" t="s">
        <v>215</v>
      </c>
      <c r="Q46" s="84" t="s">
        <v>799</v>
      </c>
      <c r="R46" s="81" t="s">
        <v>251</v>
      </c>
      <c r="S46" s="81" t="s">
        <v>1580</v>
      </c>
      <c r="T46" s="86" t="str">
        <f>HYPERLINK("http://www.youtube.com/channel/UCqGR1yHFjMSHR9E1QzUCxqw")</f>
        <v>http://www.youtube.com/channel/UCqGR1yHFjMSHR9E1QzUCxqw</v>
      </c>
      <c r="U46" s="81"/>
      <c r="V46" s="81" t="s">
        <v>2306</v>
      </c>
      <c r="W46" s="86" t="str">
        <f>HYPERLINK("https://www.youtube.com/watch?v=-0Iauhp_Kug")</f>
        <v>https://www.youtube.com/watch?v=-0Iauhp_Kug</v>
      </c>
      <c r="X46" s="81" t="s">
        <v>2335</v>
      </c>
      <c r="Y46" s="81">
        <v>1</v>
      </c>
      <c r="Z46" s="88">
        <v>43987.43571759259</v>
      </c>
      <c r="AA46" s="88">
        <v>43987.43571759259</v>
      </c>
      <c r="AB46" s="81"/>
      <c r="AC46" s="81"/>
      <c r="AD46" s="84" t="s">
        <v>2782</v>
      </c>
      <c r="AE46" s="82">
        <v>1</v>
      </c>
      <c r="AF46" s="83" t="str">
        <f>REPLACE(INDEX(GroupVertices[Group],MATCH(Edges[[#This Row],[Vertex 1]],GroupVertices[Vertex],0)),1,1,"")</f>
        <v>5</v>
      </c>
      <c r="AG46" s="83" t="str">
        <f>REPLACE(INDEX(GroupVertices[Group],MATCH(Edges[[#This Row],[Vertex 2]],GroupVertices[Vertex],0)),1,1,"")</f>
        <v>5</v>
      </c>
      <c r="AH46" s="111">
        <v>1</v>
      </c>
      <c r="AI46" s="112">
        <v>25</v>
      </c>
      <c r="AJ46" s="111">
        <v>0</v>
      </c>
      <c r="AK46" s="112">
        <v>0</v>
      </c>
      <c r="AL46" s="111">
        <v>0</v>
      </c>
      <c r="AM46" s="112">
        <v>0</v>
      </c>
      <c r="AN46" s="111">
        <v>3</v>
      </c>
      <c r="AO46" s="112">
        <v>75</v>
      </c>
      <c r="AP46" s="111">
        <v>4</v>
      </c>
    </row>
    <row r="47" spans="1:42" ht="15">
      <c r="A47" s="65" t="s">
        <v>230</v>
      </c>
      <c r="B47" s="65" t="s">
        <v>252</v>
      </c>
      <c r="C47" s="66" t="s">
        <v>5345</v>
      </c>
      <c r="D47" s="67">
        <v>3</v>
      </c>
      <c r="E47" s="68"/>
      <c r="F47" s="69">
        <v>40</v>
      </c>
      <c r="G47" s="66"/>
      <c r="H47" s="70"/>
      <c r="I47" s="71"/>
      <c r="J47" s="71"/>
      <c r="K47" s="35" t="s">
        <v>66</v>
      </c>
      <c r="L47" s="79">
        <v>47</v>
      </c>
      <c r="M47" s="79"/>
      <c r="N47" s="73"/>
      <c r="O47" s="81" t="s">
        <v>761</v>
      </c>
      <c r="P47" s="81" t="s">
        <v>763</v>
      </c>
      <c r="Q47" s="84" t="s">
        <v>800</v>
      </c>
      <c r="R47" s="81" t="s">
        <v>230</v>
      </c>
      <c r="S47" s="81" t="s">
        <v>1559</v>
      </c>
      <c r="T47" s="86" t="str">
        <f>HYPERLINK("http://www.youtube.com/channel/UCbbx7msYKamwOeRUkaqCTAQ")</f>
        <v>http://www.youtube.com/channel/UCbbx7msYKamwOeRUkaqCTAQ</v>
      </c>
      <c r="U47" s="81" t="s">
        <v>2100</v>
      </c>
      <c r="V47" s="81" t="s">
        <v>2306</v>
      </c>
      <c r="W47" s="86" t="str">
        <f>HYPERLINK("https://www.youtube.com/watch?v=-0Iauhp_Kug")</f>
        <v>https://www.youtube.com/watch?v=-0Iauhp_Kug</v>
      </c>
      <c r="X47" s="81" t="s">
        <v>2335</v>
      </c>
      <c r="Y47" s="81">
        <v>0</v>
      </c>
      <c r="Z47" s="88">
        <v>44170.93403935185</v>
      </c>
      <c r="AA47" s="88">
        <v>44170.93403935185</v>
      </c>
      <c r="AB47" s="81"/>
      <c r="AC47" s="81"/>
      <c r="AD47" s="84" t="s">
        <v>2782</v>
      </c>
      <c r="AE47" s="82">
        <v>1</v>
      </c>
      <c r="AF47" s="83" t="str">
        <f>REPLACE(INDEX(GroupVertices[Group],MATCH(Edges[[#This Row],[Vertex 1]],GroupVertices[Vertex],0)),1,1,"")</f>
        <v>5</v>
      </c>
      <c r="AG47" s="83" t="str">
        <f>REPLACE(INDEX(GroupVertices[Group],MATCH(Edges[[#This Row],[Vertex 2]],GroupVertices[Vertex],0)),1,1,"")</f>
        <v>5</v>
      </c>
      <c r="AH47" s="111">
        <v>0</v>
      </c>
      <c r="AI47" s="112">
        <v>0</v>
      </c>
      <c r="AJ47" s="111">
        <v>0</v>
      </c>
      <c r="AK47" s="112">
        <v>0</v>
      </c>
      <c r="AL47" s="111">
        <v>0</v>
      </c>
      <c r="AM47" s="112">
        <v>0</v>
      </c>
      <c r="AN47" s="111">
        <v>3</v>
      </c>
      <c r="AO47" s="112">
        <v>100</v>
      </c>
      <c r="AP47" s="111">
        <v>3</v>
      </c>
    </row>
    <row r="48" spans="1:42" ht="15">
      <c r="A48" s="65" t="s">
        <v>252</v>
      </c>
      <c r="B48" s="65" t="s">
        <v>230</v>
      </c>
      <c r="C48" s="66" t="s">
        <v>5345</v>
      </c>
      <c r="D48" s="67">
        <v>3</v>
      </c>
      <c r="E48" s="68"/>
      <c r="F48" s="69">
        <v>40</v>
      </c>
      <c r="G48" s="66"/>
      <c r="H48" s="70"/>
      <c r="I48" s="71"/>
      <c r="J48" s="71"/>
      <c r="K48" s="35" t="s">
        <v>66</v>
      </c>
      <c r="L48" s="79">
        <v>48</v>
      </c>
      <c r="M48" s="79"/>
      <c r="N48" s="73"/>
      <c r="O48" s="81" t="s">
        <v>760</v>
      </c>
      <c r="P48" s="81" t="s">
        <v>215</v>
      </c>
      <c r="Q48" s="84" t="s">
        <v>801</v>
      </c>
      <c r="R48" s="81" t="s">
        <v>252</v>
      </c>
      <c r="S48" s="81" t="s">
        <v>1581</v>
      </c>
      <c r="T48" s="86" t="str">
        <f>HYPERLINK("http://www.youtube.com/channel/UCyZuq5NWGmh7BHWnJGYRDOQ")</f>
        <v>http://www.youtube.com/channel/UCyZuq5NWGmh7BHWnJGYRDOQ</v>
      </c>
      <c r="U48" s="81"/>
      <c r="V48" s="81" t="s">
        <v>2306</v>
      </c>
      <c r="W48" s="86" t="str">
        <f>HYPERLINK("https://www.youtube.com/watch?v=-0Iauhp_Kug")</f>
        <v>https://www.youtube.com/watch?v=-0Iauhp_Kug</v>
      </c>
      <c r="X48" s="81" t="s">
        <v>2335</v>
      </c>
      <c r="Y48" s="81">
        <v>1</v>
      </c>
      <c r="Z48" s="88">
        <v>44079.143796296295</v>
      </c>
      <c r="AA48" s="88">
        <v>44079.143796296295</v>
      </c>
      <c r="AB48" s="81"/>
      <c r="AC48" s="81"/>
      <c r="AD48" s="84" t="s">
        <v>2782</v>
      </c>
      <c r="AE48" s="82">
        <v>1</v>
      </c>
      <c r="AF48" s="83" t="str">
        <f>REPLACE(INDEX(GroupVertices[Group],MATCH(Edges[[#This Row],[Vertex 1]],GroupVertices[Vertex],0)),1,1,"")</f>
        <v>5</v>
      </c>
      <c r="AG48" s="83" t="str">
        <f>REPLACE(INDEX(GroupVertices[Group],MATCH(Edges[[#This Row],[Vertex 2]],GroupVertices[Vertex],0)),1,1,"")</f>
        <v>5</v>
      </c>
      <c r="AH48" s="111">
        <v>4</v>
      </c>
      <c r="AI48" s="112">
        <v>23.529411764705884</v>
      </c>
      <c r="AJ48" s="111">
        <v>0</v>
      </c>
      <c r="AK48" s="112">
        <v>0</v>
      </c>
      <c r="AL48" s="111">
        <v>0</v>
      </c>
      <c r="AM48" s="112">
        <v>0</v>
      </c>
      <c r="AN48" s="111">
        <v>13</v>
      </c>
      <c r="AO48" s="112">
        <v>76.47058823529412</v>
      </c>
      <c r="AP48" s="111">
        <v>17</v>
      </c>
    </row>
    <row r="49" spans="1:42" ht="15">
      <c r="A49" s="65" t="s">
        <v>230</v>
      </c>
      <c r="B49" s="65" t="s">
        <v>253</v>
      </c>
      <c r="C49" s="66" t="s">
        <v>5345</v>
      </c>
      <c r="D49" s="67">
        <v>3</v>
      </c>
      <c r="E49" s="68"/>
      <c r="F49" s="69">
        <v>40</v>
      </c>
      <c r="G49" s="66"/>
      <c r="H49" s="70"/>
      <c r="I49" s="71"/>
      <c r="J49" s="71"/>
      <c r="K49" s="35" t="s">
        <v>66</v>
      </c>
      <c r="L49" s="79">
        <v>49</v>
      </c>
      <c r="M49" s="79"/>
      <c r="N49" s="73"/>
      <c r="O49" s="81" t="s">
        <v>761</v>
      </c>
      <c r="P49" s="81" t="s">
        <v>763</v>
      </c>
      <c r="Q49" s="84" t="s">
        <v>802</v>
      </c>
      <c r="R49" s="81" t="s">
        <v>230</v>
      </c>
      <c r="S49" s="81" t="s">
        <v>1559</v>
      </c>
      <c r="T49" s="86" t="str">
        <f>HYPERLINK("http://www.youtube.com/channel/UCbbx7msYKamwOeRUkaqCTAQ")</f>
        <v>http://www.youtube.com/channel/UCbbx7msYKamwOeRUkaqCTAQ</v>
      </c>
      <c r="U49" s="81" t="s">
        <v>2101</v>
      </c>
      <c r="V49" s="81" t="s">
        <v>2306</v>
      </c>
      <c r="W49" s="86" t="str">
        <f>HYPERLINK("https://www.youtube.com/watch?v=-0Iauhp_Kug")</f>
        <v>https://www.youtube.com/watch?v=-0Iauhp_Kug</v>
      </c>
      <c r="X49" s="81" t="s">
        <v>2335</v>
      </c>
      <c r="Y49" s="81">
        <v>1</v>
      </c>
      <c r="Z49" s="88">
        <v>44170.93376157407</v>
      </c>
      <c r="AA49" s="88">
        <v>44170.93376157407</v>
      </c>
      <c r="AB49" s="81"/>
      <c r="AC49" s="81"/>
      <c r="AD49" s="84" t="s">
        <v>2782</v>
      </c>
      <c r="AE49" s="82">
        <v>1</v>
      </c>
      <c r="AF49" s="83" t="str">
        <f>REPLACE(INDEX(GroupVertices[Group],MATCH(Edges[[#This Row],[Vertex 1]],GroupVertices[Vertex],0)),1,1,"")</f>
        <v>5</v>
      </c>
      <c r="AG49" s="83" t="str">
        <f>REPLACE(INDEX(GroupVertices[Group],MATCH(Edges[[#This Row],[Vertex 2]],GroupVertices[Vertex],0)),1,1,"")</f>
        <v>5</v>
      </c>
      <c r="AH49" s="111">
        <v>1</v>
      </c>
      <c r="AI49" s="112">
        <v>3.5714285714285716</v>
      </c>
      <c r="AJ49" s="111">
        <v>2</v>
      </c>
      <c r="AK49" s="112">
        <v>7.142857142857143</v>
      </c>
      <c r="AL49" s="111">
        <v>0</v>
      </c>
      <c r="AM49" s="112">
        <v>0</v>
      </c>
      <c r="AN49" s="111">
        <v>25</v>
      </c>
      <c r="AO49" s="112">
        <v>89.28571428571429</v>
      </c>
      <c r="AP49" s="111">
        <v>28</v>
      </c>
    </row>
    <row r="50" spans="1:42" ht="15">
      <c r="A50" s="65" t="s">
        <v>253</v>
      </c>
      <c r="B50" s="65" t="s">
        <v>230</v>
      </c>
      <c r="C50" s="66" t="s">
        <v>5345</v>
      </c>
      <c r="D50" s="67">
        <v>3</v>
      </c>
      <c r="E50" s="68"/>
      <c r="F50" s="69">
        <v>40</v>
      </c>
      <c r="G50" s="66"/>
      <c r="H50" s="70"/>
      <c r="I50" s="71"/>
      <c r="J50" s="71"/>
      <c r="K50" s="35" t="s">
        <v>66</v>
      </c>
      <c r="L50" s="79">
        <v>50</v>
      </c>
      <c r="M50" s="79"/>
      <c r="N50" s="73"/>
      <c r="O50" s="81" t="s">
        <v>760</v>
      </c>
      <c r="P50" s="81" t="s">
        <v>215</v>
      </c>
      <c r="Q50" s="84" t="s">
        <v>803</v>
      </c>
      <c r="R50" s="81" t="s">
        <v>253</v>
      </c>
      <c r="S50" s="81" t="s">
        <v>1582</v>
      </c>
      <c r="T50" s="86" t="str">
        <f>HYPERLINK("http://www.youtube.com/channel/UC3_NdvYLH1v1GIizqDyZXBA")</f>
        <v>http://www.youtube.com/channel/UC3_NdvYLH1v1GIizqDyZXBA</v>
      </c>
      <c r="U50" s="81"/>
      <c r="V50" s="81" t="s">
        <v>2306</v>
      </c>
      <c r="W50" s="86" t="str">
        <f>HYPERLINK("https://www.youtube.com/watch?v=-0Iauhp_Kug")</f>
        <v>https://www.youtube.com/watch?v=-0Iauhp_Kug</v>
      </c>
      <c r="X50" s="81" t="s">
        <v>2335</v>
      </c>
      <c r="Y50" s="81">
        <v>3</v>
      </c>
      <c r="Z50" s="88">
        <v>44109.06349537037</v>
      </c>
      <c r="AA50" s="88">
        <v>44109.06349537037</v>
      </c>
      <c r="AB50" s="81"/>
      <c r="AC50" s="81"/>
      <c r="AD50" s="84" t="s">
        <v>2782</v>
      </c>
      <c r="AE50" s="82">
        <v>1</v>
      </c>
      <c r="AF50" s="83" t="str">
        <f>REPLACE(INDEX(GroupVertices[Group],MATCH(Edges[[#This Row],[Vertex 1]],GroupVertices[Vertex],0)),1,1,"")</f>
        <v>5</v>
      </c>
      <c r="AG50" s="83" t="str">
        <f>REPLACE(INDEX(GroupVertices[Group],MATCH(Edges[[#This Row],[Vertex 2]],GroupVertices[Vertex],0)),1,1,"")</f>
        <v>5</v>
      </c>
      <c r="AH50" s="111">
        <v>2</v>
      </c>
      <c r="AI50" s="112">
        <v>12.5</v>
      </c>
      <c r="AJ50" s="111">
        <v>1</v>
      </c>
      <c r="AK50" s="112">
        <v>6.25</v>
      </c>
      <c r="AL50" s="111">
        <v>0</v>
      </c>
      <c r="AM50" s="112">
        <v>0</v>
      </c>
      <c r="AN50" s="111">
        <v>13</v>
      </c>
      <c r="AO50" s="112">
        <v>81.25</v>
      </c>
      <c r="AP50" s="111">
        <v>16</v>
      </c>
    </row>
    <row r="51" spans="1:42" ht="15">
      <c r="A51" s="65" t="s">
        <v>230</v>
      </c>
      <c r="B51" s="65" t="s">
        <v>254</v>
      </c>
      <c r="C51" s="66" t="s">
        <v>5345</v>
      </c>
      <c r="D51" s="67">
        <v>3</v>
      </c>
      <c r="E51" s="68"/>
      <c r="F51" s="69">
        <v>40</v>
      </c>
      <c r="G51" s="66"/>
      <c r="H51" s="70"/>
      <c r="I51" s="71"/>
      <c r="J51" s="71"/>
      <c r="K51" s="35" t="s">
        <v>66</v>
      </c>
      <c r="L51" s="79">
        <v>51</v>
      </c>
      <c r="M51" s="79"/>
      <c r="N51" s="73"/>
      <c r="O51" s="81" t="s">
        <v>761</v>
      </c>
      <c r="P51" s="81" t="s">
        <v>763</v>
      </c>
      <c r="Q51" s="84" t="s">
        <v>804</v>
      </c>
      <c r="R51" s="81" t="s">
        <v>230</v>
      </c>
      <c r="S51" s="81" t="s">
        <v>1559</v>
      </c>
      <c r="T51" s="86" t="str">
        <f>HYPERLINK("http://www.youtube.com/channel/UCbbx7msYKamwOeRUkaqCTAQ")</f>
        <v>http://www.youtube.com/channel/UCbbx7msYKamwOeRUkaqCTAQ</v>
      </c>
      <c r="U51" s="81" t="s">
        <v>2102</v>
      </c>
      <c r="V51" s="81" t="s">
        <v>2306</v>
      </c>
      <c r="W51" s="86" t="str">
        <f>HYPERLINK("https://www.youtube.com/watch?v=-0Iauhp_Kug")</f>
        <v>https://www.youtube.com/watch?v=-0Iauhp_Kug</v>
      </c>
      <c r="X51" s="81" t="s">
        <v>2335</v>
      </c>
      <c r="Y51" s="81">
        <v>0</v>
      </c>
      <c r="Z51" s="81" t="s">
        <v>2338</v>
      </c>
      <c r="AA51" s="81" t="s">
        <v>2338</v>
      </c>
      <c r="AB51" s="81"/>
      <c r="AC51" s="81"/>
      <c r="AD51" s="84" t="s">
        <v>2782</v>
      </c>
      <c r="AE51" s="82">
        <v>1</v>
      </c>
      <c r="AF51" s="83" t="str">
        <f>REPLACE(INDEX(GroupVertices[Group],MATCH(Edges[[#This Row],[Vertex 1]],GroupVertices[Vertex],0)),1,1,"")</f>
        <v>5</v>
      </c>
      <c r="AG51" s="83" t="str">
        <f>REPLACE(INDEX(GroupVertices[Group],MATCH(Edges[[#This Row],[Vertex 2]],GroupVertices[Vertex],0)),1,1,"")</f>
        <v>5</v>
      </c>
      <c r="AH51" s="111">
        <v>0</v>
      </c>
      <c r="AI51" s="112">
        <v>0</v>
      </c>
      <c r="AJ51" s="111">
        <v>0</v>
      </c>
      <c r="AK51" s="112">
        <v>0</v>
      </c>
      <c r="AL51" s="111">
        <v>0</v>
      </c>
      <c r="AM51" s="112">
        <v>0</v>
      </c>
      <c r="AN51" s="111">
        <v>3</v>
      </c>
      <c r="AO51" s="112">
        <v>100</v>
      </c>
      <c r="AP51" s="111">
        <v>3</v>
      </c>
    </row>
    <row r="52" spans="1:42" ht="15">
      <c r="A52" s="65" t="s">
        <v>254</v>
      </c>
      <c r="B52" s="65" t="s">
        <v>230</v>
      </c>
      <c r="C52" s="66" t="s">
        <v>5345</v>
      </c>
      <c r="D52" s="67">
        <v>3</v>
      </c>
      <c r="E52" s="68"/>
      <c r="F52" s="69">
        <v>40</v>
      </c>
      <c r="G52" s="66"/>
      <c r="H52" s="70"/>
      <c r="I52" s="71"/>
      <c r="J52" s="71"/>
      <c r="K52" s="35" t="s">
        <v>66</v>
      </c>
      <c r="L52" s="79">
        <v>52</v>
      </c>
      <c r="M52" s="79"/>
      <c r="N52" s="73"/>
      <c r="O52" s="81" t="s">
        <v>760</v>
      </c>
      <c r="P52" s="81" t="s">
        <v>215</v>
      </c>
      <c r="Q52" s="84" t="s">
        <v>805</v>
      </c>
      <c r="R52" s="81" t="s">
        <v>254</v>
      </c>
      <c r="S52" s="81" t="s">
        <v>1583</v>
      </c>
      <c r="T52" s="86" t="str">
        <f>HYPERLINK("http://www.youtube.com/channel/UC2OvqiRiMkKPGnLPVB8aNsA")</f>
        <v>http://www.youtube.com/channel/UC2OvqiRiMkKPGnLPVB8aNsA</v>
      </c>
      <c r="U52" s="81"/>
      <c r="V52" s="81" t="s">
        <v>2306</v>
      </c>
      <c r="W52" s="86" t="str">
        <f>HYPERLINK("https://www.youtube.com/watch?v=-0Iauhp_Kug")</f>
        <v>https://www.youtube.com/watch?v=-0Iauhp_Kug</v>
      </c>
      <c r="X52" s="81" t="s">
        <v>2335</v>
      </c>
      <c r="Y52" s="81">
        <v>2</v>
      </c>
      <c r="Z52" s="81" t="s">
        <v>2339</v>
      </c>
      <c r="AA52" s="81" t="s">
        <v>2339</v>
      </c>
      <c r="AB52" s="81"/>
      <c r="AC52" s="81"/>
      <c r="AD52" s="84" t="s">
        <v>2782</v>
      </c>
      <c r="AE52" s="82">
        <v>1</v>
      </c>
      <c r="AF52" s="83" t="str">
        <f>REPLACE(INDEX(GroupVertices[Group],MATCH(Edges[[#This Row],[Vertex 1]],GroupVertices[Vertex],0)),1,1,"")</f>
        <v>5</v>
      </c>
      <c r="AG52" s="83" t="str">
        <f>REPLACE(INDEX(GroupVertices[Group],MATCH(Edges[[#This Row],[Vertex 2]],GroupVertices[Vertex],0)),1,1,"")</f>
        <v>5</v>
      </c>
      <c r="AH52" s="111">
        <v>2</v>
      </c>
      <c r="AI52" s="112">
        <v>28.571428571428573</v>
      </c>
      <c r="AJ52" s="111">
        <v>0</v>
      </c>
      <c r="AK52" s="112">
        <v>0</v>
      </c>
      <c r="AL52" s="111">
        <v>0</v>
      </c>
      <c r="AM52" s="112">
        <v>0</v>
      </c>
      <c r="AN52" s="111">
        <v>5</v>
      </c>
      <c r="AO52" s="112">
        <v>71.42857142857143</v>
      </c>
      <c r="AP52" s="111">
        <v>7</v>
      </c>
    </row>
    <row r="53" spans="1:42" ht="15">
      <c r="A53" s="65" t="s">
        <v>230</v>
      </c>
      <c r="B53" s="65" t="s">
        <v>255</v>
      </c>
      <c r="C53" s="66" t="s">
        <v>5345</v>
      </c>
      <c r="D53" s="67">
        <v>3</v>
      </c>
      <c r="E53" s="68"/>
      <c r="F53" s="69">
        <v>40</v>
      </c>
      <c r="G53" s="66"/>
      <c r="H53" s="70"/>
      <c r="I53" s="71"/>
      <c r="J53" s="71"/>
      <c r="K53" s="35" t="s">
        <v>66</v>
      </c>
      <c r="L53" s="79">
        <v>53</v>
      </c>
      <c r="M53" s="79"/>
      <c r="N53" s="73"/>
      <c r="O53" s="81" t="s">
        <v>761</v>
      </c>
      <c r="P53" s="81" t="s">
        <v>763</v>
      </c>
      <c r="Q53" s="84" t="s">
        <v>806</v>
      </c>
      <c r="R53" s="81" t="s">
        <v>230</v>
      </c>
      <c r="S53" s="81" t="s">
        <v>1559</v>
      </c>
      <c r="T53" s="86" t="str">
        <f>HYPERLINK("http://www.youtube.com/channel/UCbbx7msYKamwOeRUkaqCTAQ")</f>
        <v>http://www.youtube.com/channel/UCbbx7msYKamwOeRUkaqCTAQ</v>
      </c>
      <c r="U53" s="81" t="s">
        <v>2103</v>
      </c>
      <c r="V53" s="81" t="s">
        <v>2306</v>
      </c>
      <c r="W53" s="86" t="str">
        <f>HYPERLINK("https://www.youtube.com/watch?v=-0Iauhp_Kug")</f>
        <v>https://www.youtube.com/watch?v=-0Iauhp_Kug</v>
      </c>
      <c r="X53" s="81" t="s">
        <v>2335</v>
      </c>
      <c r="Y53" s="81">
        <v>0</v>
      </c>
      <c r="Z53" s="81" t="s">
        <v>2340</v>
      </c>
      <c r="AA53" s="81" t="s">
        <v>2340</v>
      </c>
      <c r="AB53" s="81"/>
      <c r="AC53" s="81"/>
      <c r="AD53" s="84" t="s">
        <v>2782</v>
      </c>
      <c r="AE53" s="82">
        <v>1</v>
      </c>
      <c r="AF53" s="83" t="str">
        <f>REPLACE(INDEX(GroupVertices[Group],MATCH(Edges[[#This Row],[Vertex 1]],GroupVertices[Vertex],0)),1,1,"")</f>
        <v>5</v>
      </c>
      <c r="AG53" s="83" t="str">
        <f>REPLACE(INDEX(GroupVertices[Group],MATCH(Edges[[#This Row],[Vertex 2]],GroupVertices[Vertex],0)),1,1,"")</f>
        <v>5</v>
      </c>
      <c r="AH53" s="111">
        <v>3</v>
      </c>
      <c r="AI53" s="112">
        <v>25</v>
      </c>
      <c r="AJ53" s="111">
        <v>0</v>
      </c>
      <c r="AK53" s="112">
        <v>0</v>
      </c>
      <c r="AL53" s="111">
        <v>0</v>
      </c>
      <c r="AM53" s="112">
        <v>0</v>
      </c>
      <c r="AN53" s="111">
        <v>9</v>
      </c>
      <c r="AO53" s="112">
        <v>75</v>
      </c>
      <c r="AP53" s="111">
        <v>12</v>
      </c>
    </row>
    <row r="54" spans="1:42" ht="15">
      <c r="A54" s="65" t="s">
        <v>255</v>
      </c>
      <c r="B54" s="65" t="s">
        <v>230</v>
      </c>
      <c r="C54" s="66" t="s">
        <v>5345</v>
      </c>
      <c r="D54" s="67">
        <v>3</v>
      </c>
      <c r="E54" s="68"/>
      <c r="F54" s="69">
        <v>40</v>
      </c>
      <c r="G54" s="66"/>
      <c r="H54" s="70"/>
      <c r="I54" s="71"/>
      <c r="J54" s="71"/>
      <c r="K54" s="35" t="s">
        <v>66</v>
      </c>
      <c r="L54" s="79">
        <v>54</v>
      </c>
      <c r="M54" s="79"/>
      <c r="N54" s="73"/>
      <c r="O54" s="81" t="s">
        <v>760</v>
      </c>
      <c r="P54" s="81" t="s">
        <v>215</v>
      </c>
      <c r="Q54" s="84" t="s">
        <v>807</v>
      </c>
      <c r="R54" s="81" t="s">
        <v>255</v>
      </c>
      <c r="S54" s="81" t="s">
        <v>1584</v>
      </c>
      <c r="T54" s="86" t="str">
        <f>HYPERLINK("http://www.youtube.com/channel/UC3iId8RgPvwX7niHr37YjKg")</f>
        <v>http://www.youtube.com/channel/UC3iId8RgPvwX7niHr37YjKg</v>
      </c>
      <c r="U54" s="81"/>
      <c r="V54" s="81" t="s">
        <v>2306</v>
      </c>
      <c r="W54" s="86" t="str">
        <f>HYPERLINK("https://www.youtube.com/watch?v=-0Iauhp_Kug")</f>
        <v>https://www.youtube.com/watch?v=-0Iauhp_Kug</v>
      </c>
      <c r="X54" s="81" t="s">
        <v>2335</v>
      </c>
      <c r="Y54" s="81">
        <v>1</v>
      </c>
      <c r="Z54" s="81" t="s">
        <v>2341</v>
      </c>
      <c r="AA54" s="81" t="s">
        <v>2341</v>
      </c>
      <c r="AB54" s="81"/>
      <c r="AC54" s="81"/>
      <c r="AD54" s="84" t="s">
        <v>2782</v>
      </c>
      <c r="AE54" s="82">
        <v>1</v>
      </c>
      <c r="AF54" s="83" t="str">
        <f>REPLACE(INDEX(GroupVertices[Group],MATCH(Edges[[#This Row],[Vertex 1]],GroupVertices[Vertex],0)),1,1,"")</f>
        <v>5</v>
      </c>
      <c r="AG54" s="83" t="str">
        <f>REPLACE(INDEX(GroupVertices[Group],MATCH(Edges[[#This Row],[Vertex 2]],GroupVertices[Vertex],0)),1,1,"")</f>
        <v>5</v>
      </c>
      <c r="AH54" s="111">
        <v>5</v>
      </c>
      <c r="AI54" s="112">
        <v>15.625</v>
      </c>
      <c r="AJ54" s="111">
        <v>0</v>
      </c>
      <c r="AK54" s="112">
        <v>0</v>
      </c>
      <c r="AL54" s="111">
        <v>0</v>
      </c>
      <c r="AM54" s="112">
        <v>0</v>
      </c>
      <c r="AN54" s="111">
        <v>27</v>
      </c>
      <c r="AO54" s="112">
        <v>84.375</v>
      </c>
      <c r="AP54" s="111">
        <v>32</v>
      </c>
    </row>
    <row r="55" spans="1:42" ht="15">
      <c r="A55" s="65" t="s">
        <v>256</v>
      </c>
      <c r="B55" s="65" t="s">
        <v>257</v>
      </c>
      <c r="C55" s="66" t="s">
        <v>5345</v>
      </c>
      <c r="D55" s="67">
        <v>3</v>
      </c>
      <c r="E55" s="68"/>
      <c r="F55" s="69">
        <v>40</v>
      </c>
      <c r="G55" s="66"/>
      <c r="H55" s="70"/>
      <c r="I55" s="71"/>
      <c r="J55" s="71"/>
      <c r="K55" s="35" t="s">
        <v>66</v>
      </c>
      <c r="L55" s="79">
        <v>55</v>
      </c>
      <c r="M55" s="79"/>
      <c r="N55" s="73"/>
      <c r="O55" s="81" t="s">
        <v>761</v>
      </c>
      <c r="P55" s="81" t="s">
        <v>763</v>
      </c>
      <c r="Q55" s="84" t="s">
        <v>808</v>
      </c>
      <c r="R55" s="81" t="s">
        <v>256</v>
      </c>
      <c r="S55" s="81" t="s">
        <v>1585</v>
      </c>
      <c r="T55" s="86" t="str">
        <f>HYPERLINK("http://www.youtube.com/channel/UC9l0mKCZRMJCZ-UFwDgrUjw")</f>
        <v>http://www.youtube.com/channel/UC9l0mKCZRMJCZ-UFwDgrUjw</v>
      </c>
      <c r="U55" s="81" t="s">
        <v>2104</v>
      </c>
      <c r="V55" s="81" t="s">
        <v>2307</v>
      </c>
      <c r="W55" s="86" t="str">
        <f>HYPERLINK("https://www.youtube.com/watch?v=fdCzHc_2pAk")</f>
        <v>https://www.youtube.com/watch?v=fdCzHc_2pAk</v>
      </c>
      <c r="X55" s="81" t="s">
        <v>2335</v>
      </c>
      <c r="Y55" s="81">
        <v>0</v>
      </c>
      <c r="Z55" s="81" t="s">
        <v>2342</v>
      </c>
      <c r="AA55" s="81" t="s">
        <v>2342</v>
      </c>
      <c r="AB55" s="81"/>
      <c r="AC55" s="81"/>
      <c r="AD55" s="84" t="s">
        <v>2782</v>
      </c>
      <c r="AE55" s="82">
        <v>1</v>
      </c>
      <c r="AF55" s="83" t="str">
        <f>REPLACE(INDEX(GroupVertices[Group],MATCH(Edges[[#This Row],[Vertex 1]],GroupVertices[Vertex],0)),1,1,"")</f>
        <v>14</v>
      </c>
      <c r="AG55" s="83" t="str">
        <f>REPLACE(INDEX(GroupVertices[Group],MATCH(Edges[[#This Row],[Vertex 2]],GroupVertices[Vertex],0)),1,1,"")</f>
        <v>14</v>
      </c>
      <c r="AH55" s="111">
        <v>1</v>
      </c>
      <c r="AI55" s="112">
        <v>4.3478260869565215</v>
      </c>
      <c r="AJ55" s="111">
        <v>0</v>
      </c>
      <c r="AK55" s="112">
        <v>0</v>
      </c>
      <c r="AL55" s="111">
        <v>0</v>
      </c>
      <c r="AM55" s="112">
        <v>0</v>
      </c>
      <c r="AN55" s="111">
        <v>22</v>
      </c>
      <c r="AO55" s="112">
        <v>95.65217391304348</v>
      </c>
      <c r="AP55" s="111">
        <v>23</v>
      </c>
    </row>
    <row r="56" spans="1:42" ht="15">
      <c r="A56" s="65" t="s">
        <v>257</v>
      </c>
      <c r="B56" s="65" t="s">
        <v>256</v>
      </c>
      <c r="C56" s="66" t="s">
        <v>5345</v>
      </c>
      <c r="D56" s="67">
        <v>3</v>
      </c>
      <c r="E56" s="68"/>
      <c r="F56" s="69">
        <v>40</v>
      </c>
      <c r="G56" s="66"/>
      <c r="H56" s="70"/>
      <c r="I56" s="71"/>
      <c r="J56" s="71"/>
      <c r="K56" s="35" t="s">
        <v>66</v>
      </c>
      <c r="L56" s="79">
        <v>56</v>
      </c>
      <c r="M56" s="79"/>
      <c r="N56" s="73"/>
      <c r="O56" s="81" t="s">
        <v>760</v>
      </c>
      <c r="P56" s="81" t="s">
        <v>215</v>
      </c>
      <c r="Q56" s="84" t="s">
        <v>809</v>
      </c>
      <c r="R56" s="81" t="s">
        <v>257</v>
      </c>
      <c r="S56" s="81" t="s">
        <v>1586</v>
      </c>
      <c r="T56" s="86" t="str">
        <f>HYPERLINK("http://www.youtube.com/channel/UCBmO0Hh8zz65VRXSivmwa_g")</f>
        <v>http://www.youtube.com/channel/UCBmO0Hh8zz65VRXSivmwa_g</v>
      </c>
      <c r="U56" s="81"/>
      <c r="V56" s="81" t="s">
        <v>2307</v>
      </c>
      <c r="W56" s="86" t="str">
        <f>HYPERLINK("https://www.youtube.com/watch?v=fdCzHc_2pAk")</f>
        <v>https://www.youtube.com/watch?v=fdCzHc_2pAk</v>
      </c>
      <c r="X56" s="81" t="s">
        <v>2335</v>
      </c>
      <c r="Y56" s="81">
        <v>1</v>
      </c>
      <c r="Z56" s="81" t="s">
        <v>2343</v>
      </c>
      <c r="AA56" s="81" t="s">
        <v>2343</v>
      </c>
      <c r="AB56" s="81"/>
      <c r="AC56" s="81"/>
      <c r="AD56" s="84" t="s">
        <v>2782</v>
      </c>
      <c r="AE56" s="82">
        <v>1</v>
      </c>
      <c r="AF56" s="83" t="str">
        <f>REPLACE(INDEX(GroupVertices[Group],MATCH(Edges[[#This Row],[Vertex 1]],GroupVertices[Vertex],0)),1,1,"")</f>
        <v>14</v>
      </c>
      <c r="AG56" s="83" t="str">
        <f>REPLACE(INDEX(GroupVertices[Group],MATCH(Edges[[#This Row],[Vertex 2]],GroupVertices[Vertex],0)),1,1,"")</f>
        <v>14</v>
      </c>
      <c r="AH56" s="111">
        <v>4</v>
      </c>
      <c r="AI56" s="112">
        <v>21.05263157894737</v>
      </c>
      <c r="AJ56" s="111">
        <v>0</v>
      </c>
      <c r="AK56" s="112">
        <v>0</v>
      </c>
      <c r="AL56" s="111">
        <v>0</v>
      </c>
      <c r="AM56" s="112">
        <v>0</v>
      </c>
      <c r="AN56" s="111">
        <v>15</v>
      </c>
      <c r="AO56" s="112">
        <v>78.94736842105263</v>
      </c>
      <c r="AP56" s="111">
        <v>19</v>
      </c>
    </row>
    <row r="57" spans="1:42" ht="15">
      <c r="A57" s="65" t="s">
        <v>256</v>
      </c>
      <c r="B57" s="65" t="s">
        <v>258</v>
      </c>
      <c r="C57" s="66" t="s">
        <v>5345</v>
      </c>
      <c r="D57" s="67">
        <v>3</v>
      </c>
      <c r="E57" s="68"/>
      <c r="F57" s="69">
        <v>40</v>
      </c>
      <c r="G57" s="66"/>
      <c r="H57" s="70"/>
      <c r="I57" s="71"/>
      <c r="J57" s="71"/>
      <c r="K57" s="35" t="s">
        <v>66</v>
      </c>
      <c r="L57" s="79">
        <v>57</v>
      </c>
      <c r="M57" s="79"/>
      <c r="N57" s="73"/>
      <c r="O57" s="81" t="s">
        <v>761</v>
      </c>
      <c r="P57" s="81" t="s">
        <v>763</v>
      </c>
      <c r="Q57" s="84" t="s">
        <v>810</v>
      </c>
      <c r="R57" s="81" t="s">
        <v>256</v>
      </c>
      <c r="S57" s="81" t="s">
        <v>1585</v>
      </c>
      <c r="T57" s="86" t="str">
        <f>HYPERLINK("http://www.youtube.com/channel/UC9l0mKCZRMJCZ-UFwDgrUjw")</f>
        <v>http://www.youtube.com/channel/UC9l0mKCZRMJCZ-UFwDgrUjw</v>
      </c>
      <c r="U57" s="81" t="s">
        <v>2105</v>
      </c>
      <c r="V57" s="81" t="s">
        <v>2307</v>
      </c>
      <c r="W57" s="86" t="str">
        <f>HYPERLINK("https://www.youtube.com/watch?v=fdCzHc_2pAk")</f>
        <v>https://www.youtube.com/watch?v=fdCzHc_2pAk</v>
      </c>
      <c r="X57" s="81" t="s">
        <v>2335</v>
      </c>
      <c r="Y57" s="81">
        <v>0</v>
      </c>
      <c r="Z57" s="81" t="s">
        <v>2344</v>
      </c>
      <c r="AA57" s="81" t="s">
        <v>2344</v>
      </c>
      <c r="AB57" s="81"/>
      <c r="AC57" s="81"/>
      <c r="AD57" s="84" t="s">
        <v>2782</v>
      </c>
      <c r="AE57" s="82">
        <v>1</v>
      </c>
      <c r="AF57" s="83" t="str">
        <f>REPLACE(INDEX(GroupVertices[Group],MATCH(Edges[[#This Row],[Vertex 1]],GroupVertices[Vertex],0)),1,1,"")</f>
        <v>14</v>
      </c>
      <c r="AG57" s="83" t="str">
        <f>REPLACE(INDEX(GroupVertices[Group],MATCH(Edges[[#This Row],[Vertex 2]],GroupVertices[Vertex],0)),1,1,"")</f>
        <v>14</v>
      </c>
      <c r="AH57" s="111">
        <v>2</v>
      </c>
      <c r="AI57" s="112">
        <v>25</v>
      </c>
      <c r="AJ57" s="111">
        <v>0</v>
      </c>
      <c r="AK57" s="112">
        <v>0</v>
      </c>
      <c r="AL57" s="111">
        <v>0</v>
      </c>
      <c r="AM57" s="112">
        <v>0</v>
      </c>
      <c r="AN57" s="111">
        <v>6</v>
      </c>
      <c r="AO57" s="112">
        <v>75</v>
      </c>
      <c r="AP57" s="111">
        <v>8</v>
      </c>
    </row>
    <row r="58" spans="1:42" ht="15">
      <c r="A58" s="65" t="s">
        <v>258</v>
      </c>
      <c r="B58" s="65" t="s">
        <v>256</v>
      </c>
      <c r="C58" s="66" t="s">
        <v>5345</v>
      </c>
      <c r="D58" s="67">
        <v>3</v>
      </c>
      <c r="E58" s="68"/>
      <c r="F58" s="69">
        <v>40</v>
      </c>
      <c r="G58" s="66"/>
      <c r="H58" s="70"/>
      <c r="I58" s="71"/>
      <c r="J58" s="71"/>
      <c r="K58" s="35" t="s">
        <v>66</v>
      </c>
      <c r="L58" s="79">
        <v>58</v>
      </c>
      <c r="M58" s="79"/>
      <c r="N58" s="73"/>
      <c r="O58" s="81" t="s">
        <v>760</v>
      </c>
      <c r="P58" s="81" t="s">
        <v>215</v>
      </c>
      <c r="Q58" s="84" t="s">
        <v>811</v>
      </c>
      <c r="R58" s="81" t="s">
        <v>258</v>
      </c>
      <c r="S58" s="81" t="s">
        <v>1587</v>
      </c>
      <c r="T58" s="86" t="str">
        <f>HYPERLINK("http://www.youtube.com/channel/UCHzffwyraaIKEiXh2uM53mg")</f>
        <v>http://www.youtube.com/channel/UCHzffwyraaIKEiXh2uM53mg</v>
      </c>
      <c r="U58" s="81"/>
      <c r="V58" s="81" t="s">
        <v>2307</v>
      </c>
      <c r="W58" s="86" t="str">
        <f>HYPERLINK("https://www.youtube.com/watch?v=fdCzHc_2pAk")</f>
        <v>https://www.youtube.com/watch?v=fdCzHc_2pAk</v>
      </c>
      <c r="X58" s="81" t="s">
        <v>2335</v>
      </c>
      <c r="Y58" s="81">
        <v>2</v>
      </c>
      <c r="Z58" s="81" t="s">
        <v>2345</v>
      </c>
      <c r="AA58" s="81" t="s">
        <v>2345</v>
      </c>
      <c r="AB58" s="81"/>
      <c r="AC58" s="81"/>
      <c r="AD58" s="84" t="s">
        <v>2782</v>
      </c>
      <c r="AE58" s="82">
        <v>1</v>
      </c>
      <c r="AF58" s="83" t="str">
        <f>REPLACE(INDEX(GroupVertices[Group],MATCH(Edges[[#This Row],[Vertex 1]],GroupVertices[Vertex],0)),1,1,"")</f>
        <v>14</v>
      </c>
      <c r="AG58" s="83" t="str">
        <f>REPLACE(INDEX(GroupVertices[Group],MATCH(Edges[[#This Row],[Vertex 2]],GroupVertices[Vertex],0)),1,1,"")</f>
        <v>14</v>
      </c>
      <c r="AH58" s="111">
        <v>1</v>
      </c>
      <c r="AI58" s="112">
        <v>25</v>
      </c>
      <c r="AJ58" s="111">
        <v>0</v>
      </c>
      <c r="AK58" s="112">
        <v>0</v>
      </c>
      <c r="AL58" s="111">
        <v>0</v>
      </c>
      <c r="AM58" s="112">
        <v>0</v>
      </c>
      <c r="AN58" s="111">
        <v>3</v>
      </c>
      <c r="AO58" s="112">
        <v>75</v>
      </c>
      <c r="AP58" s="111">
        <v>4</v>
      </c>
    </row>
    <row r="59" spans="1:42" ht="15">
      <c r="A59" s="65" t="s">
        <v>256</v>
      </c>
      <c r="B59" s="65" t="s">
        <v>259</v>
      </c>
      <c r="C59" s="66" t="s">
        <v>5345</v>
      </c>
      <c r="D59" s="67">
        <v>3</v>
      </c>
      <c r="E59" s="68"/>
      <c r="F59" s="69">
        <v>40</v>
      </c>
      <c r="G59" s="66"/>
      <c r="H59" s="70"/>
      <c r="I59" s="71"/>
      <c r="J59" s="71"/>
      <c r="K59" s="35" t="s">
        <v>66</v>
      </c>
      <c r="L59" s="79">
        <v>59</v>
      </c>
      <c r="M59" s="79"/>
      <c r="N59" s="73"/>
      <c r="O59" s="81" t="s">
        <v>761</v>
      </c>
      <c r="P59" s="81" t="s">
        <v>763</v>
      </c>
      <c r="Q59" s="84" t="s">
        <v>812</v>
      </c>
      <c r="R59" s="81" t="s">
        <v>256</v>
      </c>
      <c r="S59" s="81" t="s">
        <v>1585</v>
      </c>
      <c r="T59" s="86" t="str">
        <f>HYPERLINK("http://www.youtube.com/channel/UC9l0mKCZRMJCZ-UFwDgrUjw")</f>
        <v>http://www.youtube.com/channel/UC9l0mKCZRMJCZ-UFwDgrUjw</v>
      </c>
      <c r="U59" s="81" t="s">
        <v>2106</v>
      </c>
      <c r="V59" s="81" t="s">
        <v>2307</v>
      </c>
      <c r="W59" s="86" t="str">
        <f>HYPERLINK("https://www.youtube.com/watch?v=fdCzHc_2pAk")</f>
        <v>https://www.youtube.com/watch?v=fdCzHc_2pAk</v>
      </c>
      <c r="X59" s="81" t="s">
        <v>2335</v>
      </c>
      <c r="Y59" s="81">
        <v>0</v>
      </c>
      <c r="Z59" s="81" t="s">
        <v>2346</v>
      </c>
      <c r="AA59" s="81" t="s">
        <v>2346</v>
      </c>
      <c r="AB59" s="81"/>
      <c r="AC59" s="81"/>
      <c r="AD59" s="84" t="s">
        <v>2782</v>
      </c>
      <c r="AE59" s="82">
        <v>1</v>
      </c>
      <c r="AF59" s="83" t="str">
        <f>REPLACE(INDEX(GroupVertices[Group],MATCH(Edges[[#This Row],[Vertex 1]],GroupVertices[Vertex],0)),1,1,"")</f>
        <v>14</v>
      </c>
      <c r="AG59" s="83" t="str">
        <f>REPLACE(INDEX(GroupVertices[Group],MATCH(Edges[[#This Row],[Vertex 2]],GroupVertices[Vertex],0)),1,1,"")</f>
        <v>14</v>
      </c>
      <c r="AH59" s="111">
        <v>2</v>
      </c>
      <c r="AI59" s="112">
        <v>50</v>
      </c>
      <c r="AJ59" s="111">
        <v>0</v>
      </c>
      <c r="AK59" s="112">
        <v>0</v>
      </c>
      <c r="AL59" s="111">
        <v>0</v>
      </c>
      <c r="AM59" s="112">
        <v>0</v>
      </c>
      <c r="AN59" s="111">
        <v>2</v>
      </c>
      <c r="AO59" s="112">
        <v>50</v>
      </c>
      <c r="AP59" s="111">
        <v>4</v>
      </c>
    </row>
    <row r="60" spans="1:42" ht="15">
      <c r="A60" s="65" t="s">
        <v>259</v>
      </c>
      <c r="B60" s="65" t="s">
        <v>256</v>
      </c>
      <c r="C60" s="66" t="s">
        <v>5345</v>
      </c>
      <c r="D60" s="67">
        <v>3</v>
      </c>
      <c r="E60" s="68"/>
      <c r="F60" s="69">
        <v>40</v>
      </c>
      <c r="G60" s="66"/>
      <c r="H60" s="70"/>
      <c r="I60" s="71"/>
      <c r="J60" s="71"/>
      <c r="K60" s="35" t="s">
        <v>66</v>
      </c>
      <c r="L60" s="79">
        <v>60</v>
      </c>
      <c r="M60" s="79"/>
      <c r="N60" s="73"/>
      <c r="O60" s="81" t="s">
        <v>760</v>
      </c>
      <c r="P60" s="81" t="s">
        <v>215</v>
      </c>
      <c r="Q60" s="84" t="s">
        <v>813</v>
      </c>
      <c r="R60" s="81" t="s">
        <v>259</v>
      </c>
      <c r="S60" s="81" t="s">
        <v>1588</v>
      </c>
      <c r="T60" s="86" t="str">
        <f>HYPERLINK("http://www.youtube.com/channel/UC-BOduiGsy8dugfxbjqmiLA")</f>
        <v>http://www.youtube.com/channel/UC-BOduiGsy8dugfxbjqmiLA</v>
      </c>
      <c r="U60" s="81"/>
      <c r="V60" s="81" t="s">
        <v>2307</v>
      </c>
      <c r="W60" s="86" t="str">
        <f>HYPERLINK("https://www.youtube.com/watch?v=fdCzHc_2pAk")</f>
        <v>https://www.youtube.com/watch?v=fdCzHc_2pAk</v>
      </c>
      <c r="X60" s="81" t="s">
        <v>2335</v>
      </c>
      <c r="Y60" s="81">
        <v>2</v>
      </c>
      <c r="Z60" s="81" t="s">
        <v>2347</v>
      </c>
      <c r="AA60" s="81" t="s">
        <v>2347</v>
      </c>
      <c r="AB60" s="81"/>
      <c r="AC60" s="81"/>
      <c r="AD60" s="84" t="s">
        <v>2782</v>
      </c>
      <c r="AE60" s="82">
        <v>1</v>
      </c>
      <c r="AF60" s="83" t="str">
        <f>REPLACE(INDEX(GroupVertices[Group],MATCH(Edges[[#This Row],[Vertex 1]],GroupVertices[Vertex],0)),1,1,"")</f>
        <v>14</v>
      </c>
      <c r="AG60" s="83" t="str">
        <f>REPLACE(INDEX(GroupVertices[Group],MATCH(Edges[[#This Row],[Vertex 2]],GroupVertices[Vertex],0)),1,1,"")</f>
        <v>14</v>
      </c>
      <c r="AH60" s="111">
        <v>5</v>
      </c>
      <c r="AI60" s="112">
        <v>45.45454545454545</v>
      </c>
      <c r="AJ60" s="111">
        <v>0</v>
      </c>
      <c r="AK60" s="112">
        <v>0</v>
      </c>
      <c r="AL60" s="111">
        <v>0</v>
      </c>
      <c r="AM60" s="112">
        <v>0</v>
      </c>
      <c r="AN60" s="111">
        <v>6</v>
      </c>
      <c r="AO60" s="112">
        <v>54.54545454545455</v>
      </c>
      <c r="AP60" s="111">
        <v>11</v>
      </c>
    </row>
    <row r="61" spans="1:42" ht="15">
      <c r="A61" s="65" t="s">
        <v>256</v>
      </c>
      <c r="B61" s="65" t="s">
        <v>260</v>
      </c>
      <c r="C61" s="66" t="s">
        <v>5345</v>
      </c>
      <c r="D61" s="67">
        <v>3</v>
      </c>
      <c r="E61" s="68"/>
      <c r="F61" s="69">
        <v>40</v>
      </c>
      <c r="G61" s="66"/>
      <c r="H61" s="70"/>
      <c r="I61" s="71"/>
      <c r="J61" s="71"/>
      <c r="K61" s="35" t="s">
        <v>66</v>
      </c>
      <c r="L61" s="79">
        <v>61</v>
      </c>
      <c r="M61" s="79"/>
      <c r="N61" s="73"/>
      <c r="O61" s="81" t="s">
        <v>761</v>
      </c>
      <c r="P61" s="81" t="s">
        <v>763</v>
      </c>
      <c r="Q61" s="84" t="s">
        <v>814</v>
      </c>
      <c r="R61" s="81" t="s">
        <v>256</v>
      </c>
      <c r="S61" s="81" t="s">
        <v>1585</v>
      </c>
      <c r="T61" s="86" t="str">
        <f>HYPERLINK("http://www.youtube.com/channel/UC9l0mKCZRMJCZ-UFwDgrUjw")</f>
        <v>http://www.youtube.com/channel/UC9l0mKCZRMJCZ-UFwDgrUjw</v>
      </c>
      <c r="U61" s="81" t="s">
        <v>2107</v>
      </c>
      <c r="V61" s="81" t="s">
        <v>2307</v>
      </c>
      <c r="W61" s="86" t="str">
        <f>HYPERLINK("https://www.youtube.com/watch?v=fdCzHc_2pAk")</f>
        <v>https://www.youtube.com/watch?v=fdCzHc_2pAk</v>
      </c>
      <c r="X61" s="81" t="s">
        <v>2335</v>
      </c>
      <c r="Y61" s="81">
        <v>0</v>
      </c>
      <c r="Z61" s="81" t="s">
        <v>2348</v>
      </c>
      <c r="AA61" s="81" t="s">
        <v>2348</v>
      </c>
      <c r="AB61" s="81"/>
      <c r="AC61" s="81"/>
      <c r="AD61" s="84" t="s">
        <v>2782</v>
      </c>
      <c r="AE61" s="82">
        <v>1</v>
      </c>
      <c r="AF61" s="83" t="str">
        <f>REPLACE(INDEX(GroupVertices[Group],MATCH(Edges[[#This Row],[Vertex 1]],GroupVertices[Vertex],0)),1,1,"")</f>
        <v>14</v>
      </c>
      <c r="AG61" s="83" t="str">
        <f>REPLACE(INDEX(GroupVertices[Group],MATCH(Edges[[#This Row],[Vertex 2]],GroupVertices[Vertex],0)),1,1,"")</f>
        <v>14</v>
      </c>
      <c r="AH61" s="111">
        <v>1</v>
      </c>
      <c r="AI61" s="112">
        <v>50</v>
      </c>
      <c r="AJ61" s="111">
        <v>0</v>
      </c>
      <c r="AK61" s="112">
        <v>0</v>
      </c>
      <c r="AL61" s="111">
        <v>0</v>
      </c>
      <c r="AM61" s="112">
        <v>0</v>
      </c>
      <c r="AN61" s="111">
        <v>1</v>
      </c>
      <c r="AO61" s="112">
        <v>50</v>
      </c>
      <c r="AP61" s="111">
        <v>2</v>
      </c>
    </row>
    <row r="62" spans="1:42" ht="15">
      <c r="A62" s="65" t="s">
        <v>260</v>
      </c>
      <c r="B62" s="65" t="s">
        <v>256</v>
      </c>
      <c r="C62" s="66" t="s">
        <v>5345</v>
      </c>
      <c r="D62" s="67">
        <v>3</v>
      </c>
      <c r="E62" s="68"/>
      <c r="F62" s="69">
        <v>40</v>
      </c>
      <c r="G62" s="66"/>
      <c r="H62" s="70"/>
      <c r="I62" s="71"/>
      <c r="J62" s="71"/>
      <c r="K62" s="35" t="s">
        <v>66</v>
      </c>
      <c r="L62" s="79">
        <v>62</v>
      </c>
      <c r="M62" s="79"/>
      <c r="N62" s="73"/>
      <c r="O62" s="81" t="s">
        <v>760</v>
      </c>
      <c r="P62" s="81" t="s">
        <v>215</v>
      </c>
      <c r="Q62" s="84" t="s">
        <v>815</v>
      </c>
      <c r="R62" s="81" t="s">
        <v>260</v>
      </c>
      <c r="S62" s="81" t="s">
        <v>1589</v>
      </c>
      <c r="T62" s="86" t="str">
        <f>HYPERLINK("http://www.youtube.com/channel/UCTskx5wmO9GGLSspJ6Dor0w")</f>
        <v>http://www.youtube.com/channel/UCTskx5wmO9GGLSspJ6Dor0w</v>
      </c>
      <c r="U62" s="81"/>
      <c r="V62" s="81" t="s">
        <v>2307</v>
      </c>
      <c r="W62" s="86" t="str">
        <f>HYPERLINK("https://www.youtube.com/watch?v=fdCzHc_2pAk")</f>
        <v>https://www.youtube.com/watch?v=fdCzHc_2pAk</v>
      </c>
      <c r="X62" s="81" t="s">
        <v>2335</v>
      </c>
      <c r="Y62" s="81">
        <v>2</v>
      </c>
      <c r="Z62" s="81" t="s">
        <v>2349</v>
      </c>
      <c r="AA62" s="81" t="s">
        <v>2349</v>
      </c>
      <c r="AB62" s="81"/>
      <c r="AC62" s="81"/>
      <c r="AD62" s="84" t="s">
        <v>2782</v>
      </c>
      <c r="AE62" s="82">
        <v>1</v>
      </c>
      <c r="AF62" s="83" t="str">
        <f>REPLACE(INDEX(GroupVertices[Group],MATCH(Edges[[#This Row],[Vertex 1]],GroupVertices[Vertex],0)),1,1,"")</f>
        <v>14</v>
      </c>
      <c r="AG62" s="83" t="str">
        <f>REPLACE(INDEX(GroupVertices[Group],MATCH(Edges[[#This Row],[Vertex 2]],GroupVertices[Vertex],0)),1,1,"")</f>
        <v>14</v>
      </c>
      <c r="AH62" s="111">
        <v>1</v>
      </c>
      <c r="AI62" s="112">
        <v>10</v>
      </c>
      <c r="AJ62" s="111">
        <v>0</v>
      </c>
      <c r="AK62" s="112">
        <v>0</v>
      </c>
      <c r="AL62" s="111">
        <v>0</v>
      </c>
      <c r="AM62" s="112">
        <v>0</v>
      </c>
      <c r="AN62" s="111">
        <v>9</v>
      </c>
      <c r="AO62" s="112">
        <v>90</v>
      </c>
      <c r="AP62" s="111">
        <v>10</v>
      </c>
    </row>
    <row r="63" spans="1:42" ht="15">
      <c r="A63" s="65" t="s">
        <v>256</v>
      </c>
      <c r="B63" s="65" t="s">
        <v>261</v>
      </c>
      <c r="C63" s="66" t="s">
        <v>5345</v>
      </c>
      <c r="D63" s="67">
        <v>3</v>
      </c>
      <c r="E63" s="68"/>
      <c r="F63" s="69">
        <v>40</v>
      </c>
      <c r="G63" s="66"/>
      <c r="H63" s="70"/>
      <c r="I63" s="71"/>
      <c r="J63" s="71"/>
      <c r="K63" s="35" t="s">
        <v>66</v>
      </c>
      <c r="L63" s="79">
        <v>63</v>
      </c>
      <c r="M63" s="79"/>
      <c r="N63" s="73"/>
      <c r="O63" s="81" t="s">
        <v>761</v>
      </c>
      <c r="P63" s="81" t="s">
        <v>763</v>
      </c>
      <c r="Q63" s="84" t="s">
        <v>816</v>
      </c>
      <c r="R63" s="81" t="s">
        <v>256</v>
      </c>
      <c r="S63" s="81" t="s">
        <v>1585</v>
      </c>
      <c r="T63" s="86" t="str">
        <f>HYPERLINK("http://www.youtube.com/channel/UC9l0mKCZRMJCZ-UFwDgrUjw")</f>
        <v>http://www.youtube.com/channel/UC9l0mKCZRMJCZ-UFwDgrUjw</v>
      </c>
      <c r="U63" s="81" t="s">
        <v>2108</v>
      </c>
      <c r="V63" s="81" t="s">
        <v>2307</v>
      </c>
      <c r="W63" s="86" t="str">
        <f>HYPERLINK("https://www.youtube.com/watch?v=fdCzHc_2pAk")</f>
        <v>https://www.youtube.com/watch?v=fdCzHc_2pAk</v>
      </c>
      <c r="X63" s="81" t="s">
        <v>2335</v>
      </c>
      <c r="Y63" s="81">
        <v>1</v>
      </c>
      <c r="Z63" s="81" t="s">
        <v>2350</v>
      </c>
      <c r="AA63" s="81" t="s">
        <v>2350</v>
      </c>
      <c r="AB63" s="81"/>
      <c r="AC63" s="81"/>
      <c r="AD63" s="84" t="s">
        <v>2782</v>
      </c>
      <c r="AE63" s="82">
        <v>1</v>
      </c>
      <c r="AF63" s="83" t="str">
        <f>REPLACE(INDEX(GroupVertices[Group],MATCH(Edges[[#This Row],[Vertex 1]],GroupVertices[Vertex],0)),1,1,"")</f>
        <v>14</v>
      </c>
      <c r="AG63" s="83" t="str">
        <f>REPLACE(INDEX(GroupVertices[Group],MATCH(Edges[[#This Row],[Vertex 2]],GroupVertices[Vertex],0)),1,1,"")</f>
        <v>14</v>
      </c>
      <c r="AH63" s="111">
        <v>2</v>
      </c>
      <c r="AI63" s="112">
        <v>25</v>
      </c>
      <c r="AJ63" s="111">
        <v>0</v>
      </c>
      <c r="AK63" s="112">
        <v>0</v>
      </c>
      <c r="AL63" s="111">
        <v>0</v>
      </c>
      <c r="AM63" s="112">
        <v>0</v>
      </c>
      <c r="AN63" s="111">
        <v>6</v>
      </c>
      <c r="AO63" s="112">
        <v>75</v>
      </c>
      <c r="AP63" s="111">
        <v>8</v>
      </c>
    </row>
    <row r="64" spans="1:42" ht="15">
      <c r="A64" s="65" t="s">
        <v>261</v>
      </c>
      <c r="B64" s="65" t="s">
        <v>261</v>
      </c>
      <c r="C64" s="66" t="s">
        <v>5345</v>
      </c>
      <c r="D64" s="67">
        <v>3</v>
      </c>
      <c r="E64" s="68"/>
      <c r="F64" s="69">
        <v>40</v>
      </c>
      <c r="G64" s="66"/>
      <c r="H64" s="70"/>
      <c r="I64" s="71"/>
      <c r="J64" s="71"/>
      <c r="K64" s="35" t="s">
        <v>65</v>
      </c>
      <c r="L64" s="79">
        <v>64</v>
      </c>
      <c r="M64" s="79"/>
      <c r="N64" s="73"/>
      <c r="O64" s="81" t="s">
        <v>761</v>
      </c>
      <c r="P64" s="81" t="s">
        <v>763</v>
      </c>
      <c r="Q64" s="84" t="s">
        <v>817</v>
      </c>
      <c r="R64" s="81" t="s">
        <v>261</v>
      </c>
      <c r="S64" s="81" t="s">
        <v>1590</v>
      </c>
      <c r="T64" s="86" t="str">
        <f>HYPERLINK("http://www.youtube.com/channel/UCK9-5YJLaH4YqD56tfTMM-A")</f>
        <v>http://www.youtube.com/channel/UCK9-5YJLaH4YqD56tfTMM-A</v>
      </c>
      <c r="U64" s="81" t="s">
        <v>2108</v>
      </c>
      <c r="V64" s="81" t="s">
        <v>2307</v>
      </c>
      <c r="W64" s="86" t="str">
        <f>HYPERLINK("https://www.youtube.com/watch?v=fdCzHc_2pAk")</f>
        <v>https://www.youtube.com/watch?v=fdCzHc_2pAk</v>
      </c>
      <c r="X64" s="81" t="s">
        <v>2335</v>
      </c>
      <c r="Y64" s="81">
        <v>0</v>
      </c>
      <c r="Z64" s="81" t="s">
        <v>2351</v>
      </c>
      <c r="AA64" s="81" t="s">
        <v>2351</v>
      </c>
      <c r="AB64" s="81"/>
      <c r="AC64" s="81"/>
      <c r="AD64" s="84" t="s">
        <v>2782</v>
      </c>
      <c r="AE64" s="82">
        <v>1</v>
      </c>
      <c r="AF64" s="83" t="str">
        <f>REPLACE(INDEX(GroupVertices[Group],MATCH(Edges[[#This Row],[Vertex 1]],GroupVertices[Vertex],0)),1,1,"")</f>
        <v>14</v>
      </c>
      <c r="AG64" s="83" t="str">
        <f>REPLACE(INDEX(GroupVertices[Group],MATCH(Edges[[#This Row],[Vertex 2]],GroupVertices[Vertex],0)),1,1,"")</f>
        <v>14</v>
      </c>
      <c r="AH64" s="111">
        <v>2</v>
      </c>
      <c r="AI64" s="112">
        <v>6.451612903225806</v>
      </c>
      <c r="AJ64" s="111">
        <v>0</v>
      </c>
      <c r="AK64" s="112">
        <v>0</v>
      </c>
      <c r="AL64" s="111">
        <v>0</v>
      </c>
      <c r="AM64" s="112">
        <v>0</v>
      </c>
      <c r="AN64" s="111">
        <v>29</v>
      </c>
      <c r="AO64" s="112">
        <v>93.54838709677419</v>
      </c>
      <c r="AP64" s="111">
        <v>31</v>
      </c>
    </row>
    <row r="65" spans="1:42" ht="15">
      <c r="A65" s="65" t="s">
        <v>261</v>
      </c>
      <c r="B65" s="65" t="s">
        <v>256</v>
      </c>
      <c r="C65" s="66" t="s">
        <v>5345</v>
      </c>
      <c r="D65" s="67">
        <v>3</v>
      </c>
      <c r="E65" s="68"/>
      <c r="F65" s="69">
        <v>40</v>
      </c>
      <c r="G65" s="66"/>
      <c r="H65" s="70"/>
      <c r="I65" s="71"/>
      <c r="J65" s="71"/>
      <c r="K65" s="35" t="s">
        <v>66</v>
      </c>
      <c r="L65" s="79">
        <v>65</v>
      </c>
      <c r="M65" s="79"/>
      <c r="N65" s="73"/>
      <c r="O65" s="81" t="s">
        <v>760</v>
      </c>
      <c r="P65" s="81" t="s">
        <v>215</v>
      </c>
      <c r="Q65" s="84" t="s">
        <v>818</v>
      </c>
      <c r="R65" s="81" t="s">
        <v>261</v>
      </c>
      <c r="S65" s="81" t="s">
        <v>1590</v>
      </c>
      <c r="T65" s="86" t="str">
        <f>HYPERLINK("http://www.youtube.com/channel/UCK9-5YJLaH4YqD56tfTMM-A")</f>
        <v>http://www.youtube.com/channel/UCK9-5YJLaH4YqD56tfTMM-A</v>
      </c>
      <c r="U65" s="81"/>
      <c r="V65" s="81" t="s">
        <v>2307</v>
      </c>
      <c r="W65" s="86" t="str">
        <f>HYPERLINK("https://www.youtube.com/watch?v=fdCzHc_2pAk")</f>
        <v>https://www.youtube.com/watch?v=fdCzHc_2pAk</v>
      </c>
      <c r="X65" s="81" t="s">
        <v>2335</v>
      </c>
      <c r="Y65" s="81">
        <v>2</v>
      </c>
      <c r="Z65" s="81" t="s">
        <v>2352</v>
      </c>
      <c r="AA65" s="81" t="s">
        <v>2352</v>
      </c>
      <c r="AB65" s="81"/>
      <c r="AC65" s="81"/>
      <c r="AD65" s="84" t="s">
        <v>2782</v>
      </c>
      <c r="AE65" s="82">
        <v>1</v>
      </c>
      <c r="AF65" s="83" t="str">
        <f>REPLACE(INDEX(GroupVertices[Group],MATCH(Edges[[#This Row],[Vertex 1]],GroupVertices[Vertex],0)),1,1,"")</f>
        <v>14</v>
      </c>
      <c r="AG65" s="83" t="str">
        <f>REPLACE(INDEX(GroupVertices[Group],MATCH(Edges[[#This Row],[Vertex 2]],GroupVertices[Vertex],0)),1,1,"")</f>
        <v>14</v>
      </c>
      <c r="AH65" s="111">
        <v>3</v>
      </c>
      <c r="AI65" s="112">
        <v>11.538461538461538</v>
      </c>
      <c r="AJ65" s="111">
        <v>0</v>
      </c>
      <c r="AK65" s="112">
        <v>0</v>
      </c>
      <c r="AL65" s="111">
        <v>0</v>
      </c>
      <c r="AM65" s="112">
        <v>0</v>
      </c>
      <c r="AN65" s="111">
        <v>23</v>
      </c>
      <c r="AO65" s="112">
        <v>88.46153846153847</v>
      </c>
      <c r="AP65" s="111">
        <v>26</v>
      </c>
    </row>
    <row r="66" spans="1:42" ht="15">
      <c r="A66" s="65" t="s">
        <v>256</v>
      </c>
      <c r="B66" s="65" t="s">
        <v>262</v>
      </c>
      <c r="C66" s="66" t="s">
        <v>5345</v>
      </c>
      <c r="D66" s="67">
        <v>3</v>
      </c>
      <c r="E66" s="68"/>
      <c r="F66" s="69">
        <v>40</v>
      </c>
      <c r="G66" s="66"/>
      <c r="H66" s="70"/>
      <c r="I66" s="71"/>
      <c r="J66" s="71"/>
      <c r="K66" s="35" t="s">
        <v>66</v>
      </c>
      <c r="L66" s="79">
        <v>66</v>
      </c>
      <c r="M66" s="79"/>
      <c r="N66" s="73"/>
      <c r="O66" s="81" t="s">
        <v>761</v>
      </c>
      <c r="P66" s="81" t="s">
        <v>763</v>
      </c>
      <c r="Q66" s="84" t="s">
        <v>814</v>
      </c>
      <c r="R66" s="81" t="s">
        <v>256</v>
      </c>
      <c r="S66" s="81" t="s">
        <v>1585</v>
      </c>
      <c r="T66" s="86" t="str">
        <f>HYPERLINK("http://www.youtube.com/channel/UC9l0mKCZRMJCZ-UFwDgrUjw")</f>
        <v>http://www.youtube.com/channel/UC9l0mKCZRMJCZ-UFwDgrUjw</v>
      </c>
      <c r="U66" s="81" t="s">
        <v>2109</v>
      </c>
      <c r="V66" s="81" t="s">
        <v>2307</v>
      </c>
      <c r="W66" s="86" t="str">
        <f>HYPERLINK("https://www.youtube.com/watch?v=fdCzHc_2pAk")</f>
        <v>https://www.youtube.com/watch?v=fdCzHc_2pAk</v>
      </c>
      <c r="X66" s="81" t="s">
        <v>2335</v>
      </c>
      <c r="Y66" s="81">
        <v>0</v>
      </c>
      <c r="Z66" s="81" t="s">
        <v>2353</v>
      </c>
      <c r="AA66" s="81" t="s">
        <v>2353</v>
      </c>
      <c r="AB66" s="81"/>
      <c r="AC66" s="81"/>
      <c r="AD66" s="84" t="s">
        <v>2782</v>
      </c>
      <c r="AE66" s="82">
        <v>1</v>
      </c>
      <c r="AF66" s="83" t="str">
        <f>REPLACE(INDEX(GroupVertices[Group],MATCH(Edges[[#This Row],[Vertex 1]],GroupVertices[Vertex],0)),1,1,"")</f>
        <v>14</v>
      </c>
      <c r="AG66" s="83" t="str">
        <f>REPLACE(INDEX(GroupVertices[Group],MATCH(Edges[[#This Row],[Vertex 2]],GroupVertices[Vertex],0)),1,1,"")</f>
        <v>14</v>
      </c>
      <c r="AH66" s="111">
        <v>1</v>
      </c>
      <c r="AI66" s="112">
        <v>50</v>
      </c>
      <c r="AJ66" s="111">
        <v>0</v>
      </c>
      <c r="AK66" s="112">
        <v>0</v>
      </c>
      <c r="AL66" s="111">
        <v>0</v>
      </c>
      <c r="AM66" s="112">
        <v>0</v>
      </c>
      <c r="AN66" s="111">
        <v>1</v>
      </c>
      <c r="AO66" s="112">
        <v>50</v>
      </c>
      <c r="AP66" s="111">
        <v>2</v>
      </c>
    </row>
    <row r="67" spans="1:42" ht="15">
      <c r="A67" s="65" t="s">
        <v>262</v>
      </c>
      <c r="B67" s="65" t="s">
        <v>256</v>
      </c>
      <c r="C67" s="66" t="s">
        <v>5345</v>
      </c>
      <c r="D67" s="67">
        <v>3</v>
      </c>
      <c r="E67" s="68"/>
      <c r="F67" s="69">
        <v>40</v>
      </c>
      <c r="G67" s="66"/>
      <c r="H67" s="70"/>
      <c r="I67" s="71"/>
      <c r="J67" s="71"/>
      <c r="K67" s="35" t="s">
        <v>66</v>
      </c>
      <c r="L67" s="79">
        <v>67</v>
      </c>
      <c r="M67" s="79"/>
      <c r="N67" s="73"/>
      <c r="O67" s="81" t="s">
        <v>760</v>
      </c>
      <c r="P67" s="81" t="s">
        <v>215</v>
      </c>
      <c r="Q67" s="84" t="s">
        <v>819</v>
      </c>
      <c r="R67" s="81" t="s">
        <v>262</v>
      </c>
      <c r="S67" s="81" t="s">
        <v>1591</v>
      </c>
      <c r="T67" s="86" t="str">
        <f>HYPERLINK("http://www.youtube.com/channel/UC9qBZOMmYw13MbQaLLzijnw")</f>
        <v>http://www.youtube.com/channel/UC9qBZOMmYw13MbQaLLzijnw</v>
      </c>
      <c r="U67" s="81"/>
      <c r="V67" s="81" t="s">
        <v>2307</v>
      </c>
      <c r="W67" s="86" t="str">
        <f>HYPERLINK("https://www.youtube.com/watch?v=fdCzHc_2pAk")</f>
        <v>https://www.youtube.com/watch?v=fdCzHc_2pAk</v>
      </c>
      <c r="X67" s="81" t="s">
        <v>2335</v>
      </c>
      <c r="Y67" s="81">
        <v>0</v>
      </c>
      <c r="Z67" s="81" t="s">
        <v>2354</v>
      </c>
      <c r="AA67" s="81" t="s">
        <v>2354</v>
      </c>
      <c r="AB67" s="81"/>
      <c r="AC67" s="81"/>
      <c r="AD67" s="84" t="s">
        <v>2782</v>
      </c>
      <c r="AE67" s="82">
        <v>1</v>
      </c>
      <c r="AF67" s="83" t="str">
        <f>REPLACE(INDEX(GroupVertices[Group],MATCH(Edges[[#This Row],[Vertex 1]],GroupVertices[Vertex],0)),1,1,"")</f>
        <v>14</v>
      </c>
      <c r="AG67" s="83" t="str">
        <f>REPLACE(INDEX(GroupVertices[Group],MATCH(Edges[[#This Row],[Vertex 2]],GroupVertices[Vertex],0)),1,1,"")</f>
        <v>14</v>
      </c>
      <c r="AH67" s="111">
        <v>2</v>
      </c>
      <c r="AI67" s="112">
        <v>28.571428571428573</v>
      </c>
      <c r="AJ67" s="111">
        <v>0</v>
      </c>
      <c r="AK67" s="112">
        <v>0</v>
      </c>
      <c r="AL67" s="111">
        <v>0</v>
      </c>
      <c r="AM67" s="112">
        <v>0</v>
      </c>
      <c r="AN67" s="111">
        <v>5</v>
      </c>
      <c r="AO67" s="112">
        <v>71.42857142857143</v>
      </c>
      <c r="AP67" s="111">
        <v>7</v>
      </c>
    </row>
    <row r="68" spans="1:42" ht="15">
      <c r="A68" s="65" t="s">
        <v>256</v>
      </c>
      <c r="B68" s="65" t="s">
        <v>263</v>
      </c>
      <c r="C68" s="66" t="s">
        <v>5345</v>
      </c>
      <c r="D68" s="67">
        <v>3</v>
      </c>
      <c r="E68" s="68"/>
      <c r="F68" s="69">
        <v>40</v>
      </c>
      <c r="G68" s="66"/>
      <c r="H68" s="70"/>
      <c r="I68" s="71"/>
      <c r="J68" s="71"/>
      <c r="K68" s="35" t="s">
        <v>66</v>
      </c>
      <c r="L68" s="79">
        <v>68</v>
      </c>
      <c r="M68" s="79"/>
      <c r="N68" s="73"/>
      <c r="O68" s="81" t="s">
        <v>761</v>
      </c>
      <c r="P68" s="81" t="s">
        <v>763</v>
      </c>
      <c r="Q68" s="84" t="s">
        <v>814</v>
      </c>
      <c r="R68" s="81" t="s">
        <v>256</v>
      </c>
      <c r="S68" s="81" t="s">
        <v>1585</v>
      </c>
      <c r="T68" s="86" t="str">
        <f>HYPERLINK("http://www.youtube.com/channel/UC9l0mKCZRMJCZ-UFwDgrUjw")</f>
        <v>http://www.youtube.com/channel/UC9l0mKCZRMJCZ-UFwDgrUjw</v>
      </c>
      <c r="U68" s="81" t="s">
        <v>2110</v>
      </c>
      <c r="V68" s="81" t="s">
        <v>2307</v>
      </c>
      <c r="W68" s="86" t="str">
        <f>HYPERLINK("https://www.youtube.com/watch?v=fdCzHc_2pAk")</f>
        <v>https://www.youtube.com/watch?v=fdCzHc_2pAk</v>
      </c>
      <c r="X68" s="81" t="s">
        <v>2335</v>
      </c>
      <c r="Y68" s="81">
        <v>0</v>
      </c>
      <c r="Z68" s="81" t="s">
        <v>2355</v>
      </c>
      <c r="AA68" s="81" t="s">
        <v>2355</v>
      </c>
      <c r="AB68" s="81"/>
      <c r="AC68" s="81"/>
      <c r="AD68" s="84" t="s">
        <v>2782</v>
      </c>
      <c r="AE68" s="82">
        <v>1</v>
      </c>
      <c r="AF68" s="83" t="str">
        <f>REPLACE(INDEX(GroupVertices[Group],MATCH(Edges[[#This Row],[Vertex 1]],GroupVertices[Vertex],0)),1,1,"")</f>
        <v>14</v>
      </c>
      <c r="AG68" s="83" t="str">
        <f>REPLACE(INDEX(GroupVertices[Group],MATCH(Edges[[#This Row],[Vertex 2]],GroupVertices[Vertex],0)),1,1,"")</f>
        <v>14</v>
      </c>
      <c r="AH68" s="111">
        <v>1</v>
      </c>
      <c r="AI68" s="112">
        <v>50</v>
      </c>
      <c r="AJ68" s="111">
        <v>0</v>
      </c>
      <c r="AK68" s="112">
        <v>0</v>
      </c>
      <c r="AL68" s="111">
        <v>0</v>
      </c>
      <c r="AM68" s="112">
        <v>0</v>
      </c>
      <c r="AN68" s="111">
        <v>1</v>
      </c>
      <c r="AO68" s="112">
        <v>50</v>
      </c>
      <c r="AP68" s="111">
        <v>2</v>
      </c>
    </row>
    <row r="69" spans="1:42" ht="15">
      <c r="A69" s="65" t="s">
        <v>263</v>
      </c>
      <c r="B69" s="65" t="s">
        <v>256</v>
      </c>
      <c r="C69" s="66" t="s">
        <v>5345</v>
      </c>
      <c r="D69" s="67">
        <v>3</v>
      </c>
      <c r="E69" s="68"/>
      <c r="F69" s="69">
        <v>40</v>
      </c>
      <c r="G69" s="66"/>
      <c r="H69" s="70"/>
      <c r="I69" s="71"/>
      <c r="J69" s="71"/>
      <c r="K69" s="35" t="s">
        <v>66</v>
      </c>
      <c r="L69" s="79">
        <v>69</v>
      </c>
      <c r="M69" s="79"/>
      <c r="N69" s="73"/>
      <c r="O69" s="81" t="s">
        <v>760</v>
      </c>
      <c r="P69" s="81" t="s">
        <v>215</v>
      </c>
      <c r="Q69" s="84" t="s">
        <v>820</v>
      </c>
      <c r="R69" s="81" t="s">
        <v>263</v>
      </c>
      <c r="S69" s="81" t="s">
        <v>1592</v>
      </c>
      <c r="T69" s="86" t="str">
        <f>HYPERLINK("http://www.youtube.com/channel/UCfXJQRQGWnOmmAzI-jgSPYw")</f>
        <v>http://www.youtube.com/channel/UCfXJQRQGWnOmmAzI-jgSPYw</v>
      </c>
      <c r="U69" s="81"/>
      <c r="V69" s="81" t="s">
        <v>2307</v>
      </c>
      <c r="W69" s="86" t="str">
        <f>HYPERLINK("https://www.youtube.com/watch?v=fdCzHc_2pAk")</f>
        <v>https://www.youtube.com/watch?v=fdCzHc_2pAk</v>
      </c>
      <c r="X69" s="81" t="s">
        <v>2335</v>
      </c>
      <c r="Y69" s="81">
        <v>0</v>
      </c>
      <c r="Z69" s="81" t="s">
        <v>2356</v>
      </c>
      <c r="AA69" s="81" t="s">
        <v>2356</v>
      </c>
      <c r="AB69" s="81"/>
      <c r="AC69" s="81"/>
      <c r="AD69" s="84" t="s">
        <v>2782</v>
      </c>
      <c r="AE69" s="82">
        <v>1</v>
      </c>
      <c r="AF69" s="83" t="str">
        <f>REPLACE(INDEX(GroupVertices[Group],MATCH(Edges[[#This Row],[Vertex 1]],GroupVertices[Vertex],0)),1,1,"")</f>
        <v>14</v>
      </c>
      <c r="AG69" s="83" t="str">
        <f>REPLACE(INDEX(GroupVertices[Group],MATCH(Edges[[#This Row],[Vertex 2]],GroupVertices[Vertex],0)),1,1,"")</f>
        <v>14</v>
      </c>
      <c r="AH69" s="111">
        <v>2</v>
      </c>
      <c r="AI69" s="112">
        <v>40</v>
      </c>
      <c r="AJ69" s="111">
        <v>0</v>
      </c>
      <c r="AK69" s="112">
        <v>0</v>
      </c>
      <c r="AL69" s="111">
        <v>0</v>
      </c>
      <c r="AM69" s="112">
        <v>0</v>
      </c>
      <c r="AN69" s="111">
        <v>3</v>
      </c>
      <c r="AO69" s="112">
        <v>60</v>
      </c>
      <c r="AP69" s="111">
        <v>5</v>
      </c>
    </row>
    <row r="70" spans="1:42" ht="15">
      <c r="A70" s="65" t="s">
        <v>256</v>
      </c>
      <c r="B70" s="65" t="s">
        <v>264</v>
      </c>
      <c r="C70" s="66" t="s">
        <v>5346</v>
      </c>
      <c r="D70" s="67">
        <v>10</v>
      </c>
      <c r="E70" s="68"/>
      <c r="F70" s="69">
        <v>15</v>
      </c>
      <c r="G70" s="66"/>
      <c r="H70" s="70"/>
      <c r="I70" s="71"/>
      <c r="J70" s="71"/>
      <c r="K70" s="35" t="s">
        <v>66</v>
      </c>
      <c r="L70" s="79">
        <v>70</v>
      </c>
      <c r="M70" s="79"/>
      <c r="N70" s="73"/>
      <c r="O70" s="81" t="s">
        <v>761</v>
      </c>
      <c r="P70" s="81" t="s">
        <v>763</v>
      </c>
      <c r="Q70" s="84" t="s">
        <v>821</v>
      </c>
      <c r="R70" s="81" t="s">
        <v>256</v>
      </c>
      <c r="S70" s="81" t="s">
        <v>1585</v>
      </c>
      <c r="T70" s="86" t="str">
        <f>HYPERLINK("http://www.youtube.com/channel/UC9l0mKCZRMJCZ-UFwDgrUjw")</f>
        <v>http://www.youtube.com/channel/UC9l0mKCZRMJCZ-UFwDgrUjw</v>
      </c>
      <c r="U70" s="81" t="s">
        <v>2111</v>
      </c>
      <c r="V70" s="81" t="s">
        <v>2307</v>
      </c>
      <c r="W70" s="86" t="str">
        <f>HYPERLINK("https://www.youtube.com/watch?v=fdCzHc_2pAk")</f>
        <v>https://www.youtube.com/watch?v=fdCzHc_2pAk</v>
      </c>
      <c r="X70" s="81" t="s">
        <v>2335</v>
      </c>
      <c r="Y70" s="81">
        <v>0</v>
      </c>
      <c r="Z70" s="81" t="s">
        <v>2357</v>
      </c>
      <c r="AA70" s="81" t="s">
        <v>2357</v>
      </c>
      <c r="AB70" s="81"/>
      <c r="AC70" s="81"/>
      <c r="AD70" s="84" t="s">
        <v>2782</v>
      </c>
      <c r="AE70" s="82">
        <v>2</v>
      </c>
      <c r="AF70" s="83" t="str">
        <f>REPLACE(INDEX(GroupVertices[Group],MATCH(Edges[[#This Row],[Vertex 1]],GroupVertices[Vertex],0)),1,1,"")</f>
        <v>14</v>
      </c>
      <c r="AG70" s="83" t="str">
        <f>REPLACE(INDEX(GroupVertices[Group],MATCH(Edges[[#This Row],[Vertex 2]],GroupVertices[Vertex],0)),1,1,"")</f>
        <v>14</v>
      </c>
      <c r="AH70" s="111">
        <v>1</v>
      </c>
      <c r="AI70" s="112">
        <v>3.4482758620689653</v>
      </c>
      <c r="AJ70" s="111">
        <v>2</v>
      </c>
      <c r="AK70" s="112">
        <v>6.896551724137931</v>
      </c>
      <c r="AL70" s="111">
        <v>0</v>
      </c>
      <c r="AM70" s="112">
        <v>0</v>
      </c>
      <c r="AN70" s="111">
        <v>26</v>
      </c>
      <c r="AO70" s="112">
        <v>89.65517241379311</v>
      </c>
      <c r="AP70" s="111">
        <v>29</v>
      </c>
    </row>
    <row r="71" spans="1:42" ht="15">
      <c r="A71" s="65" t="s">
        <v>256</v>
      </c>
      <c r="B71" s="65" t="s">
        <v>264</v>
      </c>
      <c r="C71" s="66" t="s">
        <v>5346</v>
      </c>
      <c r="D71" s="67">
        <v>10</v>
      </c>
      <c r="E71" s="68"/>
      <c r="F71" s="69">
        <v>15</v>
      </c>
      <c r="G71" s="66"/>
      <c r="H71" s="70"/>
      <c r="I71" s="71"/>
      <c r="J71" s="71"/>
      <c r="K71" s="35" t="s">
        <v>66</v>
      </c>
      <c r="L71" s="79">
        <v>71</v>
      </c>
      <c r="M71" s="79"/>
      <c r="N71" s="73"/>
      <c r="O71" s="81" t="s">
        <v>761</v>
      </c>
      <c r="P71" s="81" t="s">
        <v>763</v>
      </c>
      <c r="Q71" s="84" t="s">
        <v>821</v>
      </c>
      <c r="R71" s="81" t="s">
        <v>256</v>
      </c>
      <c r="S71" s="81" t="s">
        <v>1585</v>
      </c>
      <c r="T71" s="86" t="str">
        <f>HYPERLINK("http://www.youtube.com/channel/UC9l0mKCZRMJCZ-UFwDgrUjw")</f>
        <v>http://www.youtube.com/channel/UC9l0mKCZRMJCZ-UFwDgrUjw</v>
      </c>
      <c r="U71" s="81" t="s">
        <v>2111</v>
      </c>
      <c r="V71" s="81" t="s">
        <v>2307</v>
      </c>
      <c r="W71" s="86" t="str">
        <f>HYPERLINK("https://www.youtube.com/watch?v=fdCzHc_2pAk")</f>
        <v>https://www.youtube.com/watch?v=fdCzHc_2pAk</v>
      </c>
      <c r="X71" s="81" t="s">
        <v>2335</v>
      </c>
      <c r="Y71" s="81">
        <v>0</v>
      </c>
      <c r="Z71" s="81" t="s">
        <v>2358</v>
      </c>
      <c r="AA71" s="81" t="s">
        <v>2358</v>
      </c>
      <c r="AB71" s="81"/>
      <c r="AC71" s="81"/>
      <c r="AD71" s="84" t="s">
        <v>2782</v>
      </c>
      <c r="AE71" s="82">
        <v>2</v>
      </c>
      <c r="AF71" s="83" t="str">
        <f>REPLACE(INDEX(GroupVertices[Group],MATCH(Edges[[#This Row],[Vertex 1]],GroupVertices[Vertex],0)),1,1,"")</f>
        <v>14</v>
      </c>
      <c r="AG71" s="83" t="str">
        <f>REPLACE(INDEX(GroupVertices[Group],MATCH(Edges[[#This Row],[Vertex 2]],GroupVertices[Vertex],0)),1,1,"")</f>
        <v>14</v>
      </c>
      <c r="AH71" s="111">
        <v>1</v>
      </c>
      <c r="AI71" s="112">
        <v>3.4482758620689653</v>
      </c>
      <c r="AJ71" s="111">
        <v>2</v>
      </c>
      <c r="AK71" s="112">
        <v>6.896551724137931</v>
      </c>
      <c r="AL71" s="111">
        <v>0</v>
      </c>
      <c r="AM71" s="112">
        <v>0</v>
      </c>
      <c r="AN71" s="111">
        <v>26</v>
      </c>
      <c r="AO71" s="112">
        <v>89.65517241379311</v>
      </c>
      <c r="AP71" s="111">
        <v>29</v>
      </c>
    </row>
    <row r="72" spans="1:42" ht="15">
      <c r="A72" s="65" t="s">
        <v>264</v>
      </c>
      <c r="B72" s="65" t="s">
        <v>256</v>
      </c>
      <c r="C72" s="66" t="s">
        <v>5345</v>
      </c>
      <c r="D72" s="67">
        <v>3</v>
      </c>
      <c r="E72" s="68"/>
      <c r="F72" s="69">
        <v>40</v>
      </c>
      <c r="G72" s="66"/>
      <c r="H72" s="70"/>
      <c r="I72" s="71"/>
      <c r="J72" s="71"/>
      <c r="K72" s="35" t="s">
        <v>66</v>
      </c>
      <c r="L72" s="79">
        <v>72</v>
      </c>
      <c r="M72" s="79"/>
      <c r="N72" s="73"/>
      <c r="O72" s="81" t="s">
        <v>760</v>
      </c>
      <c r="P72" s="81" t="s">
        <v>215</v>
      </c>
      <c r="Q72" s="84" t="s">
        <v>822</v>
      </c>
      <c r="R72" s="81" t="s">
        <v>264</v>
      </c>
      <c r="S72" s="81" t="s">
        <v>1593</v>
      </c>
      <c r="T72" s="86" t="str">
        <f>HYPERLINK("http://www.youtube.com/channel/UCg7R0p9UWwq2MHr3ZKVfPXA")</f>
        <v>http://www.youtube.com/channel/UCg7R0p9UWwq2MHr3ZKVfPXA</v>
      </c>
      <c r="U72" s="81"/>
      <c r="V72" s="81" t="s">
        <v>2307</v>
      </c>
      <c r="W72" s="86" t="str">
        <f>HYPERLINK("https://www.youtube.com/watch?v=fdCzHc_2pAk")</f>
        <v>https://www.youtube.com/watch?v=fdCzHc_2pAk</v>
      </c>
      <c r="X72" s="81" t="s">
        <v>2335</v>
      </c>
      <c r="Y72" s="81">
        <v>0</v>
      </c>
      <c r="Z72" s="81" t="s">
        <v>2359</v>
      </c>
      <c r="AA72" s="81" t="s">
        <v>2359</v>
      </c>
      <c r="AB72" s="81"/>
      <c r="AC72" s="81"/>
      <c r="AD72" s="84" t="s">
        <v>2782</v>
      </c>
      <c r="AE72" s="82">
        <v>1</v>
      </c>
      <c r="AF72" s="83" t="str">
        <f>REPLACE(INDEX(GroupVertices[Group],MATCH(Edges[[#This Row],[Vertex 1]],GroupVertices[Vertex],0)),1,1,"")</f>
        <v>14</v>
      </c>
      <c r="AG72" s="83" t="str">
        <f>REPLACE(INDEX(GroupVertices[Group],MATCH(Edges[[#This Row],[Vertex 2]],GroupVertices[Vertex],0)),1,1,"")</f>
        <v>14</v>
      </c>
      <c r="AH72" s="111">
        <v>3</v>
      </c>
      <c r="AI72" s="112">
        <v>8.823529411764707</v>
      </c>
      <c r="AJ72" s="111">
        <v>0</v>
      </c>
      <c r="AK72" s="112">
        <v>0</v>
      </c>
      <c r="AL72" s="111">
        <v>0</v>
      </c>
      <c r="AM72" s="112">
        <v>0</v>
      </c>
      <c r="AN72" s="111">
        <v>31</v>
      </c>
      <c r="AO72" s="112">
        <v>91.17647058823529</v>
      </c>
      <c r="AP72" s="111">
        <v>34</v>
      </c>
    </row>
    <row r="73" spans="1:42" ht="15">
      <c r="A73" s="65" t="s">
        <v>256</v>
      </c>
      <c r="B73" s="65" t="s">
        <v>265</v>
      </c>
      <c r="C73" s="66" t="s">
        <v>5345</v>
      </c>
      <c r="D73" s="67">
        <v>3</v>
      </c>
      <c r="E73" s="68"/>
      <c r="F73" s="69">
        <v>40</v>
      </c>
      <c r="G73" s="66"/>
      <c r="H73" s="70"/>
      <c r="I73" s="71"/>
      <c r="J73" s="71"/>
      <c r="K73" s="35" t="s">
        <v>66</v>
      </c>
      <c r="L73" s="79">
        <v>73</v>
      </c>
      <c r="M73" s="79"/>
      <c r="N73" s="73"/>
      <c r="O73" s="81" t="s">
        <v>761</v>
      </c>
      <c r="P73" s="81" t="s">
        <v>763</v>
      </c>
      <c r="Q73" s="84" t="s">
        <v>814</v>
      </c>
      <c r="R73" s="81" t="s">
        <v>256</v>
      </c>
      <c r="S73" s="81" t="s">
        <v>1585</v>
      </c>
      <c r="T73" s="86" t="str">
        <f>HYPERLINK("http://www.youtube.com/channel/UC9l0mKCZRMJCZ-UFwDgrUjw")</f>
        <v>http://www.youtube.com/channel/UC9l0mKCZRMJCZ-UFwDgrUjw</v>
      </c>
      <c r="U73" s="81" t="s">
        <v>2112</v>
      </c>
      <c r="V73" s="81" t="s">
        <v>2307</v>
      </c>
      <c r="W73" s="86" t="str">
        <f>HYPERLINK("https://www.youtube.com/watch?v=fdCzHc_2pAk")</f>
        <v>https://www.youtube.com/watch?v=fdCzHc_2pAk</v>
      </c>
      <c r="X73" s="81" t="s">
        <v>2335</v>
      </c>
      <c r="Y73" s="81">
        <v>0</v>
      </c>
      <c r="Z73" s="81" t="s">
        <v>2360</v>
      </c>
      <c r="AA73" s="81" t="s">
        <v>2360</v>
      </c>
      <c r="AB73" s="81"/>
      <c r="AC73" s="81"/>
      <c r="AD73" s="84" t="s">
        <v>2782</v>
      </c>
      <c r="AE73" s="82">
        <v>1</v>
      </c>
      <c r="AF73" s="83" t="str">
        <f>REPLACE(INDEX(GroupVertices[Group],MATCH(Edges[[#This Row],[Vertex 1]],GroupVertices[Vertex],0)),1,1,"")</f>
        <v>14</v>
      </c>
      <c r="AG73" s="83" t="str">
        <f>REPLACE(INDEX(GroupVertices[Group],MATCH(Edges[[#This Row],[Vertex 2]],GroupVertices[Vertex],0)),1,1,"")</f>
        <v>14</v>
      </c>
      <c r="AH73" s="111">
        <v>1</v>
      </c>
      <c r="AI73" s="112">
        <v>50</v>
      </c>
      <c r="AJ73" s="111">
        <v>0</v>
      </c>
      <c r="AK73" s="112">
        <v>0</v>
      </c>
      <c r="AL73" s="111">
        <v>0</v>
      </c>
      <c r="AM73" s="112">
        <v>0</v>
      </c>
      <c r="AN73" s="111">
        <v>1</v>
      </c>
      <c r="AO73" s="112">
        <v>50</v>
      </c>
      <c r="AP73" s="111">
        <v>2</v>
      </c>
    </row>
    <row r="74" spans="1:42" ht="15">
      <c r="A74" s="65" t="s">
        <v>265</v>
      </c>
      <c r="B74" s="65" t="s">
        <v>256</v>
      </c>
      <c r="C74" s="66" t="s">
        <v>5345</v>
      </c>
      <c r="D74" s="67">
        <v>3</v>
      </c>
      <c r="E74" s="68"/>
      <c r="F74" s="69">
        <v>40</v>
      </c>
      <c r="G74" s="66"/>
      <c r="H74" s="70"/>
      <c r="I74" s="71"/>
      <c r="J74" s="71"/>
      <c r="K74" s="35" t="s">
        <v>66</v>
      </c>
      <c r="L74" s="79">
        <v>74</v>
      </c>
      <c r="M74" s="79"/>
      <c r="N74" s="73"/>
      <c r="O74" s="81" t="s">
        <v>760</v>
      </c>
      <c r="P74" s="81" t="s">
        <v>215</v>
      </c>
      <c r="Q74" s="84" t="s">
        <v>823</v>
      </c>
      <c r="R74" s="81" t="s">
        <v>265</v>
      </c>
      <c r="S74" s="81" t="s">
        <v>1594</v>
      </c>
      <c r="T74" s="86" t="str">
        <f>HYPERLINK("http://www.youtube.com/channel/UCfyM7s57TublMr79wTEsyNQ")</f>
        <v>http://www.youtube.com/channel/UCfyM7s57TublMr79wTEsyNQ</v>
      </c>
      <c r="U74" s="81"/>
      <c r="V74" s="81" t="s">
        <v>2307</v>
      </c>
      <c r="W74" s="86" t="str">
        <f>HYPERLINK("https://www.youtube.com/watch?v=fdCzHc_2pAk")</f>
        <v>https://www.youtube.com/watch?v=fdCzHc_2pAk</v>
      </c>
      <c r="X74" s="81" t="s">
        <v>2335</v>
      </c>
      <c r="Y74" s="81">
        <v>0</v>
      </c>
      <c r="Z74" s="81" t="s">
        <v>2361</v>
      </c>
      <c r="AA74" s="81" t="s">
        <v>2361</v>
      </c>
      <c r="AB74" s="81"/>
      <c r="AC74" s="81"/>
      <c r="AD74" s="84" t="s">
        <v>2782</v>
      </c>
      <c r="AE74" s="82">
        <v>1</v>
      </c>
      <c r="AF74" s="83" t="str">
        <f>REPLACE(INDEX(GroupVertices[Group],MATCH(Edges[[#This Row],[Vertex 1]],GroupVertices[Vertex],0)),1,1,"")</f>
        <v>14</v>
      </c>
      <c r="AG74" s="83" t="str">
        <f>REPLACE(INDEX(GroupVertices[Group],MATCH(Edges[[#This Row],[Vertex 2]],GroupVertices[Vertex],0)),1,1,"")</f>
        <v>14</v>
      </c>
      <c r="AH74" s="111">
        <v>3</v>
      </c>
      <c r="AI74" s="112">
        <v>6.818181818181818</v>
      </c>
      <c r="AJ74" s="111">
        <v>3</v>
      </c>
      <c r="AK74" s="112">
        <v>6.818181818181818</v>
      </c>
      <c r="AL74" s="111">
        <v>0</v>
      </c>
      <c r="AM74" s="112">
        <v>0</v>
      </c>
      <c r="AN74" s="111">
        <v>38</v>
      </c>
      <c r="AO74" s="112">
        <v>86.36363636363636</v>
      </c>
      <c r="AP74" s="111">
        <v>44</v>
      </c>
    </row>
    <row r="75" spans="1:42" ht="15">
      <c r="A75" s="65" t="s">
        <v>266</v>
      </c>
      <c r="B75" s="65" t="s">
        <v>287</v>
      </c>
      <c r="C75" s="66" t="s">
        <v>5345</v>
      </c>
      <c r="D75" s="67">
        <v>3</v>
      </c>
      <c r="E75" s="68"/>
      <c r="F75" s="69">
        <v>40</v>
      </c>
      <c r="G75" s="66"/>
      <c r="H75" s="70"/>
      <c r="I75" s="71"/>
      <c r="J75" s="71"/>
      <c r="K75" s="35" t="s">
        <v>65</v>
      </c>
      <c r="L75" s="79">
        <v>75</v>
      </c>
      <c r="M75" s="79"/>
      <c r="N75" s="73"/>
      <c r="O75" s="81" t="s">
        <v>760</v>
      </c>
      <c r="P75" s="81" t="s">
        <v>215</v>
      </c>
      <c r="Q75" s="84" t="s">
        <v>824</v>
      </c>
      <c r="R75" s="81" t="s">
        <v>266</v>
      </c>
      <c r="S75" s="81" t="s">
        <v>1595</v>
      </c>
      <c r="T75" s="86" t="str">
        <f>HYPERLINK("http://www.youtube.com/channel/UCNJwFhmayWXA2d8_NQFr6sw")</f>
        <v>http://www.youtube.com/channel/UCNJwFhmayWXA2d8_NQFr6sw</v>
      </c>
      <c r="U75" s="81"/>
      <c r="V75" s="81" t="s">
        <v>2308</v>
      </c>
      <c r="W75" s="86" t="str">
        <f>HYPERLINK("https://www.youtube.com/watch?v=xZPSNornzmk")</f>
        <v>https://www.youtube.com/watch?v=xZPSNornzmk</v>
      </c>
      <c r="X75" s="81" t="s">
        <v>2335</v>
      </c>
      <c r="Y75" s="81">
        <v>0</v>
      </c>
      <c r="Z75" s="81" t="s">
        <v>2362</v>
      </c>
      <c r="AA75" s="81" t="s">
        <v>2362</v>
      </c>
      <c r="AB75" s="81"/>
      <c r="AC75" s="81"/>
      <c r="AD75" s="84" t="s">
        <v>2782</v>
      </c>
      <c r="AE75" s="82">
        <v>1</v>
      </c>
      <c r="AF75" s="83" t="str">
        <f>REPLACE(INDEX(GroupVertices[Group],MATCH(Edges[[#This Row],[Vertex 1]],GroupVertices[Vertex],0)),1,1,"")</f>
        <v>1</v>
      </c>
      <c r="AG75" s="83" t="str">
        <f>REPLACE(INDEX(GroupVertices[Group],MATCH(Edges[[#This Row],[Vertex 2]],GroupVertices[Vertex],0)),1,1,"")</f>
        <v>1</v>
      </c>
      <c r="AH75" s="111">
        <v>2</v>
      </c>
      <c r="AI75" s="112">
        <v>3.9215686274509802</v>
      </c>
      <c r="AJ75" s="111">
        <v>0</v>
      </c>
      <c r="AK75" s="112">
        <v>0</v>
      </c>
      <c r="AL75" s="111">
        <v>0</v>
      </c>
      <c r="AM75" s="112">
        <v>0</v>
      </c>
      <c r="AN75" s="111">
        <v>49</v>
      </c>
      <c r="AO75" s="112">
        <v>96.07843137254902</v>
      </c>
      <c r="AP75" s="111">
        <v>51</v>
      </c>
    </row>
    <row r="76" spans="1:42" ht="15">
      <c r="A76" s="65" t="s">
        <v>267</v>
      </c>
      <c r="B76" s="65" t="s">
        <v>287</v>
      </c>
      <c r="C76" s="66" t="s">
        <v>5345</v>
      </c>
      <c r="D76" s="67">
        <v>3</v>
      </c>
      <c r="E76" s="68"/>
      <c r="F76" s="69">
        <v>40</v>
      </c>
      <c r="G76" s="66"/>
      <c r="H76" s="70"/>
      <c r="I76" s="71"/>
      <c r="J76" s="71"/>
      <c r="K76" s="35" t="s">
        <v>65</v>
      </c>
      <c r="L76" s="79">
        <v>76</v>
      </c>
      <c r="M76" s="79"/>
      <c r="N76" s="73"/>
      <c r="O76" s="81" t="s">
        <v>760</v>
      </c>
      <c r="P76" s="81" t="s">
        <v>215</v>
      </c>
      <c r="Q76" s="84" t="s">
        <v>825</v>
      </c>
      <c r="R76" s="81" t="s">
        <v>267</v>
      </c>
      <c r="S76" s="81" t="s">
        <v>1596</v>
      </c>
      <c r="T76" s="86" t="str">
        <f>HYPERLINK("http://www.youtube.com/channel/UC6jL00JL-Y4PTXFkQa0YtXw")</f>
        <v>http://www.youtube.com/channel/UC6jL00JL-Y4PTXFkQa0YtXw</v>
      </c>
      <c r="U76" s="81"/>
      <c r="V76" s="81" t="s">
        <v>2308</v>
      </c>
      <c r="W76" s="86" t="str">
        <f>HYPERLINK("https://www.youtube.com/watch?v=xZPSNornzmk")</f>
        <v>https://www.youtube.com/watch?v=xZPSNornzmk</v>
      </c>
      <c r="X76" s="81" t="s">
        <v>2335</v>
      </c>
      <c r="Y76" s="81">
        <v>0</v>
      </c>
      <c r="Z76" s="81" t="s">
        <v>2363</v>
      </c>
      <c r="AA76" s="81" t="s">
        <v>2363</v>
      </c>
      <c r="AB76" s="81"/>
      <c r="AC76" s="81"/>
      <c r="AD76" s="84" t="s">
        <v>2782</v>
      </c>
      <c r="AE76" s="82">
        <v>1</v>
      </c>
      <c r="AF76" s="83" t="str">
        <f>REPLACE(INDEX(GroupVertices[Group],MATCH(Edges[[#This Row],[Vertex 1]],GroupVertices[Vertex],0)),1,1,"")</f>
        <v>1</v>
      </c>
      <c r="AG76" s="83" t="str">
        <f>REPLACE(INDEX(GroupVertices[Group],MATCH(Edges[[#This Row],[Vertex 2]],GroupVertices[Vertex],0)),1,1,"")</f>
        <v>1</v>
      </c>
      <c r="AH76" s="111">
        <v>4</v>
      </c>
      <c r="AI76" s="112">
        <v>5.714285714285714</v>
      </c>
      <c r="AJ76" s="111">
        <v>3</v>
      </c>
      <c r="AK76" s="112">
        <v>4.285714285714286</v>
      </c>
      <c r="AL76" s="111">
        <v>0</v>
      </c>
      <c r="AM76" s="112">
        <v>0</v>
      </c>
      <c r="AN76" s="111">
        <v>63</v>
      </c>
      <c r="AO76" s="112">
        <v>90</v>
      </c>
      <c r="AP76" s="111">
        <v>70</v>
      </c>
    </row>
    <row r="77" spans="1:42" ht="15">
      <c r="A77" s="65" t="s">
        <v>268</v>
      </c>
      <c r="B77" s="65" t="s">
        <v>287</v>
      </c>
      <c r="C77" s="66" t="s">
        <v>5345</v>
      </c>
      <c r="D77" s="67">
        <v>3</v>
      </c>
      <c r="E77" s="68"/>
      <c r="F77" s="69">
        <v>40</v>
      </c>
      <c r="G77" s="66"/>
      <c r="H77" s="70"/>
      <c r="I77" s="71"/>
      <c r="J77" s="71"/>
      <c r="K77" s="35" t="s">
        <v>65</v>
      </c>
      <c r="L77" s="79">
        <v>77</v>
      </c>
      <c r="M77" s="79"/>
      <c r="N77" s="73"/>
      <c r="O77" s="81" t="s">
        <v>760</v>
      </c>
      <c r="P77" s="81" t="s">
        <v>215</v>
      </c>
      <c r="Q77" s="84" t="s">
        <v>826</v>
      </c>
      <c r="R77" s="81" t="s">
        <v>268</v>
      </c>
      <c r="S77" s="81" t="s">
        <v>1597</v>
      </c>
      <c r="T77" s="86" t="str">
        <f>HYPERLINK("http://www.youtube.com/channel/UCSsxCzEeuuL06aJ6VVde8eA")</f>
        <v>http://www.youtube.com/channel/UCSsxCzEeuuL06aJ6VVde8eA</v>
      </c>
      <c r="U77" s="81"/>
      <c r="V77" s="81" t="s">
        <v>2308</v>
      </c>
      <c r="W77" s="86" t="str">
        <f>HYPERLINK("https://www.youtube.com/watch?v=xZPSNornzmk")</f>
        <v>https://www.youtube.com/watch?v=xZPSNornzmk</v>
      </c>
      <c r="X77" s="81" t="s">
        <v>2335</v>
      </c>
      <c r="Y77" s="81">
        <v>0</v>
      </c>
      <c r="Z77" s="81" t="s">
        <v>2364</v>
      </c>
      <c r="AA77" s="81" t="s">
        <v>2364</v>
      </c>
      <c r="AB77" s="81"/>
      <c r="AC77" s="81"/>
      <c r="AD77" s="84" t="s">
        <v>2782</v>
      </c>
      <c r="AE77" s="82">
        <v>1</v>
      </c>
      <c r="AF77" s="83" t="str">
        <f>REPLACE(INDEX(GroupVertices[Group],MATCH(Edges[[#This Row],[Vertex 1]],GroupVertices[Vertex],0)),1,1,"")</f>
        <v>1</v>
      </c>
      <c r="AG77" s="83" t="str">
        <f>REPLACE(INDEX(GroupVertices[Group],MATCH(Edges[[#This Row],[Vertex 2]],GroupVertices[Vertex],0)),1,1,"")</f>
        <v>1</v>
      </c>
      <c r="AH77" s="111">
        <v>2</v>
      </c>
      <c r="AI77" s="112">
        <v>18.181818181818183</v>
      </c>
      <c r="AJ77" s="111">
        <v>0</v>
      </c>
      <c r="AK77" s="112">
        <v>0</v>
      </c>
      <c r="AL77" s="111">
        <v>0</v>
      </c>
      <c r="AM77" s="112">
        <v>0</v>
      </c>
      <c r="AN77" s="111">
        <v>9</v>
      </c>
      <c r="AO77" s="112">
        <v>81.81818181818181</v>
      </c>
      <c r="AP77" s="111">
        <v>11</v>
      </c>
    </row>
    <row r="78" spans="1:42" ht="15">
      <c r="A78" s="65" t="s">
        <v>269</v>
      </c>
      <c r="B78" s="65" t="s">
        <v>287</v>
      </c>
      <c r="C78" s="66" t="s">
        <v>5345</v>
      </c>
      <c r="D78" s="67">
        <v>3</v>
      </c>
      <c r="E78" s="68"/>
      <c r="F78" s="69">
        <v>40</v>
      </c>
      <c r="G78" s="66"/>
      <c r="H78" s="70"/>
      <c r="I78" s="71"/>
      <c r="J78" s="71"/>
      <c r="K78" s="35" t="s">
        <v>65</v>
      </c>
      <c r="L78" s="79">
        <v>78</v>
      </c>
      <c r="M78" s="79"/>
      <c r="N78" s="73"/>
      <c r="O78" s="81" t="s">
        <v>760</v>
      </c>
      <c r="P78" s="81" t="s">
        <v>215</v>
      </c>
      <c r="Q78" s="84" t="s">
        <v>827</v>
      </c>
      <c r="R78" s="81" t="s">
        <v>269</v>
      </c>
      <c r="S78" s="81" t="s">
        <v>1598</v>
      </c>
      <c r="T78" s="86" t="str">
        <f>HYPERLINK("http://www.youtube.com/channel/UC231SAu_r4ieV7M177NEedg")</f>
        <v>http://www.youtube.com/channel/UC231SAu_r4ieV7M177NEedg</v>
      </c>
      <c r="U78" s="81"/>
      <c r="V78" s="81" t="s">
        <v>2308</v>
      </c>
      <c r="W78" s="86" t="str">
        <f>HYPERLINK("https://www.youtube.com/watch?v=xZPSNornzmk")</f>
        <v>https://www.youtube.com/watch?v=xZPSNornzmk</v>
      </c>
      <c r="X78" s="81" t="s">
        <v>2335</v>
      </c>
      <c r="Y78" s="81">
        <v>0</v>
      </c>
      <c r="Z78" s="81" t="s">
        <v>2365</v>
      </c>
      <c r="AA78" s="81" t="s">
        <v>2365</v>
      </c>
      <c r="AB78" s="81"/>
      <c r="AC78" s="81"/>
      <c r="AD78" s="84" t="s">
        <v>2782</v>
      </c>
      <c r="AE78" s="82">
        <v>1</v>
      </c>
      <c r="AF78" s="83" t="str">
        <f>REPLACE(INDEX(GroupVertices[Group],MATCH(Edges[[#This Row],[Vertex 1]],GroupVertices[Vertex],0)),1,1,"")</f>
        <v>1</v>
      </c>
      <c r="AG78" s="83" t="str">
        <f>REPLACE(INDEX(GroupVertices[Group],MATCH(Edges[[#This Row],[Vertex 2]],GroupVertices[Vertex],0)),1,1,"")</f>
        <v>1</v>
      </c>
      <c r="AH78" s="111">
        <v>4</v>
      </c>
      <c r="AI78" s="112">
        <v>9.75609756097561</v>
      </c>
      <c r="AJ78" s="111">
        <v>0</v>
      </c>
      <c r="AK78" s="112">
        <v>0</v>
      </c>
      <c r="AL78" s="111">
        <v>0</v>
      </c>
      <c r="AM78" s="112">
        <v>0</v>
      </c>
      <c r="AN78" s="111">
        <v>37</v>
      </c>
      <c r="AO78" s="112">
        <v>90.2439024390244</v>
      </c>
      <c r="AP78" s="111">
        <v>41</v>
      </c>
    </row>
    <row r="79" spans="1:42" ht="15">
      <c r="A79" s="65" t="s">
        <v>270</v>
      </c>
      <c r="B79" s="65" t="s">
        <v>287</v>
      </c>
      <c r="C79" s="66" t="s">
        <v>5346</v>
      </c>
      <c r="D79" s="67">
        <v>10</v>
      </c>
      <c r="E79" s="68"/>
      <c r="F79" s="69">
        <v>15</v>
      </c>
      <c r="G79" s="66"/>
      <c r="H79" s="70"/>
      <c r="I79" s="71"/>
      <c r="J79" s="71"/>
      <c r="K79" s="35" t="s">
        <v>65</v>
      </c>
      <c r="L79" s="79">
        <v>79</v>
      </c>
      <c r="M79" s="79"/>
      <c r="N79" s="73"/>
      <c r="O79" s="81" t="s">
        <v>760</v>
      </c>
      <c r="P79" s="81" t="s">
        <v>215</v>
      </c>
      <c r="Q79" s="84" t="s">
        <v>828</v>
      </c>
      <c r="R79" s="81" t="s">
        <v>270</v>
      </c>
      <c r="S79" s="81" t="s">
        <v>1599</v>
      </c>
      <c r="T79" s="86" t="str">
        <f>HYPERLINK("http://www.youtube.com/channel/UCra_RTJ8-u_qg7FEsTc3v_A")</f>
        <v>http://www.youtube.com/channel/UCra_RTJ8-u_qg7FEsTc3v_A</v>
      </c>
      <c r="U79" s="81"/>
      <c r="V79" s="81" t="s">
        <v>2308</v>
      </c>
      <c r="W79" s="86" t="str">
        <f>HYPERLINK("https://www.youtube.com/watch?v=xZPSNornzmk")</f>
        <v>https://www.youtube.com/watch?v=xZPSNornzmk</v>
      </c>
      <c r="X79" s="81" t="s">
        <v>2335</v>
      </c>
      <c r="Y79" s="81">
        <v>0</v>
      </c>
      <c r="Z79" s="81" t="s">
        <v>2366</v>
      </c>
      <c r="AA79" s="81" t="s">
        <v>2746</v>
      </c>
      <c r="AB79" s="81"/>
      <c r="AC79" s="81"/>
      <c r="AD79" s="84" t="s">
        <v>2782</v>
      </c>
      <c r="AE79" s="82">
        <v>2</v>
      </c>
      <c r="AF79" s="83" t="str">
        <f>REPLACE(INDEX(GroupVertices[Group],MATCH(Edges[[#This Row],[Vertex 1]],GroupVertices[Vertex],0)),1,1,"")</f>
        <v>1</v>
      </c>
      <c r="AG79" s="83" t="str">
        <f>REPLACE(INDEX(GroupVertices[Group],MATCH(Edges[[#This Row],[Vertex 2]],GroupVertices[Vertex],0)),1,1,"")</f>
        <v>1</v>
      </c>
      <c r="AH79" s="111">
        <v>6</v>
      </c>
      <c r="AI79" s="112">
        <v>13.333333333333334</v>
      </c>
      <c r="AJ79" s="111">
        <v>1</v>
      </c>
      <c r="AK79" s="112">
        <v>2.2222222222222223</v>
      </c>
      <c r="AL79" s="111">
        <v>0</v>
      </c>
      <c r="AM79" s="112">
        <v>0</v>
      </c>
      <c r="AN79" s="111">
        <v>38</v>
      </c>
      <c r="AO79" s="112">
        <v>84.44444444444444</v>
      </c>
      <c r="AP79" s="111">
        <v>45</v>
      </c>
    </row>
    <row r="80" spans="1:42" ht="15">
      <c r="A80" s="65" t="s">
        <v>270</v>
      </c>
      <c r="B80" s="65" t="s">
        <v>287</v>
      </c>
      <c r="C80" s="66" t="s">
        <v>5346</v>
      </c>
      <c r="D80" s="67">
        <v>10</v>
      </c>
      <c r="E80" s="68"/>
      <c r="F80" s="69">
        <v>15</v>
      </c>
      <c r="G80" s="66"/>
      <c r="H80" s="70"/>
      <c r="I80" s="71"/>
      <c r="J80" s="71"/>
      <c r="K80" s="35" t="s">
        <v>65</v>
      </c>
      <c r="L80" s="79">
        <v>80</v>
      </c>
      <c r="M80" s="79"/>
      <c r="N80" s="73"/>
      <c r="O80" s="81" t="s">
        <v>760</v>
      </c>
      <c r="P80" s="81" t="s">
        <v>215</v>
      </c>
      <c r="Q80" s="84" t="s">
        <v>829</v>
      </c>
      <c r="R80" s="81" t="s">
        <v>270</v>
      </c>
      <c r="S80" s="81" t="s">
        <v>1599</v>
      </c>
      <c r="T80" s="86" t="str">
        <f>HYPERLINK("http://www.youtube.com/channel/UCra_RTJ8-u_qg7FEsTc3v_A")</f>
        <v>http://www.youtube.com/channel/UCra_RTJ8-u_qg7FEsTc3v_A</v>
      </c>
      <c r="U80" s="81"/>
      <c r="V80" s="81" t="s">
        <v>2308</v>
      </c>
      <c r="W80" s="86" t="str">
        <f>HYPERLINK("https://www.youtube.com/watch?v=xZPSNornzmk")</f>
        <v>https://www.youtube.com/watch?v=xZPSNornzmk</v>
      </c>
      <c r="X80" s="81" t="s">
        <v>2335</v>
      </c>
      <c r="Y80" s="81">
        <v>0</v>
      </c>
      <c r="Z80" s="81" t="s">
        <v>2367</v>
      </c>
      <c r="AA80" s="81" t="s">
        <v>2367</v>
      </c>
      <c r="AB80" s="81"/>
      <c r="AC80" s="81"/>
      <c r="AD80" s="84" t="s">
        <v>2782</v>
      </c>
      <c r="AE80" s="82">
        <v>2</v>
      </c>
      <c r="AF80" s="83" t="str">
        <f>REPLACE(INDEX(GroupVertices[Group],MATCH(Edges[[#This Row],[Vertex 1]],GroupVertices[Vertex],0)),1,1,"")</f>
        <v>1</v>
      </c>
      <c r="AG80" s="83" t="str">
        <f>REPLACE(INDEX(GroupVertices[Group],MATCH(Edges[[#This Row],[Vertex 2]],GroupVertices[Vertex],0)),1,1,"")</f>
        <v>1</v>
      </c>
      <c r="AH80" s="111">
        <v>1</v>
      </c>
      <c r="AI80" s="112">
        <v>3.225806451612903</v>
      </c>
      <c r="AJ80" s="111">
        <v>2</v>
      </c>
      <c r="AK80" s="112">
        <v>6.451612903225806</v>
      </c>
      <c r="AL80" s="111">
        <v>0</v>
      </c>
      <c r="AM80" s="112">
        <v>0</v>
      </c>
      <c r="AN80" s="111">
        <v>28</v>
      </c>
      <c r="AO80" s="112">
        <v>90.3225806451613</v>
      </c>
      <c r="AP80" s="111">
        <v>31</v>
      </c>
    </row>
    <row r="81" spans="1:42" ht="15">
      <c r="A81" s="65" t="s">
        <v>271</v>
      </c>
      <c r="B81" s="65" t="s">
        <v>287</v>
      </c>
      <c r="C81" s="66" t="s">
        <v>5345</v>
      </c>
      <c r="D81" s="67">
        <v>3</v>
      </c>
      <c r="E81" s="68"/>
      <c r="F81" s="69">
        <v>40</v>
      </c>
      <c r="G81" s="66"/>
      <c r="H81" s="70"/>
      <c r="I81" s="71"/>
      <c r="J81" s="71"/>
      <c r="K81" s="35" t="s">
        <v>65</v>
      </c>
      <c r="L81" s="79">
        <v>81</v>
      </c>
      <c r="M81" s="79"/>
      <c r="N81" s="73"/>
      <c r="O81" s="81" t="s">
        <v>760</v>
      </c>
      <c r="P81" s="81" t="s">
        <v>215</v>
      </c>
      <c r="Q81" s="84" t="s">
        <v>830</v>
      </c>
      <c r="R81" s="81" t="s">
        <v>271</v>
      </c>
      <c r="S81" s="81" t="s">
        <v>1600</v>
      </c>
      <c r="T81" s="86" t="str">
        <f>HYPERLINK("http://www.youtube.com/channel/UCAgfa5wms3giPz-TJlvrupg")</f>
        <v>http://www.youtube.com/channel/UCAgfa5wms3giPz-TJlvrupg</v>
      </c>
      <c r="U81" s="81"/>
      <c r="V81" s="81" t="s">
        <v>2308</v>
      </c>
      <c r="W81" s="86" t="str">
        <f>HYPERLINK("https://www.youtube.com/watch?v=xZPSNornzmk")</f>
        <v>https://www.youtube.com/watch?v=xZPSNornzmk</v>
      </c>
      <c r="X81" s="81" t="s">
        <v>2335</v>
      </c>
      <c r="Y81" s="81">
        <v>0</v>
      </c>
      <c r="Z81" s="81" t="s">
        <v>2368</v>
      </c>
      <c r="AA81" s="81" t="s">
        <v>2368</v>
      </c>
      <c r="AB81" s="81"/>
      <c r="AC81" s="81"/>
      <c r="AD81" s="84" t="s">
        <v>2782</v>
      </c>
      <c r="AE81" s="82">
        <v>1</v>
      </c>
      <c r="AF81" s="83" t="str">
        <f>REPLACE(INDEX(GroupVertices[Group],MATCH(Edges[[#This Row],[Vertex 1]],GroupVertices[Vertex],0)),1,1,"")</f>
        <v>1</v>
      </c>
      <c r="AG81" s="83" t="str">
        <f>REPLACE(INDEX(GroupVertices[Group],MATCH(Edges[[#This Row],[Vertex 2]],GroupVertices[Vertex],0)),1,1,"")</f>
        <v>1</v>
      </c>
      <c r="AH81" s="111">
        <v>4</v>
      </c>
      <c r="AI81" s="112">
        <v>7.142857142857143</v>
      </c>
      <c r="AJ81" s="111">
        <v>1</v>
      </c>
      <c r="AK81" s="112">
        <v>1.7857142857142858</v>
      </c>
      <c r="AL81" s="111">
        <v>0</v>
      </c>
      <c r="AM81" s="112">
        <v>0</v>
      </c>
      <c r="AN81" s="111">
        <v>51</v>
      </c>
      <c r="AO81" s="112">
        <v>91.07142857142857</v>
      </c>
      <c r="AP81" s="111">
        <v>56</v>
      </c>
    </row>
    <row r="82" spans="1:42" ht="15">
      <c r="A82" s="65" t="s">
        <v>272</v>
      </c>
      <c r="B82" s="65" t="s">
        <v>287</v>
      </c>
      <c r="C82" s="66" t="s">
        <v>5345</v>
      </c>
      <c r="D82" s="67">
        <v>3</v>
      </c>
      <c r="E82" s="68"/>
      <c r="F82" s="69">
        <v>40</v>
      </c>
      <c r="G82" s="66"/>
      <c r="H82" s="70"/>
      <c r="I82" s="71"/>
      <c r="J82" s="71"/>
      <c r="K82" s="35" t="s">
        <v>65</v>
      </c>
      <c r="L82" s="79">
        <v>82</v>
      </c>
      <c r="M82" s="79"/>
      <c r="N82" s="73"/>
      <c r="O82" s="81" t="s">
        <v>760</v>
      </c>
      <c r="P82" s="81" t="s">
        <v>215</v>
      </c>
      <c r="Q82" s="84" t="s">
        <v>831</v>
      </c>
      <c r="R82" s="81" t="s">
        <v>272</v>
      </c>
      <c r="S82" s="81" t="s">
        <v>1601</v>
      </c>
      <c r="T82" s="86" t="str">
        <f>HYPERLINK("http://www.youtube.com/channel/UCVca94o9ajc4K5O4TVzbgGg")</f>
        <v>http://www.youtube.com/channel/UCVca94o9ajc4K5O4TVzbgGg</v>
      </c>
      <c r="U82" s="81"/>
      <c r="V82" s="81" t="s">
        <v>2308</v>
      </c>
      <c r="W82" s="86" t="str">
        <f>HYPERLINK("https://www.youtube.com/watch?v=xZPSNornzmk")</f>
        <v>https://www.youtube.com/watch?v=xZPSNornzmk</v>
      </c>
      <c r="X82" s="81" t="s">
        <v>2335</v>
      </c>
      <c r="Y82" s="81">
        <v>0</v>
      </c>
      <c r="Z82" s="81" t="s">
        <v>2369</v>
      </c>
      <c r="AA82" s="81" t="s">
        <v>2369</v>
      </c>
      <c r="AB82" s="81"/>
      <c r="AC82" s="81"/>
      <c r="AD82" s="84" t="s">
        <v>2782</v>
      </c>
      <c r="AE82" s="82">
        <v>1</v>
      </c>
      <c r="AF82" s="83" t="str">
        <f>REPLACE(INDEX(GroupVertices[Group],MATCH(Edges[[#This Row],[Vertex 1]],GroupVertices[Vertex],0)),1,1,"")</f>
        <v>1</v>
      </c>
      <c r="AG82" s="83" t="str">
        <f>REPLACE(INDEX(GroupVertices[Group],MATCH(Edges[[#This Row],[Vertex 2]],GroupVertices[Vertex],0)),1,1,"")</f>
        <v>1</v>
      </c>
      <c r="AH82" s="111">
        <v>1</v>
      </c>
      <c r="AI82" s="112">
        <v>6.25</v>
      </c>
      <c r="AJ82" s="111">
        <v>1</v>
      </c>
      <c r="AK82" s="112">
        <v>6.25</v>
      </c>
      <c r="AL82" s="111">
        <v>0</v>
      </c>
      <c r="AM82" s="112">
        <v>0</v>
      </c>
      <c r="AN82" s="111">
        <v>14</v>
      </c>
      <c r="AO82" s="112">
        <v>87.5</v>
      </c>
      <c r="AP82" s="111">
        <v>16</v>
      </c>
    </row>
    <row r="83" spans="1:42" ht="15">
      <c r="A83" s="65" t="s">
        <v>273</v>
      </c>
      <c r="B83" s="65" t="s">
        <v>287</v>
      </c>
      <c r="C83" s="66" t="s">
        <v>5345</v>
      </c>
      <c r="D83" s="67">
        <v>3</v>
      </c>
      <c r="E83" s="68"/>
      <c r="F83" s="69">
        <v>40</v>
      </c>
      <c r="G83" s="66"/>
      <c r="H83" s="70"/>
      <c r="I83" s="71"/>
      <c r="J83" s="71"/>
      <c r="K83" s="35" t="s">
        <v>65</v>
      </c>
      <c r="L83" s="79">
        <v>83</v>
      </c>
      <c r="M83" s="79"/>
      <c r="N83" s="73"/>
      <c r="O83" s="81" t="s">
        <v>760</v>
      </c>
      <c r="P83" s="81" t="s">
        <v>215</v>
      </c>
      <c r="Q83" s="84" t="s">
        <v>832</v>
      </c>
      <c r="R83" s="81" t="s">
        <v>273</v>
      </c>
      <c r="S83" s="81" t="s">
        <v>1602</v>
      </c>
      <c r="T83" s="86" t="str">
        <f>HYPERLINK("http://www.youtube.com/channel/UCBHiZ2I6P89WK8fMBnMcajw")</f>
        <v>http://www.youtube.com/channel/UCBHiZ2I6P89WK8fMBnMcajw</v>
      </c>
      <c r="U83" s="81"/>
      <c r="V83" s="81" t="s">
        <v>2308</v>
      </c>
      <c r="W83" s="86" t="str">
        <f>HYPERLINK("https://www.youtube.com/watch?v=xZPSNornzmk")</f>
        <v>https://www.youtube.com/watch?v=xZPSNornzmk</v>
      </c>
      <c r="X83" s="81" t="s">
        <v>2335</v>
      </c>
      <c r="Y83" s="81">
        <v>0</v>
      </c>
      <c r="Z83" s="81" t="s">
        <v>2370</v>
      </c>
      <c r="AA83" s="81" t="s">
        <v>2370</v>
      </c>
      <c r="AB83" s="81"/>
      <c r="AC83" s="81"/>
      <c r="AD83" s="84" t="s">
        <v>2782</v>
      </c>
      <c r="AE83" s="82">
        <v>1</v>
      </c>
      <c r="AF83" s="83" t="str">
        <f>REPLACE(INDEX(GroupVertices[Group],MATCH(Edges[[#This Row],[Vertex 1]],GroupVertices[Vertex],0)),1,1,"")</f>
        <v>1</v>
      </c>
      <c r="AG83" s="83" t="str">
        <f>REPLACE(INDEX(GroupVertices[Group],MATCH(Edges[[#This Row],[Vertex 2]],GroupVertices[Vertex],0)),1,1,"")</f>
        <v>1</v>
      </c>
      <c r="AH83" s="111">
        <v>1</v>
      </c>
      <c r="AI83" s="112">
        <v>7.142857142857143</v>
      </c>
      <c r="AJ83" s="111">
        <v>0</v>
      </c>
      <c r="AK83" s="112">
        <v>0</v>
      </c>
      <c r="AL83" s="111">
        <v>0</v>
      </c>
      <c r="AM83" s="112">
        <v>0</v>
      </c>
      <c r="AN83" s="111">
        <v>13</v>
      </c>
      <c r="AO83" s="112">
        <v>92.85714285714286</v>
      </c>
      <c r="AP83" s="111">
        <v>14</v>
      </c>
    </row>
    <row r="84" spans="1:42" ht="15">
      <c r="A84" s="65" t="s">
        <v>274</v>
      </c>
      <c r="B84" s="65" t="s">
        <v>287</v>
      </c>
      <c r="C84" s="66" t="s">
        <v>5345</v>
      </c>
      <c r="D84" s="67">
        <v>3</v>
      </c>
      <c r="E84" s="68"/>
      <c r="F84" s="69">
        <v>40</v>
      </c>
      <c r="G84" s="66"/>
      <c r="H84" s="70"/>
      <c r="I84" s="71"/>
      <c r="J84" s="71"/>
      <c r="K84" s="35" t="s">
        <v>65</v>
      </c>
      <c r="L84" s="79">
        <v>84</v>
      </c>
      <c r="M84" s="79"/>
      <c r="N84" s="73"/>
      <c r="O84" s="81" t="s">
        <v>760</v>
      </c>
      <c r="P84" s="81" t="s">
        <v>215</v>
      </c>
      <c r="Q84" s="84" t="s">
        <v>833</v>
      </c>
      <c r="R84" s="81" t="s">
        <v>274</v>
      </c>
      <c r="S84" s="81" t="s">
        <v>1603</v>
      </c>
      <c r="T84" s="86" t="str">
        <f>HYPERLINK("http://www.youtube.com/channel/UCB2xDM90FsYLtQZa8iben6w")</f>
        <v>http://www.youtube.com/channel/UCB2xDM90FsYLtQZa8iben6w</v>
      </c>
      <c r="U84" s="81"/>
      <c r="V84" s="81" t="s">
        <v>2308</v>
      </c>
      <c r="W84" s="86" t="str">
        <f>HYPERLINK("https://www.youtube.com/watch?v=xZPSNornzmk")</f>
        <v>https://www.youtube.com/watch?v=xZPSNornzmk</v>
      </c>
      <c r="X84" s="81" t="s">
        <v>2335</v>
      </c>
      <c r="Y84" s="81">
        <v>0</v>
      </c>
      <c r="Z84" s="81" t="s">
        <v>2371</v>
      </c>
      <c r="AA84" s="81" t="s">
        <v>2371</v>
      </c>
      <c r="AB84" s="81"/>
      <c r="AC84" s="81"/>
      <c r="AD84" s="84" t="s">
        <v>2782</v>
      </c>
      <c r="AE84" s="82">
        <v>1</v>
      </c>
      <c r="AF84" s="83" t="str">
        <f>REPLACE(INDEX(GroupVertices[Group],MATCH(Edges[[#This Row],[Vertex 1]],GroupVertices[Vertex],0)),1,1,"")</f>
        <v>1</v>
      </c>
      <c r="AG84" s="83" t="str">
        <f>REPLACE(INDEX(GroupVertices[Group],MATCH(Edges[[#This Row],[Vertex 2]],GroupVertices[Vertex],0)),1,1,"")</f>
        <v>1</v>
      </c>
      <c r="AH84" s="111">
        <v>1</v>
      </c>
      <c r="AI84" s="112">
        <v>6.666666666666667</v>
      </c>
      <c r="AJ84" s="111">
        <v>0</v>
      </c>
      <c r="AK84" s="112">
        <v>0</v>
      </c>
      <c r="AL84" s="111">
        <v>0</v>
      </c>
      <c r="AM84" s="112">
        <v>0</v>
      </c>
      <c r="AN84" s="111">
        <v>14</v>
      </c>
      <c r="AO84" s="112">
        <v>93.33333333333333</v>
      </c>
      <c r="AP84" s="111">
        <v>15</v>
      </c>
    </row>
    <row r="85" spans="1:42" ht="15">
      <c r="A85" s="65" t="s">
        <v>275</v>
      </c>
      <c r="B85" s="65" t="s">
        <v>287</v>
      </c>
      <c r="C85" s="66" t="s">
        <v>5345</v>
      </c>
      <c r="D85" s="67">
        <v>3</v>
      </c>
      <c r="E85" s="68"/>
      <c r="F85" s="69">
        <v>40</v>
      </c>
      <c r="G85" s="66"/>
      <c r="H85" s="70"/>
      <c r="I85" s="71"/>
      <c r="J85" s="71"/>
      <c r="K85" s="35" t="s">
        <v>65</v>
      </c>
      <c r="L85" s="79">
        <v>85</v>
      </c>
      <c r="M85" s="79"/>
      <c r="N85" s="73"/>
      <c r="O85" s="81" t="s">
        <v>760</v>
      </c>
      <c r="P85" s="81" t="s">
        <v>215</v>
      </c>
      <c r="Q85" s="84" t="s">
        <v>834</v>
      </c>
      <c r="R85" s="81" t="s">
        <v>275</v>
      </c>
      <c r="S85" s="81" t="s">
        <v>1604</v>
      </c>
      <c r="T85" s="86" t="str">
        <f>HYPERLINK("http://www.youtube.com/channel/UCtYUcIQ1g4KU-es2VAz7JtQ")</f>
        <v>http://www.youtube.com/channel/UCtYUcIQ1g4KU-es2VAz7JtQ</v>
      </c>
      <c r="U85" s="81"/>
      <c r="V85" s="81" t="s">
        <v>2308</v>
      </c>
      <c r="W85" s="86" t="str">
        <f>HYPERLINK("https://www.youtube.com/watch?v=xZPSNornzmk")</f>
        <v>https://www.youtube.com/watch?v=xZPSNornzmk</v>
      </c>
      <c r="X85" s="81" t="s">
        <v>2335</v>
      </c>
      <c r="Y85" s="81">
        <v>0</v>
      </c>
      <c r="Z85" s="81" t="s">
        <v>2372</v>
      </c>
      <c r="AA85" s="81" t="s">
        <v>2372</v>
      </c>
      <c r="AB85" s="81"/>
      <c r="AC85" s="81"/>
      <c r="AD85" s="84" t="s">
        <v>2782</v>
      </c>
      <c r="AE85" s="82">
        <v>1</v>
      </c>
      <c r="AF85" s="83" t="str">
        <f>REPLACE(INDEX(GroupVertices[Group],MATCH(Edges[[#This Row],[Vertex 1]],GroupVertices[Vertex],0)),1,1,"")</f>
        <v>1</v>
      </c>
      <c r="AG85" s="83" t="str">
        <f>REPLACE(INDEX(GroupVertices[Group],MATCH(Edges[[#This Row],[Vertex 2]],GroupVertices[Vertex],0)),1,1,"")</f>
        <v>1</v>
      </c>
      <c r="AH85" s="111">
        <v>2</v>
      </c>
      <c r="AI85" s="112">
        <v>6.666666666666667</v>
      </c>
      <c r="AJ85" s="111">
        <v>0</v>
      </c>
      <c r="AK85" s="112">
        <v>0</v>
      </c>
      <c r="AL85" s="111">
        <v>0</v>
      </c>
      <c r="AM85" s="112">
        <v>0</v>
      </c>
      <c r="AN85" s="111">
        <v>28</v>
      </c>
      <c r="AO85" s="112">
        <v>93.33333333333333</v>
      </c>
      <c r="AP85" s="111">
        <v>30</v>
      </c>
    </row>
    <row r="86" spans="1:42" ht="15">
      <c r="A86" s="65" t="s">
        <v>276</v>
      </c>
      <c r="B86" s="65" t="s">
        <v>287</v>
      </c>
      <c r="C86" s="66" t="s">
        <v>5345</v>
      </c>
      <c r="D86" s="67">
        <v>3</v>
      </c>
      <c r="E86" s="68"/>
      <c r="F86" s="69">
        <v>40</v>
      </c>
      <c r="G86" s="66"/>
      <c r="H86" s="70"/>
      <c r="I86" s="71"/>
      <c r="J86" s="71"/>
      <c r="K86" s="35" t="s">
        <v>65</v>
      </c>
      <c r="L86" s="79">
        <v>86</v>
      </c>
      <c r="M86" s="79"/>
      <c r="N86" s="73"/>
      <c r="O86" s="81" t="s">
        <v>760</v>
      </c>
      <c r="P86" s="81" t="s">
        <v>215</v>
      </c>
      <c r="Q86" s="84" t="s">
        <v>835</v>
      </c>
      <c r="R86" s="81" t="s">
        <v>276</v>
      </c>
      <c r="S86" s="81" t="s">
        <v>1605</v>
      </c>
      <c r="T86" s="86" t="str">
        <f>HYPERLINK("http://www.youtube.com/channel/UC_PZn0aPVrcSJ9upkA3kDXQ")</f>
        <v>http://www.youtube.com/channel/UC_PZn0aPVrcSJ9upkA3kDXQ</v>
      </c>
      <c r="U86" s="81"/>
      <c r="V86" s="81" t="s">
        <v>2308</v>
      </c>
      <c r="W86" s="86" t="str">
        <f>HYPERLINK("https://www.youtube.com/watch?v=xZPSNornzmk")</f>
        <v>https://www.youtube.com/watch?v=xZPSNornzmk</v>
      </c>
      <c r="X86" s="81" t="s">
        <v>2335</v>
      </c>
      <c r="Y86" s="81">
        <v>0</v>
      </c>
      <c r="Z86" s="81" t="s">
        <v>2373</v>
      </c>
      <c r="AA86" s="81" t="s">
        <v>2373</v>
      </c>
      <c r="AB86" s="81"/>
      <c r="AC86" s="81"/>
      <c r="AD86" s="84" t="s">
        <v>2782</v>
      </c>
      <c r="AE86" s="82">
        <v>1</v>
      </c>
      <c r="AF86" s="83" t="str">
        <f>REPLACE(INDEX(GroupVertices[Group],MATCH(Edges[[#This Row],[Vertex 1]],GroupVertices[Vertex],0)),1,1,"")</f>
        <v>1</v>
      </c>
      <c r="AG86" s="83" t="str">
        <f>REPLACE(INDEX(GroupVertices[Group],MATCH(Edges[[#This Row],[Vertex 2]],GroupVertices[Vertex],0)),1,1,"")</f>
        <v>1</v>
      </c>
      <c r="AH86" s="111">
        <v>4</v>
      </c>
      <c r="AI86" s="112">
        <v>8.16326530612245</v>
      </c>
      <c r="AJ86" s="111">
        <v>0</v>
      </c>
      <c r="AK86" s="112">
        <v>0</v>
      </c>
      <c r="AL86" s="111">
        <v>0</v>
      </c>
      <c r="AM86" s="112">
        <v>0</v>
      </c>
      <c r="AN86" s="111">
        <v>45</v>
      </c>
      <c r="AO86" s="112">
        <v>91.83673469387755</v>
      </c>
      <c r="AP86" s="111">
        <v>49</v>
      </c>
    </row>
    <row r="87" spans="1:42" ht="15">
      <c r="A87" s="65" t="s">
        <v>277</v>
      </c>
      <c r="B87" s="65" t="s">
        <v>287</v>
      </c>
      <c r="C87" s="66" t="s">
        <v>5345</v>
      </c>
      <c r="D87" s="67">
        <v>3</v>
      </c>
      <c r="E87" s="68"/>
      <c r="F87" s="69">
        <v>40</v>
      </c>
      <c r="G87" s="66"/>
      <c r="H87" s="70"/>
      <c r="I87" s="71"/>
      <c r="J87" s="71"/>
      <c r="K87" s="35" t="s">
        <v>65</v>
      </c>
      <c r="L87" s="79">
        <v>87</v>
      </c>
      <c r="M87" s="79"/>
      <c r="N87" s="73"/>
      <c r="O87" s="81" t="s">
        <v>760</v>
      </c>
      <c r="P87" s="81" t="s">
        <v>215</v>
      </c>
      <c r="Q87" s="84" t="s">
        <v>836</v>
      </c>
      <c r="R87" s="81" t="s">
        <v>277</v>
      </c>
      <c r="S87" s="81" t="s">
        <v>1606</v>
      </c>
      <c r="T87" s="86" t="str">
        <f>HYPERLINK("http://www.youtube.com/channel/UCZEUK7gTOg3jEw96Wj1YiyQ")</f>
        <v>http://www.youtube.com/channel/UCZEUK7gTOg3jEw96Wj1YiyQ</v>
      </c>
      <c r="U87" s="81"/>
      <c r="V87" s="81" t="s">
        <v>2308</v>
      </c>
      <c r="W87" s="86" t="str">
        <f>HYPERLINK("https://www.youtube.com/watch?v=xZPSNornzmk")</f>
        <v>https://www.youtube.com/watch?v=xZPSNornzmk</v>
      </c>
      <c r="X87" s="81" t="s">
        <v>2335</v>
      </c>
      <c r="Y87" s="81">
        <v>0</v>
      </c>
      <c r="Z87" s="81" t="s">
        <v>2374</v>
      </c>
      <c r="AA87" s="81" t="s">
        <v>2374</v>
      </c>
      <c r="AB87" s="81"/>
      <c r="AC87" s="81"/>
      <c r="AD87" s="84" t="s">
        <v>2782</v>
      </c>
      <c r="AE87" s="82">
        <v>1</v>
      </c>
      <c r="AF87" s="83" t="str">
        <f>REPLACE(INDEX(GroupVertices[Group],MATCH(Edges[[#This Row],[Vertex 1]],GroupVertices[Vertex],0)),1,1,"")</f>
        <v>1</v>
      </c>
      <c r="AG87" s="83" t="str">
        <f>REPLACE(INDEX(GroupVertices[Group],MATCH(Edges[[#This Row],[Vertex 2]],GroupVertices[Vertex],0)),1,1,"")</f>
        <v>1</v>
      </c>
      <c r="AH87" s="111">
        <v>6</v>
      </c>
      <c r="AI87" s="112">
        <v>5.882352941176471</v>
      </c>
      <c r="AJ87" s="111">
        <v>6</v>
      </c>
      <c r="AK87" s="112">
        <v>5.882352941176471</v>
      </c>
      <c r="AL87" s="111">
        <v>0</v>
      </c>
      <c r="AM87" s="112">
        <v>0</v>
      </c>
      <c r="AN87" s="111">
        <v>90</v>
      </c>
      <c r="AO87" s="112">
        <v>88.23529411764706</v>
      </c>
      <c r="AP87" s="111">
        <v>102</v>
      </c>
    </row>
    <row r="88" spans="1:42" ht="15">
      <c r="A88" s="65" t="s">
        <v>278</v>
      </c>
      <c r="B88" s="65" t="s">
        <v>287</v>
      </c>
      <c r="C88" s="66" t="s">
        <v>5345</v>
      </c>
      <c r="D88" s="67">
        <v>3</v>
      </c>
      <c r="E88" s="68"/>
      <c r="F88" s="69">
        <v>40</v>
      </c>
      <c r="G88" s="66"/>
      <c r="H88" s="70"/>
      <c r="I88" s="71"/>
      <c r="J88" s="71"/>
      <c r="K88" s="35" t="s">
        <v>65</v>
      </c>
      <c r="L88" s="79">
        <v>88</v>
      </c>
      <c r="M88" s="79"/>
      <c r="N88" s="73"/>
      <c r="O88" s="81" t="s">
        <v>760</v>
      </c>
      <c r="P88" s="81" t="s">
        <v>215</v>
      </c>
      <c r="Q88" s="84" t="s">
        <v>837</v>
      </c>
      <c r="R88" s="81" t="s">
        <v>278</v>
      </c>
      <c r="S88" s="81" t="s">
        <v>1607</v>
      </c>
      <c r="T88" s="86" t="str">
        <f>HYPERLINK("http://www.youtube.com/channel/UC0g1YwKNzgOxNo75tTXolYA")</f>
        <v>http://www.youtube.com/channel/UC0g1YwKNzgOxNo75tTXolYA</v>
      </c>
      <c r="U88" s="81"/>
      <c r="V88" s="81" t="s">
        <v>2308</v>
      </c>
      <c r="W88" s="86" t="str">
        <f>HYPERLINK("https://www.youtube.com/watch?v=xZPSNornzmk")</f>
        <v>https://www.youtube.com/watch?v=xZPSNornzmk</v>
      </c>
      <c r="X88" s="81" t="s">
        <v>2335</v>
      </c>
      <c r="Y88" s="81">
        <v>0</v>
      </c>
      <c r="Z88" s="81" t="s">
        <v>2375</v>
      </c>
      <c r="AA88" s="81" t="s">
        <v>2375</v>
      </c>
      <c r="AB88" s="81"/>
      <c r="AC88" s="81"/>
      <c r="AD88" s="84" t="s">
        <v>2782</v>
      </c>
      <c r="AE88" s="82">
        <v>1</v>
      </c>
      <c r="AF88" s="83" t="str">
        <f>REPLACE(INDEX(GroupVertices[Group],MATCH(Edges[[#This Row],[Vertex 1]],GroupVertices[Vertex],0)),1,1,"")</f>
        <v>1</v>
      </c>
      <c r="AG88" s="83" t="str">
        <f>REPLACE(INDEX(GroupVertices[Group],MATCH(Edges[[#This Row],[Vertex 2]],GroupVertices[Vertex],0)),1,1,"")</f>
        <v>1</v>
      </c>
      <c r="AH88" s="111">
        <v>3</v>
      </c>
      <c r="AI88" s="112">
        <v>4.411764705882353</v>
      </c>
      <c r="AJ88" s="111">
        <v>3</v>
      </c>
      <c r="AK88" s="112">
        <v>4.411764705882353</v>
      </c>
      <c r="AL88" s="111">
        <v>0</v>
      </c>
      <c r="AM88" s="112">
        <v>0</v>
      </c>
      <c r="AN88" s="111">
        <v>62</v>
      </c>
      <c r="AO88" s="112">
        <v>91.17647058823529</v>
      </c>
      <c r="AP88" s="111">
        <v>68</v>
      </c>
    </row>
    <row r="89" spans="1:42" ht="15">
      <c r="A89" s="65" t="s">
        <v>279</v>
      </c>
      <c r="B89" s="65" t="s">
        <v>287</v>
      </c>
      <c r="C89" s="66" t="s">
        <v>5346</v>
      </c>
      <c r="D89" s="67">
        <v>10</v>
      </c>
      <c r="E89" s="68"/>
      <c r="F89" s="69">
        <v>15</v>
      </c>
      <c r="G89" s="66"/>
      <c r="H89" s="70"/>
      <c r="I89" s="71"/>
      <c r="J89" s="71"/>
      <c r="K89" s="35" t="s">
        <v>65</v>
      </c>
      <c r="L89" s="79">
        <v>89</v>
      </c>
      <c r="M89" s="79"/>
      <c r="N89" s="73"/>
      <c r="O89" s="81" t="s">
        <v>760</v>
      </c>
      <c r="P89" s="81" t="s">
        <v>215</v>
      </c>
      <c r="Q89" s="84" t="s">
        <v>838</v>
      </c>
      <c r="R89" s="81" t="s">
        <v>279</v>
      </c>
      <c r="S89" s="81" t="s">
        <v>1608</v>
      </c>
      <c r="T89" s="86" t="str">
        <f>HYPERLINK("http://www.youtube.com/channel/UCy4vchV8fH1y73tBFK6MeSw")</f>
        <v>http://www.youtube.com/channel/UCy4vchV8fH1y73tBFK6MeSw</v>
      </c>
      <c r="U89" s="81"/>
      <c r="V89" s="81" t="s">
        <v>2308</v>
      </c>
      <c r="W89" s="86" t="str">
        <f>HYPERLINK("https://www.youtube.com/watch?v=xZPSNornzmk")</f>
        <v>https://www.youtube.com/watch?v=xZPSNornzmk</v>
      </c>
      <c r="X89" s="81" t="s">
        <v>2335</v>
      </c>
      <c r="Y89" s="81">
        <v>1</v>
      </c>
      <c r="Z89" s="81" t="s">
        <v>2376</v>
      </c>
      <c r="AA89" s="81" t="s">
        <v>2376</v>
      </c>
      <c r="AB89" s="81"/>
      <c r="AC89" s="81"/>
      <c r="AD89" s="84" t="s">
        <v>2782</v>
      </c>
      <c r="AE89" s="82">
        <v>2</v>
      </c>
      <c r="AF89" s="83" t="str">
        <f>REPLACE(INDEX(GroupVertices[Group],MATCH(Edges[[#This Row],[Vertex 1]],GroupVertices[Vertex],0)),1,1,"")</f>
        <v>1</v>
      </c>
      <c r="AG89" s="83" t="str">
        <f>REPLACE(INDEX(GroupVertices[Group],MATCH(Edges[[#This Row],[Vertex 2]],GroupVertices[Vertex],0)),1,1,"")</f>
        <v>1</v>
      </c>
      <c r="AH89" s="111">
        <v>4</v>
      </c>
      <c r="AI89" s="112">
        <v>13.333333333333334</v>
      </c>
      <c r="AJ89" s="111">
        <v>0</v>
      </c>
      <c r="AK89" s="112">
        <v>0</v>
      </c>
      <c r="AL89" s="111">
        <v>0</v>
      </c>
      <c r="AM89" s="112">
        <v>0</v>
      </c>
      <c r="AN89" s="111">
        <v>26</v>
      </c>
      <c r="AO89" s="112">
        <v>86.66666666666667</v>
      </c>
      <c r="AP89" s="111">
        <v>30</v>
      </c>
    </row>
    <row r="90" spans="1:42" ht="15">
      <c r="A90" s="65" t="s">
        <v>279</v>
      </c>
      <c r="B90" s="65" t="s">
        <v>287</v>
      </c>
      <c r="C90" s="66" t="s">
        <v>5346</v>
      </c>
      <c r="D90" s="67">
        <v>10</v>
      </c>
      <c r="E90" s="68"/>
      <c r="F90" s="69">
        <v>15</v>
      </c>
      <c r="G90" s="66"/>
      <c r="H90" s="70"/>
      <c r="I90" s="71"/>
      <c r="J90" s="71"/>
      <c r="K90" s="35" t="s">
        <v>65</v>
      </c>
      <c r="L90" s="79">
        <v>90</v>
      </c>
      <c r="M90" s="79"/>
      <c r="N90" s="73"/>
      <c r="O90" s="81" t="s">
        <v>760</v>
      </c>
      <c r="P90" s="81" t="s">
        <v>215</v>
      </c>
      <c r="Q90" s="84" t="s">
        <v>839</v>
      </c>
      <c r="R90" s="81" t="s">
        <v>279</v>
      </c>
      <c r="S90" s="81" t="s">
        <v>1608</v>
      </c>
      <c r="T90" s="86" t="str">
        <f>HYPERLINK("http://www.youtube.com/channel/UCy4vchV8fH1y73tBFK6MeSw")</f>
        <v>http://www.youtube.com/channel/UCy4vchV8fH1y73tBFK6MeSw</v>
      </c>
      <c r="U90" s="81"/>
      <c r="V90" s="81" t="s">
        <v>2308</v>
      </c>
      <c r="W90" s="86" t="str">
        <f>HYPERLINK("https://www.youtube.com/watch?v=xZPSNornzmk")</f>
        <v>https://www.youtube.com/watch?v=xZPSNornzmk</v>
      </c>
      <c r="X90" s="81" t="s">
        <v>2335</v>
      </c>
      <c r="Y90" s="81">
        <v>0</v>
      </c>
      <c r="Z90" s="81" t="s">
        <v>2377</v>
      </c>
      <c r="AA90" s="81" t="s">
        <v>2377</v>
      </c>
      <c r="AB90" s="81"/>
      <c r="AC90" s="81"/>
      <c r="AD90" s="84" t="s">
        <v>2782</v>
      </c>
      <c r="AE90" s="82">
        <v>2</v>
      </c>
      <c r="AF90" s="83" t="str">
        <f>REPLACE(INDEX(GroupVertices[Group],MATCH(Edges[[#This Row],[Vertex 1]],GroupVertices[Vertex],0)),1,1,"")</f>
        <v>1</v>
      </c>
      <c r="AG90" s="83" t="str">
        <f>REPLACE(INDEX(GroupVertices[Group],MATCH(Edges[[#This Row],[Vertex 2]],GroupVertices[Vertex],0)),1,1,"")</f>
        <v>1</v>
      </c>
      <c r="AH90" s="111">
        <v>0</v>
      </c>
      <c r="AI90" s="112">
        <v>0</v>
      </c>
      <c r="AJ90" s="111">
        <v>0</v>
      </c>
      <c r="AK90" s="112">
        <v>0</v>
      </c>
      <c r="AL90" s="111">
        <v>0</v>
      </c>
      <c r="AM90" s="112">
        <v>0</v>
      </c>
      <c r="AN90" s="111">
        <v>21</v>
      </c>
      <c r="AO90" s="112">
        <v>100</v>
      </c>
      <c r="AP90" s="111">
        <v>21</v>
      </c>
    </row>
    <row r="91" spans="1:42" ht="15">
      <c r="A91" s="65" t="s">
        <v>280</v>
      </c>
      <c r="B91" s="65" t="s">
        <v>287</v>
      </c>
      <c r="C91" s="66" t="s">
        <v>5345</v>
      </c>
      <c r="D91" s="67">
        <v>3</v>
      </c>
      <c r="E91" s="68"/>
      <c r="F91" s="69">
        <v>40</v>
      </c>
      <c r="G91" s="66"/>
      <c r="H91" s="70"/>
      <c r="I91" s="71"/>
      <c r="J91" s="71"/>
      <c r="K91" s="35" t="s">
        <v>65</v>
      </c>
      <c r="L91" s="79">
        <v>91</v>
      </c>
      <c r="M91" s="79"/>
      <c r="N91" s="73"/>
      <c r="O91" s="81" t="s">
        <v>760</v>
      </c>
      <c r="P91" s="81" t="s">
        <v>215</v>
      </c>
      <c r="Q91" s="84" t="s">
        <v>840</v>
      </c>
      <c r="R91" s="81" t="s">
        <v>280</v>
      </c>
      <c r="S91" s="81" t="s">
        <v>1609</v>
      </c>
      <c r="T91" s="86" t="str">
        <f>HYPERLINK("http://www.youtube.com/channel/UCR8erYjzdFG6pUs12wdE0Eg")</f>
        <v>http://www.youtube.com/channel/UCR8erYjzdFG6pUs12wdE0Eg</v>
      </c>
      <c r="U91" s="81"/>
      <c r="V91" s="81" t="s">
        <v>2308</v>
      </c>
      <c r="W91" s="86" t="str">
        <f>HYPERLINK("https://www.youtube.com/watch?v=xZPSNornzmk")</f>
        <v>https://www.youtube.com/watch?v=xZPSNornzmk</v>
      </c>
      <c r="X91" s="81" t="s">
        <v>2335</v>
      </c>
      <c r="Y91" s="81">
        <v>0</v>
      </c>
      <c r="Z91" s="81" t="s">
        <v>2378</v>
      </c>
      <c r="AA91" s="81" t="s">
        <v>2378</v>
      </c>
      <c r="AB91" s="81"/>
      <c r="AC91" s="81"/>
      <c r="AD91" s="84" t="s">
        <v>2782</v>
      </c>
      <c r="AE91" s="82">
        <v>1</v>
      </c>
      <c r="AF91" s="83" t="str">
        <f>REPLACE(INDEX(GroupVertices[Group],MATCH(Edges[[#This Row],[Vertex 1]],GroupVertices[Vertex],0)),1,1,"")</f>
        <v>1</v>
      </c>
      <c r="AG91" s="83" t="str">
        <f>REPLACE(INDEX(GroupVertices[Group],MATCH(Edges[[#This Row],[Vertex 2]],GroupVertices[Vertex],0)),1,1,"")</f>
        <v>1</v>
      </c>
      <c r="AH91" s="111">
        <v>2</v>
      </c>
      <c r="AI91" s="112">
        <v>16.666666666666668</v>
      </c>
      <c r="AJ91" s="111">
        <v>0</v>
      </c>
      <c r="AK91" s="112">
        <v>0</v>
      </c>
      <c r="AL91" s="111">
        <v>0</v>
      </c>
      <c r="AM91" s="112">
        <v>0</v>
      </c>
      <c r="AN91" s="111">
        <v>10</v>
      </c>
      <c r="AO91" s="112">
        <v>83.33333333333333</v>
      </c>
      <c r="AP91" s="111">
        <v>12</v>
      </c>
    </row>
    <row r="92" spans="1:42" ht="15">
      <c r="A92" s="65" t="s">
        <v>281</v>
      </c>
      <c r="B92" s="65" t="s">
        <v>287</v>
      </c>
      <c r="C92" s="66" t="s">
        <v>5345</v>
      </c>
      <c r="D92" s="67">
        <v>3</v>
      </c>
      <c r="E92" s="68"/>
      <c r="F92" s="69">
        <v>40</v>
      </c>
      <c r="G92" s="66"/>
      <c r="H92" s="70"/>
      <c r="I92" s="71"/>
      <c r="J92" s="71"/>
      <c r="K92" s="35" t="s">
        <v>65</v>
      </c>
      <c r="L92" s="79">
        <v>92</v>
      </c>
      <c r="M92" s="79"/>
      <c r="N92" s="73"/>
      <c r="O92" s="81" t="s">
        <v>760</v>
      </c>
      <c r="P92" s="81" t="s">
        <v>215</v>
      </c>
      <c r="Q92" s="84" t="s">
        <v>841</v>
      </c>
      <c r="R92" s="81" t="s">
        <v>281</v>
      </c>
      <c r="S92" s="81" t="s">
        <v>1610</v>
      </c>
      <c r="T92" s="86" t="str">
        <f>HYPERLINK("http://www.youtube.com/channel/UCpDXbt0pPAzy_Aoj-Ee873w")</f>
        <v>http://www.youtube.com/channel/UCpDXbt0pPAzy_Aoj-Ee873w</v>
      </c>
      <c r="U92" s="81"/>
      <c r="V92" s="81" t="s">
        <v>2308</v>
      </c>
      <c r="W92" s="86" t="str">
        <f>HYPERLINK("https://www.youtube.com/watch?v=xZPSNornzmk")</f>
        <v>https://www.youtube.com/watch?v=xZPSNornzmk</v>
      </c>
      <c r="X92" s="81" t="s">
        <v>2335</v>
      </c>
      <c r="Y92" s="81">
        <v>0</v>
      </c>
      <c r="Z92" s="81" t="s">
        <v>2379</v>
      </c>
      <c r="AA92" s="81" t="s">
        <v>2379</v>
      </c>
      <c r="AB92" s="81"/>
      <c r="AC92" s="81"/>
      <c r="AD92" s="84" t="s">
        <v>2782</v>
      </c>
      <c r="AE92" s="82">
        <v>1</v>
      </c>
      <c r="AF92" s="83" t="str">
        <f>REPLACE(INDEX(GroupVertices[Group],MATCH(Edges[[#This Row],[Vertex 1]],GroupVertices[Vertex],0)),1,1,"")</f>
        <v>1</v>
      </c>
      <c r="AG92" s="83" t="str">
        <f>REPLACE(INDEX(GroupVertices[Group],MATCH(Edges[[#This Row],[Vertex 2]],GroupVertices[Vertex],0)),1,1,"")</f>
        <v>1</v>
      </c>
      <c r="AH92" s="111">
        <v>2</v>
      </c>
      <c r="AI92" s="112">
        <v>2.272727272727273</v>
      </c>
      <c r="AJ92" s="111">
        <v>7</v>
      </c>
      <c r="AK92" s="112">
        <v>7.954545454545454</v>
      </c>
      <c r="AL92" s="111">
        <v>0</v>
      </c>
      <c r="AM92" s="112">
        <v>0</v>
      </c>
      <c r="AN92" s="111">
        <v>79</v>
      </c>
      <c r="AO92" s="112">
        <v>89.77272727272727</v>
      </c>
      <c r="AP92" s="111">
        <v>88</v>
      </c>
    </row>
    <row r="93" spans="1:42" ht="15">
      <c r="A93" s="65" t="s">
        <v>282</v>
      </c>
      <c r="B93" s="65" t="s">
        <v>287</v>
      </c>
      <c r="C93" s="66" t="s">
        <v>5345</v>
      </c>
      <c r="D93" s="67">
        <v>3</v>
      </c>
      <c r="E93" s="68"/>
      <c r="F93" s="69">
        <v>40</v>
      </c>
      <c r="G93" s="66"/>
      <c r="H93" s="70"/>
      <c r="I93" s="71"/>
      <c r="J93" s="71"/>
      <c r="K93" s="35" t="s">
        <v>65</v>
      </c>
      <c r="L93" s="79">
        <v>93</v>
      </c>
      <c r="M93" s="79"/>
      <c r="N93" s="73"/>
      <c r="O93" s="81" t="s">
        <v>760</v>
      </c>
      <c r="P93" s="81" t="s">
        <v>215</v>
      </c>
      <c r="Q93" s="84" t="s">
        <v>842</v>
      </c>
      <c r="R93" s="81" t="s">
        <v>282</v>
      </c>
      <c r="S93" s="81" t="s">
        <v>1611</v>
      </c>
      <c r="T93" s="86" t="str">
        <f>HYPERLINK("http://www.youtube.com/channel/UCMtOd4deYchj5X-2d7hh0Eg")</f>
        <v>http://www.youtube.com/channel/UCMtOd4deYchj5X-2d7hh0Eg</v>
      </c>
      <c r="U93" s="81"/>
      <c r="V93" s="81" t="s">
        <v>2308</v>
      </c>
      <c r="W93" s="86" t="str">
        <f>HYPERLINK("https://www.youtube.com/watch?v=xZPSNornzmk")</f>
        <v>https://www.youtube.com/watch?v=xZPSNornzmk</v>
      </c>
      <c r="X93" s="81" t="s">
        <v>2335</v>
      </c>
      <c r="Y93" s="81">
        <v>0</v>
      </c>
      <c r="Z93" s="81" t="s">
        <v>2380</v>
      </c>
      <c r="AA93" s="81" t="s">
        <v>2380</v>
      </c>
      <c r="AB93" s="81"/>
      <c r="AC93" s="81"/>
      <c r="AD93" s="84" t="s">
        <v>2782</v>
      </c>
      <c r="AE93" s="82">
        <v>1</v>
      </c>
      <c r="AF93" s="83" t="str">
        <f>REPLACE(INDEX(GroupVertices[Group],MATCH(Edges[[#This Row],[Vertex 1]],GroupVertices[Vertex],0)),1,1,"")</f>
        <v>1</v>
      </c>
      <c r="AG93" s="83" t="str">
        <f>REPLACE(INDEX(GroupVertices[Group],MATCH(Edges[[#This Row],[Vertex 2]],GroupVertices[Vertex],0)),1,1,"")</f>
        <v>1</v>
      </c>
      <c r="AH93" s="111">
        <v>6</v>
      </c>
      <c r="AI93" s="112">
        <v>8.823529411764707</v>
      </c>
      <c r="AJ93" s="111">
        <v>0</v>
      </c>
      <c r="AK93" s="112">
        <v>0</v>
      </c>
      <c r="AL93" s="111">
        <v>0</v>
      </c>
      <c r="AM93" s="112">
        <v>0</v>
      </c>
      <c r="AN93" s="111">
        <v>62</v>
      </c>
      <c r="AO93" s="112">
        <v>91.17647058823529</v>
      </c>
      <c r="AP93" s="111">
        <v>68</v>
      </c>
    </row>
    <row r="94" spans="1:42" ht="15">
      <c r="A94" s="65" t="s">
        <v>283</v>
      </c>
      <c r="B94" s="65" t="s">
        <v>287</v>
      </c>
      <c r="C94" s="66" t="s">
        <v>5345</v>
      </c>
      <c r="D94" s="67">
        <v>3</v>
      </c>
      <c r="E94" s="68"/>
      <c r="F94" s="69">
        <v>40</v>
      </c>
      <c r="G94" s="66"/>
      <c r="H94" s="70"/>
      <c r="I94" s="71"/>
      <c r="J94" s="71"/>
      <c r="K94" s="35" t="s">
        <v>65</v>
      </c>
      <c r="L94" s="79">
        <v>94</v>
      </c>
      <c r="M94" s="79"/>
      <c r="N94" s="73"/>
      <c r="O94" s="81" t="s">
        <v>760</v>
      </c>
      <c r="P94" s="81" t="s">
        <v>215</v>
      </c>
      <c r="Q94" s="84" t="s">
        <v>843</v>
      </c>
      <c r="R94" s="81" t="s">
        <v>283</v>
      </c>
      <c r="S94" s="81" t="s">
        <v>1612</v>
      </c>
      <c r="T94" s="86" t="str">
        <f>HYPERLINK("http://www.youtube.com/channel/UC_sK7dhnDJWilumRU19D7NA")</f>
        <v>http://www.youtube.com/channel/UC_sK7dhnDJWilumRU19D7NA</v>
      </c>
      <c r="U94" s="81"/>
      <c r="V94" s="81" t="s">
        <v>2308</v>
      </c>
      <c r="W94" s="86" t="str">
        <f>HYPERLINK("https://www.youtube.com/watch?v=xZPSNornzmk")</f>
        <v>https://www.youtube.com/watch?v=xZPSNornzmk</v>
      </c>
      <c r="X94" s="81" t="s">
        <v>2335</v>
      </c>
      <c r="Y94" s="81">
        <v>0</v>
      </c>
      <c r="Z94" s="81" t="s">
        <v>2381</v>
      </c>
      <c r="AA94" s="81" t="s">
        <v>2381</v>
      </c>
      <c r="AB94" s="81"/>
      <c r="AC94" s="81"/>
      <c r="AD94" s="84" t="s">
        <v>2782</v>
      </c>
      <c r="AE94" s="82">
        <v>1</v>
      </c>
      <c r="AF94" s="83" t="str">
        <f>REPLACE(INDEX(GroupVertices[Group],MATCH(Edges[[#This Row],[Vertex 1]],GroupVertices[Vertex],0)),1,1,"")</f>
        <v>1</v>
      </c>
      <c r="AG94" s="83" t="str">
        <f>REPLACE(INDEX(GroupVertices[Group],MATCH(Edges[[#This Row],[Vertex 2]],GroupVertices[Vertex],0)),1,1,"")</f>
        <v>1</v>
      </c>
      <c r="AH94" s="111">
        <v>1</v>
      </c>
      <c r="AI94" s="112">
        <v>10</v>
      </c>
      <c r="AJ94" s="111">
        <v>0</v>
      </c>
      <c r="AK94" s="112">
        <v>0</v>
      </c>
      <c r="AL94" s="111">
        <v>0</v>
      </c>
      <c r="AM94" s="112">
        <v>0</v>
      </c>
      <c r="AN94" s="111">
        <v>9</v>
      </c>
      <c r="AO94" s="112">
        <v>90</v>
      </c>
      <c r="AP94" s="111">
        <v>10</v>
      </c>
    </row>
    <row r="95" spans="1:42" ht="15">
      <c r="A95" s="65" t="s">
        <v>284</v>
      </c>
      <c r="B95" s="65" t="s">
        <v>287</v>
      </c>
      <c r="C95" s="66" t="s">
        <v>5345</v>
      </c>
      <c r="D95" s="67">
        <v>3</v>
      </c>
      <c r="E95" s="68"/>
      <c r="F95" s="69">
        <v>40</v>
      </c>
      <c r="G95" s="66"/>
      <c r="H95" s="70"/>
      <c r="I95" s="71"/>
      <c r="J95" s="71"/>
      <c r="K95" s="35" t="s">
        <v>65</v>
      </c>
      <c r="L95" s="79">
        <v>95</v>
      </c>
      <c r="M95" s="79"/>
      <c r="N95" s="73"/>
      <c r="O95" s="81" t="s">
        <v>760</v>
      </c>
      <c r="P95" s="81" t="s">
        <v>215</v>
      </c>
      <c r="Q95" s="84" t="s">
        <v>844</v>
      </c>
      <c r="R95" s="81" t="s">
        <v>284</v>
      </c>
      <c r="S95" s="81" t="s">
        <v>1613</v>
      </c>
      <c r="T95" s="86" t="str">
        <f>HYPERLINK("http://www.youtube.com/channel/UChc7BnM-97wf6UKkeckiQlg")</f>
        <v>http://www.youtube.com/channel/UChc7BnM-97wf6UKkeckiQlg</v>
      </c>
      <c r="U95" s="81"/>
      <c r="V95" s="81" t="s">
        <v>2308</v>
      </c>
      <c r="W95" s="86" t="str">
        <f>HYPERLINK("https://www.youtube.com/watch?v=xZPSNornzmk")</f>
        <v>https://www.youtube.com/watch?v=xZPSNornzmk</v>
      </c>
      <c r="X95" s="81" t="s">
        <v>2335</v>
      </c>
      <c r="Y95" s="81">
        <v>0</v>
      </c>
      <c r="Z95" s="81" t="s">
        <v>2382</v>
      </c>
      <c r="AA95" s="81" t="s">
        <v>2382</v>
      </c>
      <c r="AB95" s="81"/>
      <c r="AC95" s="81"/>
      <c r="AD95" s="84" t="s">
        <v>2782</v>
      </c>
      <c r="AE95" s="82">
        <v>1</v>
      </c>
      <c r="AF95" s="83" t="str">
        <f>REPLACE(INDEX(GroupVertices[Group],MATCH(Edges[[#This Row],[Vertex 1]],GroupVertices[Vertex],0)),1,1,"")</f>
        <v>1</v>
      </c>
      <c r="AG95" s="83" t="str">
        <f>REPLACE(INDEX(GroupVertices[Group],MATCH(Edges[[#This Row],[Vertex 2]],GroupVertices[Vertex],0)),1,1,"")</f>
        <v>1</v>
      </c>
      <c r="AH95" s="111">
        <v>1</v>
      </c>
      <c r="AI95" s="112">
        <v>7.142857142857143</v>
      </c>
      <c r="AJ95" s="111">
        <v>0</v>
      </c>
      <c r="AK95" s="112">
        <v>0</v>
      </c>
      <c r="AL95" s="111">
        <v>0</v>
      </c>
      <c r="AM95" s="112">
        <v>0</v>
      </c>
      <c r="AN95" s="111">
        <v>13</v>
      </c>
      <c r="AO95" s="112">
        <v>92.85714285714286</v>
      </c>
      <c r="AP95" s="111">
        <v>14</v>
      </c>
    </row>
    <row r="96" spans="1:42" ht="15">
      <c r="A96" s="65" t="s">
        <v>285</v>
      </c>
      <c r="B96" s="65" t="s">
        <v>287</v>
      </c>
      <c r="C96" s="66" t="s">
        <v>5345</v>
      </c>
      <c r="D96" s="67">
        <v>3</v>
      </c>
      <c r="E96" s="68"/>
      <c r="F96" s="69">
        <v>40</v>
      </c>
      <c r="G96" s="66"/>
      <c r="H96" s="70"/>
      <c r="I96" s="71"/>
      <c r="J96" s="71"/>
      <c r="K96" s="35" t="s">
        <v>65</v>
      </c>
      <c r="L96" s="79">
        <v>96</v>
      </c>
      <c r="M96" s="79"/>
      <c r="N96" s="73"/>
      <c r="O96" s="81" t="s">
        <v>760</v>
      </c>
      <c r="P96" s="81" t="s">
        <v>215</v>
      </c>
      <c r="Q96" s="84" t="s">
        <v>845</v>
      </c>
      <c r="R96" s="81" t="s">
        <v>285</v>
      </c>
      <c r="S96" s="81" t="s">
        <v>1614</v>
      </c>
      <c r="T96" s="86" t="str">
        <f>HYPERLINK("http://www.youtube.com/channel/UCK3EGVMfelUkWMnyAvmmipg")</f>
        <v>http://www.youtube.com/channel/UCK3EGVMfelUkWMnyAvmmipg</v>
      </c>
      <c r="U96" s="81"/>
      <c r="V96" s="81" t="s">
        <v>2308</v>
      </c>
      <c r="W96" s="86" t="str">
        <f>HYPERLINK("https://www.youtube.com/watch?v=xZPSNornzmk")</f>
        <v>https://www.youtube.com/watch?v=xZPSNornzmk</v>
      </c>
      <c r="X96" s="81" t="s">
        <v>2335</v>
      </c>
      <c r="Y96" s="81">
        <v>0</v>
      </c>
      <c r="Z96" s="81" t="s">
        <v>2383</v>
      </c>
      <c r="AA96" s="81" t="s">
        <v>2383</v>
      </c>
      <c r="AB96" s="81"/>
      <c r="AC96" s="81"/>
      <c r="AD96" s="84" t="s">
        <v>2782</v>
      </c>
      <c r="AE96" s="82">
        <v>1</v>
      </c>
      <c r="AF96" s="83" t="str">
        <f>REPLACE(INDEX(GroupVertices[Group],MATCH(Edges[[#This Row],[Vertex 1]],GroupVertices[Vertex],0)),1,1,"")</f>
        <v>1</v>
      </c>
      <c r="AG96" s="83" t="str">
        <f>REPLACE(INDEX(GroupVertices[Group],MATCH(Edges[[#This Row],[Vertex 2]],GroupVertices[Vertex],0)),1,1,"")</f>
        <v>1</v>
      </c>
      <c r="AH96" s="111">
        <v>3</v>
      </c>
      <c r="AI96" s="112">
        <v>11.11111111111111</v>
      </c>
      <c r="AJ96" s="111">
        <v>0</v>
      </c>
      <c r="AK96" s="112">
        <v>0</v>
      </c>
      <c r="AL96" s="111">
        <v>0</v>
      </c>
      <c r="AM96" s="112">
        <v>0</v>
      </c>
      <c r="AN96" s="111">
        <v>24</v>
      </c>
      <c r="AO96" s="112">
        <v>88.88888888888889</v>
      </c>
      <c r="AP96" s="111">
        <v>27</v>
      </c>
    </row>
    <row r="97" spans="1:42" ht="15">
      <c r="A97" s="65" t="s">
        <v>286</v>
      </c>
      <c r="B97" s="65" t="s">
        <v>287</v>
      </c>
      <c r="C97" s="66" t="s">
        <v>5345</v>
      </c>
      <c r="D97" s="67">
        <v>3</v>
      </c>
      <c r="E97" s="68"/>
      <c r="F97" s="69">
        <v>40</v>
      </c>
      <c r="G97" s="66"/>
      <c r="H97" s="70"/>
      <c r="I97" s="71"/>
      <c r="J97" s="71"/>
      <c r="K97" s="35" t="s">
        <v>65</v>
      </c>
      <c r="L97" s="79">
        <v>97</v>
      </c>
      <c r="M97" s="79"/>
      <c r="N97" s="73"/>
      <c r="O97" s="81" t="s">
        <v>760</v>
      </c>
      <c r="P97" s="81" t="s">
        <v>215</v>
      </c>
      <c r="Q97" s="84" t="s">
        <v>846</v>
      </c>
      <c r="R97" s="81" t="s">
        <v>286</v>
      </c>
      <c r="S97" s="81" t="s">
        <v>1615</v>
      </c>
      <c r="T97" s="86" t="str">
        <f>HYPERLINK("http://www.youtube.com/channel/UCasRFL3j50VabkCHFMDrGyw")</f>
        <v>http://www.youtube.com/channel/UCasRFL3j50VabkCHFMDrGyw</v>
      </c>
      <c r="U97" s="81"/>
      <c r="V97" s="81" t="s">
        <v>2308</v>
      </c>
      <c r="W97" s="86" t="str">
        <f>HYPERLINK("https://www.youtube.com/watch?v=xZPSNornzmk")</f>
        <v>https://www.youtube.com/watch?v=xZPSNornzmk</v>
      </c>
      <c r="X97" s="81" t="s">
        <v>2335</v>
      </c>
      <c r="Y97" s="81">
        <v>0</v>
      </c>
      <c r="Z97" s="81" t="s">
        <v>2384</v>
      </c>
      <c r="AA97" s="81" t="s">
        <v>2384</v>
      </c>
      <c r="AB97" s="81"/>
      <c r="AC97" s="81"/>
      <c r="AD97" s="84" t="s">
        <v>2782</v>
      </c>
      <c r="AE97" s="82">
        <v>1</v>
      </c>
      <c r="AF97" s="83" t="str">
        <f>REPLACE(INDEX(GroupVertices[Group],MATCH(Edges[[#This Row],[Vertex 1]],GroupVertices[Vertex],0)),1,1,"")</f>
        <v>1</v>
      </c>
      <c r="AG97" s="83" t="str">
        <f>REPLACE(INDEX(GroupVertices[Group],MATCH(Edges[[#This Row],[Vertex 2]],GroupVertices[Vertex],0)),1,1,"")</f>
        <v>1</v>
      </c>
      <c r="AH97" s="111">
        <v>1</v>
      </c>
      <c r="AI97" s="112">
        <v>7.6923076923076925</v>
      </c>
      <c r="AJ97" s="111">
        <v>0</v>
      </c>
      <c r="AK97" s="112">
        <v>0</v>
      </c>
      <c r="AL97" s="111">
        <v>0</v>
      </c>
      <c r="AM97" s="112">
        <v>0</v>
      </c>
      <c r="AN97" s="111">
        <v>12</v>
      </c>
      <c r="AO97" s="112">
        <v>92.3076923076923</v>
      </c>
      <c r="AP97" s="111">
        <v>13</v>
      </c>
    </row>
    <row r="98" spans="1:42" ht="15">
      <c r="A98" s="65" t="s">
        <v>287</v>
      </c>
      <c r="B98" s="65" t="s">
        <v>288</v>
      </c>
      <c r="C98" s="66" t="s">
        <v>5345</v>
      </c>
      <c r="D98" s="67">
        <v>3</v>
      </c>
      <c r="E98" s="68"/>
      <c r="F98" s="69">
        <v>40</v>
      </c>
      <c r="G98" s="66"/>
      <c r="H98" s="70"/>
      <c r="I98" s="71"/>
      <c r="J98" s="71"/>
      <c r="K98" s="35" t="s">
        <v>66</v>
      </c>
      <c r="L98" s="79">
        <v>98</v>
      </c>
      <c r="M98" s="79"/>
      <c r="N98" s="73"/>
      <c r="O98" s="81" t="s">
        <v>761</v>
      </c>
      <c r="P98" s="81" t="s">
        <v>763</v>
      </c>
      <c r="Q98" s="84" t="s">
        <v>847</v>
      </c>
      <c r="R98" s="81" t="s">
        <v>287</v>
      </c>
      <c r="S98" s="81" t="s">
        <v>1616</v>
      </c>
      <c r="T98" s="86" t="str">
        <f>HYPERLINK("http://www.youtube.com/channel/UCbUhO-tut97b5IQhZ3i7TMA")</f>
        <v>http://www.youtube.com/channel/UCbUhO-tut97b5IQhZ3i7TMA</v>
      </c>
      <c r="U98" s="81" t="s">
        <v>2113</v>
      </c>
      <c r="V98" s="81" t="s">
        <v>2308</v>
      </c>
      <c r="W98" s="86" t="str">
        <f>HYPERLINK("https://www.youtube.com/watch?v=xZPSNornzmk")</f>
        <v>https://www.youtube.com/watch?v=xZPSNornzmk</v>
      </c>
      <c r="X98" s="81" t="s">
        <v>2335</v>
      </c>
      <c r="Y98" s="81">
        <v>1</v>
      </c>
      <c r="Z98" s="88">
        <v>43836.08163194444</v>
      </c>
      <c r="AA98" s="88">
        <v>43836.08163194444</v>
      </c>
      <c r="AB98" s="81"/>
      <c r="AC98" s="81"/>
      <c r="AD98" s="84" t="s">
        <v>2782</v>
      </c>
      <c r="AE98" s="82">
        <v>1</v>
      </c>
      <c r="AF98" s="83" t="str">
        <f>REPLACE(INDEX(GroupVertices[Group],MATCH(Edges[[#This Row],[Vertex 1]],GroupVertices[Vertex],0)),1,1,"")</f>
        <v>1</v>
      </c>
      <c r="AG98" s="83" t="str">
        <f>REPLACE(INDEX(GroupVertices[Group],MATCH(Edges[[#This Row],[Vertex 2]],GroupVertices[Vertex],0)),1,1,"")</f>
        <v>1</v>
      </c>
      <c r="AH98" s="111">
        <v>0</v>
      </c>
      <c r="AI98" s="112">
        <v>0</v>
      </c>
      <c r="AJ98" s="111">
        <v>0</v>
      </c>
      <c r="AK98" s="112">
        <v>0</v>
      </c>
      <c r="AL98" s="111">
        <v>0</v>
      </c>
      <c r="AM98" s="112">
        <v>0</v>
      </c>
      <c r="AN98" s="111">
        <v>8</v>
      </c>
      <c r="AO98" s="112">
        <v>100</v>
      </c>
      <c r="AP98" s="111">
        <v>8</v>
      </c>
    </row>
    <row r="99" spans="1:42" ht="15">
      <c r="A99" s="65" t="s">
        <v>288</v>
      </c>
      <c r="B99" s="65" t="s">
        <v>288</v>
      </c>
      <c r="C99" s="66" t="s">
        <v>5345</v>
      </c>
      <c r="D99" s="67">
        <v>3</v>
      </c>
      <c r="E99" s="68"/>
      <c r="F99" s="69">
        <v>40</v>
      </c>
      <c r="G99" s="66"/>
      <c r="H99" s="70"/>
      <c r="I99" s="71"/>
      <c r="J99" s="71"/>
      <c r="K99" s="35" t="s">
        <v>65</v>
      </c>
      <c r="L99" s="79">
        <v>99</v>
      </c>
      <c r="M99" s="79"/>
      <c r="N99" s="73"/>
      <c r="O99" s="81" t="s">
        <v>761</v>
      </c>
      <c r="P99" s="81" t="s">
        <v>763</v>
      </c>
      <c r="Q99" s="84" t="s">
        <v>848</v>
      </c>
      <c r="R99" s="81" t="s">
        <v>288</v>
      </c>
      <c r="S99" s="81" t="s">
        <v>1617</v>
      </c>
      <c r="T99" s="86" t="str">
        <f>HYPERLINK("http://www.youtube.com/channel/UCDeZ6HE0SS-Z-_otfYJds9w")</f>
        <v>http://www.youtube.com/channel/UCDeZ6HE0SS-Z-_otfYJds9w</v>
      </c>
      <c r="U99" s="81" t="s">
        <v>2113</v>
      </c>
      <c r="V99" s="81" t="s">
        <v>2308</v>
      </c>
      <c r="W99" s="86" t="str">
        <f>HYPERLINK("https://www.youtube.com/watch?v=xZPSNornzmk")</f>
        <v>https://www.youtube.com/watch?v=xZPSNornzmk</v>
      </c>
      <c r="X99" s="81" t="s">
        <v>2335</v>
      </c>
      <c r="Y99" s="81">
        <v>0</v>
      </c>
      <c r="Z99" s="88">
        <v>43836.50462962963</v>
      </c>
      <c r="AA99" s="88">
        <v>43836.50462962963</v>
      </c>
      <c r="AB99" s="81"/>
      <c r="AC99" s="81"/>
      <c r="AD99" s="84" t="s">
        <v>2782</v>
      </c>
      <c r="AE99" s="82">
        <v>1</v>
      </c>
      <c r="AF99" s="83" t="str">
        <f>REPLACE(INDEX(GroupVertices[Group],MATCH(Edges[[#This Row],[Vertex 1]],GroupVertices[Vertex],0)),1,1,"")</f>
        <v>1</v>
      </c>
      <c r="AG99" s="83" t="str">
        <f>REPLACE(INDEX(GroupVertices[Group],MATCH(Edges[[#This Row],[Vertex 2]],GroupVertices[Vertex],0)),1,1,"")</f>
        <v>1</v>
      </c>
      <c r="AH99" s="111">
        <v>0</v>
      </c>
      <c r="AI99" s="112">
        <v>0</v>
      </c>
      <c r="AJ99" s="111">
        <v>0</v>
      </c>
      <c r="AK99" s="112">
        <v>0</v>
      </c>
      <c r="AL99" s="111">
        <v>0</v>
      </c>
      <c r="AM99" s="112">
        <v>0</v>
      </c>
      <c r="AN99" s="111">
        <v>3</v>
      </c>
      <c r="AO99" s="112">
        <v>100</v>
      </c>
      <c r="AP99" s="111">
        <v>3</v>
      </c>
    </row>
    <row r="100" spans="1:42" ht="15">
      <c r="A100" s="65" t="s">
        <v>288</v>
      </c>
      <c r="B100" s="65" t="s">
        <v>287</v>
      </c>
      <c r="C100" s="66" t="s">
        <v>5345</v>
      </c>
      <c r="D100" s="67">
        <v>3</v>
      </c>
      <c r="E100" s="68"/>
      <c r="F100" s="69">
        <v>40</v>
      </c>
      <c r="G100" s="66"/>
      <c r="H100" s="70"/>
      <c r="I100" s="71"/>
      <c r="J100" s="71"/>
      <c r="K100" s="35" t="s">
        <v>66</v>
      </c>
      <c r="L100" s="79">
        <v>100</v>
      </c>
      <c r="M100" s="79"/>
      <c r="N100" s="73"/>
      <c r="O100" s="81" t="s">
        <v>760</v>
      </c>
      <c r="P100" s="81" t="s">
        <v>215</v>
      </c>
      <c r="Q100" s="84" t="s">
        <v>849</v>
      </c>
      <c r="R100" s="81" t="s">
        <v>288</v>
      </c>
      <c r="S100" s="81" t="s">
        <v>1617</v>
      </c>
      <c r="T100" s="86" t="str">
        <f>HYPERLINK("http://www.youtube.com/channel/UCDeZ6HE0SS-Z-_otfYJds9w")</f>
        <v>http://www.youtube.com/channel/UCDeZ6HE0SS-Z-_otfYJds9w</v>
      </c>
      <c r="U100" s="81"/>
      <c r="V100" s="81" t="s">
        <v>2308</v>
      </c>
      <c r="W100" s="86" t="str">
        <f>HYPERLINK("https://www.youtube.com/watch?v=xZPSNornzmk")</f>
        <v>https://www.youtube.com/watch?v=xZPSNornzmk</v>
      </c>
      <c r="X100" s="81" t="s">
        <v>2335</v>
      </c>
      <c r="Y100" s="81">
        <v>0</v>
      </c>
      <c r="Z100" s="81" t="s">
        <v>2385</v>
      </c>
      <c r="AA100" s="81" t="s">
        <v>2747</v>
      </c>
      <c r="AB100" s="81"/>
      <c r="AC100" s="81"/>
      <c r="AD100" s="84" t="s">
        <v>2782</v>
      </c>
      <c r="AE100" s="82">
        <v>1</v>
      </c>
      <c r="AF100" s="83" t="str">
        <f>REPLACE(INDEX(GroupVertices[Group],MATCH(Edges[[#This Row],[Vertex 1]],GroupVertices[Vertex],0)),1,1,"")</f>
        <v>1</v>
      </c>
      <c r="AG100" s="83" t="str">
        <f>REPLACE(INDEX(GroupVertices[Group],MATCH(Edges[[#This Row],[Vertex 2]],GroupVertices[Vertex],0)),1,1,"")</f>
        <v>1</v>
      </c>
      <c r="AH100" s="111">
        <v>8</v>
      </c>
      <c r="AI100" s="112">
        <v>8.421052631578947</v>
      </c>
      <c r="AJ100" s="111">
        <v>4</v>
      </c>
      <c r="AK100" s="112">
        <v>4.2105263157894735</v>
      </c>
      <c r="AL100" s="111">
        <v>0</v>
      </c>
      <c r="AM100" s="112">
        <v>0</v>
      </c>
      <c r="AN100" s="111">
        <v>83</v>
      </c>
      <c r="AO100" s="112">
        <v>87.36842105263158</v>
      </c>
      <c r="AP100" s="111">
        <v>95</v>
      </c>
    </row>
    <row r="101" spans="1:42" ht="15">
      <c r="A101" s="65" t="s">
        <v>289</v>
      </c>
      <c r="B101" s="65" t="s">
        <v>287</v>
      </c>
      <c r="C101" s="66" t="s">
        <v>5345</v>
      </c>
      <c r="D101" s="67">
        <v>3</v>
      </c>
      <c r="E101" s="68"/>
      <c r="F101" s="69">
        <v>40</v>
      </c>
      <c r="G101" s="66"/>
      <c r="H101" s="70"/>
      <c r="I101" s="71"/>
      <c r="J101" s="71"/>
      <c r="K101" s="35" t="s">
        <v>65</v>
      </c>
      <c r="L101" s="79">
        <v>101</v>
      </c>
      <c r="M101" s="79"/>
      <c r="N101" s="73"/>
      <c r="O101" s="81" t="s">
        <v>760</v>
      </c>
      <c r="P101" s="81" t="s">
        <v>215</v>
      </c>
      <c r="Q101" s="84" t="s">
        <v>850</v>
      </c>
      <c r="R101" s="81" t="s">
        <v>289</v>
      </c>
      <c r="S101" s="81" t="s">
        <v>1618</v>
      </c>
      <c r="T101" s="86" t="str">
        <f>HYPERLINK("http://www.youtube.com/channel/UCvWr2Az6LRelFYRHgwdRf9w")</f>
        <v>http://www.youtube.com/channel/UCvWr2Az6LRelFYRHgwdRf9w</v>
      </c>
      <c r="U101" s="81"/>
      <c r="V101" s="81" t="s">
        <v>2308</v>
      </c>
      <c r="W101" s="86" t="str">
        <f>HYPERLINK("https://www.youtube.com/watch?v=xZPSNornzmk")</f>
        <v>https://www.youtube.com/watch?v=xZPSNornzmk</v>
      </c>
      <c r="X101" s="81" t="s">
        <v>2335</v>
      </c>
      <c r="Y101" s="81">
        <v>0</v>
      </c>
      <c r="Z101" s="88">
        <v>43836.33802083333</v>
      </c>
      <c r="AA101" s="88">
        <v>43836.33802083333</v>
      </c>
      <c r="AB101" s="81"/>
      <c r="AC101" s="81"/>
      <c r="AD101" s="84" t="s">
        <v>2782</v>
      </c>
      <c r="AE101" s="82">
        <v>1</v>
      </c>
      <c r="AF101" s="83" t="str">
        <f>REPLACE(INDEX(GroupVertices[Group],MATCH(Edges[[#This Row],[Vertex 1]],GroupVertices[Vertex],0)),1,1,"")</f>
        <v>1</v>
      </c>
      <c r="AG101" s="83" t="str">
        <f>REPLACE(INDEX(GroupVertices[Group],MATCH(Edges[[#This Row],[Vertex 2]],GroupVertices[Vertex],0)),1,1,"")</f>
        <v>1</v>
      </c>
      <c r="AH101" s="111">
        <v>2</v>
      </c>
      <c r="AI101" s="112">
        <v>14.285714285714286</v>
      </c>
      <c r="AJ101" s="111">
        <v>0</v>
      </c>
      <c r="AK101" s="112">
        <v>0</v>
      </c>
      <c r="AL101" s="111">
        <v>0</v>
      </c>
      <c r="AM101" s="112">
        <v>0</v>
      </c>
      <c r="AN101" s="111">
        <v>12</v>
      </c>
      <c r="AO101" s="112">
        <v>85.71428571428571</v>
      </c>
      <c r="AP101" s="111">
        <v>14</v>
      </c>
    </row>
    <row r="102" spans="1:42" ht="15">
      <c r="A102" s="65" t="s">
        <v>290</v>
      </c>
      <c r="B102" s="65" t="s">
        <v>287</v>
      </c>
      <c r="C102" s="66" t="s">
        <v>5345</v>
      </c>
      <c r="D102" s="67">
        <v>3</v>
      </c>
      <c r="E102" s="68"/>
      <c r="F102" s="69">
        <v>40</v>
      </c>
      <c r="G102" s="66"/>
      <c r="H102" s="70"/>
      <c r="I102" s="71"/>
      <c r="J102" s="71"/>
      <c r="K102" s="35" t="s">
        <v>65</v>
      </c>
      <c r="L102" s="79">
        <v>102</v>
      </c>
      <c r="M102" s="79"/>
      <c r="N102" s="73"/>
      <c r="O102" s="81" t="s">
        <v>760</v>
      </c>
      <c r="P102" s="81" t="s">
        <v>215</v>
      </c>
      <c r="Q102" s="84" t="s">
        <v>851</v>
      </c>
      <c r="R102" s="81" t="s">
        <v>290</v>
      </c>
      <c r="S102" s="81" t="s">
        <v>1619</v>
      </c>
      <c r="T102" s="86" t="str">
        <f>HYPERLINK("http://www.youtube.com/channel/UCSporYyxSsMznLmirvplwJw")</f>
        <v>http://www.youtube.com/channel/UCSporYyxSsMznLmirvplwJw</v>
      </c>
      <c r="U102" s="81"/>
      <c r="V102" s="81" t="s">
        <v>2308</v>
      </c>
      <c r="W102" s="86" t="str">
        <f>HYPERLINK("https://www.youtube.com/watch?v=xZPSNornzmk")</f>
        <v>https://www.youtube.com/watch?v=xZPSNornzmk</v>
      </c>
      <c r="X102" s="81" t="s">
        <v>2335</v>
      </c>
      <c r="Y102" s="81">
        <v>0</v>
      </c>
      <c r="Z102" s="88">
        <v>43836.516180555554</v>
      </c>
      <c r="AA102" s="88">
        <v>43836.516180555554</v>
      </c>
      <c r="AB102" s="81"/>
      <c r="AC102" s="81"/>
      <c r="AD102" s="84" t="s">
        <v>2782</v>
      </c>
      <c r="AE102" s="82">
        <v>1</v>
      </c>
      <c r="AF102" s="83" t="str">
        <f>REPLACE(INDEX(GroupVertices[Group],MATCH(Edges[[#This Row],[Vertex 1]],GroupVertices[Vertex],0)),1,1,"")</f>
        <v>1</v>
      </c>
      <c r="AG102" s="83" t="str">
        <f>REPLACE(INDEX(GroupVertices[Group],MATCH(Edges[[#This Row],[Vertex 2]],GroupVertices[Vertex],0)),1,1,"")</f>
        <v>1</v>
      </c>
      <c r="AH102" s="111">
        <v>2</v>
      </c>
      <c r="AI102" s="112">
        <v>16.666666666666668</v>
      </c>
      <c r="AJ102" s="111">
        <v>0</v>
      </c>
      <c r="AK102" s="112">
        <v>0</v>
      </c>
      <c r="AL102" s="111">
        <v>0</v>
      </c>
      <c r="AM102" s="112">
        <v>0</v>
      </c>
      <c r="AN102" s="111">
        <v>10</v>
      </c>
      <c r="AO102" s="112">
        <v>83.33333333333333</v>
      </c>
      <c r="AP102" s="111">
        <v>12</v>
      </c>
    </row>
    <row r="103" spans="1:42" ht="15">
      <c r="A103" s="65" t="s">
        <v>291</v>
      </c>
      <c r="B103" s="65" t="s">
        <v>287</v>
      </c>
      <c r="C103" s="66" t="s">
        <v>5345</v>
      </c>
      <c r="D103" s="67">
        <v>3</v>
      </c>
      <c r="E103" s="68"/>
      <c r="F103" s="69">
        <v>40</v>
      </c>
      <c r="G103" s="66"/>
      <c r="H103" s="70"/>
      <c r="I103" s="71"/>
      <c r="J103" s="71"/>
      <c r="K103" s="35" t="s">
        <v>65</v>
      </c>
      <c r="L103" s="79">
        <v>103</v>
      </c>
      <c r="M103" s="79"/>
      <c r="N103" s="73"/>
      <c r="O103" s="81" t="s">
        <v>760</v>
      </c>
      <c r="P103" s="81" t="s">
        <v>215</v>
      </c>
      <c r="Q103" s="84" t="s">
        <v>852</v>
      </c>
      <c r="R103" s="81" t="s">
        <v>291</v>
      </c>
      <c r="S103" s="81" t="s">
        <v>1620</v>
      </c>
      <c r="T103" s="86" t="str">
        <f>HYPERLINK("http://www.youtube.com/channel/UCwOvzEJx5_czsWd7pHE1J9Q")</f>
        <v>http://www.youtube.com/channel/UCwOvzEJx5_czsWd7pHE1J9Q</v>
      </c>
      <c r="U103" s="81"/>
      <c r="V103" s="81" t="s">
        <v>2308</v>
      </c>
      <c r="W103" s="86" t="str">
        <f>HYPERLINK("https://www.youtube.com/watch?v=xZPSNornzmk")</f>
        <v>https://www.youtube.com/watch?v=xZPSNornzmk</v>
      </c>
      <c r="X103" s="81" t="s">
        <v>2335</v>
      </c>
      <c r="Y103" s="81">
        <v>0</v>
      </c>
      <c r="Z103" s="88">
        <v>43836.8825462963</v>
      </c>
      <c r="AA103" s="88">
        <v>43836.889236111114</v>
      </c>
      <c r="AB103" s="81"/>
      <c r="AC103" s="81"/>
      <c r="AD103" s="84" t="s">
        <v>2782</v>
      </c>
      <c r="AE103" s="82">
        <v>1</v>
      </c>
      <c r="AF103" s="83" t="str">
        <f>REPLACE(INDEX(GroupVertices[Group],MATCH(Edges[[#This Row],[Vertex 1]],GroupVertices[Vertex],0)),1,1,"")</f>
        <v>1</v>
      </c>
      <c r="AG103" s="83" t="str">
        <f>REPLACE(INDEX(GroupVertices[Group],MATCH(Edges[[#This Row],[Vertex 2]],GroupVertices[Vertex],0)),1,1,"")</f>
        <v>1</v>
      </c>
      <c r="AH103" s="111">
        <v>4</v>
      </c>
      <c r="AI103" s="112">
        <v>12.5</v>
      </c>
      <c r="AJ103" s="111">
        <v>0</v>
      </c>
      <c r="AK103" s="112">
        <v>0</v>
      </c>
      <c r="AL103" s="111">
        <v>0</v>
      </c>
      <c r="AM103" s="112">
        <v>0</v>
      </c>
      <c r="AN103" s="111">
        <v>28</v>
      </c>
      <c r="AO103" s="112">
        <v>87.5</v>
      </c>
      <c r="AP103" s="111">
        <v>32</v>
      </c>
    </row>
    <row r="104" spans="1:42" ht="15">
      <c r="A104" s="65" t="s">
        <v>292</v>
      </c>
      <c r="B104" s="65" t="s">
        <v>287</v>
      </c>
      <c r="C104" s="66" t="s">
        <v>5345</v>
      </c>
      <c r="D104" s="67">
        <v>3</v>
      </c>
      <c r="E104" s="68"/>
      <c r="F104" s="69">
        <v>40</v>
      </c>
      <c r="G104" s="66"/>
      <c r="H104" s="70"/>
      <c r="I104" s="71"/>
      <c r="J104" s="71"/>
      <c r="K104" s="35" t="s">
        <v>65</v>
      </c>
      <c r="L104" s="79">
        <v>104</v>
      </c>
      <c r="M104" s="79"/>
      <c r="N104" s="73"/>
      <c r="O104" s="81" t="s">
        <v>760</v>
      </c>
      <c r="P104" s="81" t="s">
        <v>215</v>
      </c>
      <c r="Q104" s="84" t="s">
        <v>853</v>
      </c>
      <c r="R104" s="81" t="s">
        <v>292</v>
      </c>
      <c r="S104" s="81" t="s">
        <v>1621</v>
      </c>
      <c r="T104" s="86" t="str">
        <f>HYPERLINK("http://www.youtube.com/channel/UCRBXqBiHg9FGZXG119_L6Lg")</f>
        <v>http://www.youtube.com/channel/UCRBXqBiHg9FGZXG119_L6Lg</v>
      </c>
      <c r="U104" s="81"/>
      <c r="V104" s="81" t="s">
        <v>2308</v>
      </c>
      <c r="W104" s="86" t="str">
        <f>HYPERLINK("https://www.youtube.com/watch?v=xZPSNornzmk")</f>
        <v>https://www.youtube.com/watch?v=xZPSNornzmk</v>
      </c>
      <c r="X104" s="81" t="s">
        <v>2335</v>
      </c>
      <c r="Y104" s="81">
        <v>0</v>
      </c>
      <c r="Z104" s="88">
        <v>43836.9077662037</v>
      </c>
      <c r="AA104" s="88">
        <v>43836.9077662037</v>
      </c>
      <c r="AB104" s="81"/>
      <c r="AC104" s="81"/>
      <c r="AD104" s="84" t="s">
        <v>2782</v>
      </c>
      <c r="AE104" s="82">
        <v>1</v>
      </c>
      <c r="AF104" s="83" t="str">
        <f>REPLACE(INDEX(GroupVertices[Group],MATCH(Edges[[#This Row],[Vertex 1]],GroupVertices[Vertex],0)),1,1,"")</f>
        <v>1</v>
      </c>
      <c r="AG104" s="83" t="str">
        <f>REPLACE(INDEX(GroupVertices[Group],MATCH(Edges[[#This Row],[Vertex 2]],GroupVertices[Vertex],0)),1,1,"")</f>
        <v>1</v>
      </c>
      <c r="AH104" s="111">
        <v>4</v>
      </c>
      <c r="AI104" s="112">
        <v>7.407407407407407</v>
      </c>
      <c r="AJ104" s="111">
        <v>0</v>
      </c>
      <c r="AK104" s="112">
        <v>0</v>
      </c>
      <c r="AL104" s="111">
        <v>0</v>
      </c>
      <c r="AM104" s="112">
        <v>0</v>
      </c>
      <c r="AN104" s="111">
        <v>50</v>
      </c>
      <c r="AO104" s="112">
        <v>92.5925925925926</v>
      </c>
      <c r="AP104" s="111">
        <v>54</v>
      </c>
    </row>
    <row r="105" spans="1:42" ht="15">
      <c r="A105" s="65" t="s">
        <v>293</v>
      </c>
      <c r="B105" s="65" t="s">
        <v>287</v>
      </c>
      <c r="C105" s="66" t="s">
        <v>5345</v>
      </c>
      <c r="D105" s="67">
        <v>3</v>
      </c>
      <c r="E105" s="68"/>
      <c r="F105" s="69">
        <v>40</v>
      </c>
      <c r="G105" s="66"/>
      <c r="H105" s="70"/>
      <c r="I105" s="71"/>
      <c r="J105" s="71"/>
      <c r="K105" s="35" t="s">
        <v>65</v>
      </c>
      <c r="L105" s="79">
        <v>105</v>
      </c>
      <c r="M105" s="79"/>
      <c r="N105" s="73"/>
      <c r="O105" s="81" t="s">
        <v>760</v>
      </c>
      <c r="P105" s="81" t="s">
        <v>215</v>
      </c>
      <c r="Q105" s="84" t="s">
        <v>854</v>
      </c>
      <c r="R105" s="81" t="s">
        <v>293</v>
      </c>
      <c r="S105" s="81" t="s">
        <v>1622</v>
      </c>
      <c r="T105" s="86" t="str">
        <f>HYPERLINK("http://www.youtube.com/channel/UCBoeMYCVCwfFftwIOrzdY7g")</f>
        <v>http://www.youtube.com/channel/UCBoeMYCVCwfFftwIOrzdY7g</v>
      </c>
      <c r="U105" s="81"/>
      <c r="V105" s="81" t="s">
        <v>2308</v>
      </c>
      <c r="W105" s="86" t="str">
        <f>HYPERLINK("https://www.youtube.com/watch?v=xZPSNornzmk")</f>
        <v>https://www.youtube.com/watch?v=xZPSNornzmk</v>
      </c>
      <c r="X105" s="81" t="s">
        <v>2335</v>
      </c>
      <c r="Y105" s="81">
        <v>0</v>
      </c>
      <c r="Z105" s="88">
        <v>43867.56728009259</v>
      </c>
      <c r="AA105" s="88">
        <v>43867.56728009259</v>
      </c>
      <c r="AB105" s="81"/>
      <c r="AC105" s="81"/>
      <c r="AD105" s="84" t="s">
        <v>2782</v>
      </c>
      <c r="AE105" s="82">
        <v>1</v>
      </c>
      <c r="AF105" s="83" t="str">
        <f>REPLACE(INDEX(GroupVertices[Group],MATCH(Edges[[#This Row],[Vertex 1]],GroupVertices[Vertex],0)),1,1,"")</f>
        <v>1</v>
      </c>
      <c r="AG105" s="83" t="str">
        <f>REPLACE(INDEX(GroupVertices[Group],MATCH(Edges[[#This Row],[Vertex 2]],GroupVertices[Vertex],0)),1,1,"")</f>
        <v>1</v>
      </c>
      <c r="AH105" s="111">
        <v>0</v>
      </c>
      <c r="AI105" s="112">
        <v>0</v>
      </c>
      <c r="AJ105" s="111">
        <v>0</v>
      </c>
      <c r="AK105" s="112">
        <v>0</v>
      </c>
      <c r="AL105" s="111">
        <v>0</v>
      </c>
      <c r="AM105" s="112">
        <v>0</v>
      </c>
      <c r="AN105" s="111">
        <v>11</v>
      </c>
      <c r="AO105" s="112">
        <v>100</v>
      </c>
      <c r="AP105" s="111">
        <v>11</v>
      </c>
    </row>
    <row r="106" spans="1:42" ht="15">
      <c r="A106" s="65" t="s">
        <v>294</v>
      </c>
      <c r="B106" s="65" t="s">
        <v>287</v>
      </c>
      <c r="C106" s="66" t="s">
        <v>5345</v>
      </c>
      <c r="D106" s="67">
        <v>3</v>
      </c>
      <c r="E106" s="68"/>
      <c r="F106" s="69">
        <v>40</v>
      </c>
      <c r="G106" s="66"/>
      <c r="H106" s="70"/>
      <c r="I106" s="71"/>
      <c r="J106" s="71"/>
      <c r="K106" s="35" t="s">
        <v>65</v>
      </c>
      <c r="L106" s="79">
        <v>106</v>
      </c>
      <c r="M106" s="79"/>
      <c r="N106" s="73"/>
      <c r="O106" s="81" t="s">
        <v>760</v>
      </c>
      <c r="P106" s="81" t="s">
        <v>215</v>
      </c>
      <c r="Q106" s="84" t="s">
        <v>855</v>
      </c>
      <c r="R106" s="81" t="s">
        <v>294</v>
      </c>
      <c r="S106" s="81" t="s">
        <v>1623</v>
      </c>
      <c r="T106" s="86" t="str">
        <f>HYPERLINK("http://www.youtube.com/channel/UC6FGmrJo8QpYHQnhGiboVrA")</f>
        <v>http://www.youtube.com/channel/UC6FGmrJo8QpYHQnhGiboVrA</v>
      </c>
      <c r="U106" s="81"/>
      <c r="V106" s="81" t="s">
        <v>2308</v>
      </c>
      <c r="W106" s="86" t="str">
        <f>HYPERLINK("https://www.youtube.com/watch?v=xZPSNornzmk")</f>
        <v>https://www.youtube.com/watch?v=xZPSNornzmk</v>
      </c>
      <c r="X106" s="81" t="s">
        <v>2335</v>
      </c>
      <c r="Y106" s="81">
        <v>0</v>
      </c>
      <c r="Z106" s="88">
        <v>43867.671631944446</v>
      </c>
      <c r="AA106" s="88">
        <v>43867.671631944446</v>
      </c>
      <c r="AB106" s="81"/>
      <c r="AC106" s="81"/>
      <c r="AD106" s="84" t="s">
        <v>2782</v>
      </c>
      <c r="AE106" s="82">
        <v>1</v>
      </c>
      <c r="AF106" s="83" t="str">
        <f>REPLACE(INDEX(GroupVertices[Group],MATCH(Edges[[#This Row],[Vertex 1]],GroupVertices[Vertex],0)),1,1,"")</f>
        <v>1</v>
      </c>
      <c r="AG106" s="83" t="str">
        <f>REPLACE(INDEX(GroupVertices[Group],MATCH(Edges[[#This Row],[Vertex 2]],GroupVertices[Vertex],0)),1,1,"")</f>
        <v>1</v>
      </c>
      <c r="AH106" s="111">
        <v>2</v>
      </c>
      <c r="AI106" s="112">
        <v>11.764705882352942</v>
      </c>
      <c r="AJ106" s="111">
        <v>0</v>
      </c>
      <c r="AK106" s="112">
        <v>0</v>
      </c>
      <c r="AL106" s="111">
        <v>0</v>
      </c>
      <c r="AM106" s="112">
        <v>0</v>
      </c>
      <c r="AN106" s="111">
        <v>15</v>
      </c>
      <c r="AO106" s="112">
        <v>88.23529411764706</v>
      </c>
      <c r="AP106" s="111">
        <v>17</v>
      </c>
    </row>
    <row r="107" spans="1:42" ht="15">
      <c r="A107" s="65" t="s">
        <v>295</v>
      </c>
      <c r="B107" s="65" t="s">
        <v>287</v>
      </c>
      <c r="C107" s="66" t="s">
        <v>5345</v>
      </c>
      <c r="D107" s="67">
        <v>3</v>
      </c>
      <c r="E107" s="68"/>
      <c r="F107" s="69">
        <v>40</v>
      </c>
      <c r="G107" s="66"/>
      <c r="H107" s="70"/>
      <c r="I107" s="71"/>
      <c r="J107" s="71"/>
      <c r="K107" s="35" t="s">
        <v>65</v>
      </c>
      <c r="L107" s="79">
        <v>107</v>
      </c>
      <c r="M107" s="79"/>
      <c r="N107" s="73"/>
      <c r="O107" s="81" t="s">
        <v>760</v>
      </c>
      <c r="P107" s="81" t="s">
        <v>215</v>
      </c>
      <c r="Q107" s="84" t="s">
        <v>856</v>
      </c>
      <c r="R107" s="81" t="s">
        <v>295</v>
      </c>
      <c r="S107" s="81" t="s">
        <v>1624</v>
      </c>
      <c r="T107" s="86" t="str">
        <f>HYPERLINK("http://www.youtube.com/channel/UCVenFdtes09KGZXQWlt1dhg")</f>
        <v>http://www.youtube.com/channel/UCVenFdtes09KGZXQWlt1dhg</v>
      </c>
      <c r="U107" s="81"/>
      <c r="V107" s="81" t="s">
        <v>2308</v>
      </c>
      <c r="W107" s="86" t="str">
        <f>HYPERLINK("https://www.youtube.com/watch?v=xZPSNornzmk")</f>
        <v>https://www.youtube.com/watch?v=xZPSNornzmk</v>
      </c>
      <c r="X107" s="81" t="s">
        <v>2335</v>
      </c>
      <c r="Y107" s="81">
        <v>0</v>
      </c>
      <c r="Z107" s="88">
        <v>43867.7896875</v>
      </c>
      <c r="AA107" s="88">
        <v>43867.7896875</v>
      </c>
      <c r="AB107" s="81"/>
      <c r="AC107" s="81"/>
      <c r="AD107" s="84" t="s">
        <v>2782</v>
      </c>
      <c r="AE107" s="82">
        <v>1</v>
      </c>
      <c r="AF107" s="83" t="str">
        <f>REPLACE(INDEX(GroupVertices[Group],MATCH(Edges[[#This Row],[Vertex 1]],GroupVertices[Vertex],0)),1,1,"")</f>
        <v>1</v>
      </c>
      <c r="AG107" s="83" t="str">
        <f>REPLACE(INDEX(GroupVertices[Group],MATCH(Edges[[#This Row],[Vertex 2]],GroupVertices[Vertex],0)),1,1,"")</f>
        <v>1</v>
      </c>
      <c r="AH107" s="111">
        <v>4</v>
      </c>
      <c r="AI107" s="112">
        <v>26.666666666666668</v>
      </c>
      <c r="AJ107" s="111">
        <v>0</v>
      </c>
      <c r="AK107" s="112">
        <v>0</v>
      </c>
      <c r="AL107" s="111">
        <v>0</v>
      </c>
      <c r="AM107" s="112">
        <v>0</v>
      </c>
      <c r="AN107" s="111">
        <v>11</v>
      </c>
      <c r="AO107" s="112">
        <v>73.33333333333333</v>
      </c>
      <c r="AP107" s="111">
        <v>15</v>
      </c>
    </row>
    <row r="108" spans="1:42" ht="15">
      <c r="A108" s="65" t="s">
        <v>296</v>
      </c>
      <c r="B108" s="65" t="s">
        <v>287</v>
      </c>
      <c r="C108" s="66" t="s">
        <v>5345</v>
      </c>
      <c r="D108" s="67">
        <v>3</v>
      </c>
      <c r="E108" s="68"/>
      <c r="F108" s="69">
        <v>40</v>
      </c>
      <c r="G108" s="66"/>
      <c r="H108" s="70"/>
      <c r="I108" s="71"/>
      <c r="J108" s="71"/>
      <c r="K108" s="35" t="s">
        <v>65</v>
      </c>
      <c r="L108" s="79">
        <v>108</v>
      </c>
      <c r="M108" s="79"/>
      <c r="N108" s="73"/>
      <c r="O108" s="81" t="s">
        <v>760</v>
      </c>
      <c r="P108" s="81" t="s">
        <v>215</v>
      </c>
      <c r="Q108" s="84" t="s">
        <v>857</v>
      </c>
      <c r="R108" s="81" t="s">
        <v>296</v>
      </c>
      <c r="S108" s="81" t="s">
        <v>1625</v>
      </c>
      <c r="T108" s="86" t="str">
        <f>HYPERLINK("http://www.youtube.com/channel/UCvtyaiU7OgNdyAaMOfmzF0w")</f>
        <v>http://www.youtube.com/channel/UCvtyaiU7OgNdyAaMOfmzF0w</v>
      </c>
      <c r="U108" s="81"/>
      <c r="V108" s="81" t="s">
        <v>2308</v>
      </c>
      <c r="W108" s="86" t="str">
        <f>HYPERLINK("https://www.youtube.com/watch?v=xZPSNornzmk")</f>
        <v>https://www.youtube.com/watch?v=xZPSNornzmk</v>
      </c>
      <c r="X108" s="81" t="s">
        <v>2335</v>
      </c>
      <c r="Y108" s="81">
        <v>0</v>
      </c>
      <c r="Z108" s="88">
        <v>43957.21418981482</v>
      </c>
      <c r="AA108" s="88">
        <v>43957.21570601852</v>
      </c>
      <c r="AB108" s="81"/>
      <c r="AC108" s="81"/>
      <c r="AD108" s="84" t="s">
        <v>2782</v>
      </c>
      <c r="AE108" s="82">
        <v>1</v>
      </c>
      <c r="AF108" s="83" t="str">
        <f>REPLACE(INDEX(GroupVertices[Group],MATCH(Edges[[#This Row],[Vertex 1]],GroupVertices[Vertex],0)),1,1,"")</f>
        <v>1</v>
      </c>
      <c r="AG108" s="83" t="str">
        <f>REPLACE(INDEX(GroupVertices[Group],MATCH(Edges[[#This Row],[Vertex 2]],GroupVertices[Vertex],0)),1,1,"")</f>
        <v>1</v>
      </c>
      <c r="AH108" s="111">
        <v>10</v>
      </c>
      <c r="AI108" s="112">
        <v>18.181818181818183</v>
      </c>
      <c r="AJ108" s="111">
        <v>2</v>
      </c>
      <c r="AK108" s="112">
        <v>3.6363636363636362</v>
      </c>
      <c r="AL108" s="111">
        <v>0</v>
      </c>
      <c r="AM108" s="112">
        <v>0</v>
      </c>
      <c r="AN108" s="111">
        <v>43</v>
      </c>
      <c r="AO108" s="112">
        <v>78.18181818181819</v>
      </c>
      <c r="AP108" s="111">
        <v>55</v>
      </c>
    </row>
    <row r="109" spans="1:42" ht="15">
      <c r="A109" s="65" t="s">
        <v>297</v>
      </c>
      <c r="B109" s="65" t="s">
        <v>287</v>
      </c>
      <c r="C109" s="66" t="s">
        <v>5345</v>
      </c>
      <c r="D109" s="67">
        <v>3</v>
      </c>
      <c r="E109" s="68"/>
      <c r="F109" s="69">
        <v>40</v>
      </c>
      <c r="G109" s="66"/>
      <c r="H109" s="70"/>
      <c r="I109" s="71"/>
      <c r="J109" s="71"/>
      <c r="K109" s="35" t="s">
        <v>65</v>
      </c>
      <c r="L109" s="79">
        <v>109</v>
      </c>
      <c r="M109" s="79"/>
      <c r="N109" s="73"/>
      <c r="O109" s="81" t="s">
        <v>760</v>
      </c>
      <c r="P109" s="81" t="s">
        <v>215</v>
      </c>
      <c r="Q109" s="84" t="s">
        <v>858</v>
      </c>
      <c r="R109" s="81" t="s">
        <v>297</v>
      </c>
      <c r="S109" s="81" t="s">
        <v>1626</v>
      </c>
      <c r="T109" s="86" t="str">
        <f>HYPERLINK("http://www.youtube.com/channel/UC4bD2x-P1Ytc8GW3ud1_zCQ")</f>
        <v>http://www.youtube.com/channel/UC4bD2x-P1Ytc8GW3ud1_zCQ</v>
      </c>
      <c r="U109" s="81"/>
      <c r="V109" s="81" t="s">
        <v>2308</v>
      </c>
      <c r="W109" s="86" t="str">
        <f>HYPERLINK("https://www.youtube.com/watch?v=xZPSNornzmk")</f>
        <v>https://www.youtube.com/watch?v=xZPSNornzmk</v>
      </c>
      <c r="X109" s="81" t="s">
        <v>2335</v>
      </c>
      <c r="Y109" s="81">
        <v>0</v>
      </c>
      <c r="Z109" s="88">
        <v>43988.974386574075</v>
      </c>
      <c r="AA109" s="88">
        <v>43988.974386574075</v>
      </c>
      <c r="AB109" s="81"/>
      <c r="AC109" s="81"/>
      <c r="AD109" s="84" t="s">
        <v>2782</v>
      </c>
      <c r="AE109" s="82">
        <v>1</v>
      </c>
      <c r="AF109" s="83" t="str">
        <f>REPLACE(INDEX(GroupVertices[Group],MATCH(Edges[[#This Row],[Vertex 1]],GroupVertices[Vertex],0)),1,1,"")</f>
        <v>1</v>
      </c>
      <c r="AG109" s="83" t="str">
        <f>REPLACE(INDEX(GroupVertices[Group],MATCH(Edges[[#This Row],[Vertex 2]],GroupVertices[Vertex],0)),1,1,"")</f>
        <v>1</v>
      </c>
      <c r="AH109" s="111">
        <v>2</v>
      </c>
      <c r="AI109" s="112">
        <v>6.896551724137931</v>
      </c>
      <c r="AJ109" s="111">
        <v>0</v>
      </c>
      <c r="AK109" s="112">
        <v>0</v>
      </c>
      <c r="AL109" s="111">
        <v>0</v>
      </c>
      <c r="AM109" s="112">
        <v>0</v>
      </c>
      <c r="AN109" s="111">
        <v>27</v>
      </c>
      <c r="AO109" s="112">
        <v>93.10344827586206</v>
      </c>
      <c r="AP109" s="111">
        <v>29</v>
      </c>
    </row>
    <row r="110" spans="1:42" ht="15">
      <c r="A110" s="65" t="s">
        <v>298</v>
      </c>
      <c r="B110" s="65" t="s">
        <v>287</v>
      </c>
      <c r="C110" s="66" t="s">
        <v>5345</v>
      </c>
      <c r="D110" s="67">
        <v>3</v>
      </c>
      <c r="E110" s="68"/>
      <c r="F110" s="69">
        <v>40</v>
      </c>
      <c r="G110" s="66"/>
      <c r="H110" s="70"/>
      <c r="I110" s="71"/>
      <c r="J110" s="71"/>
      <c r="K110" s="35" t="s">
        <v>65</v>
      </c>
      <c r="L110" s="79">
        <v>110</v>
      </c>
      <c r="M110" s="79"/>
      <c r="N110" s="73"/>
      <c r="O110" s="81" t="s">
        <v>760</v>
      </c>
      <c r="P110" s="81" t="s">
        <v>215</v>
      </c>
      <c r="Q110" s="84" t="s">
        <v>859</v>
      </c>
      <c r="R110" s="81" t="s">
        <v>298</v>
      </c>
      <c r="S110" s="81" t="s">
        <v>1627</v>
      </c>
      <c r="T110" s="86" t="str">
        <f>HYPERLINK("http://www.youtube.com/channel/UCgzeJtnw7ZrCBCMKSKJtDYA")</f>
        <v>http://www.youtube.com/channel/UCgzeJtnw7ZrCBCMKSKJtDYA</v>
      </c>
      <c r="U110" s="81"/>
      <c r="V110" s="81" t="s">
        <v>2308</v>
      </c>
      <c r="W110" s="86" t="str">
        <f>HYPERLINK("https://www.youtube.com/watch?v=xZPSNornzmk")</f>
        <v>https://www.youtube.com/watch?v=xZPSNornzmk</v>
      </c>
      <c r="X110" s="81" t="s">
        <v>2335</v>
      </c>
      <c r="Y110" s="81">
        <v>0</v>
      </c>
      <c r="Z110" s="81" t="s">
        <v>2386</v>
      </c>
      <c r="AA110" s="81" t="s">
        <v>2386</v>
      </c>
      <c r="AB110" s="81"/>
      <c r="AC110" s="81"/>
      <c r="AD110" s="84" t="s">
        <v>2782</v>
      </c>
      <c r="AE110" s="82">
        <v>1</v>
      </c>
      <c r="AF110" s="83" t="str">
        <f>REPLACE(INDEX(GroupVertices[Group],MATCH(Edges[[#This Row],[Vertex 1]],GroupVertices[Vertex],0)),1,1,"")</f>
        <v>1</v>
      </c>
      <c r="AG110" s="83" t="str">
        <f>REPLACE(INDEX(GroupVertices[Group],MATCH(Edges[[#This Row],[Vertex 2]],GroupVertices[Vertex],0)),1,1,"")</f>
        <v>1</v>
      </c>
      <c r="AH110" s="111">
        <v>1</v>
      </c>
      <c r="AI110" s="112">
        <v>6.25</v>
      </c>
      <c r="AJ110" s="111">
        <v>0</v>
      </c>
      <c r="AK110" s="112">
        <v>0</v>
      </c>
      <c r="AL110" s="111">
        <v>0</v>
      </c>
      <c r="AM110" s="112">
        <v>0</v>
      </c>
      <c r="AN110" s="111">
        <v>15</v>
      </c>
      <c r="AO110" s="112">
        <v>93.75</v>
      </c>
      <c r="AP110" s="111">
        <v>16</v>
      </c>
    </row>
    <row r="111" spans="1:42" ht="15">
      <c r="A111" s="65" t="s">
        <v>299</v>
      </c>
      <c r="B111" s="65" t="s">
        <v>287</v>
      </c>
      <c r="C111" s="66" t="s">
        <v>5346</v>
      </c>
      <c r="D111" s="67">
        <v>10</v>
      </c>
      <c r="E111" s="68"/>
      <c r="F111" s="69">
        <v>15</v>
      </c>
      <c r="G111" s="66"/>
      <c r="H111" s="70"/>
      <c r="I111" s="71"/>
      <c r="J111" s="71"/>
      <c r="K111" s="35" t="s">
        <v>66</v>
      </c>
      <c r="L111" s="79">
        <v>111</v>
      </c>
      <c r="M111" s="79"/>
      <c r="N111" s="73"/>
      <c r="O111" s="81" t="s">
        <v>760</v>
      </c>
      <c r="P111" s="81" t="s">
        <v>215</v>
      </c>
      <c r="Q111" s="84" t="s">
        <v>860</v>
      </c>
      <c r="R111" s="81" t="s">
        <v>299</v>
      </c>
      <c r="S111" s="81" t="s">
        <v>1628</v>
      </c>
      <c r="T111" s="86" t="str">
        <f>HYPERLINK("http://www.youtube.com/channel/UCOLOVs7HBYRbMIMiD7L3FpA")</f>
        <v>http://www.youtube.com/channel/UCOLOVs7HBYRbMIMiD7L3FpA</v>
      </c>
      <c r="U111" s="81"/>
      <c r="V111" s="81" t="s">
        <v>2308</v>
      </c>
      <c r="W111" s="86" t="str">
        <f>HYPERLINK("https://www.youtube.com/watch?v=xZPSNornzmk")</f>
        <v>https://www.youtube.com/watch?v=xZPSNornzmk</v>
      </c>
      <c r="X111" s="81" t="s">
        <v>2335</v>
      </c>
      <c r="Y111" s="81">
        <v>1</v>
      </c>
      <c r="Z111" s="81" t="s">
        <v>2387</v>
      </c>
      <c r="AA111" s="81" t="s">
        <v>2387</v>
      </c>
      <c r="AB111" s="81"/>
      <c r="AC111" s="81"/>
      <c r="AD111" s="84" t="s">
        <v>2782</v>
      </c>
      <c r="AE111" s="82">
        <v>2</v>
      </c>
      <c r="AF111" s="83" t="str">
        <f>REPLACE(INDEX(GroupVertices[Group],MATCH(Edges[[#This Row],[Vertex 1]],GroupVertices[Vertex],0)),1,1,"")</f>
        <v>1</v>
      </c>
      <c r="AG111" s="83" t="str">
        <f>REPLACE(INDEX(GroupVertices[Group],MATCH(Edges[[#This Row],[Vertex 2]],GroupVertices[Vertex],0)),1,1,"")</f>
        <v>1</v>
      </c>
      <c r="AH111" s="111">
        <v>5</v>
      </c>
      <c r="AI111" s="112">
        <v>5.555555555555555</v>
      </c>
      <c r="AJ111" s="111">
        <v>1</v>
      </c>
      <c r="AK111" s="112">
        <v>1.1111111111111112</v>
      </c>
      <c r="AL111" s="111">
        <v>0</v>
      </c>
      <c r="AM111" s="112">
        <v>0</v>
      </c>
      <c r="AN111" s="111">
        <v>84</v>
      </c>
      <c r="AO111" s="112">
        <v>93.33333333333333</v>
      </c>
      <c r="AP111" s="111">
        <v>90</v>
      </c>
    </row>
    <row r="112" spans="1:42" ht="15">
      <c r="A112" s="65" t="s">
        <v>287</v>
      </c>
      <c r="B112" s="65" t="s">
        <v>299</v>
      </c>
      <c r="C112" s="66" t="s">
        <v>5345</v>
      </c>
      <c r="D112" s="67">
        <v>3</v>
      </c>
      <c r="E112" s="68"/>
      <c r="F112" s="69">
        <v>40</v>
      </c>
      <c r="G112" s="66"/>
      <c r="H112" s="70"/>
      <c r="I112" s="71"/>
      <c r="J112" s="71"/>
      <c r="K112" s="35" t="s">
        <v>66</v>
      </c>
      <c r="L112" s="79">
        <v>112</v>
      </c>
      <c r="M112" s="79"/>
      <c r="N112" s="73"/>
      <c r="O112" s="81" t="s">
        <v>761</v>
      </c>
      <c r="P112" s="81" t="s">
        <v>763</v>
      </c>
      <c r="Q112" s="84" t="s">
        <v>861</v>
      </c>
      <c r="R112" s="81" t="s">
        <v>287</v>
      </c>
      <c r="S112" s="81" t="s">
        <v>1616</v>
      </c>
      <c r="T112" s="86" t="str">
        <f>HYPERLINK("http://www.youtube.com/channel/UCbUhO-tut97b5IQhZ3i7TMA")</f>
        <v>http://www.youtube.com/channel/UCbUhO-tut97b5IQhZ3i7TMA</v>
      </c>
      <c r="U112" s="81" t="s">
        <v>2114</v>
      </c>
      <c r="V112" s="81" t="s">
        <v>2308</v>
      </c>
      <c r="W112" s="86" t="str">
        <f>HYPERLINK("https://www.youtube.com/watch?v=xZPSNornzmk")</f>
        <v>https://www.youtube.com/watch?v=xZPSNornzmk</v>
      </c>
      <c r="X112" s="81" t="s">
        <v>2335</v>
      </c>
      <c r="Y112" s="81">
        <v>0</v>
      </c>
      <c r="Z112" s="81" t="s">
        <v>2388</v>
      </c>
      <c r="AA112" s="81" t="s">
        <v>2388</v>
      </c>
      <c r="AB112" s="81"/>
      <c r="AC112" s="81"/>
      <c r="AD112" s="84" t="s">
        <v>2782</v>
      </c>
      <c r="AE112" s="82">
        <v>1</v>
      </c>
      <c r="AF112" s="83" t="str">
        <f>REPLACE(INDEX(GroupVertices[Group],MATCH(Edges[[#This Row],[Vertex 1]],GroupVertices[Vertex],0)),1,1,"")</f>
        <v>1</v>
      </c>
      <c r="AG112" s="83" t="str">
        <f>REPLACE(INDEX(GroupVertices[Group],MATCH(Edges[[#This Row],[Vertex 2]],GroupVertices[Vertex],0)),1,1,"")</f>
        <v>1</v>
      </c>
      <c r="AH112" s="111">
        <v>0</v>
      </c>
      <c r="AI112" s="112">
        <v>0</v>
      </c>
      <c r="AJ112" s="111">
        <v>0</v>
      </c>
      <c r="AK112" s="112">
        <v>0</v>
      </c>
      <c r="AL112" s="111">
        <v>0</v>
      </c>
      <c r="AM112" s="112">
        <v>0</v>
      </c>
      <c r="AN112" s="111">
        <v>3</v>
      </c>
      <c r="AO112" s="112">
        <v>100</v>
      </c>
      <c r="AP112" s="111">
        <v>3</v>
      </c>
    </row>
    <row r="113" spans="1:42" ht="15">
      <c r="A113" s="65" t="s">
        <v>299</v>
      </c>
      <c r="B113" s="65" t="s">
        <v>287</v>
      </c>
      <c r="C113" s="66" t="s">
        <v>5346</v>
      </c>
      <c r="D113" s="67">
        <v>10</v>
      </c>
      <c r="E113" s="68"/>
      <c r="F113" s="69">
        <v>15</v>
      </c>
      <c r="G113" s="66"/>
      <c r="H113" s="70"/>
      <c r="I113" s="71"/>
      <c r="J113" s="71"/>
      <c r="K113" s="35" t="s">
        <v>66</v>
      </c>
      <c r="L113" s="79">
        <v>113</v>
      </c>
      <c r="M113" s="79"/>
      <c r="N113" s="73"/>
      <c r="O113" s="81" t="s">
        <v>760</v>
      </c>
      <c r="P113" s="81" t="s">
        <v>215</v>
      </c>
      <c r="Q113" s="84" t="s">
        <v>862</v>
      </c>
      <c r="R113" s="81" t="s">
        <v>299</v>
      </c>
      <c r="S113" s="81" t="s">
        <v>1628</v>
      </c>
      <c r="T113" s="86" t="str">
        <f>HYPERLINK("http://www.youtube.com/channel/UCOLOVs7HBYRbMIMiD7L3FpA")</f>
        <v>http://www.youtube.com/channel/UCOLOVs7HBYRbMIMiD7L3FpA</v>
      </c>
      <c r="U113" s="81"/>
      <c r="V113" s="81" t="s">
        <v>2308</v>
      </c>
      <c r="W113" s="86" t="str">
        <f>HYPERLINK("https://www.youtube.com/watch?v=xZPSNornzmk")</f>
        <v>https://www.youtube.com/watch?v=xZPSNornzmk</v>
      </c>
      <c r="X113" s="81" t="s">
        <v>2335</v>
      </c>
      <c r="Y113" s="81">
        <v>0</v>
      </c>
      <c r="Z113" s="81" t="s">
        <v>2389</v>
      </c>
      <c r="AA113" s="81" t="s">
        <v>2389</v>
      </c>
      <c r="AB113" s="81"/>
      <c r="AC113" s="81"/>
      <c r="AD113" s="84" t="s">
        <v>2782</v>
      </c>
      <c r="AE113" s="82">
        <v>2</v>
      </c>
      <c r="AF113" s="83" t="str">
        <f>REPLACE(INDEX(GroupVertices[Group],MATCH(Edges[[#This Row],[Vertex 1]],GroupVertices[Vertex],0)),1,1,"")</f>
        <v>1</v>
      </c>
      <c r="AG113" s="83" t="str">
        <f>REPLACE(INDEX(GroupVertices[Group],MATCH(Edges[[#This Row],[Vertex 2]],GroupVertices[Vertex],0)),1,1,"")</f>
        <v>1</v>
      </c>
      <c r="AH113" s="111">
        <v>0</v>
      </c>
      <c r="AI113" s="112">
        <v>0</v>
      </c>
      <c r="AJ113" s="111">
        <v>3</v>
      </c>
      <c r="AK113" s="112">
        <v>9.090909090909092</v>
      </c>
      <c r="AL113" s="111">
        <v>0</v>
      </c>
      <c r="AM113" s="112">
        <v>0</v>
      </c>
      <c r="AN113" s="111">
        <v>30</v>
      </c>
      <c r="AO113" s="112">
        <v>90.9090909090909</v>
      </c>
      <c r="AP113" s="111">
        <v>33</v>
      </c>
    </row>
    <row r="114" spans="1:42" ht="15">
      <c r="A114" s="65" t="s">
        <v>300</v>
      </c>
      <c r="B114" s="65" t="s">
        <v>287</v>
      </c>
      <c r="C114" s="66" t="s">
        <v>5345</v>
      </c>
      <c r="D114" s="67">
        <v>3</v>
      </c>
      <c r="E114" s="68"/>
      <c r="F114" s="69">
        <v>40</v>
      </c>
      <c r="G114" s="66"/>
      <c r="H114" s="70"/>
      <c r="I114" s="71"/>
      <c r="J114" s="71"/>
      <c r="K114" s="35" t="s">
        <v>65</v>
      </c>
      <c r="L114" s="79">
        <v>114</v>
      </c>
      <c r="M114" s="79"/>
      <c r="N114" s="73"/>
      <c r="O114" s="81" t="s">
        <v>760</v>
      </c>
      <c r="P114" s="81" t="s">
        <v>215</v>
      </c>
      <c r="Q114" s="84" t="s">
        <v>863</v>
      </c>
      <c r="R114" s="81" t="s">
        <v>300</v>
      </c>
      <c r="S114" s="81" t="s">
        <v>1629</v>
      </c>
      <c r="T114" s="86" t="str">
        <f>HYPERLINK("http://www.youtube.com/channel/UCqvZ6Vaa888e_GpL6fpxl3Q")</f>
        <v>http://www.youtube.com/channel/UCqvZ6Vaa888e_GpL6fpxl3Q</v>
      </c>
      <c r="U114" s="81"/>
      <c r="V114" s="81" t="s">
        <v>2308</v>
      </c>
      <c r="W114" s="86" t="str">
        <f>HYPERLINK("https://www.youtube.com/watch?v=xZPSNornzmk")</f>
        <v>https://www.youtube.com/watch?v=xZPSNornzmk</v>
      </c>
      <c r="X114" s="81" t="s">
        <v>2335</v>
      </c>
      <c r="Y114" s="81">
        <v>0</v>
      </c>
      <c r="Z114" s="81" t="s">
        <v>2390</v>
      </c>
      <c r="AA114" s="81" t="s">
        <v>2390</v>
      </c>
      <c r="AB114" s="81"/>
      <c r="AC114" s="81"/>
      <c r="AD114" s="84" t="s">
        <v>2782</v>
      </c>
      <c r="AE114" s="82">
        <v>1</v>
      </c>
      <c r="AF114" s="83" t="str">
        <f>REPLACE(INDEX(GroupVertices[Group],MATCH(Edges[[#This Row],[Vertex 1]],GroupVertices[Vertex],0)),1,1,"")</f>
        <v>1</v>
      </c>
      <c r="AG114" s="83" t="str">
        <f>REPLACE(INDEX(GroupVertices[Group],MATCH(Edges[[#This Row],[Vertex 2]],GroupVertices[Vertex],0)),1,1,"")</f>
        <v>1</v>
      </c>
      <c r="AH114" s="111">
        <v>2</v>
      </c>
      <c r="AI114" s="112">
        <v>4.3478260869565215</v>
      </c>
      <c r="AJ114" s="111">
        <v>0</v>
      </c>
      <c r="AK114" s="112">
        <v>0</v>
      </c>
      <c r="AL114" s="111">
        <v>0</v>
      </c>
      <c r="AM114" s="112">
        <v>0</v>
      </c>
      <c r="AN114" s="111">
        <v>44</v>
      </c>
      <c r="AO114" s="112">
        <v>95.65217391304348</v>
      </c>
      <c r="AP114" s="111">
        <v>46</v>
      </c>
    </row>
    <row r="115" spans="1:42" ht="15">
      <c r="A115" s="65" t="s">
        <v>301</v>
      </c>
      <c r="B115" s="65" t="s">
        <v>287</v>
      </c>
      <c r="C115" s="66" t="s">
        <v>5345</v>
      </c>
      <c r="D115" s="67">
        <v>3</v>
      </c>
      <c r="E115" s="68"/>
      <c r="F115" s="69">
        <v>40</v>
      </c>
      <c r="G115" s="66"/>
      <c r="H115" s="70"/>
      <c r="I115" s="71"/>
      <c r="J115" s="71"/>
      <c r="K115" s="35" t="s">
        <v>65</v>
      </c>
      <c r="L115" s="79">
        <v>115</v>
      </c>
      <c r="M115" s="79"/>
      <c r="N115" s="73"/>
      <c r="O115" s="81" t="s">
        <v>760</v>
      </c>
      <c r="P115" s="81" t="s">
        <v>215</v>
      </c>
      <c r="Q115" s="84" t="s">
        <v>864</v>
      </c>
      <c r="R115" s="81" t="s">
        <v>301</v>
      </c>
      <c r="S115" s="81" t="s">
        <v>1630</v>
      </c>
      <c r="T115" s="86" t="str">
        <f>HYPERLINK("http://www.youtube.com/channel/UCnwulj1jIA909cJ3VVg3o1A")</f>
        <v>http://www.youtube.com/channel/UCnwulj1jIA909cJ3VVg3o1A</v>
      </c>
      <c r="U115" s="81"/>
      <c r="V115" s="81" t="s">
        <v>2308</v>
      </c>
      <c r="W115" s="86" t="str">
        <f>HYPERLINK("https://www.youtube.com/watch?v=xZPSNornzmk")</f>
        <v>https://www.youtube.com/watch?v=xZPSNornzmk</v>
      </c>
      <c r="X115" s="81" t="s">
        <v>2335</v>
      </c>
      <c r="Y115" s="81">
        <v>0</v>
      </c>
      <c r="Z115" s="81" t="s">
        <v>2391</v>
      </c>
      <c r="AA115" s="81" t="s">
        <v>2391</v>
      </c>
      <c r="AB115" s="81"/>
      <c r="AC115" s="81"/>
      <c r="AD115" s="84" t="s">
        <v>2782</v>
      </c>
      <c r="AE115" s="82">
        <v>1</v>
      </c>
      <c r="AF115" s="83" t="str">
        <f>REPLACE(INDEX(GroupVertices[Group],MATCH(Edges[[#This Row],[Vertex 1]],GroupVertices[Vertex],0)),1,1,"")</f>
        <v>1</v>
      </c>
      <c r="AG115" s="83" t="str">
        <f>REPLACE(INDEX(GroupVertices[Group],MATCH(Edges[[#This Row],[Vertex 2]],GroupVertices[Vertex],0)),1,1,"")</f>
        <v>1</v>
      </c>
      <c r="AH115" s="111">
        <v>0</v>
      </c>
      <c r="AI115" s="112">
        <v>0</v>
      </c>
      <c r="AJ115" s="111">
        <v>4</v>
      </c>
      <c r="AK115" s="112">
        <v>12.121212121212121</v>
      </c>
      <c r="AL115" s="111">
        <v>0</v>
      </c>
      <c r="AM115" s="112">
        <v>0</v>
      </c>
      <c r="AN115" s="111">
        <v>29</v>
      </c>
      <c r="AO115" s="112">
        <v>87.87878787878788</v>
      </c>
      <c r="AP115" s="111">
        <v>33</v>
      </c>
    </row>
    <row r="116" spans="1:42" ht="15">
      <c r="A116" s="65" t="s">
        <v>302</v>
      </c>
      <c r="B116" s="65" t="s">
        <v>287</v>
      </c>
      <c r="C116" s="66" t="s">
        <v>5345</v>
      </c>
      <c r="D116" s="67">
        <v>3</v>
      </c>
      <c r="E116" s="68"/>
      <c r="F116" s="69">
        <v>40</v>
      </c>
      <c r="G116" s="66"/>
      <c r="H116" s="70"/>
      <c r="I116" s="71"/>
      <c r="J116" s="71"/>
      <c r="K116" s="35" t="s">
        <v>65</v>
      </c>
      <c r="L116" s="79">
        <v>116</v>
      </c>
      <c r="M116" s="79"/>
      <c r="N116" s="73"/>
      <c r="O116" s="81" t="s">
        <v>760</v>
      </c>
      <c r="P116" s="81" t="s">
        <v>215</v>
      </c>
      <c r="Q116" s="84" t="s">
        <v>865</v>
      </c>
      <c r="R116" s="81" t="s">
        <v>302</v>
      </c>
      <c r="S116" s="81" t="s">
        <v>1631</v>
      </c>
      <c r="T116" s="86" t="str">
        <f>HYPERLINK("http://www.youtube.com/channel/UCkefMmtdrJyP-C7Ad6NrLFg")</f>
        <v>http://www.youtube.com/channel/UCkefMmtdrJyP-C7Ad6NrLFg</v>
      </c>
      <c r="U116" s="81"/>
      <c r="V116" s="81" t="s">
        <v>2308</v>
      </c>
      <c r="W116" s="86" t="str">
        <f>HYPERLINK("https://www.youtube.com/watch?v=xZPSNornzmk")</f>
        <v>https://www.youtube.com/watch?v=xZPSNornzmk</v>
      </c>
      <c r="X116" s="81" t="s">
        <v>2335</v>
      </c>
      <c r="Y116" s="81">
        <v>0</v>
      </c>
      <c r="Z116" s="81" t="s">
        <v>2392</v>
      </c>
      <c r="AA116" s="81" t="s">
        <v>2392</v>
      </c>
      <c r="AB116" s="81"/>
      <c r="AC116" s="81"/>
      <c r="AD116" s="84" t="s">
        <v>2782</v>
      </c>
      <c r="AE116" s="82">
        <v>1</v>
      </c>
      <c r="AF116" s="83" t="str">
        <f>REPLACE(INDEX(GroupVertices[Group],MATCH(Edges[[#This Row],[Vertex 1]],GroupVertices[Vertex],0)),1,1,"")</f>
        <v>1</v>
      </c>
      <c r="AG116" s="83" t="str">
        <f>REPLACE(INDEX(GroupVertices[Group],MATCH(Edges[[#This Row],[Vertex 2]],GroupVertices[Vertex],0)),1,1,"")</f>
        <v>1</v>
      </c>
      <c r="AH116" s="111">
        <v>0</v>
      </c>
      <c r="AI116" s="112">
        <v>0</v>
      </c>
      <c r="AJ116" s="111">
        <v>0</v>
      </c>
      <c r="AK116" s="112">
        <v>0</v>
      </c>
      <c r="AL116" s="111">
        <v>0</v>
      </c>
      <c r="AM116" s="112">
        <v>0</v>
      </c>
      <c r="AN116" s="111">
        <v>5</v>
      </c>
      <c r="AO116" s="112">
        <v>100</v>
      </c>
      <c r="AP116" s="111">
        <v>5</v>
      </c>
    </row>
    <row r="117" spans="1:42" ht="15">
      <c r="A117" s="65" t="s">
        <v>303</v>
      </c>
      <c r="B117" s="65" t="s">
        <v>287</v>
      </c>
      <c r="C117" s="66" t="s">
        <v>5345</v>
      </c>
      <c r="D117" s="67">
        <v>3</v>
      </c>
      <c r="E117" s="68"/>
      <c r="F117" s="69">
        <v>40</v>
      </c>
      <c r="G117" s="66"/>
      <c r="H117" s="70"/>
      <c r="I117" s="71"/>
      <c r="J117" s="71"/>
      <c r="K117" s="35" t="s">
        <v>65</v>
      </c>
      <c r="L117" s="79">
        <v>117</v>
      </c>
      <c r="M117" s="79"/>
      <c r="N117" s="73"/>
      <c r="O117" s="81" t="s">
        <v>760</v>
      </c>
      <c r="P117" s="81" t="s">
        <v>215</v>
      </c>
      <c r="Q117" s="84" t="s">
        <v>866</v>
      </c>
      <c r="R117" s="81" t="s">
        <v>303</v>
      </c>
      <c r="S117" s="81" t="s">
        <v>1632</v>
      </c>
      <c r="T117" s="86" t="str">
        <f>HYPERLINK("http://www.youtube.com/channel/UCLRGTuXc8ciIjEdKBIDhubw")</f>
        <v>http://www.youtube.com/channel/UCLRGTuXc8ciIjEdKBIDhubw</v>
      </c>
      <c r="U117" s="81"/>
      <c r="V117" s="81" t="s">
        <v>2308</v>
      </c>
      <c r="W117" s="86" t="str">
        <f>HYPERLINK("https://www.youtube.com/watch?v=xZPSNornzmk")</f>
        <v>https://www.youtube.com/watch?v=xZPSNornzmk</v>
      </c>
      <c r="X117" s="81" t="s">
        <v>2335</v>
      </c>
      <c r="Y117" s="81">
        <v>0</v>
      </c>
      <c r="Z117" s="88">
        <v>43897.761828703704</v>
      </c>
      <c r="AA117" s="88">
        <v>43897.761828703704</v>
      </c>
      <c r="AB117" s="81" t="s">
        <v>2759</v>
      </c>
      <c r="AC117" s="81" t="s">
        <v>2772</v>
      </c>
      <c r="AD117" s="84" t="s">
        <v>2782</v>
      </c>
      <c r="AE117" s="82">
        <v>1</v>
      </c>
      <c r="AF117" s="83" t="str">
        <f>REPLACE(INDEX(GroupVertices[Group],MATCH(Edges[[#This Row],[Vertex 1]],GroupVertices[Vertex],0)),1,1,"")</f>
        <v>1</v>
      </c>
      <c r="AG117" s="83" t="str">
        <f>REPLACE(INDEX(GroupVertices[Group],MATCH(Edges[[#This Row],[Vertex 2]],GroupVertices[Vertex],0)),1,1,"")</f>
        <v>1</v>
      </c>
      <c r="AH117" s="111">
        <v>0</v>
      </c>
      <c r="AI117" s="112">
        <v>0</v>
      </c>
      <c r="AJ117" s="111">
        <v>0</v>
      </c>
      <c r="AK117" s="112">
        <v>0</v>
      </c>
      <c r="AL117" s="111">
        <v>0</v>
      </c>
      <c r="AM117" s="112">
        <v>0</v>
      </c>
      <c r="AN117" s="111">
        <v>17</v>
      </c>
      <c r="AO117" s="112">
        <v>100</v>
      </c>
      <c r="AP117" s="111">
        <v>17</v>
      </c>
    </row>
    <row r="118" spans="1:42" ht="15">
      <c r="A118" s="65" t="s">
        <v>304</v>
      </c>
      <c r="B118" s="65" t="s">
        <v>287</v>
      </c>
      <c r="C118" s="66" t="s">
        <v>5345</v>
      </c>
      <c r="D118" s="67">
        <v>3</v>
      </c>
      <c r="E118" s="68"/>
      <c r="F118" s="69">
        <v>40</v>
      </c>
      <c r="G118" s="66"/>
      <c r="H118" s="70"/>
      <c r="I118" s="71"/>
      <c r="J118" s="71"/>
      <c r="K118" s="35" t="s">
        <v>65</v>
      </c>
      <c r="L118" s="79">
        <v>118</v>
      </c>
      <c r="M118" s="79"/>
      <c r="N118" s="73"/>
      <c r="O118" s="81" t="s">
        <v>760</v>
      </c>
      <c r="P118" s="81" t="s">
        <v>215</v>
      </c>
      <c r="Q118" s="84" t="s">
        <v>867</v>
      </c>
      <c r="R118" s="81" t="s">
        <v>304</v>
      </c>
      <c r="S118" s="81" t="s">
        <v>1633</v>
      </c>
      <c r="T118" s="86" t="str">
        <f>HYPERLINK("http://www.youtube.com/channel/UCFbSWcllroKXQnzTpSOakvw")</f>
        <v>http://www.youtube.com/channel/UCFbSWcllroKXQnzTpSOakvw</v>
      </c>
      <c r="U118" s="81"/>
      <c r="V118" s="81" t="s">
        <v>2308</v>
      </c>
      <c r="W118" s="86" t="str">
        <f>HYPERLINK("https://www.youtube.com/watch?v=xZPSNornzmk")</f>
        <v>https://www.youtube.com/watch?v=xZPSNornzmk</v>
      </c>
      <c r="X118" s="81" t="s">
        <v>2335</v>
      </c>
      <c r="Y118" s="81">
        <v>0</v>
      </c>
      <c r="Z118" s="88">
        <v>43958.31045138889</v>
      </c>
      <c r="AA118" s="88">
        <v>43958.31045138889</v>
      </c>
      <c r="AB118" s="81"/>
      <c r="AC118" s="81"/>
      <c r="AD118" s="84" t="s">
        <v>2782</v>
      </c>
      <c r="AE118" s="82">
        <v>1</v>
      </c>
      <c r="AF118" s="83" t="str">
        <f>REPLACE(INDEX(GroupVertices[Group],MATCH(Edges[[#This Row],[Vertex 1]],GroupVertices[Vertex],0)),1,1,"")</f>
        <v>1</v>
      </c>
      <c r="AG118" s="83" t="str">
        <f>REPLACE(INDEX(GroupVertices[Group],MATCH(Edges[[#This Row],[Vertex 2]],GroupVertices[Vertex],0)),1,1,"")</f>
        <v>1</v>
      </c>
      <c r="AH118" s="111">
        <v>1</v>
      </c>
      <c r="AI118" s="112">
        <v>5.2631578947368425</v>
      </c>
      <c r="AJ118" s="111">
        <v>1</v>
      </c>
      <c r="AK118" s="112">
        <v>5.2631578947368425</v>
      </c>
      <c r="AL118" s="111">
        <v>0</v>
      </c>
      <c r="AM118" s="112">
        <v>0</v>
      </c>
      <c r="AN118" s="111">
        <v>17</v>
      </c>
      <c r="AO118" s="112">
        <v>89.47368421052632</v>
      </c>
      <c r="AP118" s="111">
        <v>19</v>
      </c>
    </row>
    <row r="119" spans="1:42" ht="15">
      <c r="A119" s="65" t="s">
        <v>305</v>
      </c>
      <c r="B119" s="65" t="s">
        <v>287</v>
      </c>
      <c r="C119" s="66" t="s">
        <v>5345</v>
      </c>
      <c r="D119" s="67">
        <v>3</v>
      </c>
      <c r="E119" s="68"/>
      <c r="F119" s="69">
        <v>40</v>
      </c>
      <c r="G119" s="66"/>
      <c r="H119" s="70"/>
      <c r="I119" s="71"/>
      <c r="J119" s="71"/>
      <c r="K119" s="35" t="s">
        <v>65</v>
      </c>
      <c r="L119" s="79">
        <v>119</v>
      </c>
      <c r="M119" s="79"/>
      <c r="N119" s="73"/>
      <c r="O119" s="81" t="s">
        <v>760</v>
      </c>
      <c r="P119" s="81" t="s">
        <v>215</v>
      </c>
      <c r="Q119" s="84" t="s">
        <v>868</v>
      </c>
      <c r="R119" s="81" t="s">
        <v>305</v>
      </c>
      <c r="S119" s="81" t="s">
        <v>1634</v>
      </c>
      <c r="T119" s="86" t="str">
        <f>HYPERLINK("http://www.youtube.com/channel/UCO-JgfhMmVsLNl0Sa_MByyw")</f>
        <v>http://www.youtube.com/channel/UCO-JgfhMmVsLNl0Sa_MByyw</v>
      </c>
      <c r="U119" s="81"/>
      <c r="V119" s="81" t="s">
        <v>2308</v>
      </c>
      <c r="W119" s="86" t="str">
        <f>HYPERLINK("https://www.youtube.com/watch?v=xZPSNornzmk")</f>
        <v>https://www.youtube.com/watch?v=xZPSNornzmk</v>
      </c>
      <c r="X119" s="81" t="s">
        <v>2335</v>
      </c>
      <c r="Y119" s="81">
        <v>0</v>
      </c>
      <c r="Z119" s="88">
        <v>43989.62300925926</v>
      </c>
      <c r="AA119" s="88">
        <v>43989.62300925926</v>
      </c>
      <c r="AB119" s="81"/>
      <c r="AC119" s="81"/>
      <c r="AD119" s="84" t="s">
        <v>2782</v>
      </c>
      <c r="AE119" s="82">
        <v>1</v>
      </c>
      <c r="AF119" s="83" t="str">
        <f>REPLACE(INDEX(GroupVertices[Group],MATCH(Edges[[#This Row],[Vertex 1]],GroupVertices[Vertex],0)),1,1,"")</f>
        <v>1</v>
      </c>
      <c r="AG119" s="83" t="str">
        <f>REPLACE(INDEX(GroupVertices[Group],MATCH(Edges[[#This Row],[Vertex 2]],GroupVertices[Vertex],0)),1,1,"")</f>
        <v>1</v>
      </c>
      <c r="AH119" s="111">
        <v>5</v>
      </c>
      <c r="AI119" s="112">
        <v>12.5</v>
      </c>
      <c r="AJ119" s="111">
        <v>0</v>
      </c>
      <c r="AK119" s="112">
        <v>0</v>
      </c>
      <c r="AL119" s="111">
        <v>0</v>
      </c>
      <c r="AM119" s="112">
        <v>0</v>
      </c>
      <c r="AN119" s="111">
        <v>35</v>
      </c>
      <c r="AO119" s="112">
        <v>87.5</v>
      </c>
      <c r="AP119" s="111">
        <v>40</v>
      </c>
    </row>
    <row r="120" spans="1:42" ht="15">
      <c r="A120" s="65" t="s">
        <v>306</v>
      </c>
      <c r="B120" s="65" t="s">
        <v>287</v>
      </c>
      <c r="C120" s="66" t="s">
        <v>5345</v>
      </c>
      <c r="D120" s="67">
        <v>3</v>
      </c>
      <c r="E120" s="68"/>
      <c r="F120" s="69">
        <v>40</v>
      </c>
      <c r="G120" s="66"/>
      <c r="H120" s="70"/>
      <c r="I120" s="71"/>
      <c r="J120" s="71"/>
      <c r="K120" s="35" t="s">
        <v>65</v>
      </c>
      <c r="L120" s="79">
        <v>120</v>
      </c>
      <c r="M120" s="79"/>
      <c r="N120" s="73"/>
      <c r="O120" s="81" t="s">
        <v>760</v>
      </c>
      <c r="P120" s="81" t="s">
        <v>215</v>
      </c>
      <c r="Q120" s="84" t="s">
        <v>869</v>
      </c>
      <c r="R120" s="81" t="s">
        <v>306</v>
      </c>
      <c r="S120" s="81" t="s">
        <v>1635</v>
      </c>
      <c r="T120" s="86" t="str">
        <f>HYPERLINK("http://www.youtube.com/channel/UCXNtFWiCBAQ5otAp0xj-ulw")</f>
        <v>http://www.youtube.com/channel/UCXNtFWiCBAQ5otAp0xj-ulw</v>
      </c>
      <c r="U120" s="81"/>
      <c r="V120" s="81" t="s">
        <v>2308</v>
      </c>
      <c r="W120" s="86" t="str">
        <f>HYPERLINK("https://www.youtube.com/watch?v=xZPSNornzmk")</f>
        <v>https://www.youtube.com/watch?v=xZPSNornzmk</v>
      </c>
      <c r="X120" s="81" t="s">
        <v>2335</v>
      </c>
      <c r="Y120" s="81">
        <v>0</v>
      </c>
      <c r="Z120" s="88">
        <v>43838.73951388889</v>
      </c>
      <c r="AA120" s="88">
        <v>43838.73951388889</v>
      </c>
      <c r="AB120" s="81" t="s">
        <v>2760</v>
      </c>
      <c r="AC120" s="81" t="s">
        <v>2773</v>
      </c>
      <c r="AD120" s="84" t="s">
        <v>2782</v>
      </c>
      <c r="AE120" s="82">
        <v>1</v>
      </c>
      <c r="AF120" s="83" t="str">
        <f>REPLACE(INDEX(GroupVertices[Group],MATCH(Edges[[#This Row],[Vertex 1]],GroupVertices[Vertex],0)),1,1,"")</f>
        <v>1</v>
      </c>
      <c r="AG120" s="83" t="str">
        <f>REPLACE(INDEX(GroupVertices[Group],MATCH(Edges[[#This Row],[Vertex 2]],GroupVertices[Vertex],0)),1,1,"")</f>
        <v>1</v>
      </c>
      <c r="AH120" s="111">
        <v>0</v>
      </c>
      <c r="AI120" s="112">
        <v>0</v>
      </c>
      <c r="AJ120" s="111">
        <v>0</v>
      </c>
      <c r="AK120" s="112">
        <v>0</v>
      </c>
      <c r="AL120" s="111">
        <v>0</v>
      </c>
      <c r="AM120" s="112">
        <v>0</v>
      </c>
      <c r="AN120" s="111">
        <v>58</v>
      </c>
      <c r="AO120" s="112">
        <v>100</v>
      </c>
      <c r="AP120" s="111">
        <v>58</v>
      </c>
    </row>
    <row r="121" spans="1:42" ht="15">
      <c r="A121" s="65" t="s">
        <v>307</v>
      </c>
      <c r="B121" s="65" t="s">
        <v>287</v>
      </c>
      <c r="C121" s="66" t="s">
        <v>5345</v>
      </c>
      <c r="D121" s="67">
        <v>3</v>
      </c>
      <c r="E121" s="68"/>
      <c r="F121" s="69">
        <v>40</v>
      </c>
      <c r="G121" s="66"/>
      <c r="H121" s="70"/>
      <c r="I121" s="71"/>
      <c r="J121" s="71"/>
      <c r="K121" s="35" t="s">
        <v>65</v>
      </c>
      <c r="L121" s="79">
        <v>121</v>
      </c>
      <c r="M121" s="79"/>
      <c r="N121" s="73"/>
      <c r="O121" s="81" t="s">
        <v>760</v>
      </c>
      <c r="P121" s="81" t="s">
        <v>215</v>
      </c>
      <c r="Q121" s="84" t="s">
        <v>870</v>
      </c>
      <c r="R121" s="81" t="s">
        <v>307</v>
      </c>
      <c r="S121" s="81" t="s">
        <v>1636</v>
      </c>
      <c r="T121" s="86" t="str">
        <f>HYPERLINK("http://www.youtube.com/channel/UCIE4eUMkEJAK3QS6GaRIHmQ")</f>
        <v>http://www.youtube.com/channel/UCIE4eUMkEJAK3QS6GaRIHmQ</v>
      </c>
      <c r="U121" s="81"/>
      <c r="V121" s="81" t="s">
        <v>2308</v>
      </c>
      <c r="W121" s="86" t="str">
        <f>HYPERLINK("https://www.youtube.com/watch?v=xZPSNornzmk")</f>
        <v>https://www.youtube.com/watch?v=xZPSNornzmk</v>
      </c>
      <c r="X121" s="81" t="s">
        <v>2335</v>
      </c>
      <c r="Y121" s="81">
        <v>0</v>
      </c>
      <c r="Z121" s="81" t="s">
        <v>2393</v>
      </c>
      <c r="AA121" s="81" t="s">
        <v>2393</v>
      </c>
      <c r="AB121" s="81"/>
      <c r="AC121" s="81"/>
      <c r="AD121" s="84" t="s">
        <v>2782</v>
      </c>
      <c r="AE121" s="82">
        <v>1</v>
      </c>
      <c r="AF121" s="83" t="str">
        <f>REPLACE(INDEX(GroupVertices[Group],MATCH(Edges[[#This Row],[Vertex 1]],GroupVertices[Vertex],0)),1,1,"")</f>
        <v>1</v>
      </c>
      <c r="AG121" s="83" t="str">
        <f>REPLACE(INDEX(GroupVertices[Group],MATCH(Edges[[#This Row],[Vertex 2]],GroupVertices[Vertex],0)),1,1,"")</f>
        <v>1</v>
      </c>
      <c r="AH121" s="111">
        <v>0</v>
      </c>
      <c r="AI121" s="112">
        <v>0</v>
      </c>
      <c r="AJ121" s="111">
        <v>0</v>
      </c>
      <c r="AK121" s="112">
        <v>0</v>
      </c>
      <c r="AL121" s="111">
        <v>0</v>
      </c>
      <c r="AM121" s="112">
        <v>0</v>
      </c>
      <c r="AN121" s="111">
        <v>3</v>
      </c>
      <c r="AO121" s="112">
        <v>100</v>
      </c>
      <c r="AP121" s="111">
        <v>3</v>
      </c>
    </row>
    <row r="122" spans="1:42" ht="15">
      <c r="A122" s="65" t="s">
        <v>308</v>
      </c>
      <c r="B122" s="65" t="s">
        <v>287</v>
      </c>
      <c r="C122" s="66" t="s">
        <v>5346</v>
      </c>
      <c r="D122" s="67">
        <v>10</v>
      </c>
      <c r="E122" s="68"/>
      <c r="F122" s="69">
        <v>15</v>
      </c>
      <c r="G122" s="66"/>
      <c r="H122" s="70"/>
      <c r="I122" s="71"/>
      <c r="J122" s="71"/>
      <c r="K122" s="35" t="s">
        <v>65</v>
      </c>
      <c r="L122" s="79">
        <v>122</v>
      </c>
      <c r="M122" s="79"/>
      <c r="N122" s="73"/>
      <c r="O122" s="81" t="s">
        <v>760</v>
      </c>
      <c r="P122" s="81" t="s">
        <v>215</v>
      </c>
      <c r="Q122" s="84" t="s">
        <v>871</v>
      </c>
      <c r="R122" s="81" t="s">
        <v>308</v>
      </c>
      <c r="S122" s="81" t="s">
        <v>1637</v>
      </c>
      <c r="T122" s="86" t="str">
        <f>HYPERLINK("http://www.youtube.com/channel/UCk6d5gH6fxBQioxom4botkg")</f>
        <v>http://www.youtube.com/channel/UCk6d5gH6fxBQioxom4botkg</v>
      </c>
      <c r="U122" s="81"/>
      <c r="V122" s="81" t="s">
        <v>2308</v>
      </c>
      <c r="W122" s="86" t="str">
        <f>HYPERLINK("https://www.youtube.com/watch?v=xZPSNornzmk")</f>
        <v>https://www.youtube.com/watch?v=xZPSNornzmk</v>
      </c>
      <c r="X122" s="81" t="s">
        <v>2335</v>
      </c>
      <c r="Y122" s="81">
        <v>0</v>
      </c>
      <c r="Z122" s="81" t="s">
        <v>2394</v>
      </c>
      <c r="AA122" s="81" t="s">
        <v>2394</v>
      </c>
      <c r="AB122" s="81"/>
      <c r="AC122" s="81"/>
      <c r="AD122" s="84" t="s">
        <v>2782</v>
      </c>
      <c r="AE122" s="82">
        <v>2</v>
      </c>
      <c r="AF122" s="83" t="str">
        <f>REPLACE(INDEX(GroupVertices[Group],MATCH(Edges[[#This Row],[Vertex 1]],GroupVertices[Vertex],0)),1,1,"")</f>
        <v>1</v>
      </c>
      <c r="AG122" s="83" t="str">
        <f>REPLACE(INDEX(GroupVertices[Group],MATCH(Edges[[#This Row],[Vertex 2]],GroupVertices[Vertex],0)),1,1,"")</f>
        <v>1</v>
      </c>
      <c r="AH122" s="111">
        <v>0</v>
      </c>
      <c r="AI122" s="112">
        <v>0</v>
      </c>
      <c r="AJ122" s="111">
        <v>1</v>
      </c>
      <c r="AK122" s="112">
        <v>4.166666666666667</v>
      </c>
      <c r="AL122" s="111">
        <v>0</v>
      </c>
      <c r="AM122" s="112">
        <v>0</v>
      </c>
      <c r="AN122" s="111">
        <v>23</v>
      </c>
      <c r="AO122" s="112">
        <v>95.83333333333333</v>
      </c>
      <c r="AP122" s="111">
        <v>24</v>
      </c>
    </row>
    <row r="123" spans="1:42" ht="15">
      <c r="A123" s="65" t="s">
        <v>308</v>
      </c>
      <c r="B123" s="65" t="s">
        <v>287</v>
      </c>
      <c r="C123" s="66" t="s">
        <v>5346</v>
      </c>
      <c r="D123" s="67">
        <v>10</v>
      </c>
      <c r="E123" s="68"/>
      <c r="F123" s="69">
        <v>15</v>
      </c>
      <c r="G123" s="66"/>
      <c r="H123" s="70"/>
      <c r="I123" s="71"/>
      <c r="J123" s="71"/>
      <c r="K123" s="35" t="s">
        <v>65</v>
      </c>
      <c r="L123" s="79">
        <v>123</v>
      </c>
      <c r="M123" s="79"/>
      <c r="N123" s="73"/>
      <c r="O123" s="81" t="s">
        <v>760</v>
      </c>
      <c r="P123" s="81" t="s">
        <v>215</v>
      </c>
      <c r="Q123" s="84" t="s">
        <v>872</v>
      </c>
      <c r="R123" s="81" t="s">
        <v>308</v>
      </c>
      <c r="S123" s="81" t="s">
        <v>1637</v>
      </c>
      <c r="T123" s="86" t="str">
        <f>HYPERLINK("http://www.youtube.com/channel/UCk6d5gH6fxBQioxom4botkg")</f>
        <v>http://www.youtube.com/channel/UCk6d5gH6fxBQioxom4botkg</v>
      </c>
      <c r="U123" s="81"/>
      <c r="V123" s="81" t="s">
        <v>2308</v>
      </c>
      <c r="W123" s="86" t="str">
        <f>HYPERLINK("https://www.youtube.com/watch?v=xZPSNornzmk")</f>
        <v>https://www.youtube.com/watch?v=xZPSNornzmk</v>
      </c>
      <c r="X123" s="81" t="s">
        <v>2335</v>
      </c>
      <c r="Y123" s="81">
        <v>0</v>
      </c>
      <c r="Z123" s="81" t="s">
        <v>2395</v>
      </c>
      <c r="AA123" s="81" t="s">
        <v>2395</v>
      </c>
      <c r="AB123" s="81"/>
      <c r="AC123" s="81"/>
      <c r="AD123" s="84" t="s">
        <v>2782</v>
      </c>
      <c r="AE123" s="82">
        <v>2</v>
      </c>
      <c r="AF123" s="83" t="str">
        <f>REPLACE(INDEX(GroupVertices[Group],MATCH(Edges[[#This Row],[Vertex 1]],GroupVertices[Vertex],0)),1,1,"")</f>
        <v>1</v>
      </c>
      <c r="AG123" s="83" t="str">
        <f>REPLACE(INDEX(GroupVertices[Group],MATCH(Edges[[#This Row],[Vertex 2]],GroupVertices[Vertex],0)),1,1,"")</f>
        <v>1</v>
      </c>
      <c r="AH123" s="111">
        <v>1</v>
      </c>
      <c r="AI123" s="112">
        <v>7.142857142857143</v>
      </c>
      <c r="AJ123" s="111">
        <v>0</v>
      </c>
      <c r="AK123" s="112">
        <v>0</v>
      </c>
      <c r="AL123" s="111">
        <v>0</v>
      </c>
      <c r="AM123" s="112">
        <v>0</v>
      </c>
      <c r="AN123" s="111">
        <v>13</v>
      </c>
      <c r="AO123" s="112">
        <v>92.85714285714286</v>
      </c>
      <c r="AP123" s="111">
        <v>14</v>
      </c>
    </row>
    <row r="124" spans="1:42" ht="15">
      <c r="A124" s="65" t="s">
        <v>309</v>
      </c>
      <c r="B124" s="65" t="s">
        <v>287</v>
      </c>
      <c r="C124" s="66" t="s">
        <v>5345</v>
      </c>
      <c r="D124" s="67">
        <v>3</v>
      </c>
      <c r="E124" s="68"/>
      <c r="F124" s="69">
        <v>40</v>
      </c>
      <c r="G124" s="66"/>
      <c r="H124" s="70"/>
      <c r="I124" s="71"/>
      <c r="J124" s="71"/>
      <c r="K124" s="35" t="s">
        <v>65</v>
      </c>
      <c r="L124" s="79">
        <v>124</v>
      </c>
      <c r="M124" s="79"/>
      <c r="N124" s="73"/>
      <c r="O124" s="81" t="s">
        <v>760</v>
      </c>
      <c r="P124" s="81" t="s">
        <v>215</v>
      </c>
      <c r="Q124" s="84" t="s">
        <v>873</v>
      </c>
      <c r="R124" s="81" t="s">
        <v>309</v>
      </c>
      <c r="S124" s="81" t="s">
        <v>1638</v>
      </c>
      <c r="T124" s="86" t="str">
        <f>HYPERLINK("http://www.youtube.com/channel/UC-Od6L4roEo7XHz7QqNCoGQ")</f>
        <v>http://www.youtube.com/channel/UC-Od6L4roEo7XHz7QqNCoGQ</v>
      </c>
      <c r="U124" s="81"/>
      <c r="V124" s="81" t="s">
        <v>2308</v>
      </c>
      <c r="W124" s="86" t="str">
        <f>HYPERLINK("https://www.youtube.com/watch?v=xZPSNornzmk")</f>
        <v>https://www.youtube.com/watch?v=xZPSNornzmk</v>
      </c>
      <c r="X124" s="81" t="s">
        <v>2335</v>
      </c>
      <c r="Y124" s="81">
        <v>0</v>
      </c>
      <c r="Z124" s="88">
        <v>44443.466886574075</v>
      </c>
      <c r="AA124" s="88">
        <v>44443.466886574075</v>
      </c>
      <c r="AB124" s="81"/>
      <c r="AC124" s="81"/>
      <c r="AD124" s="84" t="s">
        <v>2782</v>
      </c>
      <c r="AE124" s="82">
        <v>1</v>
      </c>
      <c r="AF124" s="83" t="str">
        <f>REPLACE(INDEX(GroupVertices[Group],MATCH(Edges[[#This Row],[Vertex 1]],GroupVertices[Vertex],0)),1,1,"")</f>
        <v>1</v>
      </c>
      <c r="AG124" s="83" t="str">
        <f>REPLACE(INDEX(GroupVertices[Group],MATCH(Edges[[#This Row],[Vertex 2]],GroupVertices[Vertex],0)),1,1,"")</f>
        <v>1</v>
      </c>
      <c r="AH124" s="111">
        <v>3</v>
      </c>
      <c r="AI124" s="112">
        <v>8.823529411764707</v>
      </c>
      <c r="AJ124" s="111">
        <v>0</v>
      </c>
      <c r="AK124" s="112">
        <v>0</v>
      </c>
      <c r="AL124" s="111">
        <v>0</v>
      </c>
      <c r="AM124" s="112">
        <v>0</v>
      </c>
      <c r="AN124" s="111">
        <v>31</v>
      </c>
      <c r="AO124" s="112">
        <v>91.17647058823529</v>
      </c>
      <c r="AP124" s="111">
        <v>34</v>
      </c>
    </row>
    <row r="125" spans="1:42" ht="15">
      <c r="A125" s="65" t="s">
        <v>310</v>
      </c>
      <c r="B125" s="65" t="s">
        <v>750</v>
      </c>
      <c r="C125" s="66" t="s">
        <v>5345</v>
      </c>
      <c r="D125" s="67">
        <v>3</v>
      </c>
      <c r="E125" s="68"/>
      <c r="F125" s="69">
        <v>40</v>
      </c>
      <c r="G125" s="66"/>
      <c r="H125" s="70"/>
      <c r="I125" s="71"/>
      <c r="J125" s="71"/>
      <c r="K125" s="35" t="s">
        <v>65</v>
      </c>
      <c r="L125" s="79">
        <v>125</v>
      </c>
      <c r="M125" s="79"/>
      <c r="N125" s="73"/>
      <c r="O125" s="81" t="s">
        <v>760</v>
      </c>
      <c r="P125" s="81" t="s">
        <v>215</v>
      </c>
      <c r="Q125" s="84" t="s">
        <v>874</v>
      </c>
      <c r="R125" s="81" t="s">
        <v>310</v>
      </c>
      <c r="S125" s="81" t="s">
        <v>1639</v>
      </c>
      <c r="T125" s="86" t="str">
        <f>HYPERLINK("http://www.youtube.com/channel/UCaZU_VNXJa9GSxkI8zfF_bQ")</f>
        <v>http://www.youtube.com/channel/UCaZU_VNXJa9GSxkI8zfF_bQ</v>
      </c>
      <c r="U125" s="81"/>
      <c r="V125" s="81" t="s">
        <v>2309</v>
      </c>
      <c r="W125" s="86" t="str">
        <f>HYPERLINK("https://www.youtube.com/watch?v=1inpqIvABKc")</f>
        <v>https://www.youtube.com/watch?v=1inpqIvABKc</v>
      </c>
      <c r="X125" s="81" t="s">
        <v>2335</v>
      </c>
      <c r="Y125" s="81">
        <v>0</v>
      </c>
      <c r="Z125" s="88">
        <v>43900.982395833336</v>
      </c>
      <c r="AA125" s="88">
        <v>43900.982395833336</v>
      </c>
      <c r="AB125" s="81"/>
      <c r="AC125" s="81"/>
      <c r="AD125" s="84" t="s">
        <v>2782</v>
      </c>
      <c r="AE125" s="82">
        <v>1</v>
      </c>
      <c r="AF125" s="83" t="str">
        <f>REPLACE(INDEX(GroupVertices[Group],MATCH(Edges[[#This Row],[Vertex 1]],GroupVertices[Vertex],0)),1,1,"")</f>
        <v>2</v>
      </c>
      <c r="AG125" s="83" t="str">
        <f>REPLACE(INDEX(GroupVertices[Group],MATCH(Edges[[#This Row],[Vertex 2]],GroupVertices[Vertex],0)),1,1,"")</f>
        <v>2</v>
      </c>
      <c r="AH125" s="111">
        <v>0</v>
      </c>
      <c r="AI125" s="112">
        <v>0</v>
      </c>
      <c r="AJ125" s="111">
        <v>0</v>
      </c>
      <c r="AK125" s="112">
        <v>0</v>
      </c>
      <c r="AL125" s="111">
        <v>0</v>
      </c>
      <c r="AM125" s="112">
        <v>0</v>
      </c>
      <c r="AN125" s="111">
        <v>7</v>
      </c>
      <c r="AO125" s="112">
        <v>100</v>
      </c>
      <c r="AP125" s="111">
        <v>7</v>
      </c>
    </row>
    <row r="126" spans="1:42" ht="15">
      <c r="A126" s="65" t="s">
        <v>311</v>
      </c>
      <c r="B126" s="65" t="s">
        <v>750</v>
      </c>
      <c r="C126" s="66" t="s">
        <v>5345</v>
      </c>
      <c r="D126" s="67">
        <v>3</v>
      </c>
      <c r="E126" s="68"/>
      <c r="F126" s="69">
        <v>40</v>
      </c>
      <c r="G126" s="66"/>
      <c r="H126" s="70"/>
      <c r="I126" s="71"/>
      <c r="J126" s="71"/>
      <c r="K126" s="35" t="s">
        <v>65</v>
      </c>
      <c r="L126" s="79">
        <v>126</v>
      </c>
      <c r="M126" s="79"/>
      <c r="N126" s="73"/>
      <c r="O126" s="81" t="s">
        <v>760</v>
      </c>
      <c r="P126" s="81" t="s">
        <v>215</v>
      </c>
      <c r="Q126" s="84" t="s">
        <v>875</v>
      </c>
      <c r="R126" s="81" t="s">
        <v>311</v>
      </c>
      <c r="S126" s="81" t="s">
        <v>1640</v>
      </c>
      <c r="T126" s="86" t="str">
        <f>HYPERLINK("http://www.youtube.com/channel/UCL1ld4KXrnzFjPbvrtKIaLA")</f>
        <v>http://www.youtube.com/channel/UCL1ld4KXrnzFjPbvrtKIaLA</v>
      </c>
      <c r="U126" s="81"/>
      <c r="V126" s="81" t="s">
        <v>2309</v>
      </c>
      <c r="W126" s="86" t="str">
        <f>HYPERLINK("https://www.youtube.com/watch?v=1inpqIvABKc")</f>
        <v>https://www.youtube.com/watch?v=1inpqIvABKc</v>
      </c>
      <c r="X126" s="81" t="s">
        <v>2335</v>
      </c>
      <c r="Y126" s="81">
        <v>0</v>
      </c>
      <c r="Z126" s="88">
        <v>43900.98550925926</v>
      </c>
      <c r="AA126" s="88">
        <v>43900.98550925926</v>
      </c>
      <c r="AB126" s="81"/>
      <c r="AC126" s="81"/>
      <c r="AD126" s="84" t="s">
        <v>2782</v>
      </c>
      <c r="AE126" s="82">
        <v>1</v>
      </c>
      <c r="AF126" s="83" t="str">
        <f>REPLACE(INDEX(GroupVertices[Group],MATCH(Edges[[#This Row],[Vertex 1]],GroupVertices[Vertex],0)),1,1,"")</f>
        <v>2</v>
      </c>
      <c r="AG126" s="83" t="str">
        <f>REPLACE(INDEX(GroupVertices[Group],MATCH(Edges[[#This Row],[Vertex 2]],GroupVertices[Vertex],0)),1,1,"")</f>
        <v>2</v>
      </c>
      <c r="AH126" s="111">
        <v>0</v>
      </c>
      <c r="AI126" s="112">
        <v>0</v>
      </c>
      <c r="AJ126" s="111">
        <v>0</v>
      </c>
      <c r="AK126" s="112">
        <v>0</v>
      </c>
      <c r="AL126" s="111">
        <v>0</v>
      </c>
      <c r="AM126" s="112">
        <v>0</v>
      </c>
      <c r="AN126" s="111">
        <v>22</v>
      </c>
      <c r="AO126" s="112">
        <v>100</v>
      </c>
      <c r="AP126" s="111">
        <v>22</v>
      </c>
    </row>
    <row r="127" spans="1:42" ht="15">
      <c r="A127" s="65" t="s">
        <v>312</v>
      </c>
      <c r="B127" s="65" t="s">
        <v>750</v>
      </c>
      <c r="C127" s="66" t="s">
        <v>5345</v>
      </c>
      <c r="D127" s="67">
        <v>3</v>
      </c>
      <c r="E127" s="68"/>
      <c r="F127" s="69">
        <v>40</v>
      </c>
      <c r="G127" s="66"/>
      <c r="H127" s="70"/>
      <c r="I127" s="71"/>
      <c r="J127" s="71"/>
      <c r="K127" s="35" t="s">
        <v>65</v>
      </c>
      <c r="L127" s="79">
        <v>127</v>
      </c>
      <c r="M127" s="79"/>
      <c r="N127" s="73"/>
      <c r="O127" s="81" t="s">
        <v>760</v>
      </c>
      <c r="P127" s="81" t="s">
        <v>215</v>
      </c>
      <c r="Q127" s="84" t="s">
        <v>876</v>
      </c>
      <c r="R127" s="81" t="s">
        <v>312</v>
      </c>
      <c r="S127" s="81" t="s">
        <v>1641</v>
      </c>
      <c r="T127" s="86" t="str">
        <f>HYPERLINK("http://www.youtube.com/channel/UCTg0ECFaM5xh7Tmcp3z19UQ")</f>
        <v>http://www.youtube.com/channel/UCTg0ECFaM5xh7Tmcp3z19UQ</v>
      </c>
      <c r="U127" s="81"/>
      <c r="V127" s="81" t="s">
        <v>2309</v>
      </c>
      <c r="W127" s="86" t="str">
        <f>HYPERLINK("https://www.youtube.com/watch?v=1inpqIvABKc")</f>
        <v>https://www.youtube.com/watch?v=1inpqIvABKc</v>
      </c>
      <c r="X127" s="81" t="s">
        <v>2335</v>
      </c>
      <c r="Y127" s="81">
        <v>0</v>
      </c>
      <c r="Z127" s="88">
        <v>43900.98663194444</v>
      </c>
      <c r="AA127" s="88">
        <v>43900.98663194444</v>
      </c>
      <c r="AB127" s="81"/>
      <c r="AC127" s="81"/>
      <c r="AD127" s="84" t="s">
        <v>2782</v>
      </c>
      <c r="AE127" s="82">
        <v>1</v>
      </c>
      <c r="AF127" s="83" t="str">
        <f>REPLACE(INDEX(GroupVertices[Group],MATCH(Edges[[#This Row],[Vertex 1]],GroupVertices[Vertex],0)),1,1,"")</f>
        <v>2</v>
      </c>
      <c r="AG127" s="83" t="str">
        <f>REPLACE(INDEX(GroupVertices[Group],MATCH(Edges[[#This Row],[Vertex 2]],GroupVertices[Vertex],0)),1,1,"")</f>
        <v>2</v>
      </c>
      <c r="AH127" s="111">
        <v>2</v>
      </c>
      <c r="AI127" s="112">
        <v>50</v>
      </c>
      <c r="AJ127" s="111">
        <v>0</v>
      </c>
      <c r="AK127" s="112">
        <v>0</v>
      </c>
      <c r="AL127" s="111">
        <v>0</v>
      </c>
      <c r="AM127" s="112">
        <v>0</v>
      </c>
      <c r="AN127" s="111">
        <v>2</v>
      </c>
      <c r="AO127" s="112">
        <v>50</v>
      </c>
      <c r="AP127" s="111">
        <v>4</v>
      </c>
    </row>
    <row r="128" spans="1:42" ht="15">
      <c r="A128" s="65" t="s">
        <v>313</v>
      </c>
      <c r="B128" s="65" t="s">
        <v>750</v>
      </c>
      <c r="C128" s="66" t="s">
        <v>5345</v>
      </c>
      <c r="D128" s="67">
        <v>3</v>
      </c>
      <c r="E128" s="68"/>
      <c r="F128" s="69">
        <v>40</v>
      </c>
      <c r="G128" s="66"/>
      <c r="H128" s="70"/>
      <c r="I128" s="71"/>
      <c r="J128" s="71"/>
      <c r="K128" s="35" t="s">
        <v>65</v>
      </c>
      <c r="L128" s="79">
        <v>128</v>
      </c>
      <c r="M128" s="79"/>
      <c r="N128" s="73"/>
      <c r="O128" s="81" t="s">
        <v>760</v>
      </c>
      <c r="P128" s="81" t="s">
        <v>215</v>
      </c>
      <c r="Q128" s="84" t="s">
        <v>877</v>
      </c>
      <c r="R128" s="81" t="s">
        <v>313</v>
      </c>
      <c r="S128" s="81" t="s">
        <v>1642</v>
      </c>
      <c r="T128" s="86" t="str">
        <f>HYPERLINK("http://www.youtube.com/channel/UCVfLDbf46CUW-zrx5yQrjgA")</f>
        <v>http://www.youtube.com/channel/UCVfLDbf46CUW-zrx5yQrjgA</v>
      </c>
      <c r="U128" s="81"/>
      <c r="V128" s="81" t="s">
        <v>2309</v>
      </c>
      <c r="W128" s="86" t="str">
        <f>HYPERLINK("https://www.youtube.com/watch?v=1inpqIvABKc")</f>
        <v>https://www.youtube.com/watch?v=1inpqIvABKc</v>
      </c>
      <c r="X128" s="81" t="s">
        <v>2335</v>
      </c>
      <c r="Y128" s="81">
        <v>0</v>
      </c>
      <c r="Z128" s="88">
        <v>43900.98826388889</v>
      </c>
      <c r="AA128" s="88">
        <v>43900.98826388889</v>
      </c>
      <c r="AB128" s="81"/>
      <c r="AC128" s="81"/>
      <c r="AD128" s="84" t="s">
        <v>2782</v>
      </c>
      <c r="AE128" s="82">
        <v>1</v>
      </c>
      <c r="AF128" s="83" t="str">
        <f>REPLACE(INDEX(GroupVertices[Group],MATCH(Edges[[#This Row],[Vertex 1]],GroupVertices[Vertex],0)),1,1,"")</f>
        <v>2</v>
      </c>
      <c r="AG128" s="83" t="str">
        <f>REPLACE(INDEX(GroupVertices[Group],MATCH(Edges[[#This Row],[Vertex 2]],GroupVertices[Vertex],0)),1,1,"")</f>
        <v>2</v>
      </c>
      <c r="AH128" s="111">
        <v>2</v>
      </c>
      <c r="AI128" s="112">
        <v>50</v>
      </c>
      <c r="AJ128" s="111">
        <v>0</v>
      </c>
      <c r="AK128" s="112">
        <v>0</v>
      </c>
      <c r="AL128" s="111">
        <v>0</v>
      </c>
      <c r="AM128" s="112">
        <v>0</v>
      </c>
      <c r="AN128" s="111">
        <v>2</v>
      </c>
      <c r="AO128" s="112">
        <v>50</v>
      </c>
      <c r="AP128" s="111">
        <v>4</v>
      </c>
    </row>
    <row r="129" spans="1:42" ht="15">
      <c r="A129" s="65" t="s">
        <v>314</v>
      </c>
      <c r="B129" s="65" t="s">
        <v>750</v>
      </c>
      <c r="C129" s="66" t="s">
        <v>5345</v>
      </c>
      <c r="D129" s="67">
        <v>3</v>
      </c>
      <c r="E129" s="68"/>
      <c r="F129" s="69">
        <v>40</v>
      </c>
      <c r="G129" s="66"/>
      <c r="H129" s="70"/>
      <c r="I129" s="71"/>
      <c r="J129" s="71"/>
      <c r="K129" s="35" t="s">
        <v>65</v>
      </c>
      <c r="L129" s="79">
        <v>129</v>
      </c>
      <c r="M129" s="79"/>
      <c r="N129" s="73"/>
      <c r="O129" s="81" t="s">
        <v>760</v>
      </c>
      <c r="P129" s="81" t="s">
        <v>215</v>
      </c>
      <c r="Q129" s="84" t="s">
        <v>878</v>
      </c>
      <c r="R129" s="81" t="s">
        <v>314</v>
      </c>
      <c r="S129" s="81" t="s">
        <v>1643</v>
      </c>
      <c r="T129" s="86" t="str">
        <f>HYPERLINK("http://www.youtube.com/channel/UCIjIs0UtwQhHsD7o--IW0RA")</f>
        <v>http://www.youtube.com/channel/UCIjIs0UtwQhHsD7o--IW0RA</v>
      </c>
      <c r="U129" s="81"/>
      <c r="V129" s="81" t="s">
        <v>2309</v>
      </c>
      <c r="W129" s="86" t="str">
        <f>HYPERLINK("https://www.youtube.com/watch?v=1inpqIvABKc")</f>
        <v>https://www.youtube.com/watch?v=1inpqIvABKc</v>
      </c>
      <c r="X129" s="81" t="s">
        <v>2335</v>
      </c>
      <c r="Y129" s="81">
        <v>0</v>
      </c>
      <c r="Z129" s="88">
        <v>43900.99244212963</v>
      </c>
      <c r="AA129" s="88">
        <v>43900.99244212963</v>
      </c>
      <c r="AB129" s="81"/>
      <c r="AC129" s="81"/>
      <c r="AD129" s="84" t="s">
        <v>2782</v>
      </c>
      <c r="AE129" s="82">
        <v>1</v>
      </c>
      <c r="AF129" s="83" t="str">
        <f>REPLACE(INDEX(GroupVertices[Group],MATCH(Edges[[#This Row],[Vertex 1]],GroupVertices[Vertex],0)),1,1,"")</f>
        <v>2</v>
      </c>
      <c r="AG129" s="83" t="str">
        <f>REPLACE(INDEX(GroupVertices[Group],MATCH(Edges[[#This Row],[Vertex 2]],GroupVertices[Vertex],0)),1,1,"")</f>
        <v>2</v>
      </c>
      <c r="AH129" s="111">
        <v>3</v>
      </c>
      <c r="AI129" s="112">
        <v>50</v>
      </c>
      <c r="AJ129" s="111">
        <v>0</v>
      </c>
      <c r="AK129" s="112">
        <v>0</v>
      </c>
      <c r="AL129" s="111">
        <v>0</v>
      </c>
      <c r="AM129" s="112">
        <v>0</v>
      </c>
      <c r="AN129" s="111">
        <v>3</v>
      </c>
      <c r="AO129" s="112">
        <v>50</v>
      </c>
      <c r="AP129" s="111">
        <v>6</v>
      </c>
    </row>
    <row r="130" spans="1:42" ht="15">
      <c r="A130" s="65" t="s">
        <v>315</v>
      </c>
      <c r="B130" s="65" t="s">
        <v>316</v>
      </c>
      <c r="C130" s="66" t="s">
        <v>5345</v>
      </c>
      <c r="D130" s="67">
        <v>3</v>
      </c>
      <c r="E130" s="68"/>
      <c r="F130" s="69">
        <v>40</v>
      </c>
      <c r="G130" s="66"/>
      <c r="H130" s="70"/>
      <c r="I130" s="71"/>
      <c r="J130" s="71"/>
      <c r="K130" s="35" t="s">
        <v>65</v>
      </c>
      <c r="L130" s="79">
        <v>130</v>
      </c>
      <c r="M130" s="79"/>
      <c r="N130" s="73"/>
      <c r="O130" s="81" t="s">
        <v>761</v>
      </c>
      <c r="P130" s="81" t="s">
        <v>763</v>
      </c>
      <c r="Q130" s="84" t="s">
        <v>879</v>
      </c>
      <c r="R130" s="81" t="s">
        <v>315</v>
      </c>
      <c r="S130" s="81" t="s">
        <v>1644</v>
      </c>
      <c r="T130" s="86" t="str">
        <f>HYPERLINK("http://www.youtube.com/channel/UCN0dKbQrLtK1-HCyQJAt0Mg")</f>
        <v>http://www.youtube.com/channel/UCN0dKbQrLtK1-HCyQJAt0Mg</v>
      </c>
      <c r="U130" s="81" t="s">
        <v>2115</v>
      </c>
      <c r="V130" s="81" t="s">
        <v>2309</v>
      </c>
      <c r="W130" s="86" t="str">
        <f>HYPERLINK("https://www.youtube.com/watch?v=1inpqIvABKc")</f>
        <v>https://www.youtube.com/watch?v=1inpqIvABKc</v>
      </c>
      <c r="X130" s="81" t="s">
        <v>2335</v>
      </c>
      <c r="Y130" s="81">
        <v>0</v>
      </c>
      <c r="Z130" s="88">
        <v>43931.423854166664</v>
      </c>
      <c r="AA130" s="88">
        <v>43931.423854166664</v>
      </c>
      <c r="AB130" s="81"/>
      <c r="AC130" s="81"/>
      <c r="AD130" s="84" t="s">
        <v>2782</v>
      </c>
      <c r="AE130" s="82">
        <v>1</v>
      </c>
      <c r="AF130" s="83" t="str">
        <f>REPLACE(INDEX(GroupVertices[Group],MATCH(Edges[[#This Row],[Vertex 1]],GroupVertices[Vertex],0)),1,1,"")</f>
        <v>2</v>
      </c>
      <c r="AG130" s="83" t="str">
        <f>REPLACE(INDEX(GroupVertices[Group],MATCH(Edges[[#This Row],[Vertex 2]],GroupVertices[Vertex],0)),1,1,"")</f>
        <v>2</v>
      </c>
      <c r="AH130" s="111">
        <v>0</v>
      </c>
      <c r="AI130" s="112">
        <v>0</v>
      </c>
      <c r="AJ130" s="111">
        <v>0</v>
      </c>
      <c r="AK130" s="112">
        <v>0</v>
      </c>
      <c r="AL130" s="111">
        <v>0</v>
      </c>
      <c r="AM130" s="112">
        <v>0</v>
      </c>
      <c r="AN130" s="111">
        <v>4</v>
      </c>
      <c r="AO130" s="112">
        <v>100</v>
      </c>
      <c r="AP130" s="111">
        <v>4</v>
      </c>
    </row>
    <row r="131" spans="1:42" ht="15">
      <c r="A131" s="65" t="s">
        <v>316</v>
      </c>
      <c r="B131" s="65" t="s">
        <v>750</v>
      </c>
      <c r="C131" s="66" t="s">
        <v>5345</v>
      </c>
      <c r="D131" s="67">
        <v>3</v>
      </c>
      <c r="E131" s="68"/>
      <c r="F131" s="69">
        <v>40</v>
      </c>
      <c r="G131" s="66"/>
      <c r="H131" s="70"/>
      <c r="I131" s="71"/>
      <c r="J131" s="71"/>
      <c r="K131" s="35" t="s">
        <v>65</v>
      </c>
      <c r="L131" s="79">
        <v>131</v>
      </c>
      <c r="M131" s="79"/>
      <c r="N131" s="73"/>
      <c r="O131" s="81" t="s">
        <v>760</v>
      </c>
      <c r="P131" s="81" t="s">
        <v>215</v>
      </c>
      <c r="Q131" s="84" t="s">
        <v>880</v>
      </c>
      <c r="R131" s="81" t="s">
        <v>316</v>
      </c>
      <c r="S131" s="81" t="s">
        <v>1645</v>
      </c>
      <c r="T131" s="86" t="str">
        <f>HYPERLINK("http://www.youtube.com/channel/UCMbrctS0F7b4wcKJ2vjkBxw")</f>
        <v>http://www.youtube.com/channel/UCMbrctS0F7b4wcKJ2vjkBxw</v>
      </c>
      <c r="U131" s="81"/>
      <c r="V131" s="81" t="s">
        <v>2309</v>
      </c>
      <c r="W131" s="86" t="str">
        <f>HYPERLINK("https://www.youtube.com/watch?v=1inpqIvABKc")</f>
        <v>https://www.youtube.com/watch?v=1inpqIvABKc</v>
      </c>
      <c r="X131" s="81" t="s">
        <v>2335</v>
      </c>
      <c r="Y131" s="81">
        <v>0</v>
      </c>
      <c r="Z131" s="88">
        <v>43931.042766203704</v>
      </c>
      <c r="AA131" s="88">
        <v>43931.042766203704</v>
      </c>
      <c r="AB131" s="81"/>
      <c r="AC131" s="81"/>
      <c r="AD131" s="84" t="s">
        <v>2782</v>
      </c>
      <c r="AE131" s="82">
        <v>1</v>
      </c>
      <c r="AF131" s="83" t="str">
        <f>REPLACE(INDEX(GroupVertices[Group],MATCH(Edges[[#This Row],[Vertex 1]],GroupVertices[Vertex],0)),1,1,"")</f>
        <v>2</v>
      </c>
      <c r="AG131" s="83" t="str">
        <f>REPLACE(INDEX(GroupVertices[Group],MATCH(Edges[[#This Row],[Vertex 2]],GroupVertices[Vertex],0)),1,1,"")</f>
        <v>2</v>
      </c>
      <c r="AH131" s="111">
        <v>1</v>
      </c>
      <c r="AI131" s="112">
        <v>5.555555555555555</v>
      </c>
      <c r="AJ131" s="111">
        <v>0</v>
      </c>
      <c r="AK131" s="112">
        <v>0</v>
      </c>
      <c r="AL131" s="111">
        <v>0</v>
      </c>
      <c r="AM131" s="112">
        <v>0</v>
      </c>
      <c r="AN131" s="111">
        <v>17</v>
      </c>
      <c r="AO131" s="112">
        <v>94.44444444444444</v>
      </c>
      <c r="AP131" s="111">
        <v>18</v>
      </c>
    </row>
    <row r="132" spans="1:42" ht="15">
      <c r="A132" s="65" t="s">
        <v>317</v>
      </c>
      <c r="B132" s="65" t="s">
        <v>750</v>
      </c>
      <c r="C132" s="66" t="s">
        <v>5345</v>
      </c>
      <c r="D132" s="67">
        <v>3</v>
      </c>
      <c r="E132" s="68"/>
      <c r="F132" s="69">
        <v>40</v>
      </c>
      <c r="G132" s="66"/>
      <c r="H132" s="70"/>
      <c r="I132" s="71"/>
      <c r="J132" s="71"/>
      <c r="K132" s="35" t="s">
        <v>65</v>
      </c>
      <c r="L132" s="79">
        <v>132</v>
      </c>
      <c r="M132" s="79"/>
      <c r="N132" s="73"/>
      <c r="O132" s="81" t="s">
        <v>760</v>
      </c>
      <c r="P132" s="81" t="s">
        <v>215</v>
      </c>
      <c r="Q132" s="84" t="s">
        <v>881</v>
      </c>
      <c r="R132" s="81" t="s">
        <v>317</v>
      </c>
      <c r="S132" s="81" t="s">
        <v>1646</v>
      </c>
      <c r="T132" s="86" t="str">
        <f>HYPERLINK("http://www.youtube.com/channel/UCIMxSMWfV-JKLLOyclBmrPQ")</f>
        <v>http://www.youtube.com/channel/UCIMxSMWfV-JKLLOyclBmrPQ</v>
      </c>
      <c r="U132" s="81"/>
      <c r="V132" s="81" t="s">
        <v>2309</v>
      </c>
      <c r="W132" s="86" t="str">
        <f>HYPERLINK("https://www.youtube.com/watch?v=1inpqIvABKc")</f>
        <v>https://www.youtube.com/watch?v=1inpqIvABKc</v>
      </c>
      <c r="X132" s="81" t="s">
        <v>2335</v>
      </c>
      <c r="Y132" s="81">
        <v>0</v>
      </c>
      <c r="Z132" s="88">
        <v>43931.04553240741</v>
      </c>
      <c r="AA132" s="88">
        <v>43931.04553240741</v>
      </c>
      <c r="AB132" s="81"/>
      <c r="AC132" s="81"/>
      <c r="AD132" s="84" t="s">
        <v>2782</v>
      </c>
      <c r="AE132" s="82">
        <v>1</v>
      </c>
      <c r="AF132" s="83" t="str">
        <f>REPLACE(INDEX(GroupVertices[Group],MATCH(Edges[[#This Row],[Vertex 1]],GroupVertices[Vertex],0)),1,1,"")</f>
        <v>2</v>
      </c>
      <c r="AG132" s="83" t="str">
        <f>REPLACE(INDEX(GroupVertices[Group],MATCH(Edges[[#This Row],[Vertex 2]],GroupVertices[Vertex],0)),1,1,"")</f>
        <v>2</v>
      </c>
      <c r="AH132" s="111">
        <v>1</v>
      </c>
      <c r="AI132" s="112">
        <v>6.666666666666667</v>
      </c>
      <c r="AJ132" s="111">
        <v>0</v>
      </c>
      <c r="AK132" s="112">
        <v>0</v>
      </c>
      <c r="AL132" s="111">
        <v>0</v>
      </c>
      <c r="AM132" s="112">
        <v>0</v>
      </c>
      <c r="AN132" s="111">
        <v>14</v>
      </c>
      <c r="AO132" s="112">
        <v>93.33333333333333</v>
      </c>
      <c r="AP132" s="111">
        <v>15</v>
      </c>
    </row>
    <row r="133" spans="1:42" ht="15">
      <c r="A133" s="65" t="s">
        <v>318</v>
      </c>
      <c r="B133" s="65" t="s">
        <v>750</v>
      </c>
      <c r="C133" s="66" t="s">
        <v>5345</v>
      </c>
      <c r="D133" s="67">
        <v>3</v>
      </c>
      <c r="E133" s="68"/>
      <c r="F133" s="69">
        <v>40</v>
      </c>
      <c r="G133" s="66"/>
      <c r="H133" s="70"/>
      <c r="I133" s="71"/>
      <c r="J133" s="71"/>
      <c r="K133" s="35" t="s">
        <v>65</v>
      </c>
      <c r="L133" s="79">
        <v>133</v>
      </c>
      <c r="M133" s="79"/>
      <c r="N133" s="73"/>
      <c r="O133" s="81" t="s">
        <v>760</v>
      </c>
      <c r="P133" s="81" t="s">
        <v>215</v>
      </c>
      <c r="Q133" s="84" t="s">
        <v>882</v>
      </c>
      <c r="R133" s="81" t="s">
        <v>318</v>
      </c>
      <c r="S133" s="81" t="s">
        <v>1647</v>
      </c>
      <c r="T133" s="86" t="str">
        <f>HYPERLINK("http://www.youtube.com/channel/UCX0jdsd691BolSCl3uCd2rA")</f>
        <v>http://www.youtube.com/channel/UCX0jdsd691BolSCl3uCd2rA</v>
      </c>
      <c r="U133" s="81"/>
      <c r="V133" s="81" t="s">
        <v>2309</v>
      </c>
      <c r="W133" s="86" t="str">
        <f>HYPERLINK("https://www.youtube.com/watch?v=1inpqIvABKc")</f>
        <v>https://www.youtube.com/watch?v=1inpqIvABKc</v>
      </c>
      <c r="X133" s="81" t="s">
        <v>2335</v>
      </c>
      <c r="Y133" s="81">
        <v>0</v>
      </c>
      <c r="Z133" s="88">
        <v>43931.16622685185</v>
      </c>
      <c r="AA133" s="88">
        <v>43931.16622685185</v>
      </c>
      <c r="AB133" s="81"/>
      <c r="AC133" s="81"/>
      <c r="AD133" s="84" t="s">
        <v>2782</v>
      </c>
      <c r="AE133" s="82">
        <v>1</v>
      </c>
      <c r="AF133" s="83" t="str">
        <f>REPLACE(INDEX(GroupVertices[Group],MATCH(Edges[[#This Row],[Vertex 1]],GroupVertices[Vertex],0)),1,1,"")</f>
        <v>2</v>
      </c>
      <c r="AG133" s="83" t="str">
        <f>REPLACE(INDEX(GroupVertices[Group],MATCH(Edges[[#This Row],[Vertex 2]],GroupVertices[Vertex],0)),1,1,"")</f>
        <v>2</v>
      </c>
      <c r="AH133" s="111">
        <v>0</v>
      </c>
      <c r="AI133" s="112">
        <v>0</v>
      </c>
      <c r="AJ133" s="111">
        <v>0</v>
      </c>
      <c r="AK133" s="112">
        <v>0</v>
      </c>
      <c r="AL133" s="111">
        <v>0</v>
      </c>
      <c r="AM133" s="112">
        <v>0</v>
      </c>
      <c r="AN133" s="111">
        <v>18</v>
      </c>
      <c r="AO133" s="112">
        <v>100</v>
      </c>
      <c r="AP133" s="111">
        <v>18</v>
      </c>
    </row>
    <row r="134" spans="1:42" ht="15">
      <c r="A134" s="65" t="s">
        <v>319</v>
      </c>
      <c r="B134" s="65" t="s">
        <v>750</v>
      </c>
      <c r="C134" s="66" t="s">
        <v>5345</v>
      </c>
      <c r="D134" s="67">
        <v>3</v>
      </c>
      <c r="E134" s="68"/>
      <c r="F134" s="69">
        <v>40</v>
      </c>
      <c r="G134" s="66"/>
      <c r="H134" s="70"/>
      <c r="I134" s="71"/>
      <c r="J134" s="71"/>
      <c r="K134" s="35" t="s">
        <v>65</v>
      </c>
      <c r="L134" s="79">
        <v>134</v>
      </c>
      <c r="M134" s="79"/>
      <c r="N134" s="73"/>
      <c r="O134" s="81" t="s">
        <v>760</v>
      </c>
      <c r="P134" s="81" t="s">
        <v>215</v>
      </c>
      <c r="Q134" s="84" t="s">
        <v>883</v>
      </c>
      <c r="R134" s="81" t="s">
        <v>319</v>
      </c>
      <c r="S134" s="81" t="s">
        <v>1648</v>
      </c>
      <c r="T134" s="86" t="str">
        <f>HYPERLINK("http://www.youtube.com/channel/UCRVdRLrGnsbmgmDN6N5xBYw")</f>
        <v>http://www.youtube.com/channel/UCRVdRLrGnsbmgmDN6N5xBYw</v>
      </c>
      <c r="U134" s="81"/>
      <c r="V134" s="81" t="s">
        <v>2309</v>
      </c>
      <c r="W134" s="86" t="str">
        <f>HYPERLINK("https://www.youtube.com/watch?v=1inpqIvABKc")</f>
        <v>https://www.youtube.com/watch?v=1inpqIvABKc</v>
      </c>
      <c r="X134" s="81" t="s">
        <v>2335</v>
      </c>
      <c r="Y134" s="81">
        <v>0</v>
      </c>
      <c r="Z134" s="88">
        <v>43931.2009375</v>
      </c>
      <c r="AA134" s="88">
        <v>43931.2009375</v>
      </c>
      <c r="AB134" s="81"/>
      <c r="AC134" s="81"/>
      <c r="AD134" s="84" t="s">
        <v>2782</v>
      </c>
      <c r="AE134" s="82">
        <v>1</v>
      </c>
      <c r="AF134" s="83" t="str">
        <f>REPLACE(INDEX(GroupVertices[Group],MATCH(Edges[[#This Row],[Vertex 1]],GroupVertices[Vertex],0)),1,1,"")</f>
        <v>2</v>
      </c>
      <c r="AG134" s="83" t="str">
        <f>REPLACE(INDEX(GroupVertices[Group],MATCH(Edges[[#This Row],[Vertex 2]],GroupVertices[Vertex],0)),1,1,"")</f>
        <v>2</v>
      </c>
      <c r="AH134" s="111">
        <v>0</v>
      </c>
      <c r="AI134" s="112">
        <v>0</v>
      </c>
      <c r="AJ134" s="111">
        <v>0</v>
      </c>
      <c r="AK134" s="112">
        <v>0</v>
      </c>
      <c r="AL134" s="111">
        <v>0</v>
      </c>
      <c r="AM134" s="112">
        <v>0</v>
      </c>
      <c r="AN134" s="111">
        <v>0</v>
      </c>
      <c r="AO134" s="112">
        <v>0</v>
      </c>
      <c r="AP134" s="111">
        <v>0</v>
      </c>
    </row>
    <row r="135" spans="1:42" ht="15">
      <c r="A135" s="65" t="s">
        <v>320</v>
      </c>
      <c r="B135" s="65" t="s">
        <v>750</v>
      </c>
      <c r="C135" s="66" t="s">
        <v>5345</v>
      </c>
      <c r="D135" s="67">
        <v>3</v>
      </c>
      <c r="E135" s="68"/>
      <c r="F135" s="69">
        <v>40</v>
      </c>
      <c r="G135" s="66"/>
      <c r="H135" s="70"/>
      <c r="I135" s="71"/>
      <c r="J135" s="71"/>
      <c r="K135" s="35" t="s">
        <v>65</v>
      </c>
      <c r="L135" s="79">
        <v>135</v>
      </c>
      <c r="M135" s="79"/>
      <c r="N135" s="73"/>
      <c r="O135" s="81" t="s">
        <v>760</v>
      </c>
      <c r="P135" s="81" t="s">
        <v>215</v>
      </c>
      <c r="Q135" s="84" t="s">
        <v>884</v>
      </c>
      <c r="R135" s="81" t="s">
        <v>320</v>
      </c>
      <c r="S135" s="81" t="s">
        <v>1649</v>
      </c>
      <c r="T135" s="86" t="str">
        <f>HYPERLINK("http://www.youtube.com/channel/UCVWo8kvTSDWSICFECknClxQ")</f>
        <v>http://www.youtube.com/channel/UCVWo8kvTSDWSICFECknClxQ</v>
      </c>
      <c r="U135" s="81"/>
      <c r="V135" s="81" t="s">
        <v>2309</v>
      </c>
      <c r="W135" s="86" t="str">
        <f>HYPERLINK("https://www.youtube.com/watch?v=1inpqIvABKc")</f>
        <v>https://www.youtube.com/watch?v=1inpqIvABKc</v>
      </c>
      <c r="X135" s="81" t="s">
        <v>2335</v>
      </c>
      <c r="Y135" s="81">
        <v>0</v>
      </c>
      <c r="Z135" s="88">
        <v>43931.264398148145</v>
      </c>
      <c r="AA135" s="88">
        <v>43931.264398148145</v>
      </c>
      <c r="AB135" s="81"/>
      <c r="AC135" s="81"/>
      <c r="AD135" s="84" t="s">
        <v>2782</v>
      </c>
      <c r="AE135" s="82">
        <v>1</v>
      </c>
      <c r="AF135" s="83" t="str">
        <f>REPLACE(INDEX(GroupVertices[Group],MATCH(Edges[[#This Row],[Vertex 1]],GroupVertices[Vertex],0)),1,1,"")</f>
        <v>2</v>
      </c>
      <c r="AG135" s="83" t="str">
        <f>REPLACE(INDEX(GroupVertices[Group],MATCH(Edges[[#This Row],[Vertex 2]],GroupVertices[Vertex],0)),1,1,"")</f>
        <v>2</v>
      </c>
      <c r="AH135" s="111">
        <v>1</v>
      </c>
      <c r="AI135" s="112">
        <v>33.333333333333336</v>
      </c>
      <c r="AJ135" s="111">
        <v>0</v>
      </c>
      <c r="AK135" s="112">
        <v>0</v>
      </c>
      <c r="AL135" s="111">
        <v>0</v>
      </c>
      <c r="AM135" s="112">
        <v>0</v>
      </c>
      <c r="AN135" s="111">
        <v>2</v>
      </c>
      <c r="AO135" s="112">
        <v>66.66666666666667</v>
      </c>
      <c r="AP135" s="111">
        <v>3</v>
      </c>
    </row>
    <row r="136" spans="1:42" ht="15">
      <c r="A136" s="65" t="s">
        <v>321</v>
      </c>
      <c r="B136" s="65" t="s">
        <v>750</v>
      </c>
      <c r="C136" s="66" t="s">
        <v>5345</v>
      </c>
      <c r="D136" s="67">
        <v>3</v>
      </c>
      <c r="E136" s="68"/>
      <c r="F136" s="69">
        <v>40</v>
      </c>
      <c r="G136" s="66"/>
      <c r="H136" s="70"/>
      <c r="I136" s="71"/>
      <c r="J136" s="71"/>
      <c r="K136" s="35" t="s">
        <v>65</v>
      </c>
      <c r="L136" s="79">
        <v>136</v>
      </c>
      <c r="M136" s="79"/>
      <c r="N136" s="73"/>
      <c r="O136" s="81" t="s">
        <v>760</v>
      </c>
      <c r="P136" s="81" t="s">
        <v>215</v>
      </c>
      <c r="Q136" s="84" t="s">
        <v>885</v>
      </c>
      <c r="R136" s="81" t="s">
        <v>321</v>
      </c>
      <c r="S136" s="81" t="s">
        <v>1650</v>
      </c>
      <c r="T136" s="86" t="str">
        <f>HYPERLINK("http://www.youtube.com/channel/UCKLYhAdMd8BrHelG05-fxMw")</f>
        <v>http://www.youtube.com/channel/UCKLYhAdMd8BrHelG05-fxMw</v>
      </c>
      <c r="U136" s="81"/>
      <c r="V136" s="81" t="s">
        <v>2309</v>
      </c>
      <c r="W136" s="86" t="str">
        <f>HYPERLINK("https://www.youtube.com/watch?v=1inpqIvABKc")</f>
        <v>https://www.youtube.com/watch?v=1inpqIvABKc</v>
      </c>
      <c r="X136" s="81" t="s">
        <v>2335</v>
      </c>
      <c r="Y136" s="81">
        <v>0</v>
      </c>
      <c r="Z136" s="88">
        <v>43931.29583333333</v>
      </c>
      <c r="AA136" s="88">
        <v>43931.29583333333</v>
      </c>
      <c r="AB136" s="81"/>
      <c r="AC136" s="81"/>
      <c r="AD136" s="84" t="s">
        <v>2782</v>
      </c>
      <c r="AE136" s="82">
        <v>1</v>
      </c>
      <c r="AF136" s="83" t="str">
        <f>REPLACE(INDEX(GroupVertices[Group],MATCH(Edges[[#This Row],[Vertex 1]],GroupVertices[Vertex],0)),1,1,"")</f>
        <v>2</v>
      </c>
      <c r="AG136" s="83" t="str">
        <f>REPLACE(INDEX(GroupVertices[Group],MATCH(Edges[[#This Row],[Vertex 2]],GroupVertices[Vertex],0)),1,1,"")</f>
        <v>2</v>
      </c>
      <c r="AH136" s="111">
        <v>0</v>
      </c>
      <c r="AI136" s="112">
        <v>0</v>
      </c>
      <c r="AJ136" s="111">
        <v>0</v>
      </c>
      <c r="AK136" s="112">
        <v>0</v>
      </c>
      <c r="AL136" s="111">
        <v>0</v>
      </c>
      <c r="AM136" s="112">
        <v>0</v>
      </c>
      <c r="AN136" s="111">
        <v>7</v>
      </c>
      <c r="AO136" s="112">
        <v>100</v>
      </c>
      <c r="AP136" s="111">
        <v>7</v>
      </c>
    </row>
    <row r="137" spans="1:42" ht="15">
      <c r="A137" s="65" t="s">
        <v>322</v>
      </c>
      <c r="B137" s="65" t="s">
        <v>750</v>
      </c>
      <c r="C137" s="66" t="s">
        <v>5345</v>
      </c>
      <c r="D137" s="67">
        <v>3</v>
      </c>
      <c r="E137" s="68"/>
      <c r="F137" s="69">
        <v>40</v>
      </c>
      <c r="G137" s="66"/>
      <c r="H137" s="70"/>
      <c r="I137" s="71"/>
      <c r="J137" s="71"/>
      <c r="K137" s="35" t="s">
        <v>65</v>
      </c>
      <c r="L137" s="79">
        <v>137</v>
      </c>
      <c r="M137" s="79"/>
      <c r="N137" s="73"/>
      <c r="O137" s="81" t="s">
        <v>760</v>
      </c>
      <c r="P137" s="81" t="s">
        <v>215</v>
      </c>
      <c r="Q137" s="84" t="s">
        <v>886</v>
      </c>
      <c r="R137" s="81" t="s">
        <v>322</v>
      </c>
      <c r="S137" s="81" t="s">
        <v>1651</v>
      </c>
      <c r="T137" s="86" t="str">
        <f>HYPERLINK("http://www.youtube.com/channel/UCKBQWlRCDdhVhVgngdupSXg")</f>
        <v>http://www.youtube.com/channel/UCKBQWlRCDdhVhVgngdupSXg</v>
      </c>
      <c r="U137" s="81"/>
      <c r="V137" s="81" t="s">
        <v>2309</v>
      </c>
      <c r="W137" s="86" t="str">
        <f>HYPERLINK("https://www.youtube.com/watch?v=1inpqIvABKc")</f>
        <v>https://www.youtube.com/watch?v=1inpqIvABKc</v>
      </c>
      <c r="X137" s="81" t="s">
        <v>2335</v>
      </c>
      <c r="Y137" s="81">
        <v>0</v>
      </c>
      <c r="Z137" s="88">
        <v>43961.05199074074</v>
      </c>
      <c r="AA137" s="88">
        <v>43961.05199074074</v>
      </c>
      <c r="AB137" s="81"/>
      <c r="AC137" s="81"/>
      <c r="AD137" s="84" t="s">
        <v>2782</v>
      </c>
      <c r="AE137" s="82">
        <v>1</v>
      </c>
      <c r="AF137" s="83" t="str">
        <f>REPLACE(INDEX(GroupVertices[Group],MATCH(Edges[[#This Row],[Vertex 1]],GroupVertices[Vertex],0)),1,1,"")</f>
        <v>2</v>
      </c>
      <c r="AG137" s="83" t="str">
        <f>REPLACE(INDEX(GroupVertices[Group],MATCH(Edges[[#This Row],[Vertex 2]],GroupVertices[Vertex],0)),1,1,"")</f>
        <v>2</v>
      </c>
      <c r="AH137" s="111">
        <v>1</v>
      </c>
      <c r="AI137" s="112">
        <v>16.666666666666668</v>
      </c>
      <c r="AJ137" s="111">
        <v>1</v>
      </c>
      <c r="AK137" s="112">
        <v>16.666666666666668</v>
      </c>
      <c r="AL137" s="111">
        <v>0</v>
      </c>
      <c r="AM137" s="112">
        <v>0</v>
      </c>
      <c r="AN137" s="111">
        <v>4</v>
      </c>
      <c r="AO137" s="112">
        <v>66.66666666666667</v>
      </c>
      <c r="AP137" s="111">
        <v>6</v>
      </c>
    </row>
    <row r="138" spans="1:42" ht="15">
      <c r="A138" s="65" t="s">
        <v>323</v>
      </c>
      <c r="B138" s="65" t="s">
        <v>750</v>
      </c>
      <c r="C138" s="66" t="s">
        <v>5345</v>
      </c>
      <c r="D138" s="67">
        <v>3</v>
      </c>
      <c r="E138" s="68"/>
      <c r="F138" s="69">
        <v>40</v>
      </c>
      <c r="G138" s="66"/>
      <c r="H138" s="70"/>
      <c r="I138" s="71"/>
      <c r="J138" s="71"/>
      <c r="K138" s="35" t="s">
        <v>65</v>
      </c>
      <c r="L138" s="79">
        <v>138</v>
      </c>
      <c r="M138" s="79"/>
      <c r="N138" s="73"/>
      <c r="O138" s="81" t="s">
        <v>760</v>
      </c>
      <c r="P138" s="81" t="s">
        <v>215</v>
      </c>
      <c r="Q138" s="84" t="s">
        <v>887</v>
      </c>
      <c r="R138" s="81" t="s">
        <v>323</v>
      </c>
      <c r="S138" s="81" t="s">
        <v>1652</v>
      </c>
      <c r="T138" s="86" t="str">
        <f>HYPERLINK("http://www.youtube.com/channel/UCnExUyxVK5ZUmul18inqnsA")</f>
        <v>http://www.youtube.com/channel/UCnExUyxVK5ZUmul18inqnsA</v>
      </c>
      <c r="U138" s="81"/>
      <c r="V138" s="81" t="s">
        <v>2309</v>
      </c>
      <c r="W138" s="86" t="str">
        <f>HYPERLINK("https://www.youtube.com/watch?v=1inpqIvABKc")</f>
        <v>https://www.youtube.com/watch?v=1inpqIvABKc</v>
      </c>
      <c r="X138" s="81" t="s">
        <v>2335</v>
      </c>
      <c r="Y138" s="81">
        <v>0</v>
      </c>
      <c r="Z138" s="88">
        <v>43961.242847222224</v>
      </c>
      <c r="AA138" s="88">
        <v>43961.242847222224</v>
      </c>
      <c r="AB138" s="81"/>
      <c r="AC138" s="81"/>
      <c r="AD138" s="84" t="s">
        <v>2782</v>
      </c>
      <c r="AE138" s="82">
        <v>1</v>
      </c>
      <c r="AF138" s="83" t="str">
        <f>REPLACE(INDEX(GroupVertices[Group],MATCH(Edges[[#This Row],[Vertex 1]],GroupVertices[Vertex],0)),1,1,"")</f>
        <v>2</v>
      </c>
      <c r="AG138" s="83" t="str">
        <f>REPLACE(INDEX(GroupVertices[Group],MATCH(Edges[[#This Row],[Vertex 2]],GroupVertices[Vertex],0)),1,1,"")</f>
        <v>2</v>
      </c>
      <c r="AH138" s="111">
        <v>0</v>
      </c>
      <c r="AI138" s="112">
        <v>0</v>
      </c>
      <c r="AJ138" s="111">
        <v>0</v>
      </c>
      <c r="AK138" s="112">
        <v>0</v>
      </c>
      <c r="AL138" s="111">
        <v>0</v>
      </c>
      <c r="AM138" s="112">
        <v>0</v>
      </c>
      <c r="AN138" s="111">
        <v>4</v>
      </c>
      <c r="AO138" s="112">
        <v>100</v>
      </c>
      <c r="AP138" s="111">
        <v>4</v>
      </c>
    </row>
    <row r="139" spans="1:42" ht="15">
      <c r="A139" s="65" t="s">
        <v>324</v>
      </c>
      <c r="B139" s="65" t="s">
        <v>750</v>
      </c>
      <c r="C139" s="66" t="s">
        <v>5345</v>
      </c>
      <c r="D139" s="67">
        <v>3</v>
      </c>
      <c r="E139" s="68"/>
      <c r="F139" s="69">
        <v>40</v>
      </c>
      <c r="G139" s="66"/>
      <c r="H139" s="70"/>
      <c r="I139" s="71"/>
      <c r="J139" s="71"/>
      <c r="K139" s="35" t="s">
        <v>65</v>
      </c>
      <c r="L139" s="79">
        <v>139</v>
      </c>
      <c r="M139" s="79"/>
      <c r="N139" s="73"/>
      <c r="O139" s="81" t="s">
        <v>760</v>
      </c>
      <c r="P139" s="81" t="s">
        <v>215</v>
      </c>
      <c r="Q139" s="84" t="s">
        <v>888</v>
      </c>
      <c r="R139" s="81" t="s">
        <v>324</v>
      </c>
      <c r="S139" s="81" t="s">
        <v>1653</v>
      </c>
      <c r="T139" s="86" t="str">
        <f>HYPERLINK("http://www.youtube.com/channel/UCifnwNQdEJ-UlqVWRqQ5aEg")</f>
        <v>http://www.youtube.com/channel/UCifnwNQdEJ-UlqVWRqQ5aEg</v>
      </c>
      <c r="U139" s="81"/>
      <c r="V139" s="81" t="s">
        <v>2309</v>
      </c>
      <c r="W139" s="86" t="str">
        <f>HYPERLINK("https://www.youtube.com/watch?v=1inpqIvABKc")</f>
        <v>https://www.youtube.com/watch?v=1inpqIvABKc</v>
      </c>
      <c r="X139" s="81" t="s">
        <v>2335</v>
      </c>
      <c r="Y139" s="81">
        <v>0</v>
      </c>
      <c r="Z139" s="88">
        <v>44022.95008101852</v>
      </c>
      <c r="AA139" s="88">
        <v>44022.95008101852</v>
      </c>
      <c r="AB139" s="81"/>
      <c r="AC139" s="81"/>
      <c r="AD139" s="84" t="s">
        <v>2782</v>
      </c>
      <c r="AE139" s="82">
        <v>1</v>
      </c>
      <c r="AF139" s="83" t="str">
        <f>REPLACE(INDEX(GroupVertices[Group],MATCH(Edges[[#This Row],[Vertex 1]],GroupVertices[Vertex],0)),1,1,"")</f>
        <v>2</v>
      </c>
      <c r="AG139" s="83" t="str">
        <f>REPLACE(INDEX(GroupVertices[Group],MATCH(Edges[[#This Row],[Vertex 2]],GroupVertices[Vertex],0)),1,1,"")</f>
        <v>2</v>
      </c>
      <c r="AH139" s="111">
        <v>1</v>
      </c>
      <c r="AI139" s="112">
        <v>16.666666666666668</v>
      </c>
      <c r="AJ139" s="111">
        <v>0</v>
      </c>
      <c r="AK139" s="112">
        <v>0</v>
      </c>
      <c r="AL139" s="111">
        <v>0</v>
      </c>
      <c r="AM139" s="112">
        <v>0</v>
      </c>
      <c r="AN139" s="111">
        <v>5</v>
      </c>
      <c r="AO139" s="112">
        <v>83.33333333333333</v>
      </c>
      <c r="AP139" s="111">
        <v>6</v>
      </c>
    </row>
    <row r="140" spans="1:42" ht="15">
      <c r="A140" s="65" t="s">
        <v>325</v>
      </c>
      <c r="B140" s="65" t="s">
        <v>750</v>
      </c>
      <c r="C140" s="66" t="s">
        <v>5345</v>
      </c>
      <c r="D140" s="67">
        <v>3</v>
      </c>
      <c r="E140" s="68"/>
      <c r="F140" s="69">
        <v>40</v>
      </c>
      <c r="G140" s="66"/>
      <c r="H140" s="70"/>
      <c r="I140" s="71"/>
      <c r="J140" s="71"/>
      <c r="K140" s="35" t="s">
        <v>65</v>
      </c>
      <c r="L140" s="79">
        <v>140</v>
      </c>
      <c r="M140" s="79"/>
      <c r="N140" s="73"/>
      <c r="O140" s="81" t="s">
        <v>760</v>
      </c>
      <c r="P140" s="81" t="s">
        <v>215</v>
      </c>
      <c r="Q140" s="84" t="s">
        <v>889</v>
      </c>
      <c r="R140" s="81" t="s">
        <v>325</v>
      </c>
      <c r="S140" s="81" t="s">
        <v>1654</v>
      </c>
      <c r="T140" s="86" t="str">
        <f>HYPERLINK("http://www.youtube.com/channel/UCnJ52lHH73iTys_MTWjLRUQ")</f>
        <v>http://www.youtube.com/channel/UCnJ52lHH73iTys_MTWjLRUQ</v>
      </c>
      <c r="U140" s="81"/>
      <c r="V140" s="81" t="s">
        <v>2309</v>
      </c>
      <c r="W140" s="86" t="str">
        <f>HYPERLINK("https://www.youtube.com/watch?v=1inpqIvABKc")</f>
        <v>https://www.youtube.com/watch?v=1inpqIvABKc</v>
      </c>
      <c r="X140" s="81" t="s">
        <v>2335</v>
      </c>
      <c r="Y140" s="81">
        <v>0</v>
      </c>
      <c r="Z140" s="81" t="s">
        <v>2396</v>
      </c>
      <c r="AA140" s="81" t="s">
        <v>2396</v>
      </c>
      <c r="AB140" s="81"/>
      <c r="AC140" s="81"/>
      <c r="AD140" s="84" t="s">
        <v>2782</v>
      </c>
      <c r="AE140" s="82">
        <v>1</v>
      </c>
      <c r="AF140" s="83" t="str">
        <f>REPLACE(INDEX(GroupVertices[Group],MATCH(Edges[[#This Row],[Vertex 1]],GroupVertices[Vertex],0)),1,1,"")</f>
        <v>2</v>
      </c>
      <c r="AG140" s="83" t="str">
        <f>REPLACE(INDEX(GroupVertices[Group],MATCH(Edges[[#This Row],[Vertex 2]],GroupVertices[Vertex],0)),1,1,"")</f>
        <v>2</v>
      </c>
      <c r="AH140" s="111">
        <v>0</v>
      </c>
      <c r="AI140" s="112">
        <v>0</v>
      </c>
      <c r="AJ140" s="111">
        <v>0</v>
      </c>
      <c r="AK140" s="112">
        <v>0</v>
      </c>
      <c r="AL140" s="111">
        <v>0</v>
      </c>
      <c r="AM140" s="112">
        <v>0</v>
      </c>
      <c r="AN140" s="111">
        <v>19</v>
      </c>
      <c r="AO140" s="112">
        <v>100</v>
      </c>
      <c r="AP140" s="111">
        <v>19</v>
      </c>
    </row>
    <row r="141" spans="1:42" ht="15">
      <c r="A141" s="65" t="s">
        <v>326</v>
      </c>
      <c r="B141" s="65" t="s">
        <v>330</v>
      </c>
      <c r="C141" s="66" t="s">
        <v>5345</v>
      </c>
      <c r="D141" s="67">
        <v>3</v>
      </c>
      <c r="E141" s="68"/>
      <c r="F141" s="69">
        <v>40</v>
      </c>
      <c r="G141" s="66"/>
      <c r="H141" s="70"/>
      <c r="I141" s="71"/>
      <c r="J141" s="71"/>
      <c r="K141" s="35" t="s">
        <v>65</v>
      </c>
      <c r="L141" s="79">
        <v>141</v>
      </c>
      <c r="M141" s="79"/>
      <c r="N141" s="73"/>
      <c r="O141" s="81" t="s">
        <v>761</v>
      </c>
      <c r="P141" s="81" t="s">
        <v>763</v>
      </c>
      <c r="Q141" s="84" t="s">
        <v>890</v>
      </c>
      <c r="R141" s="81" t="s">
        <v>326</v>
      </c>
      <c r="S141" s="81" t="s">
        <v>1655</v>
      </c>
      <c r="T141" s="86" t="str">
        <f>HYPERLINK("http://www.youtube.com/channel/UCLUgOZKSmgg64XBVzuCMgbw")</f>
        <v>http://www.youtube.com/channel/UCLUgOZKSmgg64XBVzuCMgbw</v>
      </c>
      <c r="U141" s="81" t="s">
        <v>2116</v>
      </c>
      <c r="V141" s="81" t="s">
        <v>2309</v>
      </c>
      <c r="W141" s="86" t="str">
        <f>HYPERLINK("https://www.youtube.com/watch?v=1inpqIvABKc")</f>
        <v>https://www.youtube.com/watch?v=1inpqIvABKc</v>
      </c>
      <c r="X141" s="81" t="s">
        <v>2335</v>
      </c>
      <c r="Y141" s="81">
        <v>0</v>
      </c>
      <c r="Z141" s="88">
        <v>44504.42842592593</v>
      </c>
      <c r="AA141" s="88">
        <v>44504.42842592593</v>
      </c>
      <c r="AB141" s="81"/>
      <c r="AC141" s="81"/>
      <c r="AD141" s="84" t="s">
        <v>2782</v>
      </c>
      <c r="AE141" s="82">
        <v>1</v>
      </c>
      <c r="AF141" s="83" t="str">
        <f>REPLACE(INDEX(GroupVertices[Group],MATCH(Edges[[#This Row],[Vertex 1]],GroupVertices[Vertex],0)),1,1,"")</f>
        <v>2</v>
      </c>
      <c r="AG141" s="83" t="str">
        <f>REPLACE(INDEX(GroupVertices[Group],MATCH(Edges[[#This Row],[Vertex 2]],GroupVertices[Vertex],0)),1,1,"")</f>
        <v>2</v>
      </c>
      <c r="AH141" s="111">
        <v>1</v>
      </c>
      <c r="AI141" s="112">
        <v>16.666666666666668</v>
      </c>
      <c r="AJ141" s="111">
        <v>0</v>
      </c>
      <c r="AK141" s="112">
        <v>0</v>
      </c>
      <c r="AL141" s="111">
        <v>0</v>
      </c>
      <c r="AM141" s="112">
        <v>0</v>
      </c>
      <c r="AN141" s="111">
        <v>5</v>
      </c>
      <c r="AO141" s="112">
        <v>83.33333333333333</v>
      </c>
      <c r="AP141" s="111">
        <v>6</v>
      </c>
    </row>
    <row r="142" spans="1:42" ht="15">
      <c r="A142" s="65" t="s">
        <v>327</v>
      </c>
      <c r="B142" s="65" t="s">
        <v>330</v>
      </c>
      <c r="C142" s="66" t="s">
        <v>5345</v>
      </c>
      <c r="D142" s="67">
        <v>3</v>
      </c>
      <c r="E142" s="68"/>
      <c r="F142" s="69">
        <v>40</v>
      </c>
      <c r="G142" s="66"/>
      <c r="H142" s="70"/>
      <c r="I142" s="71"/>
      <c r="J142" s="71"/>
      <c r="K142" s="35" t="s">
        <v>65</v>
      </c>
      <c r="L142" s="79">
        <v>142</v>
      </c>
      <c r="M142" s="79"/>
      <c r="N142" s="73"/>
      <c r="O142" s="81" t="s">
        <v>761</v>
      </c>
      <c r="P142" s="81" t="s">
        <v>763</v>
      </c>
      <c r="Q142" s="84" t="s">
        <v>891</v>
      </c>
      <c r="R142" s="81" t="s">
        <v>327</v>
      </c>
      <c r="S142" s="81" t="s">
        <v>1656</v>
      </c>
      <c r="T142" s="86" t="str">
        <f>HYPERLINK("http://www.youtube.com/channel/UC9IalNJ4G6skslmu1wtD-3Q")</f>
        <v>http://www.youtube.com/channel/UC9IalNJ4G6skslmu1wtD-3Q</v>
      </c>
      <c r="U142" s="81" t="s">
        <v>2116</v>
      </c>
      <c r="V142" s="81" t="s">
        <v>2309</v>
      </c>
      <c r="W142" s="86" t="str">
        <f>HYPERLINK("https://www.youtube.com/watch?v=1inpqIvABKc")</f>
        <v>https://www.youtube.com/watch?v=1inpqIvABKc</v>
      </c>
      <c r="X142" s="81" t="s">
        <v>2335</v>
      </c>
      <c r="Y142" s="81">
        <v>0</v>
      </c>
      <c r="Z142" s="88">
        <v>44504.42854166667</v>
      </c>
      <c r="AA142" s="88">
        <v>44504.42854166667</v>
      </c>
      <c r="AB142" s="81"/>
      <c r="AC142" s="81"/>
      <c r="AD142" s="84" t="s">
        <v>2782</v>
      </c>
      <c r="AE142" s="82">
        <v>1</v>
      </c>
      <c r="AF142" s="83" t="str">
        <f>REPLACE(INDEX(GroupVertices[Group],MATCH(Edges[[#This Row],[Vertex 1]],GroupVertices[Vertex],0)),1,1,"")</f>
        <v>2</v>
      </c>
      <c r="AG142" s="83" t="str">
        <f>REPLACE(INDEX(GroupVertices[Group],MATCH(Edges[[#This Row],[Vertex 2]],GroupVertices[Vertex],0)),1,1,"")</f>
        <v>2</v>
      </c>
      <c r="AH142" s="111">
        <v>0</v>
      </c>
      <c r="AI142" s="112">
        <v>0</v>
      </c>
      <c r="AJ142" s="111">
        <v>0</v>
      </c>
      <c r="AK142" s="112">
        <v>0</v>
      </c>
      <c r="AL142" s="111">
        <v>0</v>
      </c>
      <c r="AM142" s="112">
        <v>0</v>
      </c>
      <c r="AN142" s="111">
        <v>0</v>
      </c>
      <c r="AO142" s="112">
        <v>0</v>
      </c>
      <c r="AP142" s="111">
        <v>0</v>
      </c>
    </row>
    <row r="143" spans="1:42" ht="15">
      <c r="A143" s="65" t="s">
        <v>328</v>
      </c>
      <c r="B143" s="65" t="s">
        <v>330</v>
      </c>
      <c r="C143" s="66" t="s">
        <v>5345</v>
      </c>
      <c r="D143" s="67">
        <v>3</v>
      </c>
      <c r="E143" s="68"/>
      <c r="F143" s="69">
        <v>40</v>
      </c>
      <c r="G143" s="66"/>
      <c r="H143" s="70"/>
      <c r="I143" s="71"/>
      <c r="J143" s="71"/>
      <c r="K143" s="35" t="s">
        <v>65</v>
      </c>
      <c r="L143" s="79">
        <v>143</v>
      </c>
      <c r="M143" s="79"/>
      <c r="N143" s="73"/>
      <c r="O143" s="81" t="s">
        <v>761</v>
      </c>
      <c r="P143" s="81" t="s">
        <v>763</v>
      </c>
      <c r="Q143" s="84" t="s">
        <v>891</v>
      </c>
      <c r="R143" s="81" t="s">
        <v>328</v>
      </c>
      <c r="S143" s="81" t="s">
        <v>1657</v>
      </c>
      <c r="T143" s="86" t="str">
        <f>HYPERLINK("http://www.youtube.com/channel/UCTaBfCRefmBOpPYSkeX1Wrg")</f>
        <v>http://www.youtube.com/channel/UCTaBfCRefmBOpPYSkeX1Wrg</v>
      </c>
      <c r="U143" s="81" t="s">
        <v>2116</v>
      </c>
      <c r="V143" s="81" t="s">
        <v>2309</v>
      </c>
      <c r="W143" s="86" t="str">
        <f>HYPERLINK("https://www.youtube.com/watch?v=1inpqIvABKc")</f>
        <v>https://www.youtube.com/watch?v=1inpqIvABKc</v>
      </c>
      <c r="X143" s="81" t="s">
        <v>2335</v>
      </c>
      <c r="Y143" s="81">
        <v>0</v>
      </c>
      <c r="Z143" s="88">
        <v>44504.42863425926</v>
      </c>
      <c r="AA143" s="88">
        <v>44504.42863425926</v>
      </c>
      <c r="AB143" s="81"/>
      <c r="AC143" s="81"/>
      <c r="AD143" s="84" t="s">
        <v>2782</v>
      </c>
      <c r="AE143" s="82">
        <v>1</v>
      </c>
      <c r="AF143" s="83" t="str">
        <f>REPLACE(INDEX(GroupVertices[Group],MATCH(Edges[[#This Row],[Vertex 1]],GroupVertices[Vertex],0)),1,1,"")</f>
        <v>2</v>
      </c>
      <c r="AG143" s="83" t="str">
        <f>REPLACE(INDEX(GroupVertices[Group],MATCH(Edges[[#This Row],[Vertex 2]],GroupVertices[Vertex],0)),1,1,"")</f>
        <v>2</v>
      </c>
      <c r="AH143" s="111">
        <v>0</v>
      </c>
      <c r="AI143" s="112">
        <v>0</v>
      </c>
      <c r="AJ143" s="111">
        <v>0</v>
      </c>
      <c r="AK143" s="112">
        <v>0</v>
      </c>
      <c r="AL143" s="111">
        <v>0</v>
      </c>
      <c r="AM143" s="112">
        <v>0</v>
      </c>
      <c r="AN143" s="111">
        <v>0</v>
      </c>
      <c r="AO143" s="112">
        <v>0</v>
      </c>
      <c r="AP143" s="111">
        <v>0</v>
      </c>
    </row>
    <row r="144" spans="1:42" ht="15">
      <c r="A144" s="65" t="s">
        <v>329</v>
      </c>
      <c r="B144" s="65" t="s">
        <v>330</v>
      </c>
      <c r="C144" s="66" t="s">
        <v>5345</v>
      </c>
      <c r="D144" s="67">
        <v>3</v>
      </c>
      <c r="E144" s="68"/>
      <c r="F144" s="69">
        <v>40</v>
      </c>
      <c r="G144" s="66"/>
      <c r="H144" s="70"/>
      <c r="I144" s="71"/>
      <c r="J144" s="71"/>
      <c r="K144" s="35" t="s">
        <v>65</v>
      </c>
      <c r="L144" s="79">
        <v>144</v>
      </c>
      <c r="M144" s="79"/>
      <c r="N144" s="73"/>
      <c r="O144" s="81" t="s">
        <v>761</v>
      </c>
      <c r="P144" s="81" t="s">
        <v>763</v>
      </c>
      <c r="Q144" s="84" t="s">
        <v>891</v>
      </c>
      <c r="R144" s="81" t="s">
        <v>329</v>
      </c>
      <c r="S144" s="81" t="s">
        <v>1658</v>
      </c>
      <c r="T144" s="86" t="str">
        <f>HYPERLINK("http://www.youtube.com/channel/UCV1aB7zve3ENDC9jsKR9qBQ")</f>
        <v>http://www.youtube.com/channel/UCV1aB7zve3ENDC9jsKR9qBQ</v>
      </c>
      <c r="U144" s="81" t="s">
        <v>2116</v>
      </c>
      <c r="V144" s="81" t="s">
        <v>2309</v>
      </c>
      <c r="W144" s="86" t="str">
        <f>HYPERLINK("https://www.youtube.com/watch?v=1inpqIvABKc")</f>
        <v>https://www.youtube.com/watch?v=1inpqIvABKc</v>
      </c>
      <c r="X144" s="81" t="s">
        <v>2335</v>
      </c>
      <c r="Y144" s="81">
        <v>0</v>
      </c>
      <c r="Z144" s="88">
        <v>44504.428761574076</v>
      </c>
      <c r="AA144" s="88">
        <v>44504.428761574076</v>
      </c>
      <c r="AB144" s="81"/>
      <c r="AC144" s="81"/>
      <c r="AD144" s="84" t="s">
        <v>2782</v>
      </c>
      <c r="AE144" s="82">
        <v>1</v>
      </c>
      <c r="AF144" s="83" t="str">
        <f>REPLACE(INDEX(GroupVertices[Group],MATCH(Edges[[#This Row],[Vertex 1]],GroupVertices[Vertex],0)),1,1,"")</f>
        <v>2</v>
      </c>
      <c r="AG144" s="83" t="str">
        <f>REPLACE(INDEX(GroupVertices[Group],MATCH(Edges[[#This Row],[Vertex 2]],GroupVertices[Vertex],0)),1,1,"")</f>
        <v>2</v>
      </c>
      <c r="AH144" s="111">
        <v>0</v>
      </c>
      <c r="AI144" s="112">
        <v>0</v>
      </c>
      <c r="AJ144" s="111">
        <v>0</v>
      </c>
      <c r="AK144" s="112">
        <v>0</v>
      </c>
      <c r="AL144" s="111">
        <v>0</v>
      </c>
      <c r="AM144" s="112">
        <v>0</v>
      </c>
      <c r="AN144" s="111">
        <v>0</v>
      </c>
      <c r="AO144" s="112">
        <v>0</v>
      </c>
      <c r="AP144" s="111">
        <v>0</v>
      </c>
    </row>
    <row r="145" spans="1:42" ht="15">
      <c r="A145" s="65" t="s">
        <v>330</v>
      </c>
      <c r="B145" s="65" t="s">
        <v>750</v>
      </c>
      <c r="C145" s="66" t="s">
        <v>5345</v>
      </c>
      <c r="D145" s="67">
        <v>3</v>
      </c>
      <c r="E145" s="68"/>
      <c r="F145" s="69">
        <v>40</v>
      </c>
      <c r="G145" s="66"/>
      <c r="H145" s="70"/>
      <c r="I145" s="71"/>
      <c r="J145" s="71"/>
      <c r="K145" s="35" t="s">
        <v>65</v>
      </c>
      <c r="L145" s="79">
        <v>145</v>
      </c>
      <c r="M145" s="79"/>
      <c r="N145" s="73"/>
      <c r="O145" s="81" t="s">
        <v>760</v>
      </c>
      <c r="P145" s="81" t="s">
        <v>215</v>
      </c>
      <c r="Q145" s="84" t="s">
        <v>892</v>
      </c>
      <c r="R145" s="81" t="s">
        <v>330</v>
      </c>
      <c r="S145" s="81" t="s">
        <v>1659</v>
      </c>
      <c r="T145" s="86" t="str">
        <f>HYPERLINK("http://www.youtube.com/channel/UCt6mVizjtgC0naHMNZdzlXQ")</f>
        <v>http://www.youtube.com/channel/UCt6mVizjtgC0naHMNZdzlXQ</v>
      </c>
      <c r="U145" s="81"/>
      <c r="V145" s="81" t="s">
        <v>2309</v>
      </c>
      <c r="W145" s="86" t="str">
        <f>HYPERLINK("https://www.youtube.com/watch?v=1inpqIvABKc")</f>
        <v>https://www.youtube.com/watch?v=1inpqIvABKc</v>
      </c>
      <c r="X145" s="81" t="s">
        <v>2335</v>
      </c>
      <c r="Y145" s="81">
        <v>0</v>
      </c>
      <c r="Z145" s="88">
        <v>44504.42827546296</v>
      </c>
      <c r="AA145" s="88">
        <v>44504.42827546296</v>
      </c>
      <c r="AB145" s="81"/>
      <c r="AC145" s="81"/>
      <c r="AD145" s="84" t="s">
        <v>2782</v>
      </c>
      <c r="AE145" s="82">
        <v>1</v>
      </c>
      <c r="AF145" s="83" t="str">
        <f>REPLACE(INDEX(GroupVertices[Group],MATCH(Edges[[#This Row],[Vertex 1]],GroupVertices[Vertex],0)),1,1,"")</f>
        <v>2</v>
      </c>
      <c r="AG145" s="83" t="str">
        <f>REPLACE(INDEX(GroupVertices[Group],MATCH(Edges[[#This Row],[Vertex 2]],GroupVertices[Vertex],0)),1,1,"")</f>
        <v>2</v>
      </c>
      <c r="AH145" s="111">
        <v>1</v>
      </c>
      <c r="AI145" s="112">
        <v>9.090909090909092</v>
      </c>
      <c r="AJ145" s="111">
        <v>0</v>
      </c>
      <c r="AK145" s="112">
        <v>0</v>
      </c>
      <c r="AL145" s="111">
        <v>0</v>
      </c>
      <c r="AM145" s="112">
        <v>0</v>
      </c>
      <c r="AN145" s="111">
        <v>10</v>
      </c>
      <c r="AO145" s="112">
        <v>90.9090909090909</v>
      </c>
      <c r="AP145" s="111">
        <v>11</v>
      </c>
    </row>
    <row r="146" spans="1:42" ht="15">
      <c r="A146" s="65" t="s">
        <v>331</v>
      </c>
      <c r="B146" s="65" t="s">
        <v>750</v>
      </c>
      <c r="C146" s="66" t="s">
        <v>5345</v>
      </c>
      <c r="D146" s="67">
        <v>3</v>
      </c>
      <c r="E146" s="68"/>
      <c r="F146" s="69">
        <v>40</v>
      </c>
      <c r="G146" s="66"/>
      <c r="H146" s="70"/>
      <c r="I146" s="71"/>
      <c r="J146" s="71"/>
      <c r="K146" s="35" t="s">
        <v>65</v>
      </c>
      <c r="L146" s="79">
        <v>146</v>
      </c>
      <c r="M146" s="79"/>
      <c r="N146" s="73"/>
      <c r="O146" s="81" t="s">
        <v>760</v>
      </c>
      <c r="P146" s="81" t="s">
        <v>215</v>
      </c>
      <c r="Q146" s="84" t="s">
        <v>893</v>
      </c>
      <c r="R146" s="81" t="s">
        <v>331</v>
      </c>
      <c r="S146" s="81" t="s">
        <v>1660</v>
      </c>
      <c r="T146" s="86" t="str">
        <f>HYPERLINK("http://www.youtube.com/channel/UCaQrVRWCK80RV6MvW1_IqQg")</f>
        <v>http://www.youtube.com/channel/UCaQrVRWCK80RV6MvW1_IqQg</v>
      </c>
      <c r="U146" s="81"/>
      <c r="V146" s="81" t="s">
        <v>2309</v>
      </c>
      <c r="W146" s="86" t="str">
        <f>HYPERLINK("https://www.youtube.com/watch?v=1inpqIvABKc")</f>
        <v>https://www.youtube.com/watch?v=1inpqIvABKc</v>
      </c>
      <c r="X146" s="81" t="s">
        <v>2335</v>
      </c>
      <c r="Y146" s="81">
        <v>0</v>
      </c>
      <c r="Z146" s="88">
        <v>44504.448333333334</v>
      </c>
      <c r="AA146" s="88">
        <v>44504.448333333334</v>
      </c>
      <c r="AB146" s="81"/>
      <c r="AC146" s="81"/>
      <c r="AD146" s="84" t="s">
        <v>2782</v>
      </c>
      <c r="AE146" s="82">
        <v>1</v>
      </c>
      <c r="AF146" s="83" t="str">
        <f>REPLACE(INDEX(GroupVertices[Group],MATCH(Edges[[#This Row],[Vertex 1]],GroupVertices[Vertex],0)),1,1,"")</f>
        <v>2</v>
      </c>
      <c r="AG146" s="83" t="str">
        <f>REPLACE(INDEX(GroupVertices[Group],MATCH(Edges[[#This Row],[Vertex 2]],GroupVertices[Vertex],0)),1,1,"")</f>
        <v>2</v>
      </c>
      <c r="AH146" s="111">
        <v>1</v>
      </c>
      <c r="AI146" s="112">
        <v>25</v>
      </c>
      <c r="AJ146" s="111">
        <v>0</v>
      </c>
      <c r="AK146" s="112">
        <v>0</v>
      </c>
      <c r="AL146" s="111">
        <v>0</v>
      </c>
      <c r="AM146" s="112">
        <v>0</v>
      </c>
      <c r="AN146" s="111">
        <v>3</v>
      </c>
      <c r="AO146" s="112">
        <v>75</v>
      </c>
      <c r="AP146" s="111">
        <v>4</v>
      </c>
    </row>
    <row r="147" spans="1:42" ht="15">
      <c r="A147" s="65" t="s">
        <v>332</v>
      </c>
      <c r="B147" s="65" t="s">
        <v>750</v>
      </c>
      <c r="C147" s="66" t="s">
        <v>5345</v>
      </c>
      <c r="D147" s="67">
        <v>3</v>
      </c>
      <c r="E147" s="68"/>
      <c r="F147" s="69">
        <v>40</v>
      </c>
      <c r="G147" s="66"/>
      <c r="H147" s="70"/>
      <c r="I147" s="71"/>
      <c r="J147" s="71"/>
      <c r="K147" s="35" t="s">
        <v>65</v>
      </c>
      <c r="L147" s="79">
        <v>147</v>
      </c>
      <c r="M147" s="79"/>
      <c r="N147" s="73"/>
      <c r="O147" s="81" t="s">
        <v>760</v>
      </c>
      <c r="P147" s="81" t="s">
        <v>215</v>
      </c>
      <c r="Q147" s="84" t="s">
        <v>894</v>
      </c>
      <c r="R147" s="81" t="s">
        <v>332</v>
      </c>
      <c r="S147" s="81" t="s">
        <v>1661</v>
      </c>
      <c r="T147" s="86" t="str">
        <f>HYPERLINK("http://www.youtube.com/channel/UChyp90H8k8phe8NyHICga7A")</f>
        <v>http://www.youtube.com/channel/UChyp90H8k8phe8NyHICga7A</v>
      </c>
      <c r="U147" s="81"/>
      <c r="V147" s="81" t="s">
        <v>2309</v>
      </c>
      <c r="W147" s="86" t="str">
        <f>HYPERLINK("https://www.youtube.com/watch?v=1inpqIvABKc")</f>
        <v>https://www.youtube.com/watch?v=1inpqIvABKc</v>
      </c>
      <c r="X147" s="81" t="s">
        <v>2335</v>
      </c>
      <c r="Y147" s="81">
        <v>0</v>
      </c>
      <c r="Z147" s="88">
        <v>44504.448587962965</v>
      </c>
      <c r="AA147" s="88">
        <v>44504.448587962965</v>
      </c>
      <c r="AB147" s="81"/>
      <c r="AC147" s="81"/>
      <c r="AD147" s="84" t="s">
        <v>2782</v>
      </c>
      <c r="AE147" s="82">
        <v>1</v>
      </c>
      <c r="AF147" s="83" t="str">
        <f>REPLACE(INDEX(GroupVertices[Group],MATCH(Edges[[#This Row],[Vertex 1]],GroupVertices[Vertex],0)),1,1,"")</f>
        <v>2</v>
      </c>
      <c r="AG147" s="83" t="str">
        <f>REPLACE(INDEX(GroupVertices[Group],MATCH(Edges[[#This Row],[Vertex 2]],GroupVertices[Vertex],0)),1,1,"")</f>
        <v>2</v>
      </c>
      <c r="AH147" s="111">
        <v>1</v>
      </c>
      <c r="AI147" s="112">
        <v>25</v>
      </c>
      <c r="AJ147" s="111">
        <v>0</v>
      </c>
      <c r="AK147" s="112">
        <v>0</v>
      </c>
      <c r="AL147" s="111">
        <v>0</v>
      </c>
      <c r="AM147" s="112">
        <v>0</v>
      </c>
      <c r="AN147" s="111">
        <v>3</v>
      </c>
      <c r="AO147" s="112">
        <v>75</v>
      </c>
      <c r="AP147" s="111">
        <v>4</v>
      </c>
    </row>
    <row r="148" spans="1:42" ht="15">
      <c r="A148" s="65" t="s">
        <v>333</v>
      </c>
      <c r="B148" s="65" t="s">
        <v>750</v>
      </c>
      <c r="C148" s="66" t="s">
        <v>5345</v>
      </c>
      <c r="D148" s="67">
        <v>3</v>
      </c>
      <c r="E148" s="68"/>
      <c r="F148" s="69">
        <v>40</v>
      </c>
      <c r="G148" s="66"/>
      <c r="H148" s="70"/>
      <c r="I148" s="71"/>
      <c r="J148" s="71"/>
      <c r="K148" s="35" t="s">
        <v>65</v>
      </c>
      <c r="L148" s="79">
        <v>148</v>
      </c>
      <c r="M148" s="79"/>
      <c r="N148" s="73"/>
      <c r="O148" s="81" t="s">
        <v>760</v>
      </c>
      <c r="P148" s="81" t="s">
        <v>215</v>
      </c>
      <c r="Q148" s="84" t="s">
        <v>895</v>
      </c>
      <c r="R148" s="81" t="s">
        <v>333</v>
      </c>
      <c r="S148" s="81" t="s">
        <v>1662</v>
      </c>
      <c r="T148" s="86" t="str">
        <f>HYPERLINK("http://www.youtube.com/channel/UCutUbh2IWWUOfCQo8ItFYzA")</f>
        <v>http://www.youtube.com/channel/UCutUbh2IWWUOfCQo8ItFYzA</v>
      </c>
      <c r="U148" s="81"/>
      <c r="V148" s="81" t="s">
        <v>2309</v>
      </c>
      <c r="W148" s="86" t="str">
        <f>HYPERLINK("https://www.youtube.com/watch?v=1inpqIvABKc")</f>
        <v>https://www.youtube.com/watch?v=1inpqIvABKc</v>
      </c>
      <c r="X148" s="81" t="s">
        <v>2335</v>
      </c>
      <c r="Y148" s="81">
        <v>0</v>
      </c>
      <c r="Z148" s="88">
        <v>44504.44905092593</v>
      </c>
      <c r="AA148" s="88">
        <v>44504.44905092593</v>
      </c>
      <c r="AB148" s="81"/>
      <c r="AC148" s="81"/>
      <c r="AD148" s="84" t="s">
        <v>2782</v>
      </c>
      <c r="AE148" s="82">
        <v>1</v>
      </c>
      <c r="AF148" s="83" t="str">
        <f>REPLACE(INDEX(GroupVertices[Group],MATCH(Edges[[#This Row],[Vertex 1]],GroupVertices[Vertex],0)),1,1,"")</f>
        <v>2</v>
      </c>
      <c r="AG148" s="83" t="str">
        <f>REPLACE(INDEX(GroupVertices[Group],MATCH(Edges[[#This Row],[Vertex 2]],GroupVertices[Vertex],0)),1,1,"")</f>
        <v>2</v>
      </c>
      <c r="AH148" s="111">
        <v>1</v>
      </c>
      <c r="AI148" s="112">
        <v>100</v>
      </c>
      <c r="AJ148" s="111">
        <v>0</v>
      </c>
      <c r="AK148" s="112">
        <v>0</v>
      </c>
      <c r="AL148" s="111">
        <v>0</v>
      </c>
      <c r="AM148" s="112">
        <v>0</v>
      </c>
      <c r="AN148" s="111">
        <v>0</v>
      </c>
      <c r="AO148" s="112">
        <v>0</v>
      </c>
      <c r="AP148" s="111">
        <v>1</v>
      </c>
    </row>
    <row r="149" spans="1:42" ht="15">
      <c r="A149" s="65" t="s">
        <v>334</v>
      </c>
      <c r="B149" s="65" t="s">
        <v>750</v>
      </c>
      <c r="C149" s="66" t="s">
        <v>5345</v>
      </c>
      <c r="D149" s="67">
        <v>3</v>
      </c>
      <c r="E149" s="68"/>
      <c r="F149" s="69">
        <v>40</v>
      </c>
      <c r="G149" s="66"/>
      <c r="H149" s="70"/>
      <c r="I149" s="71"/>
      <c r="J149" s="71"/>
      <c r="K149" s="35" t="s">
        <v>65</v>
      </c>
      <c r="L149" s="79">
        <v>149</v>
      </c>
      <c r="M149" s="79"/>
      <c r="N149" s="73"/>
      <c r="O149" s="81" t="s">
        <v>760</v>
      </c>
      <c r="P149" s="81" t="s">
        <v>215</v>
      </c>
      <c r="Q149" s="84" t="s">
        <v>896</v>
      </c>
      <c r="R149" s="81" t="s">
        <v>334</v>
      </c>
      <c r="S149" s="81" t="s">
        <v>1663</v>
      </c>
      <c r="T149" s="86" t="str">
        <f>HYPERLINK("http://www.youtube.com/channel/UCiPCWIXHW33J978AkHlI4CA")</f>
        <v>http://www.youtube.com/channel/UCiPCWIXHW33J978AkHlI4CA</v>
      </c>
      <c r="U149" s="81"/>
      <c r="V149" s="81" t="s">
        <v>2309</v>
      </c>
      <c r="W149" s="86" t="str">
        <f>HYPERLINK("https://www.youtube.com/watch?v=1inpqIvABKc")</f>
        <v>https://www.youtube.com/watch?v=1inpqIvABKc</v>
      </c>
      <c r="X149" s="81" t="s">
        <v>2335</v>
      </c>
      <c r="Y149" s="81">
        <v>0</v>
      </c>
      <c r="Z149" s="88">
        <v>44504.44917824074</v>
      </c>
      <c r="AA149" s="88">
        <v>44504.44917824074</v>
      </c>
      <c r="AB149" s="81"/>
      <c r="AC149" s="81"/>
      <c r="AD149" s="84" t="s">
        <v>2782</v>
      </c>
      <c r="AE149" s="82">
        <v>1</v>
      </c>
      <c r="AF149" s="83" t="str">
        <f>REPLACE(INDEX(GroupVertices[Group],MATCH(Edges[[#This Row],[Vertex 1]],GroupVertices[Vertex],0)),1,1,"")</f>
        <v>2</v>
      </c>
      <c r="AG149" s="83" t="str">
        <f>REPLACE(INDEX(GroupVertices[Group],MATCH(Edges[[#This Row],[Vertex 2]],GroupVertices[Vertex],0)),1,1,"")</f>
        <v>2</v>
      </c>
      <c r="AH149" s="111">
        <v>0</v>
      </c>
      <c r="AI149" s="112">
        <v>0</v>
      </c>
      <c r="AJ149" s="111">
        <v>0</v>
      </c>
      <c r="AK149" s="112">
        <v>0</v>
      </c>
      <c r="AL149" s="111">
        <v>0</v>
      </c>
      <c r="AM149" s="112">
        <v>0</v>
      </c>
      <c r="AN149" s="111">
        <v>0</v>
      </c>
      <c r="AO149" s="112">
        <v>0</v>
      </c>
      <c r="AP149" s="111">
        <v>0</v>
      </c>
    </row>
    <row r="150" spans="1:42" ht="15">
      <c r="A150" s="65" t="s">
        <v>335</v>
      </c>
      <c r="B150" s="65" t="s">
        <v>750</v>
      </c>
      <c r="C150" s="66" t="s">
        <v>5345</v>
      </c>
      <c r="D150" s="67">
        <v>3</v>
      </c>
      <c r="E150" s="68"/>
      <c r="F150" s="69">
        <v>40</v>
      </c>
      <c r="G150" s="66"/>
      <c r="H150" s="70"/>
      <c r="I150" s="71"/>
      <c r="J150" s="71"/>
      <c r="K150" s="35" t="s">
        <v>65</v>
      </c>
      <c r="L150" s="79">
        <v>150</v>
      </c>
      <c r="M150" s="79"/>
      <c r="N150" s="73"/>
      <c r="O150" s="81" t="s">
        <v>760</v>
      </c>
      <c r="P150" s="81" t="s">
        <v>215</v>
      </c>
      <c r="Q150" s="84" t="s">
        <v>897</v>
      </c>
      <c r="R150" s="81" t="s">
        <v>335</v>
      </c>
      <c r="S150" s="81" t="s">
        <v>1664</v>
      </c>
      <c r="T150" s="86" t="str">
        <f>HYPERLINK("http://www.youtube.com/channel/UCAB5EVEnYdjH3uHp_F5sCzA")</f>
        <v>http://www.youtube.com/channel/UCAB5EVEnYdjH3uHp_F5sCzA</v>
      </c>
      <c r="U150" s="81"/>
      <c r="V150" s="81" t="s">
        <v>2309</v>
      </c>
      <c r="W150" s="86" t="str">
        <f>HYPERLINK("https://www.youtube.com/watch?v=1inpqIvABKc")</f>
        <v>https://www.youtube.com/watch?v=1inpqIvABKc</v>
      </c>
      <c r="X150" s="81" t="s">
        <v>2335</v>
      </c>
      <c r="Y150" s="81">
        <v>0</v>
      </c>
      <c r="Z150" s="88">
        <v>44504.45483796296</v>
      </c>
      <c r="AA150" s="88">
        <v>44504.45483796296</v>
      </c>
      <c r="AB150" s="81"/>
      <c r="AC150" s="81"/>
      <c r="AD150" s="84" t="s">
        <v>2782</v>
      </c>
      <c r="AE150" s="82">
        <v>1</v>
      </c>
      <c r="AF150" s="83" t="str">
        <f>REPLACE(INDEX(GroupVertices[Group],MATCH(Edges[[#This Row],[Vertex 1]],GroupVertices[Vertex],0)),1,1,"")</f>
        <v>2</v>
      </c>
      <c r="AG150" s="83" t="str">
        <f>REPLACE(INDEX(GroupVertices[Group],MATCH(Edges[[#This Row],[Vertex 2]],GroupVertices[Vertex],0)),1,1,"")</f>
        <v>2</v>
      </c>
      <c r="AH150" s="111">
        <v>1</v>
      </c>
      <c r="AI150" s="112">
        <v>100</v>
      </c>
      <c r="AJ150" s="111">
        <v>0</v>
      </c>
      <c r="AK150" s="112">
        <v>0</v>
      </c>
      <c r="AL150" s="111">
        <v>0</v>
      </c>
      <c r="AM150" s="112">
        <v>0</v>
      </c>
      <c r="AN150" s="111">
        <v>0</v>
      </c>
      <c r="AO150" s="112">
        <v>0</v>
      </c>
      <c r="AP150" s="111">
        <v>1</v>
      </c>
    </row>
    <row r="151" spans="1:42" ht="15">
      <c r="A151" s="65" t="s">
        <v>336</v>
      </c>
      <c r="B151" s="65" t="s">
        <v>340</v>
      </c>
      <c r="C151" s="66" t="s">
        <v>5345</v>
      </c>
      <c r="D151" s="67">
        <v>3</v>
      </c>
      <c r="E151" s="68"/>
      <c r="F151" s="69">
        <v>40</v>
      </c>
      <c r="G151" s="66"/>
      <c r="H151" s="70"/>
      <c r="I151" s="71"/>
      <c r="J151" s="71"/>
      <c r="K151" s="35" t="s">
        <v>65</v>
      </c>
      <c r="L151" s="79">
        <v>151</v>
      </c>
      <c r="M151" s="79"/>
      <c r="N151" s="73"/>
      <c r="O151" s="81" t="s">
        <v>761</v>
      </c>
      <c r="P151" s="81" t="s">
        <v>763</v>
      </c>
      <c r="Q151" s="84" t="s">
        <v>898</v>
      </c>
      <c r="R151" s="81" t="s">
        <v>336</v>
      </c>
      <c r="S151" s="81" t="s">
        <v>1665</v>
      </c>
      <c r="T151" s="86" t="str">
        <f>HYPERLINK("http://www.youtube.com/channel/UCqUWRyjAHrd05fGUEDn9f9Q")</f>
        <v>http://www.youtube.com/channel/UCqUWRyjAHrd05fGUEDn9f9Q</v>
      </c>
      <c r="U151" s="81" t="s">
        <v>2117</v>
      </c>
      <c r="V151" s="81" t="s">
        <v>2309</v>
      </c>
      <c r="W151" s="86" t="str">
        <f>HYPERLINK("https://www.youtube.com/watch?v=1inpqIvABKc")</f>
        <v>https://www.youtube.com/watch?v=1inpqIvABKc</v>
      </c>
      <c r="X151" s="81" t="s">
        <v>2335</v>
      </c>
      <c r="Y151" s="81">
        <v>0</v>
      </c>
      <c r="Z151" s="88">
        <v>44504.47310185185</v>
      </c>
      <c r="AA151" s="88">
        <v>44504.47310185185</v>
      </c>
      <c r="AB151" s="81"/>
      <c r="AC151" s="81"/>
      <c r="AD151" s="84" t="s">
        <v>2782</v>
      </c>
      <c r="AE151" s="82">
        <v>1</v>
      </c>
      <c r="AF151" s="83" t="str">
        <f>REPLACE(INDEX(GroupVertices[Group],MATCH(Edges[[#This Row],[Vertex 1]],GroupVertices[Vertex],0)),1,1,"")</f>
        <v>2</v>
      </c>
      <c r="AG151" s="83" t="str">
        <f>REPLACE(INDEX(GroupVertices[Group],MATCH(Edges[[#This Row],[Vertex 2]],GroupVertices[Vertex],0)),1,1,"")</f>
        <v>2</v>
      </c>
      <c r="AH151" s="111">
        <v>0</v>
      </c>
      <c r="AI151" s="112">
        <v>0</v>
      </c>
      <c r="AJ151" s="111">
        <v>0</v>
      </c>
      <c r="AK151" s="112">
        <v>0</v>
      </c>
      <c r="AL151" s="111">
        <v>0</v>
      </c>
      <c r="AM151" s="112">
        <v>0</v>
      </c>
      <c r="AN151" s="111">
        <v>0</v>
      </c>
      <c r="AO151" s="112">
        <v>0</v>
      </c>
      <c r="AP151" s="111">
        <v>0</v>
      </c>
    </row>
    <row r="152" spans="1:42" ht="15">
      <c r="A152" s="65" t="s">
        <v>337</v>
      </c>
      <c r="B152" s="65" t="s">
        <v>340</v>
      </c>
      <c r="C152" s="66" t="s">
        <v>5345</v>
      </c>
      <c r="D152" s="67">
        <v>3</v>
      </c>
      <c r="E152" s="68"/>
      <c r="F152" s="69">
        <v>40</v>
      </c>
      <c r="G152" s="66"/>
      <c r="H152" s="70"/>
      <c r="I152" s="71"/>
      <c r="J152" s="71"/>
      <c r="K152" s="35" t="s">
        <v>65</v>
      </c>
      <c r="L152" s="79">
        <v>152</v>
      </c>
      <c r="M152" s="79"/>
      <c r="N152" s="73"/>
      <c r="O152" s="81" t="s">
        <v>761</v>
      </c>
      <c r="P152" s="81" t="s">
        <v>763</v>
      </c>
      <c r="Q152" s="84" t="s">
        <v>899</v>
      </c>
      <c r="R152" s="81" t="s">
        <v>337</v>
      </c>
      <c r="S152" s="81" t="s">
        <v>1666</v>
      </c>
      <c r="T152" s="86" t="str">
        <f>HYPERLINK("http://www.youtube.com/channel/UC5rwdwwTgbjkIbUuHzNG8Jg")</f>
        <v>http://www.youtube.com/channel/UC5rwdwwTgbjkIbUuHzNG8Jg</v>
      </c>
      <c r="U152" s="81" t="s">
        <v>2117</v>
      </c>
      <c r="V152" s="81" t="s">
        <v>2309</v>
      </c>
      <c r="W152" s="86" t="str">
        <f>HYPERLINK("https://www.youtube.com/watch?v=1inpqIvABKc")</f>
        <v>https://www.youtube.com/watch?v=1inpqIvABKc</v>
      </c>
      <c r="X152" s="81" t="s">
        <v>2335</v>
      </c>
      <c r="Y152" s="81">
        <v>0</v>
      </c>
      <c r="Z152" s="88">
        <v>44504.47534722222</v>
      </c>
      <c r="AA152" s="88">
        <v>44504.47534722222</v>
      </c>
      <c r="AB152" s="81"/>
      <c r="AC152" s="81"/>
      <c r="AD152" s="84" t="s">
        <v>2782</v>
      </c>
      <c r="AE152" s="82">
        <v>1</v>
      </c>
      <c r="AF152" s="83" t="str">
        <f>REPLACE(INDEX(GroupVertices[Group],MATCH(Edges[[#This Row],[Vertex 1]],GroupVertices[Vertex],0)),1,1,"")</f>
        <v>2</v>
      </c>
      <c r="AG152" s="83" t="str">
        <f>REPLACE(INDEX(GroupVertices[Group],MATCH(Edges[[#This Row],[Vertex 2]],GroupVertices[Vertex],0)),1,1,"")</f>
        <v>2</v>
      </c>
      <c r="AH152" s="111">
        <v>0</v>
      </c>
      <c r="AI152" s="112">
        <v>0</v>
      </c>
      <c r="AJ152" s="111">
        <v>0</v>
      </c>
      <c r="AK152" s="112">
        <v>0</v>
      </c>
      <c r="AL152" s="111">
        <v>0</v>
      </c>
      <c r="AM152" s="112">
        <v>0</v>
      </c>
      <c r="AN152" s="111">
        <v>0</v>
      </c>
      <c r="AO152" s="112">
        <v>0</v>
      </c>
      <c r="AP152" s="111">
        <v>0</v>
      </c>
    </row>
    <row r="153" spans="1:42" ht="15">
      <c r="A153" s="65" t="s">
        <v>338</v>
      </c>
      <c r="B153" s="65" t="s">
        <v>340</v>
      </c>
      <c r="C153" s="66" t="s">
        <v>5345</v>
      </c>
      <c r="D153" s="67">
        <v>3</v>
      </c>
      <c r="E153" s="68"/>
      <c r="F153" s="69">
        <v>40</v>
      </c>
      <c r="G153" s="66"/>
      <c r="H153" s="70"/>
      <c r="I153" s="71"/>
      <c r="J153" s="71"/>
      <c r="K153" s="35" t="s">
        <v>65</v>
      </c>
      <c r="L153" s="79">
        <v>153</v>
      </c>
      <c r="M153" s="79"/>
      <c r="N153" s="73"/>
      <c r="O153" s="81" t="s">
        <v>761</v>
      </c>
      <c r="P153" s="81" t="s">
        <v>763</v>
      </c>
      <c r="Q153" s="84" t="s">
        <v>900</v>
      </c>
      <c r="R153" s="81" t="s">
        <v>338</v>
      </c>
      <c r="S153" s="81" t="s">
        <v>1667</v>
      </c>
      <c r="T153" s="86" t="str">
        <f>HYPERLINK("http://www.youtube.com/channel/UCuWOnyHYdImx-991vy9fJgA")</f>
        <v>http://www.youtube.com/channel/UCuWOnyHYdImx-991vy9fJgA</v>
      </c>
      <c r="U153" s="81" t="s">
        <v>2117</v>
      </c>
      <c r="V153" s="81" t="s">
        <v>2309</v>
      </c>
      <c r="W153" s="86" t="str">
        <f>HYPERLINK("https://www.youtube.com/watch?v=1inpqIvABKc")</f>
        <v>https://www.youtube.com/watch?v=1inpqIvABKc</v>
      </c>
      <c r="X153" s="81" t="s">
        <v>2335</v>
      </c>
      <c r="Y153" s="81">
        <v>0</v>
      </c>
      <c r="Z153" s="88">
        <v>44504.479317129626</v>
      </c>
      <c r="AA153" s="88">
        <v>44504.479317129626</v>
      </c>
      <c r="AB153" s="81"/>
      <c r="AC153" s="81"/>
      <c r="AD153" s="84" t="s">
        <v>2782</v>
      </c>
      <c r="AE153" s="82">
        <v>1</v>
      </c>
      <c r="AF153" s="83" t="str">
        <f>REPLACE(INDEX(GroupVertices[Group],MATCH(Edges[[#This Row],[Vertex 1]],GroupVertices[Vertex],0)),1,1,"")</f>
        <v>2</v>
      </c>
      <c r="AG153" s="83" t="str">
        <f>REPLACE(INDEX(GroupVertices[Group],MATCH(Edges[[#This Row],[Vertex 2]],GroupVertices[Vertex],0)),1,1,"")</f>
        <v>2</v>
      </c>
      <c r="AH153" s="111">
        <v>0</v>
      </c>
      <c r="AI153" s="112">
        <v>0</v>
      </c>
      <c r="AJ153" s="111">
        <v>0</v>
      </c>
      <c r="AK153" s="112">
        <v>0</v>
      </c>
      <c r="AL153" s="111">
        <v>0</v>
      </c>
      <c r="AM153" s="112">
        <v>0</v>
      </c>
      <c r="AN153" s="111">
        <v>0</v>
      </c>
      <c r="AO153" s="112">
        <v>0</v>
      </c>
      <c r="AP153" s="111">
        <v>0</v>
      </c>
    </row>
    <row r="154" spans="1:42" ht="15">
      <c r="A154" s="65" t="s">
        <v>339</v>
      </c>
      <c r="B154" s="65" t="s">
        <v>340</v>
      </c>
      <c r="C154" s="66" t="s">
        <v>5345</v>
      </c>
      <c r="D154" s="67">
        <v>3</v>
      </c>
      <c r="E154" s="68"/>
      <c r="F154" s="69">
        <v>40</v>
      </c>
      <c r="G154" s="66"/>
      <c r="H154" s="70"/>
      <c r="I154" s="71"/>
      <c r="J154" s="71"/>
      <c r="K154" s="35" t="s">
        <v>65</v>
      </c>
      <c r="L154" s="79">
        <v>154</v>
      </c>
      <c r="M154" s="79"/>
      <c r="N154" s="73"/>
      <c r="O154" s="81" t="s">
        <v>761</v>
      </c>
      <c r="P154" s="81" t="s">
        <v>763</v>
      </c>
      <c r="Q154" s="84" t="s">
        <v>900</v>
      </c>
      <c r="R154" s="81" t="s">
        <v>339</v>
      </c>
      <c r="S154" s="81" t="s">
        <v>1668</v>
      </c>
      <c r="T154" s="86" t="str">
        <f>HYPERLINK("http://www.youtube.com/channel/UCXGDofo79BwPkpIbl3cRmQw")</f>
        <v>http://www.youtube.com/channel/UCXGDofo79BwPkpIbl3cRmQw</v>
      </c>
      <c r="U154" s="81" t="s">
        <v>2117</v>
      </c>
      <c r="V154" s="81" t="s">
        <v>2309</v>
      </c>
      <c r="W154" s="86" t="str">
        <f>HYPERLINK("https://www.youtube.com/watch?v=1inpqIvABKc")</f>
        <v>https://www.youtube.com/watch?v=1inpqIvABKc</v>
      </c>
      <c r="X154" s="81" t="s">
        <v>2335</v>
      </c>
      <c r="Y154" s="81">
        <v>0</v>
      </c>
      <c r="Z154" s="88">
        <v>44504.4816087963</v>
      </c>
      <c r="AA154" s="88">
        <v>44504.4816087963</v>
      </c>
      <c r="AB154" s="81"/>
      <c r="AC154" s="81"/>
      <c r="AD154" s="84" t="s">
        <v>2782</v>
      </c>
      <c r="AE154" s="82">
        <v>1</v>
      </c>
      <c r="AF154" s="83" t="str">
        <f>REPLACE(INDEX(GroupVertices[Group],MATCH(Edges[[#This Row],[Vertex 1]],GroupVertices[Vertex],0)),1,1,"")</f>
        <v>2</v>
      </c>
      <c r="AG154" s="83" t="str">
        <f>REPLACE(INDEX(GroupVertices[Group],MATCH(Edges[[#This Row],[Vertex 2]],GroupVertices[Vertex],0)),1,1,"")</f>
        <v>2</v>
      </c>
      <c r="AH154" s="111">
        <v>0</v>
      </c>
      <c r="AI154" s="112">
        <v>0</v>
      </c>
      <c r="AJ154" s="111">
        <v>0</v>
      </c>
      <c r="AK154" s="112">
        <v>0</v>
      </c>
      <c r="AL154" s="111">
        <v>0</v>
      </c>
      <c r="AM154" s="112">
        <v>0</v>
      </c>
      <c r="AN154" s="111">
        <v>0</v>
      </c>
      <c r="AO154" s="112">
        <v>0</v>
      </c>
      <c r="AP154" s="111">
        <v>0</v>
      </c>
    </row>
    <row r="155" spans="1:42" ht="15">
      <c r="A155" s="65" t="s">
        <v>340</v>
      </c>
      <c r="B155" s="65" t="s">
        <v>750</v>
      </c>
      <c r="C155" s="66" t="s">
        <v>5345</v>
      </c>
      <c r="D155" s="67">
        <v>3</v>
      </c>
      <c r="E155" s="68"/>
      <c r="F155" s="69">
        <v>40</v>
      </c>
      <c r="G155" s="66"/>
      <c r="H155" s="70"/>
      <c r="I155" s="71"/>
      <c r="J155" s="71"/>
      <c r="K155" s="35" t="s">
        <v>65</v>
      </c>
      <c r="L155" s="79">
        <v>155</v>
      </c>
      <c r="M155" s="79"/>
      <c r="N155" s="73"/>
      <c r="O155" s="81" t="s">
        <v>760</v>
      </c>
      <c r="P155" s="81" t="s">
        <v>215</v>
      </c>
      <c r="Q155" s="84" t="s">
        <v>901</v>
      </c>
      <c r="R155" s="81" t="s">
        <v>340</v>
      </c>
      <c r="S155" s="81" t="s">
        <v>1669</v>
      </c>
      <c r="T155" s="86" t="str">
        <f>HYPERLINK("http://www.youtube.com/channel/UCN65cpvF729KocfXYsi_mVg")</f>
        <v>http://www.youtube.com/channel/UCN65cpvF729KocfXYsi_mVg</v>
      </c>
      <c r="U155" s="81"/>
      <c r="V155" s="81" t="s">
        <v>2309</v>
      </c>
      <c r="W155" s="86" t="str">
        <f>HYPERLINK("https://www.youtube.com/watch?v=1inpqIvABKc")</f>
        <v>https://www.youtube.com/watch?v=1inpqIvABKc</v>
      </c>
      <c r="X155" s="81" t="s">
        <v>2335</v>
      </c>
      <c r="Y155" s="81">
        <v>0</v>
      </c>
      <c r="Z155" s="88">
        <v>44504.47109953704</v>
      </c>
      <c r="AA155" s="88">
        <v>44504.47109953704</v>
      </c>
      <c r="AB155" s="81"/>
      <c r="AC155" s="81"/>
      <c r="AD155" s="84" t="s">
        <v>2782</v>
      </c>
      <c r="AE155" s="82">
        <v>1</v>
      </c>
      <c r="AF155" s="83" t="str">
        <f>REPLACE(INDEX(GroupVertices[Group],MATCH(Edges[[#This Row],[Vertex 1]],GroupVertices[Vertex],0)),1,1,"")</f>
        <v>2</v>
      </c>
      <c r="AG155" s="83" t="str">
        <f>REPLACE(INDEX(GroupVertices[Group],MATCH(Edges[[#This Row],[Vertex 2]],GroupVertices[Vertex],0)),1,1,"")</f>
        <v>2</v>
      </c>
      <c r="AH155" s="111">
        <v>1</v>
      </c>
      <c r="AI155" s="112">
        <v>33.333333333333336</v>
      </c>
      <c r="AJ155" s="111">
        <v>0</v>
      </c>
      <c r="AK155" s="112">
        <v>0</v>
      </c>
      <c r="AL155" s="111">
        <v>0</v>
      </c>
      <c r="AM155" s="112">
        <v>0</v>
      </c>
      <c r="AN155" s="111">
        <v>2</v>
      </c>
      <c r="AO155" s="112">
        <v>66.66666666666667</v>
      </c>
      <c r="AP155" s="111">
        <v>3</v>
      </c>
    </row>
    <row r="156" spans="1:42" ht="15">
      <c r="A156" s="65" t="s">
        <v>341</v>
      </c>
      <c r="B156" s="65" t="s">
        <v>750</v>
      </c>
      <c r="C156" s="66" t="s">
        <v>5345</v>
      </c>
      <c r="D156" s="67">
        <v>3</v>
      </c>
      <c r="E156" s="68"/>
      <c r="F156" s="69">
        <v>40</v>
      </c>
      <c r="G156" s="66"/>
      <c r="H156" s="70"/>
      <c r="I156" s="71"/>
      <c r="J156" s="71"/>
      <c r="K156" s="35" t="s">
        <v>65</v>
      </c>
      <c r="L156" s="79">
        <v>156</v>
      </c>
      <c r="M156" s="79"/>
      <c r="N156" s="73"/>
      <c r="O156" s="81" t="s">
        <v>760</v>
      </c>
      <c r="P156" s="81" t="s">
        <v>215</v>
      </c>
      <c r="Q156" s="84" t="s">
        <v>902</v>
      </c>
      <c r="R156" s="81" t="s">
        <v>341</v>
      </c>
      <c r="S156" s="81" t="s">
        <v>1670</v>
      </c>
      <c r="T156" s="86" t="str">
        <f>HYPERLINK("http://www.youtube.com/channel/UCoRdQ_Kel_HD4gtBQlrWPCw")</f>
        <v>http://www.youtube.com/channel/UCoRdQ_Kel_HD4gtBQlrWPCw</v>
      </c>
      <c r="U156" s="81"/>
      <c r="V156" s="81" t="s">
        <v>2309</v>
      </c>
      <c r="W156" s="86" t="str">
        <f>HYPERLINK("https://www.youtube.com/watch?v=1inpqIvABKc")</f>
        <v>https://www.youtube.com/watch?v=1inpqIvABKc</v>
      </c>
      <c r="X156" s="81" t="s">
        <v>2335</v>
      </c>
      <c r="Y156" s="81">
        <v>0</v>
      </c>
      <c r="Z156" s="88">
        <v>44504.49010416667</v>
      </c>
      <c r="AA156" s="88">
        <v>44504.49010416667</v>
      </c>
      <c r="AB156" s="81"/>
      <c r="AC156" s="81"/>
      <c r="AD156" s="84" t="s">
        <v>2782</v>
      </c>
      <c r="AE156" s="82">
        <v>1</v>
      </c>
      <c r="AF156" s="83" t="str">
        <f>REPLACE(INDEX(GroupVertices[Group],MATCH(Edges[[#This Row],[Vertex 1]],GroupVertices[Vertex],0)),1,1,"")</f>
        <v>2</v>
      </c>
      <c r="AG156" s="83" t="str">
        <f>REPLACE(INDEX(GroupVertices[Group],MATCH(Edges[[#This Row],[Vertex 2]],GroupVertices[Vertex],0)),1,1,"")</f>
        <v>2</v>
      </c>
      <c r="AH156" s="111">
        <v>1</v>
      </c>
      <c r="AI156" s="112">
        <v>33.333333333333336</v>
      </c>
      <c r="AJ156" s="111">
        <v>0</v>
      </c>
      <c r="AK156" s="112">
        <v>0</v>
      </c>
      <c r="AL156" s="111">
        <v>0</v>
      </c>
      <c r="AM156" s="112">
        <v>0</v>
      </c>
      <c r="AN156" s="111">
        <v>2</v>
      </c>
      <c r="AO156" s="112">
        <v>66.66666666666667</v>
      </c>
      <c r="AP156" s="111">
        <v>3</v>
      </c>
    </row>
    <row r="157" spans="1:42" ht="15">
      <c r="A157" s="65" t="s">
        <v>342</v>
      </c>
      <c r="B157" s="65" t="s">
        <v>346</v>
      </c>
      <c r="C157" s="66" t="s">
        <v>5345</v>
      </c>
      <c r="D157" s="67">
        <v>3</v>
      </c>
      <c r="E157" s="68"/>
      <c r="F157" s="69">
        <v>40</v>
      </c>
      <c r="G157" s="66"/>
      <c r="H157" s="70"/>
      <c r="I157" s="71"/>
      <c r="J157" s="71"/>
      <c r="K157" s="35" t="s">
        <v>65</v>
      </c>
      <c r="L157" s="79">
        <v>157</v>
      </c>
      <c r="M157" s="79"/>
      <c r="N157" s="73"/>
      <c r="O157" s="81" t="s">
        <v>761</v>
      </c>
      <c r="P157" s="81" t="s">
        <v>763</v>
      </c>
      <c r="Q157" s="84" t="s">
        <v>903</v>
      </c>
      <c r="R157" s="81" t="s">
        <v>342</v>
      </c>
      <c r="S157" s="81" t="s">
        <v>1671</v>
      </c>
      <c r="T157" s="86" t="str">
        <f>HYPERLINK("http://www.youtube.com/channel/UC8SNsXZlLVmlSoihrS71aPA")</f>
        <v>http://www.youtube.com/channel/UC8SNsXZlLVmlSoihrS71aPA</v>
      </c>
      <c r="U157" s="81" t="s">
        <v>2118</v>
      </c>
      <c r="V157" s="81" t="s">
        <v>2309</v>
      </c>
      <c r="W157" s="86" t="str">
        <f>HYPERLINK("https://www.youtube.com/watch?v=1inpqIvABKc")</f>
        <v>https://www.youtube.com/watch?v=1inpqIvABKc</v>
      </c>
      <c r="X157" s="81" t="s">
        <v>2335</v>
      </c>
      <c r="Y157" s="81">
        <v>0</v>
      </c>
      <c r="Z157" s="88">
        <v>44504.49083333334</v>
      </c>
      <c r="AA157" s="88">
        <v>44504.49083333334</v>
      </c>
      <c r="AB157" s="81"/>
      <c r="AC157" s="81"/>
      <c r="AD157" s="84" t="s">
        <v>2782</v>
      </c>
      <c r="AE157" s="82">
        <v>1</v>
      </c>
      <c r="AF157" s="83" t="str">
        <f>REPLACE(INDEX(GroupVertices[Group],MATCH(Edges[[#This Row],[Vertex 1]],GroupVertices[Vertex],0)),1,1,"")</f>
        <v>2</v>
      </c>
      <c r="AG157" s="83" t="str">
        <f>REPLACE(INDEX(GroupVertices[Group],MATCH(Edges[[#This Row],[Vertex 2]],GroupVertices[Vertex],0)),1,1,"")</f>
        <v>2</v>
      </c>
      <c r="AH157" s="111">
        <v>0</v>
      </c>
      <c r="AI157" s="112">
        <v>0</v>
      </c>
      <c r="AJ157" s="111">
        <v>0</v>
      </c>
      <c r="AK157" s="112">
        <v>0</v>
      </c>
      <c r="AL157" s="111">
        <v>0</v>
      </c>
      <c r="AM157" s="112">
        <v>0</v>
      </c>
      <c r="AN157" s="111">
        <v>0</v>
      </c>
      <c r="AO157" s="112">
        <v>0</v>
      </c>
      <c r="AP157" s="111">
        <v>0</v>
      </c>
    </row>
    <row r="158" spans="1:42" ht="15">
      <c r="A158" s="65" t="s">
        <v>343</v>
      </c>
      <c r="B158" s="65" t="s">
        <v>346</v>
      </c>
      <c r="C158" s="66" t="s">
        <v>5345</v>
      </c>
      <c r="D158" s="67">
        <v>3</v>
      </c>
      <c r="E158" s="68"/>
      <c r="F158" s="69">
        <v>40</v>
      </c>
      <c r="G158" s="66"/>
      <c r="H158" s="70"/>
      <c r="I158" s="71"/>
      <c r="J158" s="71"/>
      <c r="K158" s="35" t="s">
        <v>65</v>
      </c>
      <c r="L158" s="79">
        <v>158</v>
      </c>
      <c r="M158" s="79"/>
      <c r="N158" s="73"/>
      <c r="O158" s="81" t="s">
        <v>761</v>
      </c>
      <c r="P158" s="81" t="s">
        <v>763</v>
      </c>
      <c r="Q158" s="84" t="s">
        <v>904</v>
      </c>
      <c r="R158" s="81" t="s">
        <v>343</v>
      </c>
      <c r="S158" s="81" t="s">
        <v>1672</v>
      </c>
      <c r="T158" s="86" t="str">
        <f>HYPERLINK("http://www.youtube.com/channel/UCoOeq6tszRGSiEO_8vkoutQ")</f>
        <v>http://www.youtube.com/channel/UCoOeq6tszRGSiEO_8vkoutQ</v>
      </c>
      <c r="U158" s="81" t="s">
        <v>2118</v>
      </c>
      <c r="V158" s="81" t="s">
        <v>2309</v>
      </c>
      <c r="W158" s="86" t="str">
        <f>HYPERLINK("https://www.youtube.com/watch?v=1inpqIvABKc")</f>
        <v>https://www.youtube.com/watch?v=1inpqIvABKc</v>
      </c>
      <c r="X158" s="81" t="s">
        <v>2335</v>
      </c>
      <c r="Y158" s="81">
        <v>0</v>
      </c>
      <c r="Z158" s="88">
        <v>44504.49084490741</v>
      </c>
      <c r="AA158" s="88">
        <v>44504.49084490741</v>
      </c>
      <c r="AB158" s="81"/>
      <c r="AC158" s="81"/>
      <c r="AD158" s="84" t="s">
        <v>2782</v>
      </c>
      <c r="AE158" s="82">
        <v>1</v>
      </c>
      <c r="AF158" s="83" t="str">
        <f>REPLACE(INDEX(GroupVertices[Group],MATCH(Edges[[#This Row],[Vertex 1]],GroupVertices[Vertex],0)),1,1,"")</f>
        <v>2</v>
      </c>
      <c r="AG158" s="83" t="str">
        <f>REPLACE(INDEX(GroupVertices[Group],MATCH(Edges[[#This Row],[Vertex 2]],GroupVertices[Vertex],0)),1,1,"")</f>
        <v>2</v>
      </c>
      <c r="AH158" s="111">
        <v>0</v>
      </c>
      <c r="AI158" s="112">
        <v>0</v>
      </c>
      <c r="AJ158" s="111">
        <v>0</v>
      </c>
      <c r="AK158" s="112">
        <v>0</v>
      </c>
      <c r="AL158" s="111">
        <v>0</v>
      </c>
      <c r="AM158" s="112">
        <v>0</v>
      </c>
      <c r="AN158" s="111">
        <v>0</v>
      </c>
      <c r="AO158" s="112">
        <v>0</v>
      </c>
      <c r="AP158" s="111">
        <v>0</v>
      </c>
    </row>
    <row r="159" spans="1:42" ht="15">
      <c r="A159" s="65" t="s">
        <v>344</v>
      </c>
      <c r="B159" s="65" t="s">
        <v>346</v>
      </c>
      <c r="C159" s="66" t="s">
        <v>5345</v>
      </c>
      <c r="D159" s="67">
        <v>3</v>
      </c>
      <c r="E159" s="68"/>
      <c r="F159" s="69">
        <v>40</v>
      </c>
      <c r="G159" s="66"/>
      <c r="H159" s="70"/>
      <c r="I159" s="71"/>
      <c r="J159" s="71"/>
      <c r="K159" s="35" t="s">
        <v>65</v>
      </c>
      <c r="L159" s="79">
        <v>159</v>
      </c>
      <c r="M159" s="79"/>
      <c r="N159" s="73"/>
      <c r="O159" s="81" t="s">
        <v>761</v>
      </c>
      <c r="P159" s="81" t="s">
        <v>763</v>
      </c>
      <c r="Q159" s="84" t="s">
        <v>905</v>
      </c>
      <c r="R159" s="81" t="s">
        <v>344</v>
      </c>
      <c r="S159" s="81" t="s">
        <v>1673</v>
      </c>
      <c r="T159" s="86" t="str">
        <f>HYPERLINK("http://www.youtube.com/channel/UCuEqaAu_SjfAY4-RMJq4rGQ")</f>
        <v>http://www.youtube.com/channel/UCuEqaAu_SjfAY4-RMJq4rGQ</v>
      </c>
      <c r="U159" s="81" t="s">
        <v>2118</v>
      </c>
      <c r="V159" s="81" t="s">
        <v>2309</v>
      </c>
      <c r="W159" s="86" t="str">
        <f>HYPERLINK("https://www.youtube.com/watch?v=1inpqIvABKc")</f>
        <v>https://www.youtube.com/watch?v=1inpqIvABKc</v>
      </c>
      <c r="X159" s="81" t="s">
        <v>2335</v>
      </c>
      <c r="Y159" s="81">
        <v>0</v>
      </c>
      <c r="Z159" s="88">
        <v>44504.49085648148</v>
      </c>
      <c r="AA159" s="88">
        <v>44504.49085648148</v>
      </c>
      <c r="AB159" s="81"/>
      <c r="AC159" s="81"/>
      <c r="AD159" s="84" t="s">
        <v>2782</v>
      </c>
      <c r="AE159" s="82">
        <v>1</v>
      </c>
      <c r="AF159" s="83" t="str">
        <f>REPLACE(INDEX(GroupVertices[Group],MATCH(Edges[[#This Row],[Vertex 1]],GroupVertices[Vertex],0)),1,1,"")</f>
        <v>2</v>
      </c>
      <c r="AG159" s="83" t="str">
        <f>REPLACE(INDEX(GroupVertices[Group],MATCH(Edges[[#This Row],[Vertex 2]],GroupVertices[Vertex],0)),1,1,"")</f>
        <v>2</v>
      </c>
      <c r="AH159" s="111">
        <v>0</v>
      </c>
      <c r="AI159" s="112">
        <v>0</v>
      </c>
      <c r="AJ159" s="111">
        <v>0</v>
      </c>
      <c r="AK159" s="112">
        <v>0</v>
      </c>
      <c r="AL159" s="111">
        <v>0</v>
      </c>
      <c r="AM159" s="112">
        <v>0</v>
      </c>
      <c r="AN159" s="111">
        <v>0</v>
      </c>
      <c r="AO159" s="112">
        <v>0</v>
      </c>
      <c r="AP159" s="111">
        <v>0</v>
      </c>
    </row>
    <row r="160" spans="1:42" ht="15">
      <c r="A160" s="65" t="s">
        <v>345</v>
      </c>
      <c r="B160" s="65" t="s">
        <v>346</v>
      </c>
      <c r="C160" s="66" t="s">
        <v>5345</v>
      </c>
      <c r="D160" s="67">
        <v>3</v>
      </c>
      <c r="E160" s="68"/>
      <c r="F160" s="69">
        <v>40</v>
      </c>
      <c r="G160" s="66"/>
      <c r="H160" s="70"/>
      <c r="I160" s="71"/>
      <c r="J160" s="71"/>
      <c r="K160" s="35" t="s">
        <v>65</v>
      </c>
      <c r="L160" s="79">
        <v>160</v>
      </c>
      <c r="M160" s="79"/>
      <c r="N160" s="73"/>
      <c r="O160" s="81" t="s">
        <v>761</v>
      </c>
      <c r="P160" s="81" t="s">
        <v>763</v>
      </c>
      <c r="Q160" s="84" t="s">
        <v>906</v>
      </c>
      <c r="R160" s="81" t="s">
        <v>345</v>
      </c>
      <c r="S160" s="81" t="s">
        <v>1674</v>
      </c>
      <c r="T160" s="86" t="str">
        <f>HYPERLINK("http://www.youtube.com/channel/UCIYnQZAI433GJKJqhdr_6Mw")</f>
        <v>http://www.youtube.com/channel/UCIYnQZAI433GJKJqhdr_6Mw</v>
      </c>
      <c r="U160" s="81" t="s">
        <v>2118</v>
      </c>
      <c r="V160" s="81" t="s">
        <v>2309</v>
      </c>
      <c r="W160" s="86" t="str">
        <f>HYPERLINK("https://www.youtube.com/watch?v=1inpqIvABKc")</f>
        <v>https://www.youtube.com/watch?v=1inpqIvABKc</v>
      </c>
      <c r="X160" s="81" t="s">
        <v>2335</v>
      </c>
      <c r="Y160" s="81">
        <v>0</v>
      </c>
      <c r="Z160" s="88">
        <v>44504.49086805555</v>
      </c>
      <c r="AA160" s="88">
        <v>44504.49086805555</v>
      </c>
      <c r="AB160" s="81"/>
      <c r="AC160" s="81"/>
      <c r="AD160" s="84" t="s">
        <v>2782</v>
      </c>
      <c r="AE160" s="82">
        <v>1</v>
      </c>
      <c r="AF160" s="83" t="str">
        <f>REPLACE(INDEX(GroupVertices[Group],MATCH(Edges[[#This Row],[Vertex 1]],GroupVertices[Vertex],0)),1,1,"")</f>
        <v>2</v>
      </c>
      <c r="AG160" s="83" t="str">
        <f>REPLACE(INDEX(GroupVertices[Group],MATCH(Edges[[#This Row],[Vertex 2]],GroupVertices[Vertex],0)),1,1,"")</f>
        <v>2</v>
      </c>
      <c r="AH160" s="111">
        <v>0</v>
      </c>
      <c r="AI160" s="112">
        <v>0</v>
      </c>
      <c r="AJ160" s="111">
        <v>0</v>
      </c>
      <c r="AK160" s="112">
        <v>0</v>
      </c>
      <c r="AL160" s="111">
        <v>0</v>
      </c>
      <c r="AM160" s="112">
        <v>0</v>
      </c>
      <c r="AN160" s="111">
        <v>0</v>
      </c>
      <c r="AO160" s="112">
        <v>0</v>
      </c>
      <c r="AP160" s="111">
        <v>0</v>
      </c>
    </row>
    <row r="161" spans="1:42" ht="15">
      <c r="A161" s="65" t="s">
        <v>346</v>
      </c>
      <c r="B161" s="65" t="s">
        <v>750</v>
      </c>
      <c r="C161" s="66" t="s">
        <v>5345</v>
      </c>
      <c r="D161" s="67">
        <v>3</v>
      </c>
      <c r="E161" s="68"/>
      <c r="F161" s="69">
        <v>40</v>
      </c>
      <c r="G161" s="66"/>
      <c r="H161" s="70"/>
      <c r="I161" s="71"/>
      <c r="J161" s="71"/>
      <c r="K161" s="35" t="s">
        <v>65</v>
      </c>
      <c r="L161" s="79">
        <v>161</v>
      </c>
      <c r="M161" s="79"/>
      <c r="N161" s="73"/>
      <c r="O161" s="81" t="s">
        <v>760</v>
      </c>
      <c r="P161" s="81" t="s">
        <v>215</v>
      </c>
      <c r="Q161" s="84" t="s">
        <v>907</v>
      </c>
      <c r="R161" s="81" t="s">
        <v>346</v>
      </c>
      <c r="S161" s="81" t="s">
        <v>1675</v>
      </c>
      <c r="T161" s="86" t="str">
        <f>HYPERLINK("http://www.youtube.com/channel/UC3YBngwt4LQe-upUMrs7-qA")</f>
        <v>http://www.youtube.com/channel/UC3YBngwt4LQe-upUMrs7-qA</v>
      </c>
      <c r="U161" s="81"/>
      <c r="V161" s="81" t="s">
        <v>2309</v>
      </c>
      <c r="W161" s="86" t="str">
        <f>HYPERLINK("https://www.youtube.com/watch?v=1inpqIvABKc")</f>
        <v>https://www.youtube.com/watch?v=1inpqIvABKc</v>
      </c>
      <c r="X161" s="81" t="s">
        <v>2335</v>
      </c>
      <c r="Y161" s="81">
        <v>0</v>
      </c>
      <c r="Z161" s="88">
        <v>44504.490115740744</v>
      </c>
      <c r="AA161" s="88">
        <v>44504.490115740744</v>
      </c>
      <c r="AB161" s="81"/>
      <c r="AC161" s="81"/>
      <c r="AD161" s="84" t="s">
        <v>2782</v>
      </c>
      <c r="AE161" s="82">
        <v>1</v>
      </c>
      <c r="AF161" s="83" t="str">
        <f>REPLACE(INDEX(GroupVertices[Group],MATCH(Edges[[#This Row],[Vertex 1]],GroupVertices[Vertex],0)),1,1,"")</f>
        <v>2</v>
      </c>
      <c r="AG161" s="83" t="str">
        <f>REPLACE(INDEX(GroupVertices[Group],MATCH(Edges[[#This Row],[Vertex 2]],GroupVertices[Vertex],0)),1,1,"")</f>
        <v>2</v>
      </c>
      <c r="AH161" s="111">
        <v>1</v>
      </c>
      <c r="AI161" s="112">
        <v>50</v>
      </c>
      <c r="AJ161" s="111">
        <v>0</v>
      </c>
      <c r="AK161" s="112">
        <v>0</v>
      </c>
      <c r="AL161" s="111">
        <v>0</v>
      </c>
      <c r="AM161" s="112">
        <v>0</v>
      </c>
      <c r="AN161" s="111">
        <v>1</v>
      </c>
      <c r="AO161" s="112">
        <v>50</v>
      </c>
      <c r="AP161" s="111">
        <v>2</v>
      </c>
    </row>
    <row r="162" spans="1:42" ht="15">
      <c r="A162" s="65" t="s">
        <v>347</v>
      </c>
      <c r="B162" s="65" t="s">
        <v>351</v>
      </c>
      <c r="C162" s="66" t="s">
        <v>5345</v>
      </c>
      <c r="D162" s="67">
        <v>3</v>
      </c>
      <c r="E162" s="68"/>
      <c r="F162" s="69">
        <v>40</v>
      </c>
      <c r="G162" s="66"/>
      <c r="H162" s="70"/>
      <c r="I162" s="71"/>
      <c r="J162" s="71"/>
      <c r="K162" s="35" t="s">
        <v>65</v>
      </c>
      <c r="L162" s="79">
        <v>162</v>
      </c>
      <c r="M162" s="79"/>
      <c r="N162" s="73"/>
      <c r="O162" s="81" t="s">
        <v>761</v>
      </c>
      <c r="P162" s="81" t="s">
        <v>763</v>
      </c>
      <c r="Q162" s="84" t="s">
        <v>908</v>
      </c>
      <c r="R162" s="81" t="s">
        <v>347</v>
      </c>
      <c r="S162" s="81" t="s">
        <v>1676</v>
      </c>
      <c r="T162" s="86" t="str">
        <f>HYPERLINK("http://www.youtube.com/channel/UC-m58WoB59jbQ7eCLqdwMDA")</f>
        <v>http://www.youtube.com/channel/UC-m58WoB59jbQ7eCLqdwMDA</v>
      </c>
      <c r="U162" s="81" t="s">
        <v>2119</v>
      </c>
      <c r="V162" s="81" t="s">
        <v>2309</v>
      </c>
      <c r="W162" s="86" t="str">
        <f>HYPERLINK("https://www.youtube.com/watch?v=1inpqIvABKc")</f>
        <v>https://www.youtube.com/watch?v=1inpqIvABKc</v>
      </c>
      <c r="X162" s="81" t="s">
        <v>2335</v>
      </c>
      <c r="Y162" s="81">
        <v>0</v>
      </c>
      <c r="Z162" s="88">
        <v>44504.50144675926</v>
      </c>
      <c r="AA162" s="88">
        <v>44504.50144675926</v>
      </c>
      <c r="AB162" s="81"/>
      <c r="AC162" s="81"/>
      <c r="AD162" s="84" t="s">
        <v>2782</v>
      </c>
      <c r="AE162" s="82">
        <v>1</v>
      </c>
      <c r="AF162" s="83" t="str">
        <f>REPLACE(INDEX(GroupVertices[Group],MATCH(Edges[[#This Row],[Vertex 1]],GroupVertices[Vertex],0)),1,1,"")</f>
        <v>2</v>
      </c>
      <c r="AG162" s="83" t="str">
        <f>REPLACE(INDEX(GroupVertices[Group],MATCH(Edges[[#This Row],[Vertex 2]],GroupVertices[Vertex],0)),1,1,"")</f>
        <v>2</v>
      </c>
      <c r="AH162" s="111">
        <v>1</v>
      </c>
      <c r="AI162" s="112">
        <v>33.333333333333336</v>
      </c>
      <c r="AJ162" s="111">
        <v>0</v>
      </c>
      <c r="AK162" s="112">
        <v>0</v>
      </c>
      <c r="AL162" s="111">
        <v>0</v>
      </c>
      <c r="AM162" s="112">
        <v>0</v>
      </c>
      <c r="AN162" s="111">
        <v>2</v>
      </c>
      <c r="AO162" s="112">
        <v>66.66666666666667</v>
      </c>
      <c r="AP162" s="111">
        <v>3</v>
      </c>
    </row>
    <row r="163" spans="1:42" ht="15">
      <c r="A163" s="65" t="s">
        <v>348</v>
      </c>
      <c r="B163" s="65" t="s">
        <v>351</v>
      </c>
      <c r="C163" s="66" t="s">
        <v>5345</v>
      </c>
      <c r="D163" s="67">
        <v>3</v>
      </c>
      <c r="E163" s="68"/>
      <c r="F163" s="69">
        <v>40</v>
      </c>
      <c r="G163" s="66"/>
      <c r="H163" s="70"/>
      <c r="I163" s="71"/>
      <c r="J163" s="71"/>
      <c r="K163" s="35" t="s">
        <v>65</v>
      </c>
      <c r="L163" s="79">
        <v>163</v>
      </c>
      <c r="M163" s="79"/>
      <c r="N163" s="73"/>
      <c r="O163" s="81" t="s">
        <v>761</v>
      </c>
      <c r="P163" s="81" t="s">
        <v>763</v>
      </c>
      <c r="Q163" s="84" t="s">
        <v>909</v>
      </c>
      <c r="R163" s="81" t="s">
        <v>348</v>
      </c>
      <c r="S163" s="81" t="s">
        <v>1677</v>
      </c>
      <c r="T163" s="86" t="str">
        <f>HYPERLINK("http://www.youtube.com/channel/UC3QAEUb-78-9WR5oRjzK6LQ")</f>
        <v>http://www.youtube.com/channel/UC3QAEUb-78-9WR5oRjzK6LQ</v>
      </c>
      <c r="U163" s="81" t="s">
        <v>2119</v>
      </c>
      <c r="V163" s="81" t="s">
        <v>2309</v>
      </c>
      <c r="W163" s="86" t="str">
        <f>HYPERLINK("https://www.youtube.com/watch?v=1inpqIvABKc")</f>
        <v>https://www.youtube.com/watch?v=1inpqIvABKc</v>
      </c>
      <c r="X163" s="81" t="s">
        <v>2335</v>
      </c>
      <c r="Y163" s="81">
        <v>0</v>
      </c>
      <c r="Z163" s="88">
        <v>44504.50592592593</v>
      </c>
      <c r="AA163" s="88">
        <v>44504.50592592593</v>
      </c>
      <c r="AB163" s="81"/>
      <c r="AC163" s="81"/>
      <c r="AD163" s="84" t="s">
        <v>2782</v>
      </c>
      <c r="AE163" s="82">
        <v>1</v>
      </c>
      <c r="AF163" s="83" t="str">
        <f>REPLACE(INDEX(GroupVertices[Group],MATCH(Edges[[#This Row],[Vertex 1]],GroupVertices[Vertex],0)),1,1,"")</f>
        <v>2</v>
      </c>
      <c r="AG163" s="83" t="str">
        <f>REPLACE(INDEX(GroupVertices[Group],MATCH(Edges[[#This Row],[Vertex 2]],GroupVertices[Vertex],0)),1,1,"")</f>
        <v>2</v>
      </c>
      <c r="AH163" s="111">
        <v>1</v>
      </c>
      <c r="AI163" s="112">
        <v>33.333333333333336</v>
      </c>
      <c r="AJ163" s="111">
        <v>0</v>
      </c>
      <c r="AK163" s="112">
        <v>0</v>
      </c>
      <c r="AL163" s="111">
        <v>0</v>
      </c>
      <c r="AM163" s="112">
        <v>0</v>
      </c>
      <c r="AN163" s="111">
        <v>2</v>
      </c>
      <c r="AO163" s="112">
        <v>66.66666666666667</v>
      </c>
      <c r="AP163" s="111">
        <v>3</v>
      </c>
    </row>
    <row r="164" spans="1:42" ht="15">
      <c r="A164" s="65" t="s">
        <v>349</v>
      </c>
      <c r="B164" s="65" t="s">
        <v>351</v>
      </c>
      <c r="C164" s="66" t="s">
        <v>5345</v>
      </c>
      <c r="D164" s="67">
        <v>3</v>
      </c>
      <c r="E164" s="68"/>
      <c r="F164" s="69">
        <v>40</v>
      </c>
      <c r="G164" s="66"/>
      <c r="H164" s="70"/>
      <c r="I164" s="71"/>
      <c r="J164" s="71"/>
      <c r="K164" s="35" t="s">
        <v>65</v>
      </c>
      <c r="L164" s="79">
        <v>164</v>
      </c>
      <c r="M164" s="79"/>
      <c r="N164" s="73"/>
      <c r="O164" s="81" t="s">
        <v>761</v>
      </c>
      <c r="P164" s="81" t="s">
        <v>763</v>
      </c>
      <c r="Q164" s="84" t="s">
        <v>910</v>
      </c>
      <c r="R164" s="81" t="s">
        <v>349</v>
      </c>
      <c r="S164" s="81" t="s">
        <v>1678</v>
      </c>
      <c r="T164" s="86" t="str">
        <f>HYPERLINK("http://www.youtube.com/channel/UCexPcgS5YwEpk9tGUQFuQbg")</f>
        <v>http://www.youtube.com/channel/UCexPcgS5YwEpk9tGUQFuQbg</v>
      </c>
      <c r="U164" s="81" t="s">
        <v>2119</v>
      </c>
      <c r="V164" s="81" t="s">
        <v>2309</v>
      </c>
      <c r="W164" s="86" t="str">
        <f>HYPERLINK("https://www.youtube.com/watch?v=1inpqIvABKc")</f>
        <v>https://www.youtube.com/watch?v=1inpqIvABKc</v>
      </c>
      <c r="X164" s="81" t="s">
        <v>2335</v>
      </c>
      <c r="Y164" s="81">
        <v>0</v>
      </c>
      <c r="Z164" s="88">
        <v>44504.51193287037</v>
      </c>
      <c r="AA164" s="88">
        <v>44504.51193287037</v>
      </c>
      <c r="AB164" s="81"/>
      <c r="AC164" s="81"/>
      <c r="AD164" s="84" t="s">
        <v>2782</v>
      </c>
      <c r="AE164" s="82">
        <v>1</v>
      </c>
      <c r="AF164" s="83" t="str">
        <f>REPLACE(INDEX(GroupVertices[Group],MATCH(Edges[[#This Row],[Vertex 1]],GroupVertices[Vertex],0)),1,1,"")</f>
        <v>2</v>
      </c>
      <c r="AG164" s="83" t="str">
        <f>REPLACE(INDEX(GroupVertices[Group],MATCH(Edges[[#This Row],[Vertex 2]],GroupVertices[Vertex],0)),1,1,"")</f>
        <v>2</v>
      </c>
      <c r="AH164" s="111">
        <v>1</v>
      </c>
      <c r="AI164" s="112">
        <v>50</v>
      </c>
      <c r="AJ164" s="111">
        <v>0</v>
      </c>
      <c r="AK164" s="112">
        <v>0</v>
      </c>
      <c r="AL164" s="111">
        <v>0</v>
      </c>
      <c r="AM164" s="112">
        <v>0</v>
      </c>
      <c r="AN164" s="111">
        <v>1</v>
      </c>
      <c r="AO164" s="112">
        <v>50</v>
      </c>
      <c r="AP164" s="111">
        <v>2</v>
      </c>
    </row>
    <row r="165" spans="1:42" ht="15">
      <c r="A165" s="65" t="s">
        <v>350</v>
      </c>
      <c r="B165" s="65" t="s">
        <v>351</v>
      </c>
      <c r="C165" s="66" t="s">
        <v>5345</v>
      </c>
      <c r="D165" s="67">
        <v>3</v>
      </c>
      <c r="E165" s="68"/>
      <c r="F165" s="69">
        <v>40</v>
      </c>
      <c r="G165" s="66"/>
      <c r="H165" s="70"/>
      <c r="I165" s="71"/>
      <c r="J165" s="71"/>
      <c r="K165" s="35" t="s">
        <v>65</v>
      </c>
      <c r="L165" s="79">
        <v>165</v>
      </c>
      <c r="M165" s="79"/>
      <c r="N165" s="73"/>
      <c r="O165" s="81" t="s">
        <v>761</v>
      </c>
      <c r="P165" s="81" t="s">
        <v>763</v>
      </c>
      <c r="Q165" s="84" t="s">
        <v>911</v>
      </c>
      <c r="R165" s="81" t="s">
        <v>350</v>
      </c>
      <c r="S165" s="81" t="s">
        <v>1679</v>
      </c>
      <c r="T165" s="86" t="str">
        <f>HYPERLINK("http://www.youtube.com/channel/UC1E9RN8uVLv22LJu2HovsNQ")</f>
        <v>http://www.youtube.com/channel/UC1E9RN8uVLv22LJu2HovsNQ</v>
      </c>
      <c r="U165" s="81" t="s">
        <v>2119</v>
      </c>
      <c r="V165" s="81" t="s">
        <v>2309</v>
      </c>
      <c r="W165" s="86" t="str">
        <f>HYPERLINK("https://www.youtube.com/watch?v=1inpqIvABKc")</f>
        <v>https://www.youtube.com/watch?v=1inpqIvABKc</v>
      </c>
      <c r="X165" s="81" t="s">
        <v>2335</v>
      </c>
      <c r="Y165" s="81">
        <v>0</v>
      </c>
      <c r="Z165" s="88">
        <v>44504.51204861111</v>
      </c>
      <c r="AA165" s="88">
        <v>44504.51204861111</v>
      </c>
      <c r="AB165" s="81"/>
      <c r="AC165" s="81"/>
      <c r="AD165" s="84" t="s">
        <v>2782</v>
      </c>
      <c r="AE165" s="82">
        <v>1</v>
      </c>
      <c r="AF165" s="83" t="str">
        <f>REPLACE(INDEX(GroupVertices[Group],MATCH(Edges[[#This Row],[Vertex 1]],GroupVertices[Vertex],0)),1,1,"")</f>
        <v>2</v>
      </c>
      <c r="AG165" s="83" t="str">
        <f>REPLACE(INDEX(GroupVertices[Group],MATCH(Edges[[#This Row],[Vertex 2]],GroupVertices[Vertex],0)),1,1,"")</f>
        <v>2</v>
      </c>
      <c r="AH165" s="111">
        <v>1</v>
      </c>
      <c r="AI165" s="112">
        <v>50</v>
      </c>
      <c r="AJ165" s="111">
        <v>0</v>
      </c>
      <c r="AK165" s="112">
        <v>0</v>
      </c>
      <c r="AL165" s="111">
        <v>0</v>
      </c>
      <c r="AM165" s="112">
        <v>0</v>
      </c>
      <c r="AN165" s="111">
        <v>1</v>
      </c>
      <c r="AO165" s="112">
        <v>50</v>
      </c>
      <c r="AP165" s="111">
        <v>2</v>
      </c>
    </row>
    <row r="166" spans="1:42" ht="15">
      <c r="A166" s="65" t="s">
        <v>351</v>
      </c>
      <c r="B166" s="65" t="s">
        <v>750</v>
      </c>
      <c r="C166" s="66" t="s">
        <v>5345</v>
      </c>
      <c r="D166" s="67">
        <v>3</v>
      </c>
      <c r="E166" s="68"/>
      <c r="F166" s="69">
        <v>40</v>
      </c>
      <c r="G166" s="66"/>
      <c r="H166" s="70"/>
      <c r="I166" s="71"/>
      <c r="J166" s="71"/>
      <c r="K166" s="35" t="s">
        <v>65</v>
      </c>
      <c r="L166" s="79">
        <v>166</v>
      </c>
      <c r="M166" s="79"/>
      <c r="N166" s="73"/>
      <c r="O166" s="81" t="s">
        <v>760</v>
      </c>
      <c r="P166" s="81" t="s">
        <v>215</v>
      </c>
      <c r="Q166" s="84" t="s">
        <v>912</v>
      </c>
      <c r="R166" s="81" t="s">
        <v>351</v>
      </c>
      <c r="S166" s="81" t="s">
        <v>1680</v>
      </c>
      <c r="T166" s="86" t="str">
        <f>HYPERLINK("http://www.youtube.com/channel/UCt33zV2vZmhZJUWgLEMjx6w")</f>
        <v>http://www.youtube.com/channel/UCt33zV2vZmhZJUWgLEMjx6w</v>
      </c>
      <c r="U166" s="81"/>
      <c r="V166" s="81" t="s">
        <v>2309</v>
      </c>
      <c r="W166" s="86" t="str">
        <f>HYPERLINK("https://www.youtube.com/watch?v=1inpqIvABKc")</f>
        <v>https://www.youtube.com/watch?v=1inpqIvABKc</v>
      </c>
      <c r="X166" s="81" t="s">
        <v>2335</v>
      </c>
      <c r="Y166" s="81">
        <v>0</v>
      </c>
      <c r="Z166" s="88">
        <v>44504.49146990741</v>
      </c>
      <c r="AA166" s="88">
        <v>44504.49146990741</v>
      </c>
      <c r="AB166" s="81"/>
      <c r="AC166" s="81"/>
      <c r="AD166" s="84" t="s">
        <v>2782</v>
      </c>
      <c r="AE166" s="82">
        <v>1</v>
      </c>
      <c r="AF166" s="83" t="str">
        <f>REPLACE(INDEX(GroupVertices[Group],MATCH(Edges[[#This Row],[Vertex 1]],GroupVertices[Vertex],0)),1,1,"")</f>
        <v>2</v>
      </c>
      <c r="AG166" s="83" t="str">
        <f>REPLACE(INDEX(GroupVertices[Group],MATCH(Edges[[#This Row],[Vertex 2]],GroupVertices[Vertex],0)),1,1,"")</f>
        <v>2</v>
      </c>
      <c r="AH166" s="111">
        <v>1</v>
      </c>
      <c r="AI166" s="112">
        <v>25</v>
      </c>
      <c r="AJ166" s="111">
        <v>0</v>
      </c>
      <c r="AK166" s="112">
        <v>0</v>
      </c>
      <c r="AL166" s="111">
        <v>0</v>
      </c>
      <c r="AM166" s="112">
        <v>0</v>
      </c>
      <c r="AN166" s="111">
        <v>3</v>
      </c>
      <c r="AO166" s="112">
        <v>75</v>
      </c>
      <c r="AP166" s="111">
        <v>4</v>
      </c>
    </row>
    <row r="167" spans="1:42" ht="15">
      <c r="A167" s="65" t="s">
        <v>352</v>
      </c>
      <c r="B167" s="65" t="s">
        <v>750</v>
      </c>
      <c r="C167" s="66" t="s">
        <v>5345</v>
      </c>
      <c r="D167" s="67">
        <v>3</v>
      </c>
      <c r="E167" s="68"/>
      <c r="F167" s="69">
        <v>40</v>
      </c>
      <c r="G167" s="66"/>
      <c r="H167" s="70"/>
      <c r="I167" s="71"/>
      <c r="J167" s="71"/>
      <c r="K167" s="35" t="s">
        <v>65</v>
      </c>
      <c r="L167" s="79">
        <v>167</v>
      </c>
      <c r="M167" s="79"/>
      <c r="N167" s="73"/>
      <c r="O167" s="81" t="s">
        <v>760</v>
      </c>
      <c r="P167" s="81" t="s">
        <v>215</v>
      </c>
      <c r="Q167" s="84" t="s">
        <v>913</v>
      </c>
      <c r="R167" s="81" t="s">
        <v>352</v>
      </c>
      <c r="S167" s="81" t="s">
        <v>1681</v>
      </c>
      <c r="T167" s="86" t="str">
        <f>HYPERLINK("http://www.youtube.com/channel/UCTbFzUA5kbLE-JO7xhNpAbA")</f>
        <v>http://www.youtube.com/channel/UCTbFzUA5kbLE-JO7xhNpAbA</v>
      </c>
      <c r="U167" s="81"/>
      <c r="V167" s="81" t="s">
        <v>2309</v>
      </c>
      <c r="W167" s="86" t="str">
        <f>HYPERLINK("https://www.youtube.com/watch?v=1inpqIvABKc")</f>
        <v>https://www.youtube.com/watch?v=1inpqIvABKc</v>
      </c>
      <c r="X167" s="81" t="s">
        <v>2335</v>
      </c>
      <c r="Y167" s="81">
        <v>0</v>
      </c>
      <c r="Z167" s="88">
        <v>44504.50618055555</v>
      </c>
      <c r="AA167" s="88">
        <v>44504.50618055555</v>
      </c>
      <c r="AB167" s="81"/>
      <c r="AC167" s="81"/>
      <c r="AD167" s="84" t="s">
        <v>2782</v>
      </c>
      <c r="AE167" s="82">
        <v>1</v>
      </c>
      <c r="AF167" s="83" t="str">
        <f>REPLACE(INDEX(GroupVertices[Group],MATCH(Edges[[#This Row],[Vertex 1]],GroupVertices[Vertex],0)),1,1,"")</f>
        <v>2</v>
      </c>
      <c r="AG167" s="83" t="str">
        <f>REPLACE(INDEX(GroupVertices[Group],MATCH(Edges[[#This Row],[Vertex 2]],GroupVertices[Vertex],0)),1,1,"")</f>
        <v>2</v>
      </c>
      <c r="AH167" s="111">
        <v>1</v>
      </c>
      <c r="AI167" s="112">
        <v>50</v>
      </c>
      <c r="AJ167" s="111">
        <v>0</v>
      </c>
      <c r="AK167" s="112">
        <v>0</v>
      </c>
      <c r="AL167" s="111">
        <v>0</v>
      </c>
      <c r="AM167" s="112">
        <v>0</v>
      </c>
      <c r="AN167" s="111">
        <v>1</v>
      </c>
      <c r="AO167" s="112">
        <v>50</v>
      </c>
      <c r="AP167" s="111">
        <v>2</v>
      </c>
    </row>
    <row r="168" spans="1:42" ht="15">
      <c r="A168" s="65" t="s">
        <v>353</v>
      </c>
      <c r="B168" s="65" t="s">
        <v>750</v>
      </c>
      <c r="C168" s="66" t="s">
        <v>5345</v>
      </c>
      <c r="D168" s="67">
        <v>3</v>
      </c>
      <c r="E168" s="68"/>
      <c r="F168" s="69">
        <v>40</v>
      </c>
      <c r="G168" s="66"/>
      <c r="H168" s="70"/>
      <c r="I168" s="71"/>
      <c r="J168" s="71"/>
      <c r="K168" s="35" t="s">
        <v>65</v>
      </c>
      <c r="L168" s="79">
        <v>168</v>
      </c>
      <c r="M168" s="79"/>
      <c r="N168" s="73"/>
      <c r="O168" s="81" t="s">
        <v>760</v>
      </c>
      <c r="P168" s="81" t="s">
        <v>215</v>
      </c>
      <c r="Q168" s="84" t="s">
        <v>914</v>
      </c>
      <c r="R168" s="81" t="s">
        <v>353</v>
      </c>
      <c r="S168" s="81" t="s">
        <v>1682</v>
      </c>
      <c r="T168" s="86" t="str">
        <f>HYPERLINK("http://www.youtube.com/channel/UCVvZhdlLqApr-IaFZn-PmCw")</f>
        <v>http://www.youtube.com/channel/UCVvZhdlLqApr-IaFZn-PmCw</v>
      </c>
      <c r="U168" s="81"/>
      <c r="V168" s="81" t="s">
        <v>2309</v>
      </c>
      <c r="W168" s="86" t="str">
        <f>HYPERLINK("https://www.youtube.com/watch?v=1inpqIvABKc")</f>
        <v>https://www.youtube.com/watch?v=1inpqIvABKc</v>
      </c>
      <c r="X168" s="81" t="s">
        <v>2335</v>
      </c>
      <c r="Y168" s="81">
        <v>0</v>
      </c>
      <c r="Z168" s="88">
        <v>44504.51613425926</v>
      </c>
      <c r="AA168" s="88">
        <v>44504.51613425926</v>
      </c>
      <c r="AB168" s="81"/>
      <c r="AC168" s="81"/>
      <c r="AD168" s="84" t="s">
        <v>2782</v>
      </c>
      <c r="AE168" s="82">
        <v>1</v>
      </c>
      <c r="AF168" s="83" t="str">
        <f>REPLACE(INDEX(GroupVertices[Group],MATCH(Edges[[#This Row],[Vertex 1]],GroupVertices[Vertex],0)),1,1,"")</f>
        <v>2</v>
      </c>
      <c r="AG168" s="83" t="str">
        <f>REPLACE(INDEX(GroupVertices[Group],MATCH(Edges[[#This Row],[Vertex 2]],GroupVertices[Vertex],0)),1,1,"")</f>
        <v>2</v>
      </c>
      <c r="AH168" s="111">
        <v>0</v>
      </c>
      <c r="AI168" s="112">
        <v>0</v>
      </c>
      <c r="AJ168" s="111">
        <v>0</v>
      </c>
      <c r="AK168" s="112">
        <v>0</v>
      </c>
      <c r="AL168" s="111">
        <v>0</v>
      </c>
      <c r="AM168" s="112">
        <v>0</v>
      </c>
      <c r="AN168" s="111">
        <v>0</v>
      </c>
      <c r="AO168" s="112">
        <v>0</v>
      </c>
      <c r="AP168" s="111">
        <v>0</v>
      </c>
    </row>
    <row r="169" spans="1:42" ht="15">
      <c r="A169" s="65" t="s">
        <v>354</v>
      </c>
      <c r="B169" s="65" t="s">
        <v>750</v>
      </c>
      <c r="C169" s="66" t="s">
        <v>5345</v>
      </c>
      <c r="D169" s="67">
        <v>3</v>
      </c>
      <c r="E169" s="68"/>
      <c r="F169" s="69">
        <v>40</v>
      </c>
      <c r="G169" s="66"/>
      <c r="H169" s="70"/>
      <c r="I169" s="71"/>
      <c r="J169" s="71"/>
      <c r="K169" s="35" t="s">
        <v>65</v>
      </c>
      <c r="L169" s="79">
        <v>169</v>
      </c>
      <c r="M169" s="79"/>
      <c r="N169" s="73"/>
      <c r="O169" s="81" t="s">
        <v>760</v>
      </c>
      <c r="P169" s="81" t="s">
        <v>215</v>
      </c>
      <c r="Q169" s="84" t="s">
        <v>915</v>
      </c>
      <c r="R169" s="81" t="s">
        <v>354</v>
      </c>
      <c r="S169" s="81" t="s">
        <v>1683</v>
      </c>
      <c r="T169" s="86" t="str">
        <f>HYPERLINK("http://www.youtube.com/channel/UCRWVRshFnDKbA4qpoFdOGiw")</f>
        <v>http://www.youtube.com/channel/UCRWVRshFnDKbA4qpoFdOGiw</v>
      </c>
      <c r="U169" s="81"/>
      <c r="V169" s="81" t="s">
        <v>2309</v>
      </c>
      <c r="W169" s="86" t="str">
        <f>HYPERLINK("https://www.youtube.com/watch?v=1inpqIvABKc")</f>
        <v>https://www.youtube.com/watch?v=1inpqIvABKc</v>
      </c>
      <c r="X169" s="81" t="s">
        <v>2335</v>
      </c>
      <c r="Y169" s="81">
        <v>0</v>
      </c>
      <c r="Z169" s="88">
        <v>44504.51905092593</v>
      </c>
      <c r="AA169" s="88">
        <v>44504.51905092593</v>
      </c>
      <c r="AB169" s="81"/>
      <c r="AC169" s="81"/>
      <c r="AD169" s="84" t="s">
        <v>2782</v>
      </c>
      <c r="AE169" s="82">
        <v>1</v>
      </c>
      <c r="AF169" s="83" t="str">
        <f>REPLACE(INDEX(GroupVertices[Group],MATCH(Edges[[#This Row],[Vertex 1]],GroupVertices[Vertex],0)),1,1,"")</f>
        <v>2</v>
      </c>
      <c r="AG169" s="83" t="str">
        <f>REPLACE(INDEX(GroupVertices[Group],MATCH(Edges[[#This Row],[Vertex 2]],GroupVertices[Vertex],0)),1,1,"")</f>
        <v>2</v>
      </c>
      <c r="AH169" s="111">
        <v>0</v>
      </c>
      <c r="AI169" s="112">
        <v>0</v>
      </c>
      <c r="AJ169" s="111">
        <v>0</v>
      </c>
      <c r="AK169" s="112">
        <v>0</v>
      </c>
      <c r="AL169" s="111">
        <v>0</v>
      </c>
      <c r="AM169" s="112">
        <v>0</v>
      </c>
      <c r="AN169" s="111">
        <v>0</v>
      </c>
      <c r="AO169" s="112">
        <v>0</v>
      </c>
      <c r="AP169" s="111">
        <v>0</v>
      </c>
    </row>
    <row r="170" spans="1:42" ht="15">
      <c r="A170" s="65" t="s">
        <v>355</v>
      </c>
      <c r="B170" s="65" t="s">
        <v>750</v>
      </c>
      <c r="C170" s="66" t="s">
        <v>5345</v>
      </c>
      <c r="D170" s="67">
        <v>3</v>
      </c>
      <c r="E170" s="68"/>
      <c r="F170" s="69">
        <v>40</v>
      </c>
      <c r="G170" s="66"/>
      <c r="H170" s="70"/>
      <c r="I170" s="71"/>
      <c r="J170" s="71"/>
      <c r="K170" s="35" t="s">
        <v>65</v>
      </c>
      <c r="L170" s="79">
        <v>170</v>
      </c>
      <c r="M170" s="79"/>
      <c r="N170" s="73"/>
      <c r="O170" s="81" t="s">
        <v>760</v>
      </c>
      <c r="P170" s="81" t="s">
        <v>215</v>
      </c>
      <c r="Q170" s="84" t="s">
        <v>916</v>
      </c>
      <c r="R170" s="81" t="s">
        <v>355</v>
      </c>
      <c r="S170" s="81" t="s">
        <v>1684</v>
      </c>
      <c r="T170" s="86" t="str">
        <f>HYPERLINK("http://www.youtube.com/channel/UC7bgOwCD0IJGIWpOJCPtAbQ")</f>
        <v>http://www.youtube.com/channel/UC7bgOwCD0IJGIWpOJCPtAbQ</v>
      </c>
      <c r="U170" s="81"/>
      <c r="V170" s="81" t="s">
        <v>2309</v>
      </c>
      <c r="W170" s="86" t="str">
        <f>HYPERLINK("https://www.youtube.com/watch?v=1inpqIvABKc")</f>
        <v>https://www.youtube.com/watch?v=1inpqIvABKc</v>
      </c>
      <c r="X170" s="81" t="s">
        <v>2335</v>
      </c>
      <c r="Y170" s="81">
        <v>0</v>
      </c>
      <c r="Z170" s="88">
        <v>44504.52568287037</v>
      </c>
      <c r="AA170" s="88">
        <v>44504.52568287037</v>
      </c>
      <c r="AB170" s="81"/>
      <c r="AC170" s="81"/>
      <c r="AD170" s="84" t="s">
        <v>2782</v>
      </c>
      <c r="AE170" s="82">
        <v>1</v>
      </c>
      <c r="AF170" s="83" t="str">
        <f>REPLACE(INDEX(GroupVertices[Group],MATCH(Edges[[#This Row],[Vertex 1]],GroupVertices[Vertex],0)),1,1,"")</f>
        <v>2</v>
      </c>
      <c r="AG170" s="83" t="str">
        <f>REPLACE(INDEX(GroupVertices[Group],MATCH(Edges[[#This Row],[Vertex 2]],GroupVertices[Vertex],0)),1,1,"")</f>
        <v>2</v>
      </c>
      <c r="AH170" s="111">
        <v>1</v>
      </c>
      <c r="AI170" s="112">
        <v>25</v>
      </c>
      <c r="AJ170" s="111">
        <v>0</v>
      </c>
      <c r="AK170" s="112">
        <v>0</v>
      </c>
      <c r="AL170" s="111">
        <v>0</v>
      </c>
      <c r="AM170" s="112">
        <v>0</v>
      </c>
      <c r="AN170" s="111">
        <v>3</v>
      </c>
      <c r="AO170" s="112">
        <v>75</v>
      </c>
      <c r="AP170" s="111">
        <v>4</v>
      </c>
    </row>
    <row r="171" spans="1:42" ht="15">
      <c r="A171" s="65" t="s">
        <v>356</v>
      </c>
      <c r="B171" s="65" t="s">
        <v>750</v>
      </c>
      <c r="C171" s="66" t="s">
        <v>5345</v>
      </c>
      <c r="D171" s="67">
        <v>3</v>
      </c>
      <c r="E171" s="68"/>
      <c r="F171" s="69">
        <v>40</v>
      </c>
      <c r="G171" s="66"/>
      <c r="H171" s="70"/>
      <c r="I171" s="71"/>
      <c r="J171" s="71"/>
      <c r="K171" s="35" t="s">
        <v>65</v>
      </c>
      <c r="L171" s="79">
        <v>171</v>
      </c>
      <c r="M171" s="79"/>
      <c r="N171" s="73"/>
      <c r="O171" s="81" t="s">
        <v>760</v>
      </c>
      <c r="P171" s="81" t="s">
        <v>215</v>
      </c>
      <c r="Q171" s="84" t="s">
        <v>917</v>
      </c>
      <c r="R171" s="81" t="s">
        <v>356</v>
      </c>
      <c r="S171" s="81" t="s">
        <v>1685</v>
      </c>
      <c r="T171" s="86" t="str">
        <f>HYPERLINK("http://www.youtube.com/channel/UCgZeHhFlTwp92lwf6MMPb3A")</f>
        <v>http://www.youtube.com/channel/UCgZeHhFlTwp92lwf6MMPb3A</v>
      </c>
      <c r="U171" s="81"/>
      <c r="V171" s="81" t="s">
        <v>2309</v>
      </c>
      <c r="W171" s="86" t="str">
        <f>HYPERLINK("https://www.youtube.com/watch?v=1inpqIvABKc")</f>
        <v>https://www.youtube.com/watch?v=1inpqIvABKc</v>
      </c>
      <c r="X171" s="81" t="s">
        <v>2335</v>
      </c>
      <c r="Y171" s="81">
        <v>0</v>
      </c>
      <c r="Z171" s="88">
        <v>44504.55900462963</v>
      </c>
      <c r="AA171" s="88">
        <v>44504.55900462963</v>
      </c>
      <c r="AB171" s="81"/>
      <c r="AC171" s="81"/>
      <c r="AD171" s="84" t="s">
        <v>2782</v>
      </c>
      <c r="AE171" s="82">
        <v>1</v>
      </c>
      <c r="AF171" s="83" t="str">
        <f>REPLACE(INDEX(GroupVertices[Group],MATCH(Edges[[#This Row],[Vertex 1]],GroupVertices[Vertex],0)),1,1,"")</f>
        <v>2</v>
      </c>
      <c r="AG171" s="83" t="str">
        <f>REPLACE(INDEX(GroupVertices[Group],MATCH(Edges[[#This Row],[Vertex 2]],GroupVertices[Vertex],0)),1,1,"")</f>
        <v>2</v>
      </c>
      <c r="AH171" s="111">
        <v>1</v>
      </c>
      <c r="AI171" s="112">
        <v>33.333333333333336</v>
      </c>
      <c r="AJ171" s="111">
        <v>0</v>
      </c>
      <c r="AK171" s="112">
        <v>0</v>
      </c>
      <c r="AL171" s="111">
        <v>0</v>
      </c>
      <c r="AM171" s="112">
        <v>0</v>
      </c>
      <c r="AN171" s="111">
        <v>2</v>
      </c>
      <c r="AO171" s="112">
        <v>66.66666666666667</v>
      </c>
      <c r="AP171" s="111">
        <v>3</v>
      </c>
    </row>
    <row r="172" spans="1:42" ht="15">
      <c r="A172" s="65" t="s">
        <v>357</v>
      </c>
      <c r="B172" s="65" t="s">
        <v>750</v>
      </c>
      <c r="C172" s="66" t="s">
        <v>5345</v>
      </c>
      <c r="D172" s="67">
        <v>3</v>
      </c>
      <c r="E172" s="68"/>
      <c r="F172" s="69">
        <v>40</v>
      </c>
      <c r="G172" s="66"/>
      <c r="H172" s="70"/>
      <c r="I172" s="71"/>
      <c r="J172" s="71"/>
      <c r="K172" s="35" t="s">
        <v>65</v>
      </c>
      <c r="L172" s="79">
        <v>172</v>
      </c>
      <c r="M172" s="79"/>
      <c r="N172" s="73"/>
      <c r="O172" s="81" t="s">
        <v>760</v>
      </c>
      <c r="P172" s="81" t="s">
        <v>215</v>
      </c>
      <c r="Q172" s="84" t="s">
        <v>918</v>
      </c>
      <c r="R172" s="81" t="s">
        <v>357</v>
      </c>
      <c r="S172" s="81" t="s">
        <v>1686</v>
      </c>
      <c r="T172" s="86" t="str">
        <f>HYPERLINK("http://www.youtube.com/channel/UC7ho2K2f3M4xbOVqSAKPmMQ")</f>
        <v>http://www.youtube.com/channel/UC7ho2K2f3M4xbOVqSAKPmMQ</v>
      </c>
      <c r="U172" s="81"/>
      <c r="V172" s="81" t="s">
        <v>2309</v>
      </c>
      <c r="W172" s="86" t="str">
        <f>HYPERLINK("https://www.youtube.com/watch?v=1inpqIvABKc")</f>
        <v>https://www.youtube.com/watch?v=1inpqIvABKc</v>
      </c>
      <c r="X172" s="81" t="s">
        <v>2335</v>
      </c>
      <c r="Y172" s="81">
        <v>0</v>
      </c>
      <c r="Z172" s="88">
        <v>44504.55975694444</v>
      </c>
      <c r="AA172" s="88">
        <v>44504.55975694444</v>
      </c>
      <c r="AB172" s="81"/>
      <c r="AC172" s="81"/>
      <c r="AD172" s="84" t="s">
        <v>2782</v>
      </c>
      <c r="AE172" s="82">
        <v>1</v>
      </c>
      <c r="AF172" s="83" t="str">
        <f>REPLACE(INDEX(GroupVertices[Group],MATCH(Edges[[#This Row],[Vertex 1]],GroupVertices[Vertex],0)),1,1,"")</f>
        <v>2</v>
      </c>
      <c r="AG172" s="83" t="str">
        <f>REPLACE(INDEX(GroupVertices[Group],MATCH(Edges[[#This Row],[Vertex 2]],GroupVertices[Vertex],0)),1,1,"")</f>
        <v>2</v>
      </c>
      <c r="AH172" s="111">
        <v>2</v>
      </c>
      <c r="AI172" s="112">
        <v>66.66666666666667</v>
      </c>
      <c r="AJ172" s="111">
        <v>0</v>
      </c>
      <c r="AK172" s="112">
        <v>0</v>
      </c>
      <c r="AL172" s="111">
        <v>0</v>
      </c>
      <c r="AM172" s="112">
        <v>0</v>
      </c>
      <c r="AN172" s="111">
        <v>1</v>
      </c>
      <c r="AO172" s="112">
        <v>33.333333333333336</v>
      </c>
      <c r="AP172" s="111">
        <v>3</v>
      </c>
    </row>
    <row r="173" spans="1:42" ht="15">
      <c r="A173" s="65" t="s">
        <v>358</v>
      </c>
      <c r="B173" s="65" t="s">
        <v>750</v>
      </c>
      <c r="C173" s="66" t="s">
        <v>5345</v>
      </c>
      <c r="D173" s="67">
        <v>3</v>
      </c>
      <c r="E173" s="68"/>
      <c r="F173" s="69">
        <v>40</v>
      </c>
      <c r="G173" s="66"/>
      <c r="H173" s="70"/>
      <c r="I173" s="71"/>
      <c r="J173" s="71"/>
      <c r="K173" s="35" t="s">
        <v>65</v>
      </c>
      <c r="L173" s="79">
        <v>173</v>
      </c>
      <c r="M173" s="79"/>
      <c r="N173" s="73"/>
      <c r="O173" s="81" t="s">
        <v>760</v>
      </c>
      <c r="P173" s="81" t="s">
        <v>215</v>
      </c>
      <c r="Q173" s="84" t="s">
        <v>919</v>
      </c>
      <c r="R173" s="81" t="s">
        <v>358</v>
      </c>
      <c r="S173" s="81" t="s">
        <v>1687</v>
      </c>
      <c r="T173" s="86" t="str">
        <f>HYPERLINK("http://www.youtube.com/channel/UCwIzw2Vt5qz1Tz8FgDhSuhw")</f>
        <v>http://www.youtube.com/channel/UCwIzw2Vt5qz1Tz8FgDhSuhw</v>
      </c>
      <c r="U173" s="81"/>
      <c r="V173" s="81" t="s">
        <v>2309</v>
      </c>
      <c r="W173" s="86" t="str">
        <f>HYPERLINK("https://www.youtube.com/watch?v=1inpqIvABKc")</f>
        <v>https://www.youtube.com/watch?v=1inpqIvABKc</v>
      </c>
      <c r="X173" s="81" t="s">
        <v>2335</v>
      </c>
      <c r="Y173" s="81">
        <v>0</v>
      </c>
      <c r="Z173" s="88">
        <v>44504.559849537036</v>
      </c>
      <c r="AA173" s="88">
        <v>44504.559849537036</v>
      </c>
      <c r="AB173" s="81"/>
      <c r="AC173" s="81"/>
      <c r="AD173" s="84" t="s">
        <v>2782</v>
      </c>
      <c r="AE173" s="82">
        <v>1</v>
      </c>
      <c r="AF173" s="83" t="str">
        <f>REPLACE(INDEX(GroupVertices[Group],MATCH(Edges[[#This Row],[Vertex 1]],GroupVertices[Vertex],0)),1,1,"")</f>
        <v>2</v>
      </c>
      <c r="AG173" s="83" t="str">
        <f>REPLACE(INDEX(GroupVertices[Group],MATCH(Edges[[#This Row],[Vertex 2]],GroupVertices[Vertex],0)),1,1,"")</f>
        <v>2</v>
      </c>
      <c r="AH173" s="111">
        <v>2</v>
      </c>
      <c r="AI173" s="112">
        <v>66.66666666666667</v>
      </c>
      <c r="AJ173" s="111">
        <v>0</v>
      </c>
      <c r="AK173" s="112">
        <v>0</v>
      </c>
      <c r="AL173" s="111">
        <v>0</v>
      </c>
      <c r="AM173" s="112">
        <v>0</v>
      </c>
      <c r="AN173" s="111">
        <v>1</v>
      </c>
      <c r="AO173" s="112">
        <v>33.333333333333336</v>
      </c>
      <c r="AP173" s="111">
        <v>3</v>
      </c>
    </row>
    <row r="174" spans="1:42" ht="15">
      <c r="A174" s="65" t="s">
        <v>359</v>
      </c>
      <c r="B174" s="65" t="s">
        <v>750</v>
      </c>
      <c r="C174" s="66" t="s">
        <v>5345</v>
      </c>
      <c r="D174" s="67">
        <v>3</v>
      </c>
      <c r="E174" s="68"/>
      <c r="F174" s="69">
        <v>40</v>
      </c>
      <c r="G174" s="66"/>
      <c r="H174" s="70"/>
      <c r="I174" s="71"/>
      <c r="J174" s="71"/>
      <c r="K174" s="35" t="s">
        <v>65</v>
      </c>
      <c r="L174" s="79">
        <v>174</v>
      </c>
      <c r="M174" s="79"/>
      <c r="N174" s="73"/>
      <c r="O174" s="81" t="s">
        <v>760</v>
      </c>
      <c r="P174" s="81" t="s">
        <v>215</v>
      </c>
      <c r="Q174" s="84" t="s">
        <v>920</v>
      </c>
      <c r="R174" s="81" t="s">
        <v>359</v>
      </c>
      <c r="S174" s="81" t="s">
        <v>1688</v>
      </c>
      <c r="T174" s="86" t="str">
        <f>HYPERLINK("http://www.youtube.com/channel/UCrW7iZNB1JWfjaIbHwFcr8w")</f>
        <v>http://www.youtube.com/channel/UCrW7iZNB1JWfjaIbHwFcr8w</v>
      </c>
      <c r="U174" s="81"/>
      <c r="V174" s="81" t="s">
        <v>2309</v>
      </c>
      <c r="W174" s="86" t="str">
        <f>HYPERLINK("https://www.youtube.com/watch?v=1inpqIvABKc")</f>
        <v>https://www.youtube.com/watch?v=1inpqIvABKc</v>
      </c>
      <c r="X174" s="81" t="s">
        <v>2335</v>
      </c>
      <c r="Y174" s="81">
        <v>0</v>
      </c>
      <c r="Z174" s="88">
        <v>44504.562939814816</v>
      </c>
      <c r="AA174" s="88">
        <v>44504.562939814816</v>
      </c>
      <c r="AB174" s="81"/>
      <c r="AC174" s="81"/>
      <c r="AD174" s="84" t="s">
        <v>2782</v>
      </c>
      <c r="AE174" s="82">
        <v>1</v>
      </c>
      <c r="AF174" s="83" t="str">
        <f>REPLACE(INDEX(GroupVertices[Group],MATCH(Edges[[#This Row],[Vertex 1]],GroupVertices[Vertex],0)),1,1,"")</f>
        <v>2</v>
      </c>
      <c r="AG174" s="83" t="str">
        <f>REPLACE(INDEX(GroupVertices[Group],MATCH(Edges[[#This Row],[Vertex 2]],GroupVertices[Vertex],0)),1,1,"")</f>
        <v>2</v>
      </c>
      <c r="AH174" s="111">
        <v>2</v>
      </c>
      <c r="AI174" s="112">
        <v>66.66666666666667</v>
      </c>
      <c r="AJ174" s="111">
        <v>0</v>
      </c>
      <c r="AK174" s="112">
        <v>0</v>
      </c>
      <c r="AL174" s="111">
        <v>0</v>
      </c>
      <c r="AM174" s="112">
        <v>0</v>
      </c>
      <c r="AN174" s="111">
        <v>1</v>
      </c>
      <c r="AO174" s="112">
        <v>33.333333333333336</v>
      </c>
      <c r="AP174" s="111">
        <v>3</v>
      </c>
    </row>
    <row r="175" spans="1:42" ht="15">
      <c r="A175" s="65" t="s">
        <v>360</v>
      </c>
      <c r="B175" s="65" t="s">
        <v>750</v>
      </c>
      <c r="C175" s="66" t="s">
        <v>5345</v>
      </c>
      <c r="D175" s="67">
        <v>3</v>
      </c>
      <c r="E175" s="68"/>
      <c r="F175" s="69">
        <v>40</v>
      </c>
      <c r="G175" s="66"/>
      <c r="H175" s="70"/>
      <c r="I175" s="71"/>
      <c r="J175" s="71"/>
      <c r="K175" s="35" t="s">
        <v>65</v>
      </c>
      <c r="L175" s="79">
        <v>175</v>
      </c>
      <c r="M175" s="79"/>
      <c r="N175" s="73"/>
      <c r="O175" s="81" t="s">
        <v>760</v>
      </c>
      <c r="P175" s="81" t="s">
        <v>215</v>
      </c>
      <c r="Q175" s="84" t="s">
        <v>921</v>
      </c>
      <c r="R175" s="81" t="s">
        <v>360</v>
      </c>
      <c r="S175" s="81" t="s">
        <v>1689</v>
      </c>
      <c r="T175" s="86" t="str">
        <f>HYPERLINK("http://www.youtube.com/channel/UCWDYHHAXGht21SY23VjkGkA")</f>
        <v>http://www.youtube.com/channel/UCWDYHHAXGht21SY23VjkGkA</v>
      </c>
      <c r="U175" s="81"/>
      <c r="V175" s="81" t="s">
        <v>2309</v>
      </c>
      <c r="W175" s="86" t="str">
        <f>HYPERLINK("https://www.youtube.com/watch?v=1inpqIvABKc")</f>
        <v>https://www.youtube.com/watch?v=1inpqIvABKc</v>
      </c>
      <c r="X175" s="81" t="s">
        <v>2335</v>
      </c>
      <c r="Y175" s="81">
        <v>0</v>
      </c>
      <c r="Z175" s="88">
        <v>44504.56355324074</v>
      </c>
      <c r="AA175" s="88">
        <v>44504.56355324074</v>
      </c>
      <c r="AB175" s="81"/>
      <c r="AC175" s="81"/>
      <c r="AD175" s="84" t="s">
        <v>2782</v>
      </c>
      <c r="AE175" s="82">
        <v>1</v>
      </c>
      <c r="AF175" s="83" t="str">
        <f>REPLACE(INDEX(GroupVertices[Group],MATCH(Edges[[#This Row],[Vertex 1]],GroupVertices[Vertex],0)),1,1,"")</f>
        <v>2</v>
      </c>
      <c r="AG175" s="83" t="str">
        <f>REPLACE(INDEX(GroupVertices[Group],MATCH(Edges[[#This Row],[Vertex 2]],GroupVertices[Vertex],0)),1,1,"")</f>
        <v>2</v>
      </c>
      <c r="AH175" s="111">
        <v>2</v>
      </c>
      <c r="AI175" s="112">
        <v>50</v>
      </c>
      <c r="AJ175" s="111">
        <v>0</v>
      </c>
      <c r="AK175" s="112">
        <v>0</v>
      </c>
      <c r="AL175" s="111">
        <v>0</v>
      </c>
      <c r="AM175" s="112">
        <v>0</v>
      </c>
      <c r="AN175" s="111">
        <v>2</v>
      </c>
      <c r="AO175" s="112">
        <v>50</v>
      </c>
      <c r="AP175" s="111">
        <v>4</v>
      </c>
    </row>
    <row r="176" spans="1:42" ht="15">
      <c r="A176" s="65" t="s">
        <v>361</v>
      </c>
      <c r="B176" s="65" t="s">
        <v>365</v>
      </c>
      <c r="C176" s="66" t="s">
        <v>5345</v>
      </c>
      <c r="D176" s="67">
        <v>3</v>
      </c>
      <c r="E176" s="68"/>
      <c r="F176" s="69">
        <v>40</v>
      </c>
      <c r="G176" s="66"/>
      <c r="H176" s="70"/>
      <c r="I176" s="71"/>
      <c r="J176" s="71"/>
      <c r="K176" s="35" t="s">
        <v>65</v>
      </c>
      <c r="L176" s="79">
        <v>176</v>
      </c>
      <c r="M176" s="79"/>
      <c r="N176" s="73"/>
      <c r="O176" s="81" t="s">
        <v>761</v>
      </c>
      <c r="P176" s="81" t="s">
        <v>763</v>
      </c>
      <c r="Q176" s="84" t="s">
        <v>922</v>
      </c>
      <c r="R176" s="81" t="s">
        <v>361</v>
      </c>
      <c r="S176" s="81" t="s">
        <v>1690</v>
      </c>
      <c r="T176" s="86" t="str">
        <f>HYPERLINK("http://www.youtube.com/channel/UCzjAxoGGrW5N2D3L-znZs8g")</f>
        <v>http://www.youtube.com/channel/UCzjAxoGGrW5N2D3L-znZs8g</v>
      </c>
      <c r="U176" s="81" t="s">
        <v>2120</v>
      </c>
      <c r="V176" s="81" t="s">
        <v>2309</v>
      </c>
      <c r="W176" s="86" t="str">
        <f>HYPERLINK("https://www.youtube.com/watch?v=1inpqIvABKc")</f>
        <v>https://www.youtube.com/watch?v=1inpqIvABKc</v>
      </c>
      <c r="X176" s="81" t="s">
        <v>2335</v>
      </c>
      <c r="Y176" s="81">
        <v>0</v>
      </c>
      <c r="Z176" s="88">
        <v>44504.591215277775</v>
      </c>
      <c r="AA176" s="88">
        <v>44504.591215277775</v>
      </c>
      <c r="AB176" s="81"/>
      <c r="AC176" s="81"/>
      <c r="AD176" s="84" t="s">
        <v>2782</v>
      </c>
      <c r="AE176" s="82">
        <v>1</v>
      </c>
      <c r="AF176" s="83" t="str">
        <f>REPLACE(INDEX(GroupVertices[Group],MATCH(Edges[[#This Row],[Vertex 1]],GroupVertices[Vertex],0)),1,1,"")</f>
        <v>2</v>
      </c>
      <c r="AG176" s="83" t="str">
        <f>REPLACE(INDEX(GroupVertices[Group],MATCH(Edges[[#This Row],[Vertex 2]],GroupVertices[Vertex],0)),1,1,"")</f>
        <v>2</v>
      </c>
      <c r="AH176" s="111">
        <v>1</v>
      </c>
      <c r="AI176" s="112">
        <v>100</v>
      </c>
      <c r="AJ176" s="111">
        <v>0</v>
      </c>
      <c r="AK176" s="112">
        <v>0</v>
      </c>
      <c r="AL176" s="111">
        <v>0</v>
      </c>
      <c r="AM176" s="112">
        <v>0</v>
      </c>
      <c r="AN176" s="111">
        <v>0</v>
      </c>
      <c r="AO176" s="112">
        <v>0</v>
      </c>
      <c r="AP176" s="111">
        <v>1</v>
      </c>
    </row>
    <row r="177" spans="1:42" ht="15">
      <c r="A177" s="65" t="s">
        <v>362</v>
      </c>
      <c r="B177" s="65" t="s">
        <v>365</v>
      </c>
      <c r="C177" s="66" t="s">
        <v>5345</v>
      </c>
      <c r="D177" s="67">
        <v>3</v>
      </c>
      <c r="E177" s="68"/>
      <c r="F177" s="69">
        <v>40</v>
      </c>
      <c r="G177" s="66"/>
      <c r="H177" s="70"/>
      <c r="I177" s="71"/>
      <c r="J177" s="71"/>
      <c r="K177" s="35" t="s">
        <v>65</v>
      </c>
      <c r="L177" s="79">
        <v>177</v>
      </c>
      <c r="M177" s="79"/>
      <c r="N177" s="73"/>
      <c r="O177" s="81" t="s">
        <v>761</v>
      </c>
      <c r="P177" s="81" t="s">
        <v>763</v>
      </c>
      <c r="Q177" s="84" t="s">
        <v>923</v>
      </c>
      <c r="R177" s="81" t="s">
        <v>362</v>
      </c>
      <c r="S177" s="81" t="s">
        <v>1691</v>
      </c>
      <c r="T177" s="86" t="str">
        <f>HYPERLINK("http://www.youtube.com/channel/UCp5Kag4sWxCTN_eARh8QKLw")</f>
        <v>http://www.youtube.com/channel/UCp5Kag4sWxCTN_eARh8QKLw</v>
      </c>
      <c r="U177" s="81" t="s">
        <v>2120</v>
      </c>
      <c r="V177" s="81" t="s">
        <v>2309</v>
      </c>
      <c r="W177" s="86" t="str">
        <f>HYPERLINK("https://www.youtube.com/watch?v=1inpqIvABKc")</f>
        <v>https://www.youtube.com/watch?v=1inpqIvABKc</v>
      </c>
      <c r="X177" s="81" t="s">
        <v>2335</v>
      </c>
      <c r="Y177" s="81">
        <v>0</v>
      </c>
      <c r="Z177" s="88">
        <v>44504.591365740744</v>
      </c>
      <c r="AA177" s="88">
        <v>44504.591365740744</v>
      </c>
      <c r="AB177" s="81"/>
      <c r="AC177" s="81"/>
      <c r="AD177" s="84" t="s">
        <v>2782</v>
      </c>
      <c r="AE177" s="82">
        <v>1</v>
      </c>
      <c r="AF177" s="83" t="str">
        <f>REPLACE(INDEX(GroupVertices[Group],MATCH(Edges[[#This Row],[Vertex 1]],GroupVertices[Vertex],0)),1,1,"")</f>
        <v>2</v>
      </c>
      <c r="AG177" s="83" t="str">
        <f>REPLACE(INDEX(GroupVertices[Group],MATCH(Edges[[#This Row],[Vertex 2]],GroupVertices[Vertex],0)),1,1,"")</f>
        <v>2</v>
      </c>
      <c r="AH177" s="111">
        <v>1</v>
      </c>
      <c r="AI177" s="112">
        <v>100</v>
      </c>
      <c r="AJ177" s="111">
        <v>0</v>
      </c>
      <c r="AK177" s="112">
        <v>0</v>
      </c>
      <c r="AL177" s="111">
        <v>0</v>
      </c>
      <c r="AM177" s="112">
        <v>0</v>
      </c>
      <c r="AN177" s="111">
        <v>0</v>
      </c>
      <c r="AO177" s="112">
        <v>0</v>
      </c>
      <c r="AP177" s="111">
        <v>1</v>
      </c>
    </row>
    <row r="178" spans="1:42" ht="15">
      <c r="A178" s="65" t="s">
        <v>363</v>
      </c>
      <c r="B178" s="65" t="s">
        <v>365</v>
      </c>
      <c r="C178" s="66" t="s">
        <v>5345</v>
      </c>
      <c r="D178" s="67">
        <v>3</v>
      </c>
      <c r="E178" s="68"/>
      <c r="F178" s="69">
        <v>40</v>
      </c>
      <c r="G178" s="66"/>
      <c r="H178" s="70"/>
      <c r="I178" s="71"/>
      <c r="J178" s="71"/>
      <c r="K178" s="35" t="s">
        <v>65</v>
      </c>
      <c r="L178" s="79">
        <v>178</v>
      </c>
      <c r="M178" s="79"/>
      <c r="N178" s="73"/>
      <c r="O178" s="81" t="s">
        <v>761</v>
      </c>
      <c r="P178" s="81" t="s">
        <v>763</v>
      </c>
      <c r="Q178" s="84" t="s">
        <v>924</v>
      </c>
      <c r="R178" s="81" t="s">
        <v>363</v>
      </c>
      <c r="S178" s="81" t="s">
        <v>1692</v>
      </c>
      <c r="T178" s="86" t="str">
        <f>HYPERLINK("http://www.youtube.com/channel/UC341eEWmNYqF24Gzvlc4fkA")</f>
        <v>http://www.youtube.com/channel/UC341eEWmNYqF24Gzvlc4fkA</v>
      </c>
      <c r="U178" s="81" t="s">
        <v>2120</v>
      </c>
      <c r="V178" s="81" t="s">
        <v>2309</v>
      </c>
      <c r="W178" s="86" t="str">
        <f>HYPERLINK("https://www.youtube.com/watch?v=1inpqIvABKc")</f>
        <v>https://www.youtube.com/watch?v=1inpqIvABKc</v>
      </c>
      <c r="X178" s="81" t="s">
        <v>2335</v>
      </c>
      <c r="Y178" s="81">
        <v>0</v>
      </c>
      <c r="Z178" s="88">
        <v>44504.59855324074</v>
      </c>
      <c r="AA178" s="88">
        <v>44504.59855324074</v>
      </c>
      <c r="AB178" s="81"/>
      <c r="AC178" s="81"/>
      <c r="AD178" s="84" t="s">
        <v>2782</v>
      </c>
      <c r="AE178" s="82">
        <v>1</v>
      </c>
      <c r="AF178" s="83" t="str">
        <f>REPLACE(INDEX(GroupVertices[Group],MATCH(Edges[[#This Row],[Vertex 1]],GroupVertices[Vertex],0)),1,1,"")</f>
        <v>2</v>
      </c>
      <c r="AG178" s="83" t="str">
        <f>REPLACE(INDEX(GroupVertices[Group],MATCH(Edges[[#This Row],[Vertex 2]],GroupVertices[Vertex],0)),1,1,"")</f>
        <v>2</v>
      </c>
      <c r="AH178" s="111">
        <v>0</v>
      </c>
      <c r="AI178" s="112">
        <v>0</v>
      </c>
      <c r="AJ178" s="111">
        <v>0</v>
      </c>
      <c r="AK178" s="112">
        <v>0</v>
      </c>
      <c r="AL178" s="111">
        <v>0</v>
      </c>
      <c r="AM178" s="112">
        <v>0</v>
      </c>
      <c r="AN178" s="111">
        <v>0</v>
      </c>
      <c r="AO178" s="112">
        <v>0</v>
      </c>
      <c r="AP178" s="111">
        <v>0</v>
      </c>
    </row>
    <row r="179" spans="1:42" ht="15">
      <c r="A179" s="65" t="s">
        <v>364</v>
      </c>
      <c r="B179" s="65" t="s">
        <v>365</v>
      </c>
      <c r="C179" s="66" t="s">
        <v>5345</v>
      </c>
      <c r="D179" s="67">
        <v>3</v>
      </c>
      <c r="E179" s="68"/>
      <c r="F179" s="69">
        <v>40</v>
      </c>
      <c r="G179" s="66"/>
      <c r="H179" s="70"/>
      <c r="I179" s="71"/>
      <c r="J179" s="71"/>
      <c r="K179" s="35" t="s">
        <v>65</v>
      </c>
      <c r="L179" s="79">
        <v>179</v>
      </c>
      <c r="M179" s="79"/>
      <c r="N179" s="73"/>
      <c r="O179" s="81" t="s">
        <v>761</v>
      </c>
      <c r="P179" s="81" t="s">
        <v>763</v>
      </c>
      <c r="Q179" s="84" t="s">
        <v>925</v>
      </c>
      <c r="R179" s="81" t="s">
        <v>364</v>
      </c>
      <c r="S179" s="81" t="s">
        <v>1693</v>
      </c>
      <c r="T179" s="86" t="str">
        <f>HYPERLINK("http://www.youtube.com/channel/UCO0IBwnxH5xOXKwBn-kV5xg")</f>
        <v>http://www.youtube.com/channel/UCO0IBwnxH5xOXKwBn-kV5xg</v>
      </c>
      <c r="U179" s="81" t="s">
        <v>2120</v>
      </c>
      <c r="V179" s="81" t="s">
        <v>2309</v>
      </c>
      <c r="W179" s="86" t="str">
        <f>HYPERLINK("https://www.youtube.com/watch?v=1inpqIvABKc")</f>
        <v>https://www.youtube.com/watch?v=1inpqIvABKc</v>
      </c>
      <c r="X179" s="81" t="s">
        <v>2335</v>
      </c>
      <c r="Y179" s="81">
        <v>0</v>
      </c>
      <c r="Z179" s="88">
        <v>44504.59900462963</v>
      </c>
      <c r="AA179" s="88">
        <v>44504.59900462963</v>
      </c>
      <c r="AB179" s="81"/>
      <c r="AC179" s="81"/>
      <c r="AD179" s="84" t="s">
        <v>2782</v>
      </c>
      <c r="AE179" s="82">
        <v>1</v>
      </c>
      <c r="AF179" s="83" t="str">
        <f>REPLACE(INDEX(GroupVertices[Group],MATCH(Edges[[#This Row],[Vertex 1]],GroupVertices[Vertex],0)),1,1,"")</f>
        <v>2</v>
      </c>
      <c r="AG179" s="83" t="str">
        <f>REPLACE(INDEX(GroupVertices[Group],MATCH(Edges[[#This Row],[Vertex 2]],GroupVertices[Vertex],0)),1,1,"")</f>
        <v>2</v>
      </c>
      <c r="AH179" s="111">
        <v>1</v>
      </c>
      <c r="AI179" s="112">
        <v>100</v>
      </c>
      <c r="AJ179" s="111">
        <v>0</v>
      </c>
      <c r="AK179" s="112">
        <v>0</v>
      </c>
      <c r="AL179" s="111">
        <v>0</v>
      </c>
      <c r="AM179" s="112">
        <v>0</v>
      </c>
      <c r="AN179" s="111">
        <v>0</v>
      </c>
      <c r="AO179" s="112">
        <v>0</v>
      </c>
      <c r="AP179" s="111">
        <v>1</v>
      </c>
    </row>
    <row r="180" spans="1:42" ht="15">
      <c r="A180" s="65" t="s">
        <v>365</v>
      </c>
      <c r="B180" s="65" t="s">
        <v>750</v>
      </c>
      <c r="C180" s="66" t="s">
        <v>5345</v>
      </c>
      <c r="D180" s="67">
        <v>3</v>
      </c>
      <c r="E180" s="68"/>
      <c r="F180" s="69">
        <v>40</v>
      </c>
      <c r="G180" s="66"/>
      <c r="H180" s="70"/>
      <c r="I180" s="71"/>
      <c r="J180" s="71"/>
      <c r="K180" s="35" t="s">
        <v>65</v>
      </c>
      <c r="L180" s="79">
        <v>180</v>
      </c>
      <c r="M180" s="79"/>
      <c r="N180" s="73"/>
      <c r="O180" s="81" t="s">
        <v>760</v>
      </c>
      <c r="P180" s="81" t="s">
        <v>215</v>
      </c>
      <c r="Q180" s="84" t="s">
        <v>926</v>
      </c>
      <c r="R180" s="81" t="s">
        <v>365</v>
      </c>
      <c r="S180" s="81" t="s">
        <v>1694</v>
      </c>
      <c r="T180" s="86" t="str">
        <f>HYPERLINK("http://www.youtube.com/channel/UCc5qSD99fsedz_bPujJzZMQ")</f>
        <v>http://www.youtube.com/channel/UCc5qSD99fsedz_bPujJzZMQ</v>
      </c>
      <c r="U180" s="81"/>
      <c r="V180" s="81" t="s">
        <v>2309</v>
      </c>
      <c r="W180" s="86" t="str">
        <f>HYPERLINK("https://www.youtube.com/watch?v=1inpqIvABKc")</f>
        <v>https://www.youtube.com/watch?v=1inpqIvABKc</v>
      </c>
      <c r="X180" s="81" t="s">
        <v>2335</v>
      </c>
      <c r="Y180" s="81">
        <v>0</v>
      </c>
      <c r="Z180" s="88">
        <v>44504.59087962963</v>
      </c>
      <c r="AA180" s="88">
        <v>44504.59087962963</v>
      </c>
      <c r="AB180" s="81"/>
      <c r="AC180" s="81"/>
      <c r="AD180" s="84" t="s">
        <v>2782</v>
      </c>
      <c r="AE180" s="82">
        <v>1</v>
      </c>
      <c r="AF180" s="83" t="str">
        <f>REPLACE(INDEX(GroupVertices[Group],MATCH(Edges[[#This Row],[Vertex 1]],GroupVertices[Vertex],0)),1,1,"")</f>
        <v>2</v>
      </c>
      <c r="AG180" s="83" t="str">
        <f>REPLACE(INDEX(GroupVertices[Group],MATCH(Edges[[#This Row],[Vertex 2]],GroupVertices[Vertex],0)),1,1,"")</f>
        <v>2</v>
      </c>
      <c r="AH180" s="111">
        <v>1</v>
      </c>
      <c r="AI180" s="112">
        <v>20</v>
      </c>
      <c r="AJ180" s="111">
        <v>0</v>
      </c>
      <c r="AK180" s="112">
        <v>0</v>
      </c>
      <c r="AL180" s="111">
        <v>0</v>
      </c>
      <c r="AM180" s="112">
        <v>0</v>
      </c>
      <c r="AN180" s="111">
        <v>4</v>
      </c>
      <c r="AO180" s="112">
        <v>80</v>
      </c>
      <c r="AP180" s="111">
        <v>5</v>
      </c>
    </row>
    <row r="181" spans="1:42" ht="15">
      <c r="A181" s="65" t="s">
        <v>366</v>
      </c>
      <c r="B181" s="65" t="s">
        <v>750</v>
      </c>
      <c r="C181" s="66" t="s">
        <v>5345</v>
      </c>
      <c r="D181" s="67">
        <v>3</v>
      </c>
      <c r="E181" s="68"/>
      <c r="F181" s="69">
        <v>40</v>
      </c>
      <c r="G181" s="66"/>
      <c r="H181" s="70"/>
      <c r="I181" s="71"/>
      <c r="J181" s="71"/>
      <c r="K181" s="35" t="s">
        <v>65</v>
      </c>
      <c r="L181" s="79">
        <v>181</v>
      </c>
      <c r="M181" s="79"/>
      <c r="N181" s="73"/>
      <c r="O181" s="81" t="s">
        <v>760</v>
      </c>
      <c r="P181" s="81" t="s">
        <v>215</v>
      </c>
      <c r="Q181" s="84" t="s">
        <v>927</v>
      </c>
      <c r="R181" s="81" t="s">
        <v>366</v>
      </c>
      <c r="S181" s="81" t="s">
        <v>1695</v>
      </c>
      <c r="T181" s="86" t="str">
        <f>HYPERLINK("http://www.youtube.com/channel/UCtJhSmj-ROvwOTPQWkFAWDA")</f>
        <v>http://www.youtube.com/channel/UCtJhSmj-ROvwOTPQWkFAWDA</v>
      </c>
      <c r="U181" s="81"/>
      <c r="V181" s="81" t="s">
        <v>2309</v>
      </c>
      <c r="W181" s="86" t="str">
        <f>HYPERLINK("https://www.youtube.com/watch?v=1inpqIvABKc")</f>
        <v>https://www.youtube.com/watch?v=1inpqIvABKc</v>
      </c>
      <c r="X181" s="81" t="s">
        <v>2335</v>
      </c>
      <c r="Y181" s="81">
        <v>0</v>
      </c>
      <c r="Z181" s="88">
        <v>44504.62923611111</v>
      </c>
      <c r="AA181" s="88">
        <v>44504.62923611111</v>
      </c>
      <c r="AB181" s="81"/>
      <c r="AC181" s="81"/>
      <c r="AD181" s="84" t="s">
        <v>2782</v>
      </c>
      <c r="AE181" s="82">
        <v>1</v>
      </c>
      <c r="AF181" s="83" t="str">
        <f>REPLACE(INDEX(GroupVertices[Group],MATCH(Edges[[#This Row],[Vertex 1]],GroupVertices[Vertex],0)),1,1,"")</f>
        <v>2</v>
      </c>
      <c r="AG181" s="83" t="str">
        <f>REPLACE(INDEX(GroupVertices[Group],MATCH(Edges[[#This Row],[Vertex 2]],GroupVertices[Vertex],0)),1,1,"")</f>
        <v>2</v>
      </c>
      <c r="AH181" s="111">
        <v>0</v>
      </c>
      <c r="AI181" s="112">
        <v>0</v>
      </c>
      <c r="AJ181" s="111">
        <v>0</v>
      </c>
      <c r="AK181" s="112">
        <v>0</v>
      </c>
      <c r="AL181" s="111">
        <v>0</v>
      </c>
      <c r="AM181" s="112">
        <v>0</v>
      </c>
      <c r="AN181" s="111">
        <v>2</v>
      </c>
      <c r="AO181" s="112">
        <v>100</v>
      </c>
      <c r="AP181" s="111">
        <v>2</v>
      </c>
    </row>
    <row r="182" spans="1:42" ht="15">
      <c r="A182" s="65" t="s">
        <v>367</v>
      </c>
      <c r="B182" s="65" t="s">
        <v>750</v>
      </c>
      <c r="C182" s="66" t="s">
        <v>5345</v>
      </c>
      <c r="D182" s="67">
        <v>3</v>
      </c>
      <c r="E182" s="68"/>
      <c r="F182" s="69">
        <v>40</v>
      </c>
      <c r="G182" s="66"/>
      <c r="H182" s="70"/>
      <c r="I182" s="71"/>
      <c r="J182" s="71"/>
      <c r="K182" s="35" t="s">
        <v>65</v>
      </c>
      <c r="L182" s="79">
        <v>182</v>
      </c>
      <c r="M182" s="79"/>
      <c r="N182" s="73"/>
      <c r="O182" s="81" t="s">
        <v>760</v>
      </c>
      <c r="P182" s="81" t="s">
        <v>215</v>
      </c>
      <c r="Q182" s="84" t="s">
        <v>928</v>
      </c>
      <c r="R182" s="81" t="s">
        <v>367</v>
      </c>
      <c r="S182" s="81" t="s">
        <v>1696</v>
      </c>
      <c r="T182" s="86" t="str">
        <f>HYPERLINK("http://www.youtube.com/channel/UCSKt8QeRDca9r-7vuo_DAzA")</f>
        <v>http://www.youtube.com/channel/UCSKt8QeRDca9r-7vuo_DAzA</v>
      </c>
      <c r="U182" s="81"/>
      <c r="V182" s="81" t="s">
        <v>2309</v>
      </c>
      <c r="W182" s="86" t="str">
        <f>HYPERLINK("https://www.youtube.com/watch?v=1inpqIvABKc")</f>
        <v>https://www.youtube.com/watch?v=1inpqIvABKc</v>
      </c>
      <c r="X182" s="81" t="s">
        <v>2335</v>
      </c>
      <c r="Y182" s="81">
        <v>0</v>
      </c>
      <c r="Z182" s="88">
        <v>44504.62930555556</v>
      </c>
      <c r="AA182" s="88">
        <v>44504.62930555556</v>
      </c>
      <c r="AB182" s="81"/>
      <c r="AC182" s="81"/>
      <c r="AD182" s="84" t="s">
        <v>2782</v>
      </c>
      <c r="AE182" s="82">
        <v>1</v>
      </c>
      <c r="AF182" s="83" t="str">
        <f>REPLACE(INDEX(GroupVertices[Group],MATCH(Edges[[#This Row],[Vertex 1]],GroupVertices[Vertex],0)),1,1,"")</f>
        <v>2</v>
      </c>
      <c r="AG182" s="83" t="str">
        <f>REPLACE(INDEX(GroupVertices[Group],MATCH(Edges[[#This Row],[Vertex 2]],GroupVertices[Vertex],0)),1,1,"")</f>
        <v>2</v>
      </c>
      <c r="AH182" s="111">
        <v>0</v>
      </c>
      <c r="AI182" s="112">
        <v>0</v>
      </c>
      <c r="AJ182" s="111">
        <v>0</v>
      </c>
      <c r="AK182" s="112">
        <v>0</v>
      </c>
      <c r="AL182" s="111">
        <v>0</v>
      </c>
      <c r="AM182" s="112">
        <v>0</v>
      </c>
      <c r="AN182" s="111">
        <v>2</v>
      </c>
      <c r="AO182" s="112">
        <v>100</v>
      </c>
      <c r="AP182" s="111">
        <v>2</v>
      </c>
    </row>
    <row r="183" spans="1:42" ht="15">
      <c r="A183" s="65" t="s">
        <v>368</v>
      </c>
      <c r="B183" s="65" t="s">
        <v>750</v>
      </c>
      <c r="C183" s="66" t="s">
        <v>5345</v>
      </c>
      <c r="D183" s="67">
        <v>3</v>
      </c>
      <c r="E183" s="68"/>
      <c r="F183" s="69">
        <v>40</v>
      </c>
      <c r="G183" s="66"/>
      <c r="H183" s="70"/>
      <c r="I183" s="71"/>
      <c r="J183" s="71"/>
      <c r="K183" s="35" t="s">
        <v>65</v>
      </c>
      <c r="L183" s="79">
        <v>183</v>
      </c>
      <c r="M183" s="79"/>
      <c r="N183" s="73"/>
      <c r="O183" s="81" t="s">
        <v>760</v>
      </c>
      <c r="P183" s="81" t="s">
        <v>215</v>
      </c>
      <c r="Q183" s="84" t="s">
        <v>929</v>
      </c>
      <c r="R183" s="81" t="s">
        <v>368</v>
      </c>
      <c r="S183" s="81" t="s">
        <v>1697</v>
      </c>
      <c r="T183" s="86" t="str">
        <f>HYPERLINK("http://www.youtube.com/channel/UCz2qV_1MldBmv5SjKib7dOQ")</f>
        <v>http://www.youtube.com/channel/UCz2qV_1MldBmv5SjKib7dOQ</v>
      </c>
      <c r="U183" s="81"/>
      <c r="V183" s="81" t="s">
        <v>2309</v>
      </c>
      <c r="W183" s="86" t="str">
        <f>HYPERLINK("https://www.youtube.com/watch?v=1inpqIvABKc")</f>
        <v>https://www.youtube.com/watch?v=1inpqIvABKc</v>
      </c>
      <c r="X183" s="81" t="s">
        <v>2335</v>
      </c>
      <c r="Y183" s="81">
        <v>0</v>
      </c>
      <c r="Z183" s="88">
        <v>44504.63048611111</v>
      </c>
      <c r="AA183" s="88">
        <v>44504.63048611111</v>
      </c>
      <c r="AB183" s="81"/>
      <c r="AC183" s="81"/>
      <c r="AD183" s="84" t="s">
        <v>2782</v>
      </c>
      <c r="AE183" s="82">
        <v>1</v>
      </c>
      <c r="AF183" s="83" t="str">
        <f>REPLACE(INDEX(GroupVertices[Group],MATCH(Edges[[#This Row],[Vertex 1]],GroupVertices[Vertex],0)),1,1,"")</f>
        <v>2</v>
      </c>
      <c r="AG183" s="83" t="str">
        <f>REPLACE(INDEX(GroupVertices[Group],MATCH(Edges[[#This Row],[Vertex 2]],GroupVertices[Vertex],0)),1,1,"")</f>
        <v>2</v>
      </c>
      <c r="AH183" s="111">
        <v>0</v>
      </c>
      <c r="AI183" s="112">
        <v>0</v>
      </c>
      <c r="AJ183" s="111">
        <v>0</v>
      </c>
      <c r="AK183" s="112">
        <v>0</v>
      </c>
      <c r="AL183" s="111">
        <v>0</v>
      </c>
      <c r="AM183" s="112">
        <v>0</v>
      </c>
      <c r="AN183" s="111">
        <v>1</v>
      </c>
      <c r="AO183" s="112">
        <v>100</v>
      </c>
      <c r="AP183" s="111">
        <v>1</v>
      </c>
    </row>
    <row r="184" spans="1:42" ht="15">
      <c r="A184" s="65" t="s">
        <v>369</v>
      </c>
      <c r="B184" s="65" t="s">
        <v>750</v>
      </c>
      <c r="C184" s="66" t="s">
        <v>5345</v>
      </c>
      <c r="D184" s="67">
        <v>3</v>
      </c>
      <c r="E184" s="68"/>
      <c r="F184" s="69">
        <v>40</v>
      </c>
      <c r="G184" s="66"/>
      <c r="H184" s="70"/>
      <c r="I184" s="71"/>
      <c r="J184" s="71"/>
      <c r="K184" s="35" t="s">
        <v>65</v>
      </c>
      <c r="L184" s="79">
        <v>184</v>
      </c>
      <c r="M184" s="79"/>
      <c r="N184" s="73"/>
      <c r="O184" s="81" t="s">
        <v>760</v>
      </c>
      <c r="P184" s="81" t="s">
        <v>215</v>
      </c>
      <c r="Q184" s="84" t="s">
        <v>930</v>
      </c>
      <c r="R184" s="81" t="s">
        <v>369</v>
      </c>
      <c r="S184" s="81" t="s">
        <v>1698</v>
      </c>
      <c r="T184" s="86" t="str">
        <f>HYPERLINK("http://www.youtube.com/channel/UCU2lp9qQZQ_Pc1gxOKmGr3w")</f>
        <v>http://www.youtube.com/channel/UCU2lp9qQZQ_Pc1gxOKmGr3w</v>
      </c>
      <c r="U184" s="81"/>
      <c r="V184" s="81" t="s">
        <v>2309</v>
      </c>
      <c r="W184" s="86" t="str">
        <f>HYPERLINK("https://www.youtube.com/watch?v=1inpqIvABKc")</f>
        <v>https://www.youtube.com/watch?v=1inpqIvABKc</v>
      </c>
      <c r="X184" s="81" t="s">
        <v>2335</v>
      </c>
      <c r="Y184" s="81">
        <v>0</v>
      </c>
      <c r="Z184" s="88">
        <v>44504.665671296294</v>
      </c>
      <c r="AA184" s="88">
        <v>44504.665671296294</v>
      </c>
      <c r="AB184" s="81"/>
      <c r="AC184" s="81"/>
      <c r="AD184" s="84" t="s">
        <v>2782</v>
      </c>
      <c r="AE184" s="82">
        <v>1</v>
      </c>
      <c r="AF184" s="83" t="str">
        <f>REPLACE(INDEX(GroupVertices[Group],MATCH(Edges[[#This Row],[Vertex 1]],GroupVertices[Vertex],0)),1,1,"")</f>
        <v>2</v>
      </c>
      <c r="AG184" s="83" t="str">
        <f>REPLACE(INDEX(GroupVertices[Group],MATCH(Edges[[#This Row],[Vertex 2]],GroupVertices[Vertex],0)),1,1,"")</f>
        <v>2</v>
      </c>
      <c r="AH184" s="111">
        <v>2</v>
      </c>
      <c r="AI184" s="112">
        <v>100</v>
      </c>
      <c r="AJ184" s="111">
        <v>0</v>
      </c>
      <c r="AK184" s="112">
        <v>0</v>
      </c>
      <c r="AL184" s="111">
        <v>0</v>
      </c>
      <c r="AM184" s="112">
        <v>0</v>
      </c>
      <c r="AN184" s="111">
        <v>0</v>
      </c>
      <c r="AO184" s="112">
        <v>0</v>
      </c>
      <c r="AP184" s="111">
        <v>2</v>
      </c>
    </row>
    <row r="185" spans="1:42" ht="15">
      <c r="A185" s="65" t="s">
        <v>370</v>
      </c>
      <c r="B185" s="65" t="s">
        <v>751</v>
      </c>
      <c r="C185" s="66" t="s">
        <v>5345</v>
      </c>
      <c r="D185" s="67">
        <v>3</v>
      </c>
      <c r="E185" s="68"/>
      <c r="F185" s="69">
        <v>40</v>
      </c>
      <c r="G185" s="66"/>
      <c r="H185" s="70"/>
      <c r="I185" s="71"/>
      <c r="J185" s="71"/>
      <c r="K185" s="35" t="s">
        <v>65</v>
      </c>
      <c r="L185" s="79">
        <v>185</v>
      </c>
      <c r="M185" s="79"/>
      <c r="N185" s="73"/>
      <c r="O185" s="81" t="s">
        <v>760</v>
      </c>
      <c r="P185" s="81" t="s">
        <v>215</v>
      </c>
      <c r="Q185" s="84" t="s">
        <v>931</v>
      </c>
      <c r="R185" s="81" t="s">
        <v>370</v>
      </c>
      <c r="S185" s="81" t="s">
        <v>1699</v>
      </c>
      <c r="T185" s="86" t="str">
        <f>HYPERLINK("http://www.youtube.com/channel/UCdQf4jE-n-sNoMO5h4GeEiA")</f>
        <v>http://www.youtube.com/channel/UCdQf4jE-n-sNoMO5h4GeEiA</v>
      </c>
      <c r="U185" s="81"/>
      <c r="V185" s="81" t="s">
        <v>2310</v>
      </c>
      <c r="W185" s="86" t="str">
        <f>HYPERLINK("https://www.youtube.com/watch?v=4Xrg5FtQnp4")</f>
        <v>https://www.youtube.com/watch?v=4Xrg5FtQnp4</v>
      </c>
      <c r="X185" s="81" t="s">
        <v>2335</v>
      </c>
      <c r="Y185" s="81">
        <v>2</v>
      </c>
      <c r="Z185" s="88">
        <v>39029.46121527778</v>
      </c>
      <c r="AA185" s="88">
        <v>39029.46121527778</v>
      </c>
      <c r="AB185" s="81"/>
      <c r="AC185" s="81"/>
      <c r="AD185" s="84" t="s">
        <v>2782</v>
      </c>
      <c r="AE185" s="82">
        <v>1</v>
      </c>
      <c r="AF185" s="83" t="str">
        <f>REPLACE(INDEX(GroupVertices[Group],MATCH(Edges[[#This Row],[Vertex 1]],GroupVertices[Vertex],0)),1,1,"")</f>
        <v>10</v>
      </c>
      <c r="AG185" s="83" t="str">
        <f>REPLACE(INDEX(GroupVertices[Group],MATCH(Edges[[#This Row],[Vertex 2]],GroupVertices[Vertex],0)),1,1,"")</f>
        <v>10</v>
      </c>
      <c r="AH185" s="111">
        <v>0</v>
      </c>
      <c r="AI185" s="112">
        <v>0</v>
      </c>
      <c r="AJ185" s="111">
        <v>0</v>
      </c>
      <c r="AK185" s="112">
        <v>0</v>
      </c>
      <c r="AL185" s="111">
        <v>0</v>
      </c>
      <c r="AM185" s="112">
        <v>0</v>
      </c>
      <c r="AN185" s="111">
        <v>1</v>
      </c>
      <c r="AO185" s="112">
        <v>100</v>
      </c>
      <c r="AP185" s="111">
        <v>1</v>
      </c>
    </row>
    <row r="186" spans="1:42" ht="15">
      <c r="A186" s="65" t="s">
        <v>371</v>
      </c>
      <c r="B186" s="65" t="s">
        <v>751</v>
      </c>
      <c r="C186" s="66" t="s">
        <v>5345</v>
      </c>
      <c r="D186" s="67">
        <v>3</v>
      </c>
      <c r="E186" s="68"/>
      <c r="F186" s="69">
        <v>40</v>
      </c>
      <c r="G186" s="66"/>
      <c r="H186" s="70"/>
      <c r="I186" s="71"/>
      <c r="J186" s="71"/>
      <c r="K186" s="35" t="s">
        <v>65</v>
      </c>
      <c r="L186" s="79">
        <v>186</v>
      </c>
      <c r="M186" s="79"/>
      <c r="N186" s="73"/>
      <c r="O186" s="81" t="s">
        <v>760</v>
      </c>
      <c r="P186" s="81" t="s">
        <v>215</v>
      </c>
      <c r="Q186" s="84" t="s">
        <v>932</v>
      </c>
      <c r="R186" s="81" t="s">
        <v>371</v>
      </c>
      <c r="S186" s="81" t="s">
        <v>1700</v>
      </c>
      <c r="T186" s="86" t="str">
        <f>HYPERLINK("http://www.youtube.com/channel/UChTbuHXKgkoM-TTUIXk_TUQ")</f>
        <v>http://www.youtube.com/channel/UChTbuHXKgkoM-TTUIXk_TUQ</v>
      </c>
      <c r="U186" s="81"/>
      <c r="V186" s="81" t="s">
        <v>2310</v>
      </c>
      <c r="W186" s="86" t="str">
        <f>HYPERLINK("https://www.youtube.com/watch?v=4Xrg5FtQnp4")</f>
        <v>https://www.youtube.com/watch?v=4Xrg5FtQnp4</v>
      </c>
      <c r="X186" s="81" t="s">
        <v>2335</v>
      </c>
      <c r="Y186" s="81">
        <v>8</v>
      </c>
      <c r="Z186" s="88">
        <v>39059.608981481484</v>
      </c>
      <c r="AA186" s="88">
        <v>39059.608981481484</v>
      </c>
      <c r="AB186" s="81"/>
      <c r="AC186" s="81"/>
      <c r="AD186" s="84" t="s">
        <v>2782</v>
      </c>
      <c r="AE186" s="82">
        <v>1</v>
      </c>
      <c r="AF186" s="83" t="str">
        <f>REPLACE(INDEX(GroupVertices[Group],MATCH(Edges[[#This Row],[Vertex 1]],GroupVertices[Vertex],0)),1,1,"")</f>
        <v>10</v>
      </c>
      <c r="AG186" s="83" t="str">
        <f>REPLACE(INDEX(GroupVertices[Group],MATCH(Edges[[#This Row],[Vertex 2]],GroupVertices[Vertex],0)),1,1,"")</f>
        <v>10</v>
      </c>
      <c r="AH186" s="111">
        <v>1</v>
      </c>
      <c r="AI186" s="112">
        <v>7.142857142857143</v>
      </c>
      <c r="AJ186" s="111">
        <v>1</v>
      </c>
      <c r="AK186" s="112">
        <v>7.142857142857143</v>
      </c>
      <c r="AL186" s="111">
        <v>0</v>
      </c>
      <c r="AM186" s="112">
        <v>0</v>
      </c>
      <c r="AN186" s="111">
        <v>12</v>
      </c>
      <c r="AO186" s="112">
        <v>85.71428571428571</v>
      </c>
      <c r="AP186" s="111">
        <v>14</v>
      </c>
    </row>
    <row r="187" spans="1:42" ht="15">
      <c r="A187" s="65" t="s">
        <v>372</v>
      </c>
      <c r="B187" s="65" t="s">
        <v>751</v>
      </c>
      <c r="C187" s="66" t="s">
        <v>5345</v>
      </c>
      <c r="D187" s="67">
        <v>3</v>
      </c>
      <c r="E187" s="68"/>
      <c r="F187" s="69">
        <v>40</v>
      </c>
      <c r="G187" s="66"/>
      <c r="H187" s="70"/>
      <c r="I187" s="71"/>
      <c r="J187" s="71"/>
      <c r="K187" s="35" t="s">
        <v>65</v>
      </c>
      <c r="L187" s="79">
        <v>187</v>
      </c>
      <c r="M187" s="79"/>
      <c r="N187" s="73"/>
      <c r="O187" s="81" t="s">
        <v>760</v>
      </c>
      <c r="P187" s="81" t="s">
        <v>215</v>
      </c>
      <c r="Q187" s="84" t="s">
        <v>933</v>
      </c>
      <c r="R187" s="81" t="s">
        <v>372</v>
      </c>
      <c r="S187" s="81" t="s">
        <v>1701</v>
      </c>
      <c r="T187" s="86" t="str">
        <f>HYPERLINK("http://www.youtube.com/channel/UCtHjq0NaBsADlvSVS8GhW8g")</f>
        <v>http://www.youtube.com/channel/UCtHjq0NaBsADlvSVS8GhW8g</v>
      </c>
      <c r="U187" s="81"/>
      <c r="V187" s="81" t="s">
        <v>2310</v>
      </c>
      <c r="W187" s="86" t="str">
        <f>HYPERLINK("https://www.youtube.com/watch?v=4Xrg5FtQnp4")</f>
        <v>https://www.youtube.com/watch?v=4Xrg5FtQnp4</v>
      </c>
      <c r="X187" s="81" t="s">
        <v>2335</v>
      </c>
      <c r="Y187" s="81">
        <v>1</v>
      </c>
      <c r="Z187" s="88">
        <v>39206.1453125</v>
      </c>
      <c r="AA187" s="88">
        <v>39206.1453125</v>
      </c>
      <c r="AB187" s="81"/>
      <c r="AC187" s="81"/>
      <c r="AD187" s="84" t="s">
        <v>2782</v>
      </c>
      <c r="AE187" s="82">
        <v>1</v>
      </c>
      <c r="AF187" s="83" t="str">
        <f>REPLACE(INDEX(GroupVertices[Group],MATCH(Edges[[#This Row],[Vertex 1]],GroupVertices[Vertex],0)),1,1,"")</f>
        <v>10</v>
      </c>
      <c r="AG187" s="83" t="str">
        <f>REPLACE(INDEX(GroupVertices[Group],MATCH(Edges[[#This Row],[Vertex 2]],GroupVertices[Vertex],0)),1,1,"")</f>
        <v>10</v>
      </c>
      <c r="AH187" s="111">
        <v>1</v>
      </c>
      <c r="AI187" s="112">
        <v>50</v>
      </c>
      <c r="AJ187" s="111">
        <v>0</v>
      </c>
      <c r="AK187" s="112">
        <v>0</v>
      </c>
      <c r="AL187" s="111">
        <v>0</v>
      </c>
      <c r="AM187" s="112">
        <v>0</v>
      </c>
      <c r="AN187" s="111">
        <v>1</v>
      </c>
      <c r="AO187" s="112">
        <v>50</v>
      </c>
      <c r="AP187" s="111">
        <v>2</v>
      </c>
    </row>
    <row r="188" spans="1:42" ht="15">
      <c r="A188" s="65" t="s">
        <v>373</v>
      </c>
      <c r="B188" s="65" t="s">
        <v>751</v>
      </c>
      <c r="C188" s="66" t="s">
        <v>5345</v>
      </c>
      <c r="D188" s="67">
        <v>3</v>
      </c>
      <c r="E188" s="68"/>
      <c r="F188" s="69">
        <v>40</v>
      </c>
      <c r="G188" s="66"/>
      <c r="H188" s="70"/>
      <c r="I188" s="71"/>
      <c r="J188" s="71"/>
      <c r="K188" s="35" t="s">
        <v>65</v>
      </c>
      <c r="L188" s="79">
        <v>188</v>
      </c>
      <c r="M188" s="79"/>
      <c r="N188" s="73"/>
      <c r="O188" s="81" t="s">
        <v>760</v>
      </c>
      <c r="P188" s="81" t="s">
        <v>215</v>
      </c>
      <c r="Q188" s="84" t="s">
        <v>934</v>
      </c>
      <c r="R188" s="81" t="s">
        <v>373</v>
      </c>
      <c r="S188" s="81" t="s">
        <v>1702</v>
      </c>
      <c r="T188" s="86" t="str">
        <f>HYPERLINK("http://www.youtube.com/channel/UC2HVaXfIcE8UnoQ-jRy9TFQ")</f>
        <v>http://www.youtube.com/channel/UC2HVaXfIcE8UnoQ-jRy9TFQ</v>
      </c>
      <c r="U188" s="81"/>
      <c r="V188" s="81" t="s">
        <v>2310</v>
      </c>
      <c r="W188" s="86" t="str">
        <f>HYPERLINK("https://www.youtube.com/watch?v=4Xrg5FtQnp4")</f>
        <v>https://www.youtube.com/watch?v=4Xrg5FtQnp4</v>
      </c>
      <c r="X188" s="81" t="s">
        <v>2335</v>
      </c>
      <c r="Y188" s="81">
        <v>1</v>
      </c>
      <c r="Z188" s="81" t="s">
        <v>2397</v>
      </c>
      <c r="AA188" s="81" t="s">
        <v>2397</v>
      </c>
      <c r="AB188" s="81"/>
      <c r="AC188" s="81"/>
      <c r="AD188" s="84" t="s">
        <v>2782</v>
      </c>
      <c r="AE188" s="82">
        <v>1</v>
      </c>
      <c r="AF188" s="83" t="str">
        <f>REPLACE(INDEX(GroupVertices[Group],MATCH(Edges[[#This Row],[Vertex 1]],GroupVertices[Vertex],0)),1,1,"")</f>
        <v>10</v>
      </c>
      <c r="AG188" s="83" t="str">
        <f>REPLACE(INDEX(GroupVertices[Group],MATCH(Edges[[#This Row],[Vertex 2]],GroupVertices[Vertex],0)),1,1,"")</f>
        <v>10</v>
      </c>
      <c r="AH188" s="111">
        <v>1</v>
      </c>
      <c r="AI188" s="112">
        <v>9.090909090909092</v>
      </c>
      <c r="AJ188" s="111">
        <v>0</v>
      </c>
      <c r="AK188" s="112">
        <v>0</v>
      </c>
      <c r="AL188" s="111">
        <v>0</v>
      </c>
      <c r="AM188" s="112">
        <v>0</v>
      </c>
      <c r="AN188" s="111">
        <v>10</v>
      </c>
      <c r="AO188" s="112">
        <v>90.9090909090909</v>
      </c>
      <c r="AP188" s="111">
        <v>11</v>
      </c>
    </row>
    <row r="189" spans="1:42" ht="15">
      <c r="A189" s="65" t="s">
        <v>374</v>
      </c>
      <c r="B189" s="65" t="s">
        <v>751</v>
      </c>
      <c r="C189" s="66" t="s">
        <v>5345</v>
      </c>
      <c r="D189" s="67">
        <v>3</v>
      </c>
      <c r="E189" s="68"/>
      <c r="F189" s="69">
        <v>40</v>
      </c>
      <c r="G189" s="66"/>
      <c r="H189" s="70"/>
      <c r="I189" s="71"/>
      <c r="J189" s="71"/>
      <c r="K189" s="35" t="s">
        <v>65</v>
      </c>
      <c r="L189" s="79">
        <v>189</v>
      </c>
      <c r="M189" s="79"/>
      <c r="N189" s="73"/>
      <c r="O189" s="81" t="s">
        <v>760</v>
      </c>
      <c r="P189" s="81" t="s">
        <v>215</v>
      </c>
      <c r="Q189" s="84" t="s">
        <v>935</v>
      </c>
      <c r="R189" s="81" t="s">
        <v>374</v>
      </c>
      <c r="S189" s="81" t="s">
        <v>1703</v>
      </c>
      <c r="T189" s="86" t="str">
        <f>HYPERLINK("http://www.youtube.com/channel/UCFhtQ0tFevJqQEeOuOMAOsw")</f>
        <v>http://www.youtube.com/channel/UCFhtQ0tFevJqQEeOuOMAOsw</v>
      </c>
      <c r="U189" s="81"/>
      <c r="V189" s="81" t="s">
        <v>2310</v>
      </c>
      <c r="W189" s="86" t="str">
        <f>HYPERLINK("https://www.youtube.com/watch?v=4Xrg5FtQnp4")</f>
        <v>https://www.youtube.com/watch?v=4Xrg5FtQnp4</v>
      </c>
      <c r="X189" s="81" t="s">
        <v>2335</v>
      </c>
      <c r="Y189" s="81">
        <v>5</v>
      </c>
      <c r="Z189" s="81" t="s">
        <v>2398</v>
      </c>
      <c r="AA189" s="81" t="s">
        <v>2398</v>
      </c>
      <c r="AB189" s="81"/>
      <c r="AC189" s="81"/>
      <c r="AD189" s="84" t="s">
        <v>2782</v>
      </c>
      <c r="AE189" s="82">
        <v>1</v>
      </c>
      <c r="AF189" s="83" t="str">
        <f>REPLACE(INDEX(GroupVertices[Group],MATCH(Edges[[#This Row],[Vertex 1]],GroupVertices[Vertex],0)),1,1,"")</f>
        <v>10</v>
      </c>
      <c r="AG189" s="83" t="str">
        <f>REPLACE(INDEX(GroupVertices[Group],MATCH(Edges[[#This Row],[Vertex 2]],GroupVertices[Vertex],0)),1,1,"")</f>
        <v>10</v>
      </c>
      <c r="AH189" s="111">
        <v>0</v>
      </c>
      <c r="AI189" s="112">
        <v>0</v>
      </c>
      <c r="AJ189" s="111">
        <v>0</v>
      </c>
      <c r="AK189" s="112">
        <v>0</v>
      </c>
      <c r="AL189" s="111">
        <v>0</v>
      </c>
      <c r="AM189" s="112">
        <v>0</v>
      </c>
      <c r="AN189" s="111">
        <v>17</v>
      </c>
      <c r="AO189" s="112">
        <v>100</v>
      </c>
      <c r="AP189" s="111">
        <v>17</v>
      </c>
    </row>
    <row r="190" spans="1:42" ht="15">
      <c r="A190" s="65" t="s">
        <v>375</v>
      </c>
      <c r="B190" s="65" t="s">
        <v>376</v>
      </c>
      <c r="C190" s="66" t="s">
        <v>5345</v>
      </c>
      <c r="D190" s="67">
        <v>3</v>
      </c>
      <c r="E190" s="68"/>
      <c r="F190" s="69">
        <v>40</v>
      </c>
      <c r="G190" s="66"/>
      <c r="H190" s="70"/>
      <c r="I190" s="71"/>
      <c r="J190" s="71"/>
      <c r="K190" s="35" t="s">
        <v>65</v>
      </c>
      <c r="L190" s="79">
        <v>190</v>
      </c>
      <c r="M190" s="79"/>
      <c r="N190" s="73"/>
      <c r="O190" s="81" t="s">
        <v>761</v>
      </c>
      <c r="P190" s="81" t="s">
        <v>763</v>
      </c>
      <c r="Q190" s="84" t="s">
        <v>936</v>
      </c>
      <c r="R190" s="81" t="s">
        <v>375</v>
      </c>
      <c r="S190" s="81" t="s">
        <v>1704</v>
      </c>
      <c r="T190" s="86" t="str">
        <f>HYPERLINK("http://www.youtube.com/channel/UCVn2V_pYYlCd6CqJkqyaaLQ")</f>
        <v>http://www.youtube.com/channel/UCVn2V_pYYlCd6CqJkqyaaLQ</v>
      </c>
      <c r="U190" s="81" t="s">
        <v>2121</v>
      </c>
      <c r="V190" s="81" t="s">
        <v>2310</v>
      </c>
      <c r="W190" s="86" t="str">
        <f>HYPERLINK("https://www.youtube.com/watch?v=4Xrg5FtQnp4")</f>
        <v>https://www.youtube.com/watch?v=4Xrg5FtQnp4</v>
      </c>
      <c r="X190" s="81" t="s">
        <v>2335</v>
      </c>
      <c r="Y190" s="81">
        <v>1</v>
      </c>
      <c r="Z190" s="81" t="s">
        <v>2399</v>
      </c>
      <c r="AA190" s="81" t="s">
        <v>2399</v>
      </c>
      <c r="AB190" s="81"/>
      <c r="AC190" s="81"/>
      <c r="AD190" s="84" t="s">
        <v>2782</v>
      </c>
      <c r="AE190" s="82">
        <v>1</v>
      </c>
      <c r="AF190" s="83" t="str">
        <f>REPLACE(INDEX(GroupVertices[Group],MATCH(Edges[[#This Row],[Vertex 1]],GroupVertices[Vertex],0)),1,1,"")</f>
        <v>10</v>
      </c>
      <c r="AG190" s="83" t="str">
        <f>REPLACE(INDEX(GroupVertices[Group],MATCH(Edges[[#This Row],[Vertex 2]],GroupVertices[Vertex],0)),1,1,"")</f>
        <v>10</v>
      </c>
      <c r="AH190" s="111">
        <v>0</v>
      </c>
      <c r="AI190" s="112">
        <v>0</v>
      </c>
      <c r="AJ190" s="111">
        <v>0</v>
      </c>
      <c r="AK190" s="112">
        <v>0</v>
      </c>
      <c r="AL190" s="111">
        <v>0</v>
      </c>
      <c r="AM190" s="112">
        <v>0</v>
      </c>
      <c r="AN190" s="111">
        <v>5</v>
      </c>
      <c r="AO190" s="112">
        <v>100</v>
      </c>
      <c r="AP190" s="111">
        <v>5</v>
      </c>
    </row>
    <row r="191" spans="1:42" ht="15">
      <c r="A191" s="65" t="s">
        <v>376</v>
      </c>
      <c r="B191" s="65" t="s">
        <v>751</v>
      </c>
      <c r="C191" s="66" t="s">
        <v>5345</v>
      </c>
      <c r="D191" s="67">
        <v>3</v>
      </c>
      <c r="E191" s="68"/>
      <c r="F191" s="69">
        <v>40</v>
      </c>
      <c r="G191" s="66"/>
      <c r="H191" s="70"/>
      <c r="I191" s="71"/>
      <c r="J191" s="71"/>
      <c r="K191" s="35" t="s">
        <v>65</v>
      </c>
      <c r="L191" s="79">
        <v>191</v>
      </c>
      <c r="M191" s="79"/>
      <c r="N191" s="73"/>
      <c r="O191" s="81" t="s">
        <v>760</v>
      </c>
      <c r="P191" s="81" t="s">
        <v>215</v>
      </c>
      <c r="Q191" s="84" t="s">
        <v>937</v>
      </c>
      <c r="R191" s="81" t="s">
        <v>376</v>
      </c>
      <c r="S191" s="81" t="s">
        <v>1705</v>
      </c>
      <c r="T191" s="86" t="str">
        <f>HYPERLINK("http://www.youtube.com/channel/UC_oviaw9ahW727hLmffGXlQ")</f>
        <v>http://www.youtube.com/channel/UC_oviaw9ahW727hLmffGXlQ</v>
      </c>
      <c r="U191" s="81"/>
      <c r="V191" s="81" t="s">
        <v>2310</v>
      </c>
      <c r="W191" s="86" t="str">
        <f>HYPERLINK("https://www.youtube.com/watch?v=4Xrg5FtQnp4")</f>
        <v>https://www.youtube.com/watch?v=4Xrg5FtQnp4</v>
      </c>
      <c r="X191" s="81" t="s">
        <v>2335</v>
      </c>
      <c r="Y191" s="81">
        <v>5</v>
      </c>
      <c r="Z191" s="88">
        <v>39569.91700231482</v>
      </c>
      <c r="AA191" s="88">
        <v>39569.91700231482</v>
      </c>
      <c r="AB191" s="81"/>
      <c r="AC191" s="81"/>
      <c r="AD191" s="84" t="s">
        <v>2782</v>
      </c>
      <c r="AE191" s="82">
        <v>1</v>
      </c>
      <c r="AF191" s="83" t="str">
        <f>REPLACE(INDEX(GroupVertices[Group],MATCH(Edges[[#This Row],[Vertex 1]],GroupVertices[Vertex],0)),1,1,"")</f>
        <v>10</v>
      </c>
      <c r="AG191" s="83" t="str">
        <f>REPLACE(INDEX(GroupVertices[Group],MATCH(Edges[[#This Row],[Vertex 2]],GroupVertices[Vertex],0)),1,1,"")</f>
        <v>10</v>
      </c>
      <c r="AH191" s="111">
        <v>2</v>
      </c>
      <c r="AI191" s="112">
        <v>12.5</v>
      </c>
      <c r="AJ191" s="111">
        <v>0</v>
      </c>
      <c r="AK191" s="112">
        <v>0</v>
      </c>
      <c r="AL191" s="111">
        <v>0</v>
      </c>
      <c r="AM191" s="112">
        <v>0</v>
      </c>
      <c r="AN191" s="111">
        <v>14</v>
      </c>
      <c r="AO191" s="112">
        <v>87.5</v>
      </c>
      <c r="AP191" s="111">
        <v>16</v>
      </c>
    </row>
    <row r="192" spans="1:42" ht="15">
      <c r="A192" s="65" t="s">
        <v>377</v>
      </c>
      <c r="B192" s="65" t="s">
        <v>751</v>
      </c>
      <c r="C192" s="66" t="s">
        <v>5345</v>
      </c>
      <c r="D192" s="67">
        <v>3</v>
      </c>
      <c r="E192" s="68"/>
      <c r="F192" s="69">
        <v>40</v>
      </c>
      <c r="G192" s="66"/>
      <c r="H192" s="70"/>
      <c r="I192" s="71"/>
      <c r="J192" s="71"/>
      <c r="K192" s="35" t="s">
        <v>65</v>
      </c>
      <c r="L192" s="79">
        <v>192</v>
      </c>
      <c r="M192" s="79"/>
      <c r="N192" s="73"/>
      <c r="O192" s="81" t="s">
        <v>760</v>
      </c>
      <c r="P192" s="81" t="s">
        <v>215</v>
      </c>
      <c r="Q192" s="84" t="s">
        <v>938</v>
      </c>
      <c r="R192" s="81" t="s">
        <v>377</v>
      </c>
      <c r="S192" s="81" t="s">
        <v>1706</v>
      </c>
      <c r="T192" s="86" t="str">
        <f>HYPERLINK("http://www.youtube.com/channel/UC3kfqm6Vm5uMvY0VHBIKEfA")</f>
        <v>http://www.youtube.com/channel/UC3kfqm6Vm5uMvY0VHBIKEfA</v>
      </c>
      <c r="U192" s="81"/>
      <c r="V192" s="81" t="s">
        <v>2310</v>
      </c>
      <c r="W192" s="86" t="str">
        <f>HYPERLINK("https://www.youtube.com/watch?v=4Xrg5FtQnp4")</f>
        <v>https://www.youtube.com/watch?v=4Xrg5FtQnp4</v>
      </c>
      <c r="X192" s="81" t="s">
        <v>2335</v>
      </c>
      <c r="Y192" s="81">
        <v>1</v>
      </c>
      <c r="Z192" s="81" t="s">
        <v>2400</v>
      </c>
      <c r="AA192" s="81" t="s">
        <v>2400</v>
      </c>
      <c r="AB192" s="81"/>
      <c r="AC192" s="81"/>
      <c r="AD192" s="84" t="s">
        <v>2782</v>
      </c>
      <c r="AE192" s="82">
        <v>1</v>
      </c>
      <c r="AF192" s="83" t="str">
        <f>REPLACE(INDEX(GroupVertices[Group],MATCH(Edges[[#This Row],[Vertex 1]],GroupVertices[Vertex],0)),1,1,"")</f>
        <v>10</v>
      </c>
      <c r="AG192" s="83" t="str">
        <f>REPLACE(INDEX(GroupVertices[Group],MATCH(Edges[[#This Row],[Vertex 2]],GroupVertices[Vertex],0)),1,1,"")</f>
        <v>10</v>
      </c>
      <c r="AH192" s="111">
        <v>0</v>
      </c>
      <c r="AI192" s="112">
        <v>0</v>
      </c>
      <c r="AJ192" s="111">
        <v>0</v>
      </c>
      <c r="AK192" s="112">
        <v>0</v>
      </c>
      <c r="AL192" s="111">
        <v>0</v>
      </c>
      <c r="AM192" s="112">
        <v>0</v>
      </c>
      <c r="AN192" s="111">
        <v>3</v>
      </c>
      <c r="AO192" s="112">
        <v>100</v>
      </c>
      <c r="AP192" s="111">
        <v>3</v>
      </c>
    </row>
    <row r="193" spans="1:42" ht="15">
      <c r="A193" s="65" t="s">
        <v>378</v>
      </c>
      <c r="B193" s="65" t="s">
        <v>751</v>
      </c>
      <c r="C193" s="66" t="s">
        <v>5345</v>
      </c>
      <c r="D193" s="67">
        <v>3</v>
      </c>
      <c r="E193" s="68"/>
      <c r="F193" s="69">
        <v>40</v>
      </c>
      <c r="G193" s="66"/>
      <c r="H193" s="70"/>
      <c r="I193" s="71"/>
      <c r="J193" s="71"/>
      <c r="K193" s="35" t="s">
        <v>65</v>
      </c>
      <c r="L193" s="79">
        <v>193</v>
      </c>
      <c r="M193" s="79"/>
      <c r="N193" s="73"/>
      <c r="O193" s="81" t="s">
        <v>760</v>
      </c>
      <c r="P193" s="81" t="s">
        <v>215</v>
      </c>
      <c r="Q193" s="84" t="s">
        <v>939</v>
      </c>
      <c r="R193" s="81" t="s">
        <v>378</v>
      </c>
      <c r="S193" s="81" t="s">
        <v>1707</v>
      </c>
      <c r="T193" s="86" t="str">
        <f>HYPERLINK("http://www.youtube.com/channel/UCLJytBq-KA6g_dX8bdxIlXg")</f>
        <v>http://www.youtube.com/channel/UCLJytBq-KA6g_dX8bdxIlXg</v>
      </c>
      <c r="U193" s="81"/>
      <c r="V193" s="81" t="s">
        <v>2310</v>
      </c>
      <c r="W193" s="86" t="str">
        <f>HYPERLINK("https://www.youtube.com/watch?v=4Xrg5FtQnp4")</f>
        <v>https://www.youtube.com/watch?v=4Xrg5FtQnp4</v>
      </c>
      <c r="X193" s="81" t="s">
        <v>2335</v>
      </c>
      <c r="Y193" s="81">
        <v>1</v>
      </c>
      <c r="Z193" s="88">
        <v>40275.57921296296</v>
      </c>
      <c r="AA193" s="88">
        <v>40275.57921296296</v>
      </c>
      <c r="AB193" s="81"/>
      <c r="AC193" s="81"/>
      <c r="AD193" s="84" t="s">
        <v>2782</v>
      </c>
      <c r="AE193" s="82">
        <v>1</v>
      </c>
      <c r="AF193" s="83" t="str">
        <f>REPLACE(INDEX(GroupVertices[Group],MATCH(Edges[[#This Row],[Vertex 1]],GroupVertices[Vertex],0)),1,1,"")</f>
        <v>10</v>
      </c>
      <c r="AG193" s="83" t="str">
        <f>REPLACE(INDEX(GroupVertices[Group],MATCH(Edges[[#This Row],[Vertex 2]],GroupVertices[Vertex],0)),1,1,"")</f>
        <v>10</v>
      </c>
      <c r="AH193" s="111">
        <v>1</v>
      </c>
      <c r="AI193" s="112">
        <v>9.090909090909092</v>
      </c>
      <c r="AJ193" s="111">
        <v>0</v>
      </c>
      <c r="AK193" s="112">
        <v>0</v>
      </c>
      <c r="AL193" s="111">
        <v>0</v>
      </c>
      <c r="AM193" s="112">
        <v>0</v>
      </c>
      <c r="AN193" s="111">
        <v>10</v>
      </c>
      <c r="AO193" s="112">
        <v>90.9090909090909</v>
      </c>
      <c r="AP193" s="111">
        <v>11</v>
      </c>
    </row>
    <row r="194" spans="1:42" ht="15">
      <c r="A194" s="65" t="s">
        <v>375</v>
      </c>
      <c r="B194" s="65" t="s">
        <v>380</v>
      </c>
      <c r="C194" s="66" t="s">
        <v>5346</v>
      </c>
      <c r="D194" s="67">
        <v>10</v>
      </c>
      <c r="E194" s="68"/>
      <c r="F194" s="69">
        <v>15</v>
      </c>
      <c r="G194" s="66"/>
      <c r="H194" s="70"/>
      <c r="I194" s="71"/>
      <c r="J194" s="71"/>
      <c r="K194" s="35" t="s">
        <v>65</v>
      </c>
      <c r="L194" s="79">
        <v>194</v>
      </c>
      <c r="M194" s="79"/>
      <c r="N194" s="73"/>
      <c r="O194" s="81" t="s">
        <v>761</v>
      </c>
      <c r="P194" s="81" t="s">
        <v>763</v>
      </c>
      <c r="Q194" s="84" t="s">
        <v>940</v>
      </c>
      <c r="R194" s="81" t="s">
        <v>375</v>
      </c>
      <c r="S194" s="81" t="s">
        <v>1704</v>
      </c>
      <c r="T194" s="86" t="str">
        <f>HYPERLINK("http://www.youtube.com/channel/UCVn2V_pYYlCd6CqJkqyaaLQ")</f>
        <v>http://www.youtube.com/channel/UCVn2V_pYYlCd6CqJkqyaaLQ</v>
      </c>
      <c r="U194" s="81" t="s">
        <v>2122</v>
      </c>
      <c r="V194" s="81" t="s">
        <v>2310</v>
      </c>
      <c r="W194" s="86" t="str">
        <f>HYPERLINK("https://www.youtube.com/watch?v=4Xrg5FtQnp4")</f>
        <v>https://www.youtube.com/watch?v=4Xrg5FtQnp4</v>
      </c>
      <c r="X194" s="81" t="s">
        <v>2335</v>
      </c>
      <c r="Y194" s="81">
        <v>1</v>
      </c>
      <c r="Z194" s="81" t="s">
        <v>2401</v>
      </c>
      <c r="AA194" s="81" t="s">
        <v>2401</v>
      </c>
      <c r="AB194" s="81"/>
      <c r="AC194" s="81"/>
      <c r="AD194" s="84" t="s">
        <v>2782</v>
      </c>
      <c r="AE194" s="82">
        <v>2</v>
      </c>
      <c r="AF194" s="83" t="str">
        <f>REPLACE(INDEX(GroupVertices[Group],MATCH(Edges[[#This Row],[Vertex 1]],GroupVertices[Vertex],0)),1,1,"")</f>
        <v>10</v>
      </c>
      <c r="AG194" s="83" t="str">
        <f>REPLACE(INDEX(GroupVertices[Group],MATCH(Edges[[#This Row],[Vertex 2]],GroupVertices[Vertex],0)),1,1,"")</f>
        <v>10</v>
      </c>
      <c r="AH194" s="111">
        <v>0</v>
      </c>
      <c r="AI194" s="112">
        <v>0</v>
      </c>
      <c r="AJ194" s="111">
        <v>0</v>
      </c>
      <c r="AK194" s="112">
        <v>0</v>
      </c>
      <c r="AL194" s="111">
        <v>0</v>
      </c>
      <c r="AM194" s="112">
        <v>0</v>
      </c>
      <c r="AN194" s="111">
        <v>6</v>
      </c>
      <c r="AO194" s="112">
        <v>100</v>
      </c>
      <c r="AP194" s="111">
        <v>6</v>
      </c>
    </row>
    <row r="195" spans="1:42" ht="15">
      <c r="A195" s="65" t="s">
        <v>379</v>
      </c>
      <c r="B195" s="65" t="s">
        <v>380</v>
      </c>
      <c r="C195" s="66" t="s">
        <v>5345</v>
      </c>
      <c r="D195" s="67">
        <v>3</v>
      </c>
      <c r="E195" s="68"/>
      <c r="F195" s="69">
        <v>40</v>
      </c>
      <c r="G195" s="66"/>
      <c r="H195" s="70"/>
      <c r="I195" s="71"/>
      <c r="J195" s="71"/>
      <c r="K195" s="35" t="s">
        <v>65</v>
      </c>
      <c r="L195" s="79">
        <v>195</v>
      </c>
      <c r="M195" s="79"/>
      <c r="N195" s="73"/>
      <c r="O195" s="81" t="s">
        <v>761</v>
      </c>
      <c r="P195" s="81" t="s">
        <v>763</v>
      </c>
      <c r="Q195" s="84" t="s">
        <v>941</v>
      </c>
      <c r="R195" s="81" t="s">
        <v>379</v>
      </c>
      <c r="S195" s="81" t="s">
        <v>1708</v>
      </c>
      <c r="T195" s="86" t="str">
        <f>HYPERLINK("http://www.youtube.com/channel/UCdNIJJdRr6E2v3AB4Q2bWug")</f>
        <v>http://www.youtube.com/channel/UCdNIJJdRr6E2v3AB4Q2bWug</v>
      </c>
      <c r="U195" s="81" t="s">
        <v>2122</v>
      </c>
      <c r="V195" s="81" t="s">
        <v>2310</v>
      </c>
      <c r="W195" s="86" t="str">
        <f>HYPERLINK("https://www.youtube.com/watch?v=4Xrg5FtQnp4")</f>
        <v>https://www.youtube.com/watch?v=4Xrg5FtQnp4</v>
      </c>
      <c r="X195" s="81" t="s">
        <v>2335</v>
      </c>
      <c r="Y195" s="81">
        <v>1</v>
      </c>
      <c r="Z195" s="81" t="s">
        <v>2402</v>
      </c>
      <c r="AA195" s="81" t="s">
        <v>2402</v>
      </c>
      <c r="AB195" s="81"/>
      <c r="AC195" s="81"/>
      <c r="AD195" s="84" t="s">
        <v>2782</v>
      </c>
      <c r="AE195" s="82">
        <v>1</v>
      </c>
      <c r="AF195" s="83" t="str">
        <f>REPLACE(INDEX(GroupVertices[Group],MATCH(Edges[[#This Row],[Vertex 1]],GroupVertices[Vertex],0)),1,1,"")</f>
        <v>10</v>
      </c>
      <c r="AG195" s="83" t="str">
        <f>REPLACE(INDEX(GroupVertices[Group],MATCH(Edges[[#This Row],[Vertex 2]],GroupVertices[Vertex],0)),1,1,"")</f>
        <v>10</v>
      </c>
      <c r="AH195" s="111">
        <v>0</v>
      </c>
      <c r="AI195" s="112">
        <v>0</v>
      </c>
      <c r="AJ195" s="111">
        <v>0</v>
      </c>
      <c r="AK195" s="112">
        <v>0</v>
      </c>
      <c r="AL195" s="111">
        <v>0</v>
      </c>
      <c r="AM195" s="112">
        <v>0</v>
      </c>
      <c r="AN195" s="111">
        <v>19</v>
      </c>
      <c r="AO195" s="112">
        <v>100</v>
      </c>
      <c r="AP195" s="111">
        <v>19</v>
      </c>
    </row>
    <row r="196" spans="1:42" ht="15">
      <c r="A196" s="65" t="s">
        <v>375</v>
      </c>
      <c r="B196" s="65" t="s">
        <v>380</v>
      </c>
      <c r="C196" s="66" t="s">
        <v>5346</v>
      </c>
      <c r="D196" s="67">
        <v>10</v>
      </c>
      <c r="E196" s="68"/>
      <c r="F196" s="69">
        <v>15</v>
      </c>
      <c r="G196" s="66"/>
      <c r="H196" s="70"/>
      <c r="I196" s="71"/>
      <c r="J196" s="71"/>
      <c r="K196" s="35" t="s">
        <v>65</v>
      </c>
      <c r="L196" s="79">
        <v>196</v>
      </c>
      <c r="M196" s="79"/>
      <c r="N196" s="73"/>
      <c r="O196" s="81" t="s">
        <v>761</v>
      </c>
      <c r="P196" s="81" t="s">
        <v>763</v>
      </c>
      <c r="Q196" s="84" t="s">
        <v>942</v>
      </c>
      <c r="R196" s="81" t="s">
        <v>375</v>
      </c>
      <c r="S196" s="81" t="s">
        <v>1704</v>
      </c>
      <c r="T196" s="86" t="str">
        <f>HYPERLINK("http://www.youtube.com/channel/UCVn2V_pYYlCd6CqJkqyaaLQ")</f>
        <v>http://www.youtube.com/channel/UCVn2V_pYYlCd6CqJkqyaaLQ</v>
      </c>
      <c r="U196" s="81" t="s">
        <v>2122</v>
      </c>
      <c r="V196" s="81" t="s">
        <v>2310</v>
      </c>
      <c r="W196" s="86" t="str">
        <f>HYPERLINK("https://www.youtube.com/watch?v=4Xrg5FtQnp4")</f>
        <v>https://www.youtube.com/watch?v=4Xrg5FtQnp4</v>
      </c>
      <c r="X196" s="81" t="s">
        <v>2335</v>
      </c>
      <c r="Y196" s="81">
        <v>0</v>
      </c>
      <c r="Z196" s="81" t="s">
        <v>2403</v>
      </c>
      <c r="AA196" s="81" t="s">
        <v>2403</v>
      </c>
      <c r="AB196" s="81"/>
      <c r="AC196" s="81"/>
      <c r="AD196" s="84" t="s">
        <v>2782</v>
      </c>
      <c r="AE196" s="82">
        <v>2</v>
      </c>
      <c r="AF196" s="83" t="str">
        <f>REPLACE(INDEX(GroupVertices[Group],MATCH(Edges[[#This Row],[Vertex 1]],GroupVertices[Vertex],0)),1,1,"")</f>
        <v>10</v>
      </c>
      <c r="AG196" s="83" t="str">
        <f>REPLACE(INDEX(GroupVertices[Group],MATCH(Edges[[#This Row],[Vertex 2]],GroupVertices[Vertex],0)),1,1,"")</f>
        <v>10</v>
      </c>
      <c r="AH196" s="111">
        <v>0</v>
      </c>
      <c r="AI196" s="112">
        <v>0</v>
      </c>
      <c r="AJ196" s="111">
        <v>0</v>
      </c>
      <c r="AK196" s="112">
        <v>0</v>
      </c>
      <c r="AL196" s="111">
        <v>0</v>
      </c>
      <c r="AM196" s="112">
        <v>0</v>
      </c>
      <c r="AN196" s="111">
        <v>5</v>
      </c>
      <c r="AO196" s="112">
        <v>100</v>
      </c>
      <c r="AP196" s="111">
        <v>5</v>
      </c>
    </row>
    <row r="197" spans="1:42" ht="15">
      <c r="A197" s="65" t="s">
        <v>380</v>
      </c>
      <c r="B197" s="65" t="s">
        <v>751</v>
      </c>
      <c r="C197" s="66" t="s">
        <v>5346</v>
      </c>
      <c r="D197" s="67">
        <v>10</v>
      </c>
      <c r="E197" s="68"/>
      <c r="F197" s="69">
        <v>15</v>
      </c>
      <c r="G197" s="66"/>
      <c r="H197" s="70"/>
      <c r="I197" s="71"/>
      <c r="J197" s="71"/>
      <c r="K197" s="35" t="s">
        <v>65</v>
      </c>
      <c r="L197" s="79">
        <v>197</v>
      </c>
      <c r="M197" s="79"/>
      <c r="N197" s="73"/>
      <c r="O197" s="81" t="s">
        <v>760</v>
      </c>
      <c r="P197" s="81" t="s">
        <v>215</v>
      </c>
      <c r="Q197" s="84" t="s">
        <v>943</v>
      </c>
      <c r="R197" s="81" t="s">
        <v>380</v>
      </c>
      <c r="S197" s="81" t="s">
        <v>1709</v>
      </c>
      <c r="T197" s="86" t="str">
        <f>HYPERLINK("http://www.youtube.com/channel/UCV-utTCw1S6-VHQP8lmyk2A")</f>
        <v>http://www.youtube.com/channel/UCV-utTCw1S6-VHQP8lmyk2A</v>
      </c>
      <c r="U197" s="81"/>
      <c r="V197" s="81" t="s">
        <v>2310</v>
      </c>
      <c r="W197" s="86" t="str">
        <f>HYPERLINK("https://www.youtube.com/watch?v=4Xrg5FtQnp4")</f>
        <v>https://www.youtube.com/watch?v=4Xrg5FtQnp4</v>
      </c>
      <c r="X197" s="81" t="s">
        <v>2335</v>
      </c>
      <c r="Y197" s="81">
        <v>2</v>
      </c>
      <c r="Z197" s="81" t="s">
        <v>2404</v>
      </c>
      <c r="AA197" s="81" t="s">
        <v>2404</v>
      </c>
      <c r="AB197" s="81"/>
      <c r="AC197" s="81"/>
      <c r="AD197" s="84" t="s">
        <v>2782</v>
      </c>
      <c r="AE197" s="82">
        <v>2</v>
      </c>
      <c r="AF197" s="83" t="str">
        <f>REPLACE(INDEX(GroupVertices[Group],MATCH(Edges[[#This Row],[Vertex 1]],GroupVertices[Vertex],0)),1,1,"")</f>
        <v>10</v>
      </c>
      <c r="AG197" s="83" t="str">
        <f>REPLACE(INDEX(GroupVertices[Group],MATCH(Edges[[#This Row],[Vertex 2]],GroupVertices[Vertex],0)),1,1,"")</f>
        <v>10</v>
      </c>
      <c r="AH197" s="111">
        <v>0</v>
      </c>
      <c r="AI197" s="112">
        <v>0</v>
      </c>
      <c r="AJ197" s="111">
        <v>0</v>
      </c>
      <c r="AK197" s="112">
        <v>0</v>
      </c>
      <c r="AL197" s="111">
        <v>0</v>
      </c>
      <c r="AM197" s="112">
        <v>0</v>
      </c>
      <c r="AN197" s="111">
        <v>3</v>
      </c>
      <c r="AO197" s="112">
        <v>100</v>
      </c>
      <c r="AP197" s="111">
        <v>3</v>
      </c>
    </row>
    <row r="198" spans="1:42" ht="15">
      <c r="A198" s="65" t="s">
        <v>380</v>
      </c>
      <c r="B198" s="65" t="s">
        <v>751</v>
      </c>
      <c r="C198" s="66" t="s">
        <v>5346</v>
      </c>
      <c r="D198" s="67">
        <v>10</v>
      </c>
      <c r="E198" s="68"/>
      <c r="F198" s="69">
        <v>15</v>
      </c>
      <c r="G198" s="66"/>
      <c r="H198" s="70"/>
      <c r="I198" s="71"/>
      <c r="J198" s="71"/>
      <c r="K198" s="35" t="s">
        <v>65</v>
      </c>
      <c r="L198" s="79">
        <v>198</v>
      </c>
      <c r="M198" s="79"/>
      <c r="N198" s="73"/>
      <c r="O198" s="81" t="s">
        <v>760</v>
      </c>
      <c r="P198" s="81" t="s">
        <v>215</v>
      </c>
      <c r="Q198" s="84" t="s">
        <v>944</v>
      </c>
      <c r="R198" s="81" t="s">
        <v>380</v>
      </c>
      <c r="S198" s="81" t="s">
        <v>1709</v>
      </c>
      <c r="T198" s="86" t="str">
        <f>HYPERLINK("http://www.youtube.com/channel/UCV-utTCw1S6-VHQP8lmyk2A")</f>
        <v>http://www.youtube.com/channel/UCV-utTCw1S6-VHQP8lmyk2A</v>
      </c>
      <c r="U198" s="81"/>
      <c r="V198" s="81" t="s">
        <v>2310</v>
      </c>
      <c r="W198" s="86" t="str">
        <f>HYPERLINK("https://www.youtube.com/watch?v=4Xrg5FtQnp4")</f>
        <v>https://www.youtube.com/watch?v=4Xrg5FtQnp4</v>
      </c>
      <c r="X198" s="81" t="s">
        <v>2335</v>
      </c>
      <c r="Y198" s="81">
        <v>1</v>
      </c>
      <c r="Z198" s="88">
        <v>40757.094351851854</v>
      </c>
      <c r="AA198" s="88">
        <v>40757.094351851854</v>
      </c>
      <c r="AB198" s="81"/>
      <c r="AC198" s="81"/>
      <c r="AD198" s="84" t="s">
        <v>2782</v>
      </c>
      <c r="AE198" s="82">
        <v>2</v>
      </c>
      <c r="AF198" s="83" t="str">
        <f>REPLACE(INDEX(GroupVertices[Group],MATCH(Edges[[#This Row],[Vertex 1]],GroupVertices[Vertex],0)),1,1,"")</f>
        <v>10</v>
      </c>
      <c r="AG198" s="83" t="str">
        <f>REPLACE(INDEX(GroupVertices[Group],MATCH(Edges[[#This Row],[Vertex 2]],GroupVertices[Vertex],0)),1,1,"")</f>
        <v>10</v>
      </c>
      <c r="AH198" s="111">
        <v>0</v>
      </c>
      <c r="AI198" s="112">
        <v>0</v>
      </c>
      <c r="AJ198" s="111">
        <v>0</v>
      </c>
      <c r="AK198" s="112">
        <v>0</v>
      </c>
      <c r="AL198" s="111">
        <v>0</v>
      </c>
      <c r="AM198" s="112">
        <v>0</v>
      </c>
      <c r="AN198" s="111">
        <v>5</v>
      </c>
      <c r="AO198" s="112">
        <v>100</v>
      </c>
      <c r="AP198" s="111">
        <v>5</v>
      </c>
    </row>
    <row r="199" spans="1:42" ht="15">
      <c r="A199" s="65" t="s">
        <v>375</v>
      </c>
      <c r="B199" s="65" t="s">
        <v>381</v>
      </c>
      <c r="C199" s="66" t="s">
        <v>5345</v>
      </c>
      <c r="D199" s="67">
        <v>3</v>
      </c>
      <c r="E199" s="68"/>
      <c r="F199" s="69">
        <v>40</v>
      </c>
      <c r="G199" s="66"/>
      <c r="H199" s="70"/>
      <c r="I199" s="71"/>
      <c r="J199" s="71"/>
      <c r="K199" s="35" t="s">
        <v>65</v>
      </c>
      <c r="L199" s="79">
        <v>199</v>
      </c>
      <c r="M199" s="79"/>
      <c r="N199" s="73"/>
      <c r="O199" s="81" t="s">
        <v>761</v>
      </c>
      <c r="P199" s="81" t="s">
        <v>763</v>
      </c>
      <c r="Q199" s="84" t="s">
        <v>945</v>
      </c>
      <c r="R199" s="81" t="s">
        <v>375</v>
      </c>
      <c r="S199" s="81" t="s">
        <v>1704</v>
      </c>
      <c r="T199" s="86" t="str">
        <f>HYPERLINK("http://www.youtube.com/channel/UCVn2V_pYYlCd6CqJkqyaaLQ")</f>
        <v>http://www.youtube.com/channel/UCVn2V_pYYlCd6CqJkqyaaLQ</v>
      </c>
      <c r="U199" s="81" t="s">
        <v>2123</v>
      </c>
      <c r="V199" s="81" t="s">
        <v>2310</v>
      </c>
      <c r="W199" s="86" t="str">
        <f>HYPERLINK("https://www.youtube.com/watch?v=4Xrg5FtQnp4")</f>
        <v>https://www.youtube.com/watch?v=4Xrg5FtQnp4</v>
      </c>
      <c r="X199" s="81" t="s">
        <v>2335</v>
      </c>
      <c r="Y199" s="81">
        <v>1</v>
      </c>
      <c r="Z199" s="81" t="s">
        <v>2405</v>
      </c>
      <c r="AA199" s="81" t="s">
        <v>2405</v>
      </c>
      <c r="AB199" s="81"/>
      <c r="AC199" s="81"/>
      <c r="AD199" s="84" t="s">
        <v>2782</v>
      </c>
      <c r="AE199" s="82">
        <v>1</v>
      </c>
      <c r="AF199" s="83" t="str">
        <f>REPLACE(INDEX(GroupVertices[Group],MATCH(Edges[[#This Row],[Vertex 1]],GroupVertices[Vertex],0)),1,1,"")</f>
        <v>10</v>
      </c>
      <c r="AG199" s="83" t="str">
        <f>REPLACE(INDEX(GroupVertices[Group],MATCH(Edges[[#This Row],[Vertex 2]],GroupVertices[Vertex],0)),1,1,"")</f>
        <v>10</v>
      </c>
      <c r="AH199" s="111">
        <v>1</v>
      </c>
      <c r="AI199" s="112">
        <v>11.11111111111111</v>
      </c>
      <c r="AJ199" s="111">
        <v>0</v>
      </c>
      <c r="AK199" s="112">
        <v>0</v>
      </c>
      <c r="AL199" s="111">
        <v>0</v>
      </c>
      <c r="AM199" s="112">
        <v>0</v>
      </c>
      <c r="AN199" s="111">
        <v>8</v>
      </c>
      <c r="AO199" s="112">
        <v>88.88888888888889</v>
      </c>
      <c r="AP199" s="111">
        <v>9</v>
      </c>
    </row>
    <row r="200" spans="1:42" ht="15">
      <c r="A200" s="65" t="s">
        <v>381</v>
      </c>
      <c r="B200" s="65" t="s">
        <v>751</v>
      </c>
      <c r="C200" s="66" t="s">
        <v>5345</v>
      </c>
      <c r="D200" s="67">
        <v>3</v>
      </c>
      <c r="E200" s="68"/>
      <c r="F200" s="69">
        <v>40</v>
      </c>
      <c r="G200" s="66"/>
      <c r="H200" s="70"/>
      <c r="I200" s="71"/>
      <c r="J200" s="71"/>
      <c r="K200" s="35" t="s">
        <v>65</v>
      </c>
      <c r="L200" s="79">
        <v>200</v>
      </c>
      <c r="M200" s="79"/>
      <c r="N200" s="73"/>
      <c r="O200" s="81" t="s">
        <v>760</v>
      </c>
      <c r="P200" s="81" t="s">
        <v>215</v>
      </c>
      <c r="Q200" s="84" t="s">
        <v>946</v>
      </c>
      <c r="R200" s="81" t="s">
        <v>381</v>
      </c>
      <c r="S200" s="81" t="s">
        <v>1710</v>
      </c>
      <c r="T200" s="86" t="str">
        <f>HYPERLINK("http://www.youtube.com/channel/UCEYHBM1qWwP5Pi-r1dWyQWw")</f>
        <v>http://www.youtube.com/channel/UCEYHBM1qWwP5Pi-r1dWyQWw</v>
      </c>
      <c r="U200" s="81"/>
      <c r="V200" s="81" t="s">
        <v>2310</v>
      </c>
      <c r="W200" s="86" t="str">
        <f>HYPERLINK("https://www.youtube.com/watch?v=4Xrg5FtQnp4")</f>
        <v>https://www.youtube.com/watch?v=4Xrg5FtQnp4</v>
      </c>
      <c r="X200" s="81" t="s">
        <v>2335</v>
      </c>
      <c r="Y200" s="81">
        <v>6</v>
      </c>
      <c r="Z200" s="81" t="s">
        <v>2406</v>
      </c>
      <c r="AA200" s="81" t="s">
        <v>2406</v>
      </c>
      <c r="AB200" s="81"/>
      <c r="AC200" s="81"/>
      <c r="AD200" s="84" t="s">
        <v>2782</v>
      </c>
      <c r="AE200" s="82">
        <v>1</v>
      </c>
      <c r="AF200" s="83" t="str">
        <f>REPLACE(INDEX(GroupVertices[Group],MATCH(Edges[[#This Row],[Vertex 1]],GroupVertices[Vertex],0)),1,1,"")</f>
        <v>10</v>
      </c>
      <c r="AG200" s="83" t="str">
        <f>REPLACE(INDEX(GroupVertices[Group],MATCH(Edges[[#This Row],[Vertex 2]],GroupVertices[Vertex],0)),1,1,"")</f>
        <v>10</v>
      </c>
      <c r="AH200" s="111">
        <v>1</v>
      </c>
      <c r="AI200" s="112">
        <v>10</v>
      </c>
      <c r="AJ200" s="111">
        <v>0</v>
      </c>
      <c r="AK200" s="112">
        <v>0</v>
      </c>
      <c r="AL200" s="111">
        <v>0</v>
      </c>
      <c r="AM200" s="112">
        <v>0</v>
      </c>
      <c r="AN200" s="111">
        <v>9</v>
      </c>
      <c r="AO200" s="112">
        <v>90</v>
      </c>
      <c r="AP200" s="111">
        <v>10</v>
      </c>
    </row>
    <row r="201" spans="1:42" ht="15">
      <c r="A201" s="65" t="s">
        <v>382</v>
      </c>
      <c r="B201" s="65" t="s">
        <v>751</v>
      </c>
      <c r="C201" s="66" t="s">
        <v>5345</v>
      </c>
      <c r="D201" s="67">
        <v>3</v>
      </c>
      <c r="E201" s="68"/>
      <c r="F201" s="69">
        <v>40</v>
      </c>
      <c r="G201" s="66"/>
      <c r="H201" s="70"/>
      <c r="I201" s="71"/>
      <c r="J201" s="71"/>
      <c r="K201" s="35" t="s">
        <v>65</v>
      </c>
      <c r="L201" s="79">
        <v>201</v>
      </c>
      <c r="M201" s="79"/>
      <c r="N201" s="73"/>
      <c r="O201" s="81" t="s">
        <v>760</v>
      </c>
      <c r="P201" s="81" t="s">
        <v>215</v>
      </c>
      <c r="Q201" s="84" t="s">
        <v>947</v>
      </c>
      <c r="R201" s="81" t="s">
        <v>382</v>
      </c>
      <c r="S201" s="81" t="s">
        <v>1711</v>
      </c>
      <c r="T201" s="86" t="str">
        <f>HYPERLINK("http://www.youtube.com/channel/UCKumGTtkau9hmTf2VZDD6Iw")</f>
        <v>http://www.youtube.com/channel/UCKumGTtkau9hmTf2VZDD6Iw</v>
      </c>
      <c r="U201" s="81"/>
      <c r="V201" s="81" t="s">
        <v>2310</v>
      </c>
      <c r="W201" s="86" t="str">
        <f>HYPERLINK("https://www.youtube.com/watch?v=4Xrg5FtQnp4")</f>
        <v>https://www.youtube.com/watch?v=4Xrg5FtQnp4</v>
      </c>
      <c r="X201" s="81" t="s">
        <v>2335</v>
      </c>
      <c r="Y201" s="81">
        <v>7</v>
      </c>
      <c r="Z201" s="81" t="s">
        <v>2407</v>
      </c>
      <c r="AA201" s="81" t="s">
        <v>2407</v>
      </c>
      <c r="AB201" s="81"/>
      <c r="AC201" s="81"/>
      <c r="AD201" s="84" t="s">
        <v>2782</v>
      </c>
      <c r="AE201" s="82">
        <v>1</v>
      </c>
      <c r="AF201" s="83" t="str">
        <f>REPLACE(INDEX(GroupVertices[Group],MATCH(Edges[[#This Row],[Vertex 1]],GroupVertices[Vertex],0)),1,1,"")</f>
        <v>10</v>
      </c>
      <c r="AG201" s="83" t="str">
        <f>REPLACE(INDEX(GroupVertices[Group],MATCH(Edges[[#This Row],[Vertex 2]],GroupVertices[Vertex],0)),1,1,"")</f>
        <v>10</v>
      </c>
      <c r="AH201" s="111">
        <v>0</v>
      </c>
      <c r="AI201" s="112">
        <v>0</v>
      </c>
      <c r="AJ201" s="111">
        <v>0</v>
      </c>
      <c r="AK201" s="112">
        <v>0</v>
      </c>
      <c r="AL201" s="111">
        <v>0</v>
      </c>
      <c r="AM201" s="112">
        <v>0</v>
      </c>
      <c r="AN201" s="111">
        <v>6</v>
      </c>
      <c r="AO201" s="112">
        <v>100</v>
      </c>
      <c r="AP201" s="111">
        <v>6</v>
      </c>
    </row>
    <row r="202" spans="1:42" ht="15">
      <c r="A202" s="65" t="s">
        <v>379</v>
      </c>
      <c r="B202" s="65" t="s">
        <v>383</v>
      </c>
      <c r="C202" s="66" t="s">
        <v>5345</v>
      </c>
      <c r="D202" s="67">
        <v>3</v>
      </c>
      <c r="E202" s="68"/>
      <c r="F202" s="69">
        <v>40</v>
      </c>
      <c r="G202" s="66"/>
      <c r="H202" s="70"/>
      <c r="I202" s="71"/>
      <c r="J202" s="71"/>
      <c r="K202" s="35" t="s">
        <v>65</v>
      </c>
      <c r="L202" s="79">
        <v>202</v>
      </c>
      <c r="M202" s="79"/>
      <c r="N202" s="73"/>
      <c r="O202" s="81" t="s">
        <v>761</v>
      </c>
      <c r="P202" s="81" t="s">
        <v>763</v>
      </c>
      <c r="Q202" s="84" t="s">
        <v>948</v>
      </c>
      <c r="R202" s="81" t="s">
        <v>379</v>
      </c>
      <c r="S202" s="81" t="s">
        <v>1708</v>
      </c>
      <c r="T202" s="86" t="str">
        <f>HYPERLINK("http://www.youtube.com/channel/UCdNIJJdRr6E2v3AB4Q2bWug")</f>
        <v>http://www.youtube.com/channel/UCdNIJJdRr6E2v3AB4Q2bWug</v>
      </c>
      <c r="U202" s="81" t="s">
        <v>2124</v>
      </c>
      <c r="V202" s="81" t="s">
        <v>2310</v>
      </c>
      <c r="W202" s="86" t="str">
        <f>HYPERLINK("https://www.youtube.com/watch?v=4Xrg5FtQnp4")</f>
        <v>https://www.youtube.com/watch?v=4Xrg5FtQnp4</v>
      </c>
      <c r="X202" s="81" t="s">
        <v>2335</v>
      </c>
      <c r="Y202" s="81">
        <v>0</v>
      </c>
      <c r="Z202" s="81" t="s">
        <v>2408</v>
      </c>
      <c r="AA202" s="81" t="s">
        <v>2408</v>
      </c>
      <c r="AB202" s="81"/>
      <c r="AC202" s="81"/>
      <c r="AD202" s="84" t="s">
        <v>2782</v>
      </c>
      <c r="AE202" s="82">
        <v>1</v>
      </c>
      <c r="AF202" s="83" t="str">
        <f>REPLACE(INDEX(GroupVertices[Group],MATCH(Edges[[#This Row],[Vertex 1]],GroupVertices[Vertex],0)),1,1,"")</f>
        <v>10</v>
      </c>
      <c r="AG202" s="83" t="str">
        <f>REPLACE(INDEX(GroupVertices[Group],MATCH(Edges[[#This Row],[Vertex 2]],GroupVertices[Vertex],0)),1,1,"")</f>
        <v>10</v>
      </c>
      <c r="AH202" s="111">
        <v>1</v>
      </c>
      <c r="AI202" s="112">
        <v>20</v>
      </c>
      <c r="AJ202" s="111">
        <v>0</v>
      </c>
      <c r="AK202" s="112">
        <v>0</v>
      </c>
      <c r="AL202" s="111">
        <v>0</v>
      </c>
      <c r="AM202" s="112">
        <v>0</v>
      </c>
      <c r="AN202" s="111">
        <v>4</v>
      </c>
      <c r="AO202" s="112">
        <v>80</v>
      </c>
      <c r="AP202" s="111">
        <v>5</v>
      </c>
    </row>
    <row r="203" spans="1:42" ht="15">
      <c r="A203" s="65" t="s">
        <v>383</v>
      </c>
      <c r="B203" s="65" t="s">
        <v>751</v>
      </c>
      <c r="C203" s="66" t="s">
        <v>5345</v>
      </c>
      <c r="D203" s="67">
        <v>3</v>
      </c>
      <c r="E203" s="68"/>
      <c r="F203" s="69">
        <v>40</v>
      </c>
      <c r="G203" s="66"/>
      <c r="H203" s="70"/>
      <c r="I203" s="71"/>
      <c r="J203" s="71"/>
      <c r="K203" s="35" t="s">
        <v>65</v>
      </c>
      <c r="L203" s="79">
        <v>203</v>
      </c>
      <c r="M203" s="79"/>
      <c r="N203" s="73"/>
      <c r="O203" s="81" t="s">
        <v>760</v>
      </c>
      <c r="P203" s="81" t="s">
        <v>215</v>
      </c>
      <c r="Q203" s="84" t="s">
        <v>949</v>
      </c>
      <c r="R203" s="81" t="s">
        <v>383</v>
      </c>
      <c r="S203" s="81" t="s">
        <v>1712</v>
      </c>
      <c r="T203" s="86" t="str">
        <f>HYPERLINK("http://www.youtube.com/channel/UCobpsc_hSlCbNJr4FCBfuRw")</f>
        <v>http://www.youtube.com/channel/UCobpsc_hSlCbNJr4FCBfuRw</v>
      </c>
      <c r="U203" s="81"/>
      <c r="V203" s="81" t="s">
        <v>2310</v>
      </c>
      <c r="W203" s="86" t="str">
        <f>HYPERLINK("https://www.youtube.com/watch?v=4Xrg5FtQnp4")</f>
        <v>https://www.youtube.com/watch?v=4Xrg5FtQnp4</v>
      </c>
      <c r="X203" s="81" t="s">
        <v>2335</v>
      </c>
      <c r="Y203" s="81">
        <v>4</v>
      </c>
      <c r="Z203" s="88">
        <v>43436.70479166666</v>
      </c>
      <c r="AA203" s="88">
        <v>43436.70479166666</v>
      </c>
      <c r="AB203" s="81"/>
      <c r="AC203" s="81"/>
      <c r="AD203" s="84" t="s">
        <v>2782</v>
      </c>
      <c r="AE203" s="82">
        <v>1</v>
      </c>
      <c r="AF203" s="83" t="str">
        <f>REPLACE(INDEX(GroupVertices[Group],MATCH(Edges[[#This Row],[Vertex 1]],GroupVertices[Vertex],0)),1,1,"")</f>
        <v>10</v>
      </c>
      <c r="AG203" s="83" t="str">
        <f>REPLACE(INDEX(GroupVertices[Group],MATCH(Edges[[#This Row],[Vertex 2]],GroupVertices[Vertex],0)),1,1,"")</f>
        <v>10</v>
      </c>
      <c r="AH203" s="111">
        <v>0</v>
      </c>
      <c r="AI203" s="112">
        <v>0</v>
      </c>
      <c r="AJ203" s="111">
        <v>1</v>
      </c>
      <c r="AK203" s="112">
        <v>100</v>
      </c>
      <c r="AL203" s="111">
        <v>0</v>
      </c>
      <c r="AM203" s="112">
        <v>0</v>
      </c>
      <c r="AN203" s="111">
        <v>0</v>
      </c>
      <c r="AO203" s="112">
        <v>0</v>
      </c>
      <c r="AP203" s="111">
        <v>1</v>
      </c>
    </row>
    <row r="204" spans="1:42" ht="15">
      <c r="A204" s="65" t="s">
        <v>384</v>
      </c>
      <c r="B204" s="65" t="s">
        <v>751</v>
      </c>
      <c r="C204" s="66" t="s">
        <v>5345</v>
      </c>
      <c r="D204" s="67">
        <v>3</v>
      </c>
      <c r="E204" s="68"/>
      <c r="F204" s="69">
        <v>40</v>
      </c>
      <c r="G204" s="66"/>
      <c r="H204" s="70"/>
      <c r="I204" s="71"/>
      <c r="J204" s="71"/>
      <c r="K204" s="35" t="s">
        <v>65</v>
      </c>
      <c r="L204" s="79">
        <v>204</v>
      </c>
      <c r="M204" s="79"/>
      <c r="N204" s="73"/>
      <c r="O204" s="81" t="s">
        <v>760</v>
      </c>
      <c r="P204" s="81" t="s">
        <v>215</v>
      </c>
      <c r="Q204" s="84" t="s">
        <v>950</v>
      </c>
      <c r="R204" s="81" t="s">
        <v>384</v>
      </c>
      <c r="S204" s="81" t="s">
        <v>1713</v>
      </c>
      <c r="T204" s="86" t="str">
        <f>HYPERLINK("http://www.youtube.com/channel/UCtET7CbkrvUSjYF5jAzXZFg")</f>
        <v>http://www.youtube.com/channel/UCtET7CbkrvUSjYF5jAzXZFg</v>
      </c>
      <c r="U204" s="81"/>
      <c r="V204" s="81" t="s">
        <v>2310</v>
      </c>
      <c r="W204" s="86" t="str">
        <f>HYPERLINK("https://www.youtube.com/watch?v=4Xrg5FtQnp4")</f>
        <v>https://www.youtube.com/watch?v=4Xrg5FtQnp4</v>
      </c>
      <c r="X204" s="81" t="s">
        <v>2335</v>
      </c>
      <c r="Y204" s="81">
        <v>3</v>
      </c>
      <c r="Z204" s="88">
        <v>43171.89431712963</v>
      </c>
      <c r="AA204" s="88">
        <v>43171.89431712963</v>
      </c>
      <c r="AB204" s="81"/>
      <c r="AC204" s="81"/>
      <c r="AD204" s="84" t="s">
        <v>2782</v>
      </c>
      <c r="AE204" s="82">
        <v>1</v>
      </c>
      <c r="AF204" s="83" t="str">
        <f>REPLACE(INDEX(GroupVertices[Group],MATCH(Edges[[#This Row],[Vertex 1]],GroupVertices[Vertex],0)),1,1,"")</f>
        <v>10</v>
      </c>
      <c r="AG204" s="83" t="str">
        <f>REPLACE(INDEX(GroupVertices[Group],MATCH(Edges[[#This Row],[Vertex 2]],GroupVertices[Vertex],0)),1,1,"")</f>
        <v>10</v>
      </c>
      <c r="AH204" s="111">
        <v>0</v>
      </c>
      <c r="AI204" s="112">
        <v>0</v>
      </c>
      <c r="AJ204" s="111">
        <v>0</v>
      </c>
      <c r="AK204" s="112">
        <v>0</v>
      </c>
      <c r="AL204" s="111">
        <v>0</v>
      </c>
      <c r="AM204" s="112">
        <v>0</v>
      </c>
      <c r="AN204" s="111">
        <v>4</v>
      </c>
      <c r="AO204" s="112">
        <v>100</v>
      </c>
      <c r="AP204" s="111">
        <v>4</v>
      </c>
    </row>
    <row r="205" spans="1:42" ht="15">
      <c r="A205" s="65" t="s">
        <v>375</v>
      </c>
      <c r="B205" s="65" t="s">
        <v>751</v>
      </c>
      <c r="C205" s="66" t="s">
        <v>5345</v>
      </c>
      <c r="D205" s="67">
        <v>3</v>
      </c>
      <c r="E205" s="68"/>
      <c r="F205" s="69">
        <v>40</v>
      </c>
      <c r="G205" s="66"/>
      <c r="H205" s="70"/>
      <c r="I205" s="71"/>
      <c r="J205" s="71"/>
      <c r="K205" s="35" t="s">
        <v>65</v>
      </c>
      <c r="L205" s="79">
        <v>205</v>
      </c>
      <c r="M205" s="79"/>
      <c r="N205" s="73"/>
      <c r="O205" s="81" t="s">
        <v>760</v>
      </c>
      <c r="P205" s="81" t="s">
        <v>215</v>
      </c>
      <c r="Q205" s="84" t="s">
        <v>951</v>
      </c>
      <c r="R205" s="81" t="s">
        <v>375</v>
      </c>
      <c r="S205" s="81" t="s">
        <v>1704</v>
      </c>
      <c r="T205" s="86" t="str">
        <f>HYPERLINK("http://www.youtube.com/channel/UCVn2V_pYYlCd6CqJkqyaaLQ")</f>
        <v>http://www.youtube.com/channel/UCVn2V_pYYlCd6CqJkqyaaLQ</v>
      </c>
      <c r="U205" s="81"/>
      <c r="V205" s="81" t="s">
        <v>2310</v>
      </c>
      <c r="W205" s="86" t="str">
        <f>HYPERLINK("https://www.youtube.com/watch?v=4Xrg5FtQnp4")</f>
        <v>https://www.youtube.com/watch?v=4Xrg5FtQnp4</v>
      </c>
      <c r="X205" s="81" t="s">
        <v>2335</v>
      </c>
      <c r="Y205" s="81">
        <v>2</v>
      </c>
      <c r="Z205" s="81" t="s">
        <v>2409</v>
      </c>
      <c r="AA205" s="81" t="s">
        <v>2748</v>
      </c>
      <c r="AB205" s="81"/>
      <c r="AC205" s="81"/>
      <c r="AD205" s="84" t="s">
        <v>2782</v>
      </c>
      <c r="AE205" s="82">
        <v>1</v>
      </c>
      <c r="AF205" s="83" t="str">
        <f>REPLACE(INDEX(GroupVertices[Group],MATCH(Edges[[#This Row],[Vertex 1]],GroupVertices[Vertex],0)),1,1,"")</f>
        <v>10</v>
      </c>
      <c r="AG205" s="83" t="str">
        <f>REPLACE(INDEX(GroupVertices[Group],MATCH(Edges[[#This Row],[Vertex 2]],GroupVertices[Vertex],0)),1,1,"")</f>
        <v>10</v>
      </c>
      <c r="AH205" s="111">
        <v>1</v>
      </c>
      <c r="AI205" s="112">
        <v>9.090909090909092</v>
      </c>
      <c r="AJ205" s="111">
        <v>0</v>
      </c>
      <c r="AK205" s="112">
        <v>0</v>
      </c>
      <c r="AL205" s="111">
        <v>0</v>
      </c>
      <c r="AM205" s="112">
        <v>0</v>
      </c>
      <c r="AN205" s="111">
        <v>10</v>
      </c>
      <c r="AO205" s="112">
        <v>90.9090909090909</v>
      </c>
      <c r="AP205" s="111">
        <v>11</v>
      </c>
    </row>
    <row r="206" spans="1:42" ht="15">
      <c r="A206" s="65" t="s">
        <v>287</v>
      </c>
      <c r="B206" s="65" t="s">
        <v>385</v>
      </c>
      <c r="C206" s="66" t="s">
        <v>5345</v>
      </c>
      <c r="D206" s="67">
        <v>3</v>
      </c>
      <c r="E206" s="68"/>
      <c r="F206" s="69">
        <v>40</v>
      </c>
      <c r="G206" s="66"/>
      <c r="H206" s="70"/>
      <c r="I206" s="71"/>
      <c r="J206" s="71"/>
      <c r="K206" s="35" t="s">
        <v>66</v>
      </c>
      <c r="L206" s="79">
        <v>206</v>
      </c>
      <c r="M206" s="79"/>
      <c r="N206" s="73"/>
      <c r="O206" s="81" t="s">
        <v>761</v>
      </c>
      <c r="P206" s="81" t="s">
        <v>763</v>
      </c>
      <c r="Q206" s="84" t="s">
        <v>952</v>
      </c>
      <c r="R206" s="81" t="s">
        <v>287</v>
      </c>
      <c r="S206" s="81" t="s">
        <v>1616</v>
      </c>
      <c r="T206" s="86" t="str">
        <f>HYPERLINK("http://www.youtube.com/channel/UCbUhO-tut97b5IQhZ3i7TMA")</f>
        <v>http://www.youtube.com/channel/UCbUhO-tut97b5IQhZ3i7TMA</v>
      </c>
      <c r="U206" s="81" t="s">
        <v>2125</v>
      </c>
      <c r="V206" s="81" t="s">
        <v>2311</v>
      </c>
      <c r="W206" s="86" t="str">
        <f>HYPERLINK("https://www.youtube.com/watch?v=DrCnSoZUXAc")</f>
        <v>https://www.youtube.com/watch?v=DrCnSoZUXAc</v>
      </c>
      <c r="X206" s="81" t="s">
        <v>2335</v>
      </c>
      <c r="Y206" s="81">
        <v>0</v>
      </c>
      <c r="Z206" s="88">
        <v>43287.827893518515</v>
      </c>
      <c r="AA206" s="88">
        <v>43287.827893518515</v>
      </c>
      <c r="AB206" s="81"/>
      <c r="AC206" s="81"/>
      <c r="AD206" s="84" t="s">
        <v>2782</v>
      </c>
      <c r="AE206" s="82">
        <v>1</v>
      </c>
      <c r="AF206" s="83" t="str">
        <f>REPLACE(INDEX(GroupVertices[Group],MATCH(Edges[[#This Row],[Vertex 1]],GroupVertices[Vertex],0)),1,1,"")</f>
        <v>1</v>
      </c>
      <c r="AG206" s="83" t="str">
        <f>REPLACE(INDEX(GroupVertices[Group],MATCH(Edges[[#This Row],[Vertex 2]],GroupVertices[Vertex],0)),1,1,"")</f>
        <v>1</v>
      </c>
      <c r="AH206" s="111">
        <v>0</v>
      </c>
      <c r="AI206" s="112">
        <v>0</v>
      </c>
      <c r="AJ206" s="111">
        <v>0</v>
      </c>
      <c r="AK206" s="112">
        <v>0</v>
      </c>
      <c r="AL206" s="111">
        <v>0</v>
      </c>
      <c r="AM206" s="112">
        <v>0</v>
      </c>
      <c r="AN206" s="111">
        <v>2</v>
      </c>
      <c r="AO206" s="112">
        <v>100</v>
      </c>
      <c r="AP206" s="111">
        <v>2</v>
      </c>
    </row>
    <row r="207" spans="1:42" ht="15">
      <c r="A207" s="65" t="s">
        <v>385</v>
      </c>
      <c r="B207" s="65" t="s">
        <v>287</v>
      </c>
      <c r="C207" s="66" t="s">
        <v>5345</v>
      </c>
      <c r="D207" s="67">
        <v>3</v>
      </c>
      <c r="E207" s="68"/>
      <c r="F207" s="69">
        <v>40</v>
      </c>
      <c r="G207" s="66"/>
      <c r="H207" s="70"/>
      <c r="I207" s="71"/>
      <c r="J207" s="71"/>
      <c r="K207" s="35" t="s">
        <v>66</v>
      </c>
      <c r="L207" s="79">
        <v>207</v>
      </c>
      <c r="M207" s="79"/>
      <c r="N207" s="73"/>
      <c r="O207" s="81" t="s">
        <v>760</v>
      </c>
      <c r="P207" s="81" t="s">
        <v>215</v>
      </c>
      <c r="Q207" s="84" t="s">
        <v>953</v>
      </c>
      <c r="R207" s="81" t="s">
        <v>385</v>
      </c>
      <c r="S207" s="81" t="s">
        <v>1714</v>
      </c>
      <c r="T207" s="86" t="str">
        <f>HYPERLINK("http://www.youtube.com/channel/UC-QTPk_pUbp__wG6aw-Z40g")</f>
        <v>http://www.youtube.com/channel/UC-QTPk_pUbp__wG6aw-Z40g</v>
      </c>
      <c r="U207" s="81"/>
      <c r="V207" s="81" t="s">
        <v>2311</v>
      </c>
      <c r="W207" s="86" t="str">
        <f>HYPERLINK("https://www.youtube.com/watch?v=DrCnSoZUXAc")</f>
        <v>https://www.youtube.com/watch?v=DrCnSoZUXAc</v>
      </c>
      <c r="X207" s="81" t="s">
        <v>2335</v>
      </c>
      <c r="Y207" s="81">
        <v>0</v>
      </c>
      <c r="Z207" s="88">
        <v>43287.82144675926</v>
      </c>
      <c r="AA207" s="88">
        <v>43287.82144675926</v>
      </c>
      <c r="AB207" s="81"/>
      <c r="AC207" s="81"/>
      <c r="AD207" s="84" t="s">
        <v>2782</v>
      </c>
      <c r="AE207" s="82">
        <v>1</v>
      </c>
      <c r="AF207" s="83" t="str">
        <f>REPLACE(INDEX(GroupVertices[Group],MATCH(Edges[[#This Row],[Vertex 1]],GroupVertices[Vertex],0)),1,1,"")</f>
        <v>1</v>
      </c>
      <c r="AG207" s="83" t="str">
        <f>REPLACE(INDEX(GroupVertices[Group],MATCH(Edges[[#This Row],[Vertex 2]],GroupVertices[Vertex],0)),1,1,"")</f>
        <v>1</v>
      </c>
      <c r="AH207" s="111">
        <v>1</v>
      </c>
      <c r="AI207" s="112">
        <v>9.090909090909092</v>
      </c>
      <c r="AJ207" s="111">
        <v>0</v>
      </c>
      <c r="AK207" s="112">
        <v>0</v>
      </c>
      <c r="AL207" s="111">
        <v>0</v>
      </c>
      <c r="AM207" s="112">
        <v>0</v>
      </c>
      <c r="AN207" s="111">
        <v>10</v>
      </c>
      <c r="AO207" s="112">
        <v>90.9090909090909</v>
      </c>
      <c r="AP207" s="111">
        <v>11</v>
      </c>
    </row>
    <row r="208" spans="1:42" ht="15">
      <c r="A208" s="65" t="s">
        <v>287</v>
      </c>
      <c r="B208" s="65" t="s">
        <v>387</v>
      </c>
      <c r="C208" s="66" t="s">
        <v>5345</v>
      </c>
      <c r="D208" s="67">
        <v>3</v>
      </c>
      <c r="E208" s="68"/>
      <c r="F208" s="69">
        <v>40</v>
      </c>
      <c r="G208" s="66"/>
      <c r="H208" s="70"/>
      <c r="I208" s="71"/>
      <c r="J208" s="71"/>
      <c r="K208" s="35" t="s">
        <v>66</v>
      </c>
      <c r="L208" s="79">
        <v>208</v>
      </c>
      <c r="M208" s="79"/>
      <c r="N208" s="73"/>
      <c r="O208" s="81" t="s">
        <v>761</v>
      </c>
      <c r="P208" s="81" t="s">
        <v>763</v>
      </c>
      <c r="Q208" s="84" t="s">
        <v>954</v>
      </c>
      <c r="R208" s="81" t="s">
        <v>287</v>
      </c>
      <c r="S208" s="81" t="s">
        <v>1616</v>
      </c>
      <c r="T208" s="86" t="str">
        <f>HYPERLINK("http://www.youtube.com/channel/UCbUhO-tut97b5IQhZ3i7TMA")</f>
        <v>http://www.youtube.com/channel/UCbUhO-tut97b5IQhZ3i7TMA</v>
      </c>
      <c r="U208" s="81" t="s">
        <v>2126</v>
      </c>
      <c r="V208" s="81" t="s">
        <v>2311</v>
      </c>
      <c r="W208" s="86" t="str">
        <f>HYPERLINK("https://www.youtube.com/watch?v=DrCnSoZUXAc")</f>
        <v>https://www.youtube.com/watch?v=DrCnSoZUXAc</v>
      </c>
      <c r="X208" s="81" t="s">
        <v>2335</v>
      </c>
      <c r="Y208" s="81">
        <v>0</v>
      </c>
      <c r="Z208" s="88">
        <v>43287.82759259259</v>
      </c>
      <c r="AA208" s="88">
        <v>43287.82759259259</v>
      </c>
      <c r="AB208" s="81"/>
      <c r="AC208" s="81"/>
      <c r="AD208" s="84" t="s">
        <v>2782</v>
      </c>
      <c r="AE208" s="82">
        <v>1</v>
      </c>
      <c r="AF208" s="83" t="str">
        <f>REPLACE(INDEX(GroupVertices[Group],MATCH(Edges[[#This Row],[Vertex 1]],GroupVertices[Vertex],0)),1,1,"")</f>
        <v>1</v>
      </c>
      <c r="AG208" s="83" t="str">
        <f>REPLACE(INDEX(GroupVertices[Group],MATCH(Edges[[#This Row],[Vertex 2]],GroupVertices[Vertex],0)),1,1,"")</f>
        <v>1</v>
      </c>
      <c r="AH208" s="111">
        <v>0</v>
      </c>
      <c r="AI208" s="112">
        <v>0</v>
      </c>
      <c r="AJ208" s="111">
        <v>0</v>
      </c>
      <c r="AK208" s="112">
        <v>0</v>
      </c>
      <c r="AL208" s="111">
        <v>0</v>
      </c>
      <c r="AM208" s="112">
        <v>0</v>
      </c>
      <c r="AN208" s="111">
        <v>8</v>
      </c>
      <c r="AO208" s="112">
        <v>100</v>
      </c>
      <c r="AP208" s="111">
        <v>8</v>
      </c>
    </row>
    <row r="209" spans="1:42" ht="15">
      <c r="A209" s="65" t="s">
        <v>386</v>
      </c>
      <c r="B209" s="65" t="s">
        <v>387</v>
      </c>
      <c r="C209" s="66" t="s">
        <v>5345</v>
      </c>
      <c r="D209" s="67">
        <v>3</v>
      </c>
      <c r="E209" s="68"/>
      <c r="F209" s="69">
        <v>40</v>
      </c>
      <c r="G209" s="66"/>
      <c r="H209" s="70"/>
      <c r="I209" s="71"/>
      <c r="J209" s="71"/>
      <c r="K209" s="35" t="s">
        <v>65</v>
      </c>
      <c r="L209" s="79">
        <v>209</v>
      </c>
      <c r="M209" s="79"/>
      <c r="N209" s="73"/>
      <c r="O209" s="81" t="s">
        <v>761</v>
      </c>
      <c r="P209" s="81" t="s">
        <v>763</v>
      </c>
      <c r="Q209" s="84" t="s">
        <v>955</v>
      </c>
      <c r="R209" s="81" t="s">
        <v>386</v>
      </c>
      <c r="S209" s="81" t="s">
        <v>1715</v>
      </c>
      <c r="T209" s="86" t="str">
        <f>HYPERLINK("http://www.youtube.com/channel/UCEig_3HhFVw-cFgABX1AP8Q")</f>
        <v>http://www.youtube.com/channel/UCEig_3HhFVw-cFgABX1AP8Q</v>
      </c>
      <c r="U209" s="81" t="s">
        <v>2126</v>
      </c>
      <c r="V209" s="81" t="s">
        <v>2311</v>
      </c>
      <c r="W209" s="86" t="str">
        <f>HYPERLINK("https://www.youtube.com/watch?v=DrCnSoZUXAc")</f>
        <v>https://www.youtube.com/watch?v=DrCnSoZUXAc</v>
      </c>
      <c r="X209" s="81" t="s">
        <v>2335</v>
      </c>
      <c r="Y209" s="81">
        <v>0</v>
      </c>
      <c r="Z209" s="88">
        <v>43379.78533564815</v>
      </c>
      <c r="AA209" s="88">
        <v>43379.78533564815</v>
      </c>
      <c r="AB209" s="81"/>
      <c r="AC209" s="81"/>
      <c r="AD209" s="84" t="s">
        <v>2782</v>
      </c>
      <c r="AE209" s="82">
        <v>1</v>
      </c>
      <c r="AF209" s="83" t="str">
        <f>REPLACE(INDEX(GroupVertices[Group],MATCH(Edges[[#This Row],[Vertex 1]],GroupVertices[Vertex],0)),1,1,"")</f>
        <v>1</v>
      </c>
      <c r="AG209" s="83" t="str">
        <f>REPLACE(INDEX(GroupVertices[Group],MATCH(Edges[[#This Row],[Vertex 2]],GroupVertices[Vertex],0)),1,1,"")</f>
        <v>1</v>
      </c>
      <c r="AH209" s="111">
        <v>0</v>
      </c>
      <c r="AI209" s="112">
        <v>0</v>
      </c>
      <c r="AJ209" s="111">
        <v>0</v>
      </c>
      <c r="AK209" s="112">
        <v>0</v>
      </c>
      <c r="AL209" s="111">
        <v>0</v>
      </c>
      <c r="AM209" s="112">
        <v>0</v>
      </c>
      <c r="AN209" s="111">
        <v>4</v>
      </c>
      <c r="AO209" s="112">
        <v>100</v>
      </c>
      <c r="AP209" s="111">
        <v>4</v>
      </c>
    </row>
    <row r="210" spans="1:42" ht="15">
      <c r="A210" s="65" t="s">
        <v>387</v>
      </c>
      <c r="B210" s="65" t="s">
        <v>287</v>
      </c>
      <c r="C210" s="66" t="s">
        <v>5345</v>
      </c>
      <c r="D210" s="67">
        <v>3</v>
      </c>
      <c r="E210" s="68"/>
      <c r="F210" s="69">
        <v>40</v>
      </c>
      <c r="G210" s="66"/>
      <c r="H210" s="70"/>
      <c r="I210" s="71"/>
      <c r="J210" s="71"/>
      <c r="K210" s="35" t="s">
        <v>66</v>
      </c>
      <c r="L210" s="79">
        <v>210</v>
      </c>
      <c r="M210" s="79"/>
      <c r="N210" s="73"/>
      <c r="O210" s="81" t="s">
        <v>760</v>
      </c>
      <c r="P210" s="81" t="s">
        <v>215</v>
      </c>
      <c r="Q210" s="84" t="s">
        <v>956</v>
      </c>
      <c r="R210" s="81" t="s">
        <v>387</v>
      </c>
      <c r="S210" s="81" t="s">
        <v>1716</v>
      </c>
      <c r="T210" s="86" t="str">
        <f>HYPERLINK("http://www.youtube.com/channel/UCyaAYT6sffU8Z4o4ADkSadA")</f>
        <v>http://www.youtube.com/channel/UCyaAYT6sffU8Z4o4ADkSadA</v>
      </c>
      <c r="U210" s="81"/>
      <c r="V210" s="81" t="s">
        <v>2311</v>
      </c>
      <c r="W210" s="86" t="str">
        <f>HYPERLINK("https://www.youtube.com/watch?v=DrCnSoZUXAc")</f>
        <v>https://www.youtube.com/watch?v=DrCnSoZUXAc</v>
      </c>
      <c r="X210" s="81" t="s">
        <v>2335</v>
      </c>
      <c r="Y210" s="81">
        <v>1</v>
      </c>
      <c r="Z210" s="88">
        <v>43287.824641203704</v>
      </c>
      <c r="AA210" s="88">
        <v>43287.82711805555</v>
      </c>
      <c r="AB210" s="81"/>
      <c r="AC210" s="81"/>
      <c r="AD210" s="84" t="s">
        <v>2782</v>
      </c>
      <c r="AE210" s="82">
        <v>1</v>
      </c>
      <c r="AF210" s="83" t="str">
        <f>REPLACE(INDEX(GroupVertices[Group],MATCH(Edges[[#This Row],[Vertex 1]],GroupVertices[Vertex],0)),1,1,"")</f>
        <v>1</v>
      </c>
      <c r="AG210" s="83" t="str">
        <f>REPLACE(INDEX(GroupVertices[Group],MATCH(Edges[[#This Row],[Vertex 2]],GroupVertices[Vertex],0)),1,1,"")</f>
        <v>1</v>
      </c>
      <c r="AH210" s="111">
        <v>2</v>
      </c>
      <c r="AI210" s="112">
        <v>10.526315789473685</v>
      </c>
      <c r="AJ210" s="111">
        <v>0</v>
      </c>
      <c r="AK210" s="112">
        <v>0</v>
      </c>
      <c r="AL210" s="111">
        <v>0</v>
      </c>
      <c r="AM210" s="112">
        <v>0</v>
      </c>
      <c r="AN210" s="111">
        <v>17</v>
      </c>
      <c r="AO210" s="112">
        <v>89.47368421052632</v>
      </c>
      <c r="AP210" s="111">
        <v>19</v>
      </c>
    </row>
    <row r="211" spans="1:42" ht="15">
      <c r="A211" s="65" t="s">
        <v>287</v>
      </c>
      <c r="B211" s="65" t="s">
        <v>388</v>
      </c>
      <c r="C211" s="66" t="s">
        <v>5345</v>
      </c>
      <c r="D211" s="67">
        <v>3</v>
      </c>
      <c r="E211" s="68"/>
      <c r="F211" s="69">
        <v>40</v>
      </c>
      <c r="G211" s="66"/>
      <c r="H211" s="70"/>
      <c r="I211" s="71"/>
      <c r="J211" s="71"/>
      <c r="K211" s="35" t="s">
        <v>66</v>
      </c>
      <c r="L211" s="79">
        <v>211</v>
      </c>
      <c r="M211" s="79"/>
      <c r="N211" s="73"/>
      <c r="O211" s="81" t="s">
        <v>761</v>
      </c>
      <c r="P211" s="81" t="s">
        <v>763</v>
      </c>
      <c r="Q211" s="84" t="s">
        <v>957</v>
      </c>
      <c r="R211" s="81" t="s">
        <v>287</v>
      </c>
      <c r="S211" s="81" t="s">
        <v>1616</v>
      </c>
      <c r="T211" s="86" t="str">
        <f>HYPERLINK("http://www.youtube.com/channel/UCbUhO-tut97b5IQhZ3i7TMA")</f>
        <v>http://www.youtube.com/channel/UCbUhO-tut97b5IQhZ3i7TMA</v>
      </c>
      <c r="U211" s="81" t="s">
        <v>2127</v>
      </c>
      <c r="V211" s="81" t="s">
        <v>2311</v>
      </c>
      <c r="W211" s="86" t="str">
        <f>HYPERLINK("https://www.youtube.com/watch?v=DrCnSoZUXAc")</f>
        <v>https://www.youtube.com/watch?v=DrCnSoZUXAc</v>
      </c>
      <c r="X211" s="81" t="s">
        <v>2335</v>
      </c>
      <c r="Y211" s="81">
        <v>0</v>
      </c>
      <c r="Z211" s="88">
        <v>43287.95376157408</v>
      </c>
      <c r="AA211" s="88">
        <v>43287.95376157408</v>
      </c>
      <c r="AB211" s="81"/>
      <c r="AC211" s="81"/>
      <c r="AD211" s="84" t="s">
        <v>2782</v>
      </c>
      <c r="AE211" s="82">
        <v>1</v>
      </c>
      <c r="AF211" s="83" t="str">
        <f>REPLACE(INDEX(GroupVertices[Group],MATCH(Edges[[#This Row],[Vertex 1]],GroupVertices[Vertex],0)),1,1,"")</f>
        <v>1</v>
      </c>
      <c r="AG211" s="83" t="str">
        <f>REPLACE(INDEX(GroupVertices[Group],MATCH(Edges[[#This Row],[Vertex 2]],GroupVertices[Vertex],0)),1,1,"")</f>
        <v>1</v>
      </c>
      <c r="AH211" s="111">
        <v>1</v>
      </c>
      <c r="AI211" s="112">
        <v>9.090909090909092</v>
      </c>
      <c r="AJ211" s="111">
        <v>0</v>
      </c>
      <c r="AK211" s="112">
        <v>0</v>
      </c>
      <c r="AL211" s="111">
        <v>0</v>
      </c>
      <c r="AM211" s="112">
        <v>0</v>
      </c>
      <c r="AN211" s="111">
        <v>10</v>
      </c>
      <c r="AO211" s="112">
        <v>90.9090909090909</v>
      </c>
      <c r="AP211" s="111">
        <v>11</v>
      </c>
    </row>
    <row r="212" spans="1:42" ht="15">
      <c r="A212" s="65" t="s">
        <v>388</v>
      </c>
      <c r="B212" s="65" t="s">
        <v>287</v>
      </c>
      <c r="C212" s="66" t="s">
        <v>5345</v>
      </c>
      <c r="D212" s="67">
        <v>3</v>
      </c>
      <c r="E212" s="68"/>
      <c r="F212" s="69">
        <v>40</v>
      </c>
      <c r="G212" s="66"/>
      <c r="H212" s="70"/>
      <c r="I212" s="71"/>
      <c r="J212" s="71"/>
      <c r="K212" s="35" t="s">
        <v>66</v>
      </c>
      <c r="L212" s="79">
        <v>212</v>
      </c>
      <c r="M212" s="79"/>
      <c r="N212" s="73"/>
      <c r="O212" s="81" t="s">
        <v>760</v>
      </c>
      <c r="P212" s="81" t="s">
        <v>215</v>
      </c>
      <c r="Q212" s="84" t="s">
        <v>958</v>
      </c>
      <c r="R212" s="81" t="s">
        <v>388</v>
      </c>
      <c r="S212" s="81" t="s">
        <v>1717</v>
      </c>
      <c r="T212" s="86" t="str">
        <f>HYPERLINK("http://www.youtube.com/channel/UCF6USIs0g35mtnmdSlfeBgw")</f>
        <v>http://www.youtube.com/channel/UCF6USIs0g35mtnmdSlfeBgw</v>
      </c>
      <c r="U212" s="81"/>
      <c r="V212" s="81" t="s">
        <v>2311</v>
      </c>
      <c r="W212" s="86" t="str">
        <f>HYPERLINK("https://www.youtube.com/watch?v=DrCnSoZUXAc")</f>
        <v>https://www.youtube.com/watch?v=DrCnSoZUXAc</v>
      </c>
      <c r="X212" s="81" t="s">
        <v>2335</v>
      </c>
      <c r="Y212" s="81">
        <v>0</v>
      </c>
      <c r="Z212" s="88">
        <v>43287.83298611111</v>
      </c>
      <c r="AA212" s="88">
        <v>43287.83298611111</v>
      </c>
      <c r="AB212" s="81"/>
      <c r="AC212" s="81"/>
      <c r="AD212" s="84" t="s">
        <v>2782</v>
      </c>
      <c r="AE212" s="82">
        <v>1</v>
      </c>
      <c r="AF212" s="83" t="str">
        <f>REPLACE(INDEX(GroupVertices[Group],MATCH(Edges[[#This Row],[Vertex 1]],GroupVertices[Vertex],0)),1,1,"")</f>
        <v>1</v>
      </c>
      <c r="AG212" s="83" t="str">
        <f>REPLACE(INDEX(GroupVertices[Group],MATCH(Edges[[#This Row],[Vertex 2]],GroupVertices[Vertex],0)),1,1,"")</f>
        <v>1</v>
      </c>
      <c r="AH212" s="111">
        <v>2</v>
      </c>
      <c r="AI212" s="112">
        <v>9.090909090909092</v>
      </c>
      <c r="AJ212" s="111">
        <v>0</v>
      </c>
      <c r="AK212" s="112">
        <v>0</v>
      </c>
      <c r="AL212" s="111">
        <v>0</v>
      </c>
      <c r="AM212" s="112">
        <v>0</v>
      </c>
      <c r="AN212" s="111">
        <v>20</v>
      </c>
      <c r="AO212" s="112">
        <v>90.9090909090909</v>
      </c>
      <c r="AP212" s="111">
        <v>22</v>
      </c>
    </row>
    <row r="213" spans="1:42" ht="15">
      <c r="A213" s="65" t="s">
        <v>287</v>
      </c>
      <c r="B213" s="65" t="s">
        <v>389</v>
      </c>
      <c r="C213" s="66" t="s">
        <v>5345</v>
      </c>
      <c r="D213" s="67">
        <v>3</v>
      </c>
      <c r="E213" s="68"/>
      <c r="F213" s="69">
        <v>40</v>
      </c>
      <c r="G213" s="66"/>
      <c r="H213" s="70"/>
      <c r="I213" s="71"/>
      <c r="J213" s="71"/>
      <c r="K213" s="35" t="s">
        <v>66</v>
      </c>
      <c r="L213" s="79">
        <v>213</v>
      </c>
      <c r="M213" s="79"/>
      <c r="N213" s="73"/>
      <c r="O213" s="81" t="s">
        <v>761</v>
      </c>
      <c r="P213" s="81" t="s">
        <v>763</v>
      </c>
      <c r="Q213" s="84" t="s">
        <v>959</v>
      </c>
      <c r="R213" s="81" t="s">
        <v>287</v>
      </c>
      <c r="S213" s="81" t="s">
        <v>1616</v>
      </c>
      <c r="T213" s="86" t="str">
        <f>HYPERLINK("http://www.youtube.com/channel/UCbUhO-tut97b5IQhZ3i7TMA")</f>
        <v>http://www.youtube.com/channel/UCbUhO-tut97b5IQhZ3i7TMA</v>
      </c>
      <c r="U213" s="81" t="s">
        <v>2128</v>
      </c>
      <c r="V213" s="81" t="s">
        <v>2311</v>
      </c>
      <c r="W213" s="86" t="str">
        <f>HYPERLINK("https://www.youtube.com/watch?v=DrCnSoZUXAc")</f>
        <v>https://www.youtube.com/watch?v=DrCnSoZUXAc</v>
      </c>
      <c r="X213" s="81" t="s">
        <v>2335</v>
      </c>
      <c r="Y213" s="81">
        <v>0</v>
      </c>
      <c r="Z213" s="88">
        <v>43287.95394675926</v>
      </c>
      <c r="AA213" s="88">
        <v>43287.95394675926</v>
      </c>
      <c r="AB213" s="81"/>
      <c r="AC213" s="81"/>
      <c r="AD213" s="84" t="s">
        <v>2782</v>
      </c>
      <c r="AE213" s="82">
        <v>1</v>
      </c>
      <c r="AF213" s="83" t="str">
        <f>REPLACE(INDEX(GroupVertices[Group],MATCH(Edges[[#This Row],[Vertex 1]],GroupVertices[Vertex],0)),1,1,"")</f>
        <v>1</v>
      </c>
      <c r="AG213" s="83" t="str">
        <f>REPLACE(INDEX(GroupVertices[Group],MATCH(Edges[[#This Row],[Vertex 2]],GroupVertices[Vertex],0)),1,1,"")</f>
        <v>1</v>
      </c>
      <c r="AH213" s="111">
        <v>2</v>
      </c>
      <c r="AI213" s="112">
        <v>22.22222222222222</v>
      </c>
      <c r="AJ213" s="111">
        <v>0</v>
      </c>
      <c r="AK213" s="112">
        <v>0</v>
      </c>
      <c r="AL213" s="111">
        <v>0</v>
      </c>
      <c r="AM213" s="112">
        <v>0</v>
      </c>
      <c r="AN213" s="111">
        <v>7</v>
      </c>
      <c r="AO213" s="112">
        <v>77.77777777777777</v>
      </c>
      <c r="AP213" s="111">
        <v>9</v>
      </c>
    </row>
    <row r="214" spans="1:42" ht="15">
      <c r="A214" s="65" t="s">
        <v>389</v>
      </c>
      <c r="B214" s="65" t="s">
        <v>287</v>
      </c>
      <c r="C214" s="66" t="s">
        <v>5345</v>
      </c>
      <c r="D214" s="67">
        <v>3</v>
      </c>
      <c r="E214" s="68"/>
      <c r="F214" s="69">
        <v>40</v>
      </c>
      <c r="G214" s="66"/>
      <c r="H214" s="70"/>
      <c r="I214" s="71"/>
      <c r="J214" s="71"/>
      <c r="K214" s="35" t="s">
        <v>66</v>
      </c>
      <c r="L214" s="79">
        <v>214</v>
      </c>
      <c r="M214" s="79"/>
      <c r="N214" s="73"/>
      <c r="O214" s="81" t="s">
        <v>760</v>
      </c>
      <c r="P214" s="81" t="s">
        <v>215</v>
      </c>
      <c r="Q214" s="84" t="s">
        <v>960</v>
      </c>
      <c r="R214" s="81" t="s">
        <v>389</v>
      </c>
      <c r="S214" s="81" t="s">
        <v>1718</v>
      </c>
      <c r="T214" s="86" t="str">
        <f>HYPERLINK("http://www.youtube.com/channel/UCcFd9I2HYUSYVnquX0vG_ew")</f>
        <v>http://www.youtube.com/channel/UCcFd9I2HYUSYVnquX0vG_ew</v>
      </c>
      <c r="U214" s="81"/>
      <c r="V214" s="81" t="s">
        <v>2311</v>
      </c>
      <c r="W214" s="86" t="str">
        <f>HYPERLINK("https://www.youtube.com/watch?v=DrCnSoZUXAc")</f>
        <v>https://www.youtube.com/watch?v=DrCnSoZUXAc</v>
      </c>
      <c r="X214" s="81" t="s">
        <v>2335</v>
      </c>
      <c r="Y214" s="81">
        <v>0</v>
      </c>
      <c r="Z214" s="88">
        <v>43287.83409722222</v>
      </c>
      <c r="AA214" s="88">
        <v>43287.83409722222</v>
      </c>
      <c r="AB214" s="81"/>
      <c r="AC214" s="81"/>
      <c r="AD214" s="84" t="s">
        <v>2782</v>
      </c>
      <c r="AE214" s="82">
        <v>1</v>
      </c>
      <c r="AF214" s="83" t="str">
        <f>REPLACE(INDEX(GroupVertices[Group],MATCH(Edges[[#This Row],[Vertex 1]],GroupVertices[Vertex],0)),1,1,"")</f>
        <v>1</v>
      </c>
      <c r="AG214" s="83" t="str">
        <f>REPLACE(INDEX(GroupVertices[Group],MATCH(Edges[[#This Row],[Vertex 2]],GroupVertices[Vertex],0)),1,1,"")</f>
        <v>1</v>
      </c>
      <c r="AH214" s="111">
        <v>2</v>
      </c>
      <c r="AI214" s="112">
        <v>25</v>
      </c>
      <c r="AJ214" s="111">
        <v>0</v>
      </c>
      <c r="AK214" s="112">
        <v>0</v>
      </c>
      <c r="AL214" s="111">
        <v>0</v>
      </c>
      <c r="AM214" s="112">
        <v>0</v>
      </c>
      <c r="AN214" s="111">
        <v>6</v>
      </c>
      <c r="AO214" s="112">
        <v>75</v>
      </c>
      <c r="AP214" s="111">
        <v>8</v>
      </c>
    </row>
    <row r="215" spans="1:42" ht="15">
      <c r="A215" s="65" t="s">
        <v>287</v>
      </c>
      <c r="B215" s="65" t="s">
        <v>390</v>
      </c>
      <c r="C215" s="66" t="s">
        <v>5345</v>
      </c>
      <c r="D215" s="67">
        <v>3</v>
      </c>
      <c r="E215" s="68"/>
      <c r="F215" s="69">
        <v>40</v>
      </c>
      <c r="G215" s="66"/>
      <c r="H215" s="70"/>
      <c r="I215" s="71"/>
      <c r="J215" s="71"/>
      <c r="K215" s="35" t="s">
        <v>66</v>
      </c>
      <c r="L215" s="79">
        <v>215</v>
      </c>
      <c r="M215" s="79"/>
      <c r="N215" s="73"/>
      <c r="O215" s="81" t="s">
        <v>761</v>
      </c>
      <c r="P215" s="81" t="s">
        <v>763</v>
      </c>
      <c r="Q215" s="84" t="s">
        <v>961</v>
      </c>
      <c r="R215" s="81" t="s">
        <v>287</v>
      </c>
      <c r="S215" s="81" t="s">
        <v>1616</v>
      </c>
      <c r="T215" s="86" t="str">
        <f>HYPERLINK("http://www.youtube.com/channel/UCbUhO-tut97b5IQhZ3i7TMA")</f>
        <v>http://www.youtube.com/channel/UCbUhO-tut97b5IQhZ3i7TMA</v>
      </c>
      <c r="U215" s="81" t="s">
        <v>2129</v>
      </c>
      <c r="V215" s="81" t="s">
        <v>2311</v>
      </c>
      <c r="W215" s="86" t="str">
        <f>HYPERLINK("https://www.youtube.com/watch?v=DrCnSoZUXAc")</f>
        <v>https://www.youtube.com/watch?v=DrCnSoZUXAc</v>
      </c>
      <c r="X215" s="81" t="s">
        <v>2335</v>
      </c>
      <c r="Y215" s="81">
        <v>0</v>
      </c>
      <c r="Z215" s="88">
        <v>43287.95460648148</v>
      </c>
      <c r="AA215" s="88">
        <v>43287.95460648148</v>
      </c>
      <c r="AB215" s="81"/>
      <c r="AC215" s="81"/>
      <c r="AD215" s="84" t="s">
        <v>2782</v>
      </c>
      <c r="AE215" s="82">
        <v>1</v>
      </c>
      <c r="AF215" s="83" t="str">
        <f>REPLACE(INDEX(GroupVertices[Group],MATCH(Edges[[#This Row],[Vertex 1]],GroupVertices[Vertex],0)),1,1,"")</f>
        <v>1</v>
      </c>
      <c r="AG215" s="83" t="str">
        <f>REPLACE(INDEX(GroupVertices[Group],MATCH(Edges[[#This Row],[Vertex 2]],GroupVertices[Vertex],0)),1,1,"")</f>
        <v>1</v>
      </c>
      <c r="AH215" s="111">
        <v>1</v>
      </c>
      <c r="AI215" s="112">
        <v>8.333333333333334</v>
      </c>
      <c r="AJ215" s="111">
        <v>0</v>
      </c>
      <c r="AK215" s="112">
        <v>0</v>
      </c>
      <c r="AL215" s="111">
        <v>0</v>
      </c>
      <c r="AM215" s="112">
        <v>0</v>
      </c>
      <c r="AN215" s="111">
        <v>11</v>
      </c>
      <c r="AO215" s="112">
        <v>91.66666666666667</v>
      </c>
      <c r="AP215" s="111">
        <v>12</v>
      </c>
    </row>
    <row r="216" spans="1:42" ht="15">
      <c r="A216" s="65" t="s">
        <v>390</v>
      </c>
      <c r="B216" s="65" t="s">
        <v>287</v>
      </c>
      <c r="C216" s="66" t="s">
        <v>5345</v>
      </c>
      <c r="D216" s="67">
        <v>3</v>
      </c>
      <c r="E216" s="68"/>
      <c r="F216" s="69">
        <v>40</v>
      </c>
      <c r="G216" s="66"/>
      <c r="H216" s="70"/>
      <c r="I216" s="71"/>
      <c r="J216" s="71"/>
      <c r="K216" s="35" t="s">
        <v>66</v>
      </c>
      <c r="L216" s="79">
        <v>216</v>
      </c>
      <c r="M216" s="79"/>
      <c r="N216" s="73"/>
      <c r="O216" s="81" t="s">
        <v>760</v>
      </c>
      <c r="P216" s="81" t="s">
        <v>215</v>
      </c>
      <c r="Q216" s="84" t="s">
        <v>962</v>
      </c>
      <c r="R216" s="81" t="s">
        <v>390</v>
      </c>
      <c r="S216" s="81" t="s">
        <v>1719</v>
      </c>
      <c r="T216" s="86" t="str">
        <f>HYPERLINK("http://www.youtube.com/channel/UCk2jTZx_6EYAq9RqZuwe-8g")</f>
        <v>http://www.youtube.com/channel/UCk2jTZx_6EYAq9RqZuwe-8g</v>
      </c>
      <c r="U216" s="81"/>
      <c r="V216" s="81" t="s">
        <v>2311</v>
      </c>
      <c r="W216" s="86" t="str">
        <f>HYPERLINK("https://www.youtube.com/watch?v=DrCnSoZUXAc")</f>
        <v>https://www.youtube.com/watch?v=DrCnSoZUXAc</v>
      </c>
      <c r="X216" s="81" t="s">
        <v>2335</v>
      </c>
      <c r="Y216" s="81">
        <v>0</v>
      </c>
      <c r="Z216" s="88">
        <v>43287.85350694445</v>
      </c>
      <c r="AA216" s="88">
        <v>43287.85350694445</v>
      </c>
      <c r="AB216" s="81"/>
      <c r="AC216" s="81"/>
      <c r="AD216" s="84" t="s">
        <v>2782</v>
      </c>
      <c r="AE216" s="82">
        <v>1</v>
      </c>
      <c r="AF216" s="83" t="str">
        <f>REPLACE(INDEX(GroupVertices[Group],MATCH(Edges[[#This Row],[Vertex 1]],GroupVertices[Vertex],0)),1,1,"")</f>
        <v>1</v>
      </c>
      <c r="AG216" s="83" t="str">
        <f>REPLACE(INDEX(GroupVertices[Group],MATCH(Edges[[#This Row],[Vertex 2]],GroupVertices[Vertex],0)),1,1,"")</f>
        <v>1</v>
      </c>
      <c r="AH216" s="111">
        <v>2</v>
      </c>
      <c r="AI216" s="112">
        <v>8.333333333333334</v>
      </c>
      <c r="AJ216" s="111">
        <v>0</v>
      </c>
      <c r="AK216" s="112">
        <v>0</v>
      </c>
      <c r="AL216" s="111">
        <v>0</v>
      </c>
      <c r="AM216" s="112">
        <v>0</v>
      </c>
      <c r="AN216" s="111">
        <v>22</v>
      </c>
      <c r="AO216" s="112">
        <v>91.66666666666667</v>
      </c>
      <c r="AP216" s="111">
        <v>24</v>
      </c>
    </row>
    <row r="217" spans="1:42" ht="15">
      <c r="A217" s="65" t="s">
        <v>391</v>
      </c>
      <c r="B217" s="65" t="s">
        <v>391</v>
      </c>
      <c r="C217" s="66" t="s">
        <v>5345</v>
      </c>
      <c r="D217" s="67">
        <v>3</v>
      </c>
      <c r="E217" s="68"/>
      <c r="F217" s="69">
        <v>40</v>
      </c>
      <c r="G217" s="66"/>
      <c r="H217" s="70"/>
      <c r="I217" s="71"/>
      <c r="J217" s="71"/>
      <c r="K217" s="35" t="s">
        <v>65</v>
      </c>
      <c r="L217" s="79">
        <v>217</v>
      </c>
      <c r="M217" s="79"/>
      <c r="N217" s="73"/>
      <c r="O217" s="81" t="s">
        <v>761</v>
      </c>
      <c r="P217" s="81" t="s">
        <v>763</v>
      </c>
      <c r="Q217" s="84" t="s">
        <v>963</v>
      </c>
      <c r="R217" s="81" t="s">
        <v>391</v>
      </c>
      <c r="S217" s="81" t="s">
        <v>1720</v>
      </c>
      <c r="T217" s="86" t="str">
        <f>HYPERLINK("http://www.youtube.com/channel/UC2x7dMM9VJRnK8Raixibi-g")</f>
        <v>http://www.youtube.com/channel/UC2x7dMM9VJRnK8Raixibi-g</v>
      </c>
      <c r="U217" s="81" t="s">
        <v>2130</v>
      </c>
      <c r="V217" s="81" t="s">
        <v>2311</v>
      </c>
      <c r="W217" s="86" t="str">
        <f>HYPERLINK("https://www.youtube.com/watch?v=DrCnSoZUXAc")</f>
        <v>https://www.youtube.com/watch?v=DrCnSoZUXAc</v>
      </c>
      <c r="X217" s="81" t="s">
        <v>2335</v>
      </c>
      <c r="Y217" s="81">
        <v>0</v>
      </c>
      <c r="Z217" s="88">
        <v>43287.93380787037</v>
      </c>
      <c r="AA217" s="88">
        <v>43287.93380787037</v>
      </c>
      <c r="AB217" s="81"/>
      <c r="AC217" s="81"/>
      <c r="AD217" s="84" t="s">
        <v>2782</v>
      </c>
      <c r="AE217" s="82">
        <v>1</v>
      </c>
      <c r="AF217" s="83" t="str">
        <f>REPLACE(INDEX(GroupVertices[Group],MATCH(Edges[[#This Row],[Vertex 1]],GroupVertices[Vertex],0)),1,1,"")</f>
        <v>1</v>
      </c>
      <c r="AG217" s="83" t="str">
        <f>REPLACE(INDEX(GroupVertices[Group],MATCH(Edges[[#This Row],[Vertex 2]],GroupVertices[Vertex],0)),1,1,"")</f>
        <v>1</v>
      </c>
      <c r="AH217" s="111">
        <v>1</v>
      </c>
      <c r="AI217" s="112">
        <v>14.285714285714286</v>
      </c>
      <c r="AJ217" s="111">
        <v>0</v>
      </c>
      <c r="AK217" s="112">
        <v>0</v>
      </c>
      <c r="AL217" s="111">
        <v>0</v>
      </c>
      <c r="AM217" s="112">
        <v>0</v>
      </c>
      <c r="AN217" s="111">
        <v>6</v>
      </c>
      <c r="AO217" s="112">
        <v>85.71428571428571</v>
      </c>
      <c r="AP217" s="111">
        <v>7</v>
      </c>
    </row>
    <row r="218" spans="1:42" ht="15">
      <c r="A218" s="65" t="s">
        <v>287</v>
      </c>
      <c r="B218" s="65" t="s">
        <v>391</v>
      </c>
      <c r="C218" s="66" t="s">
        <v>5345</v>
      </c>
      <c r="D218" s="67">
        <v>3</v>
      </c>
      <c r="E218" s="68"/>
      <c r="F218" s="69">
        <v>40</v>
      </c>
      <c r="G218" s="66"/>
      <c r="H218" s="70"/>
      <c r="I218" s="71"/>
      <c r="J218" s="71"/>
      <c r="K218" s="35" t="s">
        <v>66</v>
      </c>
      <c r="L218" s="79">
        <v>218</v>
      </c>
      <c r="M218" s="79"/>
      <c r="N218" s="73"/>
      <c r="O218" s="81" t="s">
        <v>761</v>
      </c>
      <c r="P218" s="81" t="s">
        <v>763</v>
      </c>
      <c r="Q218" s="84" t="s">
        <v>964</v>
      </c>
      <c r="R218" s="81" t="s">
        <v>287</v>
      </c>
      <c r="S218" s="81" t="s">
        <v>1616</v>
      </c>
      <c r="T218" s="86" t="str">
        <f>HYPERLINK("http://www.youtube.com/channel/UCbUhO-tut97b5IQhZ3i7TMA")</f>
        <v>http://www.youtube.com/channel/UCbUhO-tut97b5IQhZ3i7TMA</v>
      </c>
      <c r="U218" s="81" t="s">
        <v>2130</v>
      </c>
      <c r="V218" s="81" t="s">
        <v>2311</v>
      </c>
      <c r="W218" s="86" t="str">
        <f>HYPERLINK("https://www.youtube.com/watch?v=DrCnSoZUXAc")</f>
        <v>https://www.youtube.com/watch?v=DrCnSoZUXAc</v>
      </c>
      <c r="X218" s="81" t="s">
        <v>2335</v>
      </c>
      <c r="Y218" s="81">
        <v>0</v>
      </c>
      <c r="Z218" s="88">
        <v>43287.95631944444</v>
      </c>
      <c r="AA218" s="88">
        <v>43287.95631944444</v>
      </c>
      <c r="AB218" s="81"/>
      <c r="AC218" s="81"/>
      <c r="AD218" s="84" t="s">
        <v>2782</v>
      </c>
      <c r="AE218" s="82">
        <v>1</v>
      </c>
      <c r="AF218" s="83" t="str">
        <f>REPLACE(INDEX(GroupVertices[Group],MATCH(Edges[[#This Row],[Vertex 1]],GroupVertices[Vertex],0)),1,1,"")</f>
        <v>1</v>
      </c>
      <c r="AG218" s="83" t="str">
        <f>REPLACE(INDEX(GroupVertices[Group],MATCH(Edges[[#This Row],[Vertex 2]],GroupVertices[Vertex],0)),1,1,"")</f>
        <v>1</v>
      </c>
      <c r="AH218" s="111">
        <v>1</v>
      </c>
      <c r="AI218" s="112">
        <v>5.2631578947368425</v>
      </c>
      <c r="AJ218" s="111">
        <v>0</v>
      </c>
      <c r="AK218" s="112">
        <v>0</v>
      </c>
      <c r="AL218" s="111">
        <v>0</v>
      </c>
      <c r="AM218" s="112">
        <v>0</v>
      </c>
      <c r="AN218" s="111">
        <v>18</v>
      </c>
      <c r="AO218" s="112">
        <v>94.73684210526316</v>
      </c>
      <c r="AP218" s="111">
        <v>19</v>
      </c>
    </row>
    <row r="219" spans="1:42" ht="15">
      <c r="A219" s="65" t="s">
        <v>391</v>
      </c>
      <c r="B219" s="65" t="s">
        <v>287</v>
      </c>
      <c r="C219" s="66" t="s">
        <v>5345</v>
      </c>
      <c r="D219" s="67">
        <v>3</v>
      </c>
      <c r="E219" s="68"/>
      <c r="F219" s="69">
        <v>40</v>
      </c>
      <c r="G219" s="66"/>
      <c r="H219" s="70"/>
      <c r="I219" s="71"/>
      <c r="J219" s="71"/>
      <c r="K219" s="35" t="s">
        <v>66</v>
      </c>
      <c r="L219" s="79">
        <v>219</v>
      </c>
      <c r="M219" s="79"/>
      <c r="N219" s="73"/>
      <c r="O219" s="81" t="s">
        <v>760</v>
      </c>
      <c r="P219" s="81" t="s">
        <v>215</v>
      </c>
      <c r="Q219" s="84" t="s">
        <v>965</v>
      </c>
      <c r="R219" s="81" t="s">
        <v>391</v>
      </c>
      <c r="S219" s="81" t="s">
        <v>1720</v>
      </c>
      <c r="T219" s="86" t="str">
        <f>HYPERLINK("http://www.youtube.com/channel/UC2x7dMM9VJRnK8Raixibi-g")</f>
        <v>http://www.youtube.com/channel/UC2x7dMM9VJRnK8Raixibi-g</v>
      </c>
      <c r="U219" s="81"/>
      <c r="V219" s="81" t="s">
        <v>2311</v>
      </c>
      <c r="W219" s="86" t="str">
        <f>HYPERLINK("https://www.youtube.com/watch?v=DrCnSoZUXAc")</f>
        <v>https://www.youtube.com/watch?v=DrCnSoZUXAc</v>
      </c>
      <c r="X219" s="81" t="s">
        <v>2335</v>
      </c>
      <c r="Y219" s="81">
        <v>0</v>
      </c>
      <c r="Z219" s="88">
        <v>43287.933217592596</v>
      </c>
      <c r="AA219" s="88">
        <v>43287.933217592596</v>
      </c>
      <c r="AB219" s="81"/>
      <c r="AC219" s="81"/>
      <c r="AD219" s="84" t="s">
        <v>2782</v>
      </c>
      <c r="AE219" s="82">
        <v>1</v>
      </c>
      <c r="AF219" s="83" t="str">
        <f>REPLACE(INDEX(GroupVertices[Group],MATCH(Edges[[#This Row],[Vertex 1]],GroupVertices[Vertex],0)),1,1,"")</f>
        <v>1</v>
      </c>
      <c r="AG219" s="83" t="str">
        <f>REPLACE(INDEX(GroupVertices[Group],MATCH(Edges[[#This Row],[Vertex 2]],GroupVertices[Vertex],0)),1,1,"")</f>
        <v>1</v>
      </c>
      <c r="AH219" s="111">
        <v>4</v>
      </c>
      <c r="AI219" s="112">
        <v>6.451612903225806</v>
      </c>
      <c r="AJ219" s="111">
        <v>1</v>
      </c>
      <c r="AK219" s="112">
        <v>1.6129032258064515</v>
      </c>
      <c r="AL219" s="111">
        <v>0</v>
      </c>
      <c r="AM219" s="112">
        <v>0</v>
      </c>
      <c r="AN219" s="111">
        <v>57</v>
      </c>
      <c r="AO219" s="112">
        <v>91.93548387096774</v>
      </c>
      <c r="AP219" s="111">
        <v>62</v>
      </c>
    </row>
    <row r="220" spans="1:42" ht="15">
      <c r="A220" s="65" t="s">
        <v>287</v>
      </c>
      <c r="B220" s="65" t="s">
        <v>392</v>
      </c>
      <c r="C220" s="66" t="s">
        <v>5345</v>
      </c>
      <c r="D220" s="67">
        <v>3</v>
      </c>
      <c r="E220" s="68"/>
      <c r="F220" s="69">
        <v>40</v>
      </c>
      <c r="G220" s="66"/>
      <c r="H220" s="70"/>
      <c r="I220" s="71"/>
      <c r="J220" s="71"/>
      <c r="K220" s="35" t="s">
        <v>66</v>
      </c>
      <c r="L220" s="79">
        <v>220</v>
      </c>
      <c r="M220" s="79"/>
      <c r="N220" s="73"/>
      <c r="O220" s="81" t="s">
        <v>761</v>
      </c>
      <c r="P220" s="81" t="s">
        <v>763</v>
      </c>
      <c r="Q220" s="84" t="s">
        <v>966</v>
      </c>
      <c r="R220" s="81" t="s">
        <v>287</v>
      </c>
      <c r="S220" s="81" t="s">
        <v>1616</v>
      </c>
      <c r="T220" s="86" t="str">
        <f>HYPERLINK("http://www.youtube.com/channel/UCbUhO-tut97b5IQhZ3i7TMA")</f>
        <v>http://www.youtube.com/channel/UCbUhO-tut97b5IQhZ3i7TMA</v>
      </c>
      <c r="U220" s="81" t="s">
        <v>2131</v>
      </c>
      <c r="V220" s="81" t="s">
        <v>2311</v>
      </c>
      <c r="W220" s="86" t="str">
        <f>HYPERLINK("https://www.youtube.com/watch?v=DrCnSoZUXAc")</f>
        <v>https://www.youtube.com/watch?v=DrCnSoZUXAc</v>
      </c>
      <c r="X220" s="81" t="s">
        <v>2335</v>
      </c>
      <c r="Y220" s="81">
        <v>0</v>
      </c>
      <c r="Z220" s="88">
        <v>43287.95681712963</v>
      </c>
      <c r="AA220" s="88">
        <v>43287.95681712963</v>
      </c>
      <c r="AB220" s="81"/>
      <c r="AC220" s="81"/>
      <c r="AD220" s="84" t="s">
        <v>2782</v>
      </c>
      <c r="AE220" s="82">
        <v>1</v>
      </c>
      <c r="AF220" s="83" t="str">
        <f>REPLACE(INDEX(GroupVertices[Group],MATCH(Edges[[#This Row],[Vertex 1]],GroupVertices[Vertex],0)),1,1,"")</f>
        <v>1</v>
      </c>
      <c r="AG220" s="83" t="str">
        <f>REPLACE(INDEX(GroupVertices[Group],MATCH(Edges[[#This Row],[Vertex 2]],GroupVertices[Vertex],0)),1,1,"")</f>
        <v>1</v>
      </c>
      <c r="AH220" s="111">
        <v>2</v>
      </c>
      <c r="AI220" s="112">
        <v>11.11111111111111</v>
      </c>
      <c r="AJ220" s="111">
        <v>0</v>
      </c>
      <c r="AK220" s="112">
        <v>0</v>
      </c>
      <c r="AL220" s="111">
        <v>0</v>
      </c>
      <c r="AM220" s="112">
        <v>0</v>
      </c>
      <c r="AN220" s="111">
        <v>16</v>
      </c>
      <c r="AO220" s="112">
        <v>88.88888888888889</v>
      </c>
      <c r="AP220" s="111">
        <v>18</v>
      </c>
    </row>
    <row r="221" spans="1:42" ht="15">
      <c r="A221" s="65" t="s">
        <v>392</v>
      </c>
      <c r="B221" s="65" t="s">
        <v>287</v>
      </c>
      <c r="C221" s="66" t="s">
        <v>5345</v>
      </c>
      <c r="D221" s="67">
        <v>3</v>
      </c>
      <c r="E221" s="68"/>
      <c r="F221" s="69">
        <v>40</v>
      </c>
      <c r="G221" s="66"/>
      <c r="H221" s="70"/>
      <c r="I221" s="71"/>
      <c r="J221" s="71"/>
      <c r="K221" s="35" t="s">
        <v>66</v>
      </c>
      <c r="L221" s="79">
        <v>221</v>
      </c>
      <c r="M221" s="79"/>
      <c r="N221" s="73"/>
      <c r="O221" s="81" t="s">
        <v>760</v>
      </c>
      <c r="P221" s="81" t="s">
        <v>215</v>
      </c>
      <c r="Q221" s="84" t="s">
        <v>967</v>
      </c>
      <c r="R221" s="81" t="s">
        <v>392</v>
      </c>
      <c r="S221" s="81" t="s">
        <v>1721</v>
      </c>
      <c r="T221" s="86" t="str">
        <f>HYPERLINK("http://www.youtube.com/channel/UCOGV31ex45w5pPqimC19FRQ")</f>
        <v>http://www.youtube.com/channel/UCOGV31ex45w5pPqimC19FRQ</v>
      </c>
      <c r="U221" s="81"/>
      <c r="V221" s="81" t="s">
        <v>2311</v>
      </c>
      <c r="W221" s="86" t="str">
        <f>HYPERLINK("https://www.youtube.com/watch?v=DrCnSoZUXAc")</f>
        <v>https://www.youtube.com/watch?v=DrCnSoZUXAc</v>
      </c>
      <c r="X221" s="81" t="s">
        <v>2335</v>
      </c>
      <c r="Y221" s="81">
        <v>0</v>
      </c>
      <c r="Z221" s="88">
        <v>43287.937939814816</v>
      </c>
      <c r="AA221" s="88">
        <v>43287.937939814816</v>
      </c>
      <c r="AB221" s="81"/>
      <c r="AC221" s="81"/>
      <c r="AD221" s="84" t="s">
        <v>2782</v>
      </c>
      <c r="AE221" s="82">
        <v>1</v>
      </c>
      <c r="AF221" s="83" t="str">
        <f>REPLACE(INDEX(GroupVertices[Group],MATCH(Edges[[#This Row],[Vertex 1]],GroupVertices[Vertex],0)),1,1,"")</f>
        <v>1</v>
      </c>
      <c r="AG221" s="83" t="str">
        <f>REPLACE(INDEX(GroupVertices[Group],MATCH(Edges[[#This Row],[Vertex 2]],GroupVertices[Vertex],0)),1,1,"")</f>
        <v>1</v>
      </c>
      <c r="AH221" s="111">
        <v>1</v>
      </c>
      <c r="AI221" s="112">
        <v>10</v>
      </c>
      <c r="AJ221" s="111">
        <v>0</v>
      </c>
      <c r="AK221" s="112">
        <v>0</v>
      </c>
      <c r="AL221" s="111">
        <v>0</v>
      </c>
      <c r="AM221" s="112">
        <v>0</v>
      </c>
      <c r="AN221" s="111">
        <v>9</v>
      </c>
      <c r="AO221" s="112">
        <v>90</v>
      </c>
      <c r="AP221" s="111">
        <v>10</v>
      </c>
    </row>
    <row r="222" spans="1:42" ht="15">
      <c r="A222" s="65" t="s">
        <v>287</v>
      </c>
      <c r="B222" s="65" t="s">
        <v>393</v>
      </c>
      <c r="C222" s="66" t="s">
        <v>5345</v>
      </c>
      <c r="D222" s="67">
        <v>3</v>
      </c>
      <c r="E222" s="68"/>
      <c r="F222" s="69">
        <v>40</v>
      </c>
      <c r="G222" s="66"/>
      <c r="H222" s="70"/>
      <c r="I222" s="71"/>
      <c r="J222" s="71"/>
      <c r="K222" s="35" t="s">
        <v>66</v>
      </c>
      <c r="L222" s="79">
        <v>222</v>
      </c>
      <c r="M222" s="79"/>
      <c r="N222" s="73"/>
      <c r="O222" s="81" t="s">
        <v>761</v>
      </c>
      <c r="P222" s="81" t="s">
        <v>763</v>
      </c>
      <c r="Q222" s="84" t="s">
        <v>968</v>
      </c>
      <c r="R222" s="81" t="s">
        <v>287</v>
      </c>
      <c r="S222" s="81" t="s">
        <v>1616</v>
      </c>
      <c r="T222" s="86" t="str">
        <f>HYPERLINK("http://www.youtube.com/channel/UCbUhO-tut97b5IQhZ3i7TMA")</f>
        <v>http://www.youtube.com/channel/UCbUhO-tut97b5IQhZ3i7TMA</v>
      </c>
      <c r="U222" s="81" t="s">
        <v>2132</v>
      </c>
      <c r="V222" s="81" t="s">
        <v>2311</v>
      </c>
      <c r="W222" s="86" t="str">
        <f>HYPERLINK("https://www.youtube.com/watch?v=DrCnSoZUXAc")</f>
        <v>https://www.youtube.com/watch?v=DrCnSoZUXAc</v>
      </c>
      <c r="X222" s="81" t="s">
        <v>2335</v>
      </c>
      <c r="Y222" s="81">
        <v>0</v>
      </c>
      <c r="Z222" s="88">
        <v>43287.95716435185</v>
      </c>
      <c r="AA222" s="88">
        <v>43287.95716435185</v>
      </c>
      <c r="AB222" s="81"/>
      <c r="AC222" s="81"/>
      <c r="AD222" s="84" t="s">
        <v>2782</v>
      </c>
      <c r="AE222" s="82">
        <v>1</v>
      </c>
      <c r="AF222" s="83" t="str">
        <f>REPLACE(INDEX(GroupVertices[Group],MATCH(Edges[[#This Row],[Vertex 1]],GroupVertices[Vertex],0)),1,1,"")</f>
        <v>1</v>
      </c>
      <c r="AG222" s="83" t="str">
        <f>REPLACE(INDEX(GroupVertices[Group],MATCH(Edges[[#This Row],[Vertex 2]],GroupVertices[Vertex],0)),1,1,"")</f>
        <v>1</v>
      </c>
      <c r="AH222" s="111">
        <v>3</v>
      </c>
      <c r="AI222" s="112">
        <v>21.428571428571427</v>
      </c>
      <c r="AJ222" s="111">
        <v>0</v>
      </c>
      <c r="AK222" s="112">
        <v>0</v>
      </c>
      <c r="AL222" s="111">
        <v>0</v>
      </c>
      <c r="AM222" s="112">
        <v>0</v>
      </c>
      <c r="AN222" s="111">
        <v>11</v>
      </c>
      <c r="AO222" s="112">
        <v>78.57142857142857</v>
      </c>
      <c r="AP222" s="111">
        <v>14</v>
      </c>
    </row>
    <row r="223" spans="1:42" ht="15">
      <c r="A223" s="65" t="s">
        <v>393</v>
      </c>
      <c r="B223" s="65" t="s">
        <v>287</v>
      </c>
      <c r="C223" s="66" t="s">
        <v>5345</v>
      </c>
      <c r="D223" s="67">
        <v>3</v>
      </c>
      <c r="E223" s="68"/>
      <c r="F223" s="69">
        <v>40</v>
      </c>
      <c r="G223" s="66"/>
      <c r="H223" s="70"/>
      <c r="I223" s="71"/>
      <c r="J223" s="71"/>
      <c r="K223" s="35" t="s">
        <v>66</v>
      </c>
      <c r="L223" s="79">
        <v>223</v>
      </c>
      <c r="M223" s="79"/>
      <c r="N223" s="73"/>
      <c r="O223" s="81" t="s">
        <v>760</v>
      </c>
      <c r="P223" s="81" t="s">
        <v>215</v>
      </c>
      <c r="Q223" s="84" t="s">
        <v>969</v>
      </c>
      <c r="R223" s="81" t="s">
        <v>393</v>
      </c>
      <c r="S223" s="81" t="s">
        <v>1722</v>
      </c>
      <c r="T223" s="86" t="str">
        <f>HYPERLINK("http://www.youtube.com/channel/UCuvdLbHHa8fkjnGnNskRR-g")</f>
        <v>http://www.youtube.com/channel/UCuvdLbHHa8fkjnGnNskRR-g</v>
      </c>
      <c r="U223" s="81"/>
      <c r="V223" s="81" t="s">
        <v>2311</v>
      </c>
      <c r="W223" s="86" t="str">
        <f>HYPERLINK("https://www.youtube.com/watch?v=DrCnSoZUXAc")</f>
        <v>https://www.youtube.com/watch?v=DrCnSoZUXAc</v>
      </c>
      <c r="X223" s="81" t="s">
        <v>2335</v>
      </c>
      <c r="Y223" s="81">
        <v>0</v>
      </c>
      <c r="Z223" s="88">
        <v>43287.938935185186</v>
      </c>
      <c r="AA223" s="88">
        <v>43287.938935185186</v>
      </c>
      <c r="AB223" s="81"/>
      <c r="AC223" s="81"/>
      <c r="AD223" s="84" t="s">
        <v>2782</v>
      </c>
      <c r="AE223" s="82">
        <v>1</v>
      </c>
      <c r="AF223" s="83" t="str">
        <f>REPLACE(INDEX(GroupVertices[Group],MATCH(Edges[[#This Row],[Vertex 1]],GroupVertices[Vertex],0)),1,1,"")</f>
        <v>1</v>
      </c>
      <c r="AG223" s="83" t="str">
        <f>REPLACE(INDEX(GroupVertices[Group],MATCH(Edges[[#This Row],[Vertex 2]],GroupVertices[Vertex],0)),1,1,"")</f>
        <v>1</v>
      </c>
      <c r="AH223" s="111">
        <v>2</v>
      </c>
      <c r="AI223" s="112">
        <v>11.764705882352942</v>
      </c>
      <c r="AJ223" s="111">
        <v>0</v>
      </c>
      <c r="AK223" s="112">
        <v>0</v>
      </c>
      <c r="AL223" s="111">
        <v>0</v>
      </c>
      <c r="AM223" s="112">
        <v>0</v>
      </c>
      <c r="AN223" s="111">
        <v>15</v>
      </c>
      <c r="AO223" s="112">
        <v>88.23529411764706</v>
      </c>
      <c r="AP223" s="111">
        <v>17</v>
      </c>
    </row>
    <row r="224" spans="1:42" ht="15">
      <c r="A224" s="65" t="s">
        <v>287</v>
      </c>
      <c r="B224" s="65" t="s">
        <v>394</v>
      </c>
      <c r="C224" s="66" t="s">
        <v>5345</v>
      </c>
      <c r="D224" s="67">
        <v>3</v>
      </c>
      <c r="E224" s="68"/>
      <c r="F224" s="69">
        <v>40</v>
      </c>
      <c r="G224" s="66"/>
      <c r="H224" s="70"/>
      <c r="I224" s="71"/>
      <c r="J224" s="71"/>
      <c r="K224" s="35" t="s">
        <v>66</v>
      </c>
      <c r="L224" s="79">
        <v>224</v>
      </c>
      <c r="M224" s="79"/>
      <c r="N224" s="73"/>
      <c r="O224" s="81" t="s">
        <v>761</v>
      </c>
      <c r="P224" s="81" t="s">
        <v>763</v>
      </c>
      <c r="Q224" s="84" t="s">
        <v>970</v>
      </c>
      <c r="R224" s="81" t="s">
        <v>287</v>
      </c>
      <c r="S224" s="81" t="s">
        <v>1616</v>
      </c>
      <c r="T224" s="86" t="str">
        <f>HYPERLINK("http://www.youtube.com/channel/UCbUhO-tut97b5IQhZ3i7TMA")</f>
        <v>http://www.youtube.com/channel/UCbUhO-tut97b5IQhZ3i7TMA</v>
      </c>
      <c r="U224" s="81" t="s">
        <v>2133</v>
      </c>
      <c r="V224" s="81" t="s">
        <v>2311</v>
      </c>
      <c r="W224" s="86" t="str">
        <f>HYPERLINK("https://www.youtube.com/watch?v=DrCnSoZUXAc")</f>
        <v>https://www.youtube.com/watch?v=DrCnSoZUXAc</v>
      </c>
      <c r="X224" s="81" t="s">
        <v>2335</v>
      </c>
      <c r="Y224" s="81">
        <v>0</v>
      </c>
      <c r="Z224" s="88">
        <v>43287.957407407404</v>
      </c>
      <c r="AA224" s="88">
        <v>43287.957407407404</v>
      </c>
      <c r="AB224" s="81"/>
      <c r="AC224" s="81"/>
      <c r="AD224" s="84" t="s">
        <v>2782</v>
      </c>
      <c r="AE224" s="82">
        <v>1</v>
      </c>
      <c r="AF224" s="83" t="str">
        <f>REPLACE(INDEX(GroupVertices[Group],MATCH(Edges[[#This Row],[Vertex 1]],GroupVertices[Vertex],0)),1,1,"")</f>
        <v>1</v>
      </c>
      <c r="AG224" s="83" t="str">
        <f>REPLACE(INDEX(GroupVertices[Group],MATCH(Edges[[#This Row],[Vertex 2]],GroupVertices[Vertex],0)),1,1,"")</f>
        <v>1</v>
      </c>
      <c r="AH224" s="111">
        <v>0</v>
      </c>
      <c r="AI224" s="112">
        <v>0</v>
      </c>
      <c r="AJ224" s="111">
        <v>0</v>
      </c>
      <c r="AK224" s="112">
        <v>0</v>
      </c>
      <c r="AL224" s="111">
        <v>0</v>
      </c>
      <c r="AM224" s="112">
        <v>0</v>
      </c>
      <c r="AN224" s="111">
        <v>16</v>
      </c>
      <c r="AO224" s="112">
        <v>100</v>
      </c>
      <c r="AP224" s="111">
        <v>16</v>
      </c>
    </row>
    <row r="225" spans="1:42" ht="15">
      <c r="A225" s="65" t="s">
        <v>394</v>
      </c>
      <c r="B225" s="65" t="s">
        <v>287</v>
      </c>
      <c r="C225" s="66" t="s">
        <v>5345</v>
      </c>
      <c r="D225" s="67">
        <v>3</v>
      </c>
      <c r="E225" s="68"/>
      <c r="F225" s="69">
        <v>40</v>
      </c>
      <c r="G225" s="66"/>
      <c r="H225" s="70"/>
      <c r="I225" s="71"/>
      <c r="J225" s="71"/>
      <c r="K225" s="35" t="s">
        <v>66</v>
      </c>
      <c r="L225" s="79">
        <v>225</v>
      </c>
      <c r="M225" s="79"/>
      <c r="N225" s="73"/>
      <c r="O225" s="81" t="s">
        <v>760</v>
      </c>
      <c r="P225" s="81" t="s">
        <v>215</v>
      </c>
      <c r="Q225" s="84" t="s">
        <v>971</v>
      </c>
      <c r="R225" s="81" t="s">
        <v>394</v>
      </c>
      <c r="S225" s="81" t="s">
        <v>1723</v>
      </c>
      <c r="T225" s="86" t="str">
        <f>HYPERLINK("http://www.youtube.com/channel/UC0FGMT9-z6z5VpnolP6Iu4A")</f>
        <v>http://www.youtube.com/channel/UC0FGMT9-z6z5VpnolP6Iu4A</v>
      </c>
      <c r="U225" s="81"/>
      <c r="V225" s="81" t="s">
        <v>2311</v>
      </c>
      <c r="W225" s="86" t="str">
        <f>HYPERLINK("https://www.youtube.com/watch?v=DrCnSoZUXAc")</f>
        <v>https://www.youtube.com/watch?v=DrCnSoZUXAc</v>
      </c>
      <c r="X225" s="81" t="s">
        <v>2335</v>
      </c>
      <c r="Y225" s="81">
        <v>0</v>
      </c>
      <c r="Z225" s="88">
        <v>43287.94574074074</v>
      </c>
      <c r="AA225" s="88">
        <v>43287.94574074074</v>
      </c>
      <c r="AB225" s="81"/>
      <c r="AC225" s="81"/>
      <c r="AD225" s="84" t="s">
        <v>2782</v>
      </c>
      <c r="AE225" s="82">
        <v>1</v>
      </c>
      <c r="AF225" s="83" t="str">
        <f>REPLACE(INDEX(GroupVertices[Group],MATCH(Edges[[#This Row],[Vertex 1]],GroupVertices[Vertex],0)),1,1,"")</f>
        <v>1</v>
      </c>
      <c r="AG225" s="83" t="str">
        <f>REPLACE(INDEX(GroupVertices[Group],MATCH(Edges[[#This Row],[Vertex 2]],GroupVertices[Vertex],0)),1,1,"")</f>
        <v>1</v>
      </c>
      <c r="AH225" s="111">
        <v>0</v>
      </c>
      <c r="AI225" s="112">
        <v>0</v>
      </c>
      <c r="AJ225" s="111">
        <v>0</v>
      </c>
      <c r="AK225" s="112">
        <v>0</v>
      </c>
      <c r="AL225" s="111">
        <v>0</v>
      </c>
      <c r="AM225" s="112">
        <v>0</v>
      </c>
      <c r="AN225" s="111">
        <v>9</v>
      </c>
      <c r="AO225" s="112">
        <v>100</v>
      </c>
      <c r="AP225" s="111">
        <v>9</v>
      </c>
    </row>
    <row r="226" spans="1:42" ht="15">
      <c r="A226" s="65" t="s">
        <v>287</v>
      </c>
      <c r="B226" s="65" t="s">
        <v>395</v>
      </c>
      <c r="C226" s="66" t="s">
        <v>5345</v>
      </c>
      <c r="D226" s="67">
        <v>3</v>
      </c>
      <c r="E226" s="68"/>
      <c r="F226" s="69">
        <v>40</v>
      </c>
      <c r="G226" s="66"/>
      <c r="H226" s="70"/>
      <c r="I226" s="71"/>
      <c r="J226" s="71"/>
      <c r="K226" s="35" t="s">
        <v>66</v>
      </c>
      <c r="L226" s="79">
        <v>226</v>
      </c>
      <c r="M226" s="79"/>
      <c r="N226" s="73"/>
      <c r="O226" s="81" t="s">
        <v>761</v>
      </c>
      <c r="P226" s="81" t="s">
        <v>763</v>
      </c>
      <c r="Q226" s="84" t="s">
        <v>972</v>
      </c>
      <c r="R226" s="81" t="s">
        <v>287</v>
      </c>
      <c r="S226" s="81" t="s">
        <v>1616</v>
      </c>
      <c r="T226" s="86" t="str">
        <f>HYPERLINK("http://www.youtube.com/channel/UCbUhO-tut97b5IQhZ3i7TMA")</f>
        <v>http://www.youtube.com/channel/UCbUhO-tut97b5IQhZ3i7TMA</v>
      </c>
      <c r="U226" s="81" t="s">
        <v>2134</v>
      </c>
      <c r="V226" s="81" t="s">
        <v>2311</v>
      </c>
      <c r="W226" s="86" t="str">
        <f>HYPERLINK("https://www.youtube.com/watch?v=DrCnSoZUXAc")</f>
        <v>https://www.youtube.com/watch?v=DrCnSoZUXAc</v>
      </c>
      <c r="X226" s="81" t="s">
        <v>2335</v>
      </c>
      <c r="Y226" s="81">
        <v>0</v>
      </c>
      <c r="Z226" s="88">
        <v>43318.98732638889</v>
      </c>
      <c r="AA226" s="88">
        <v>43318.98732638889</v>
      </c>
      <c r="AB226" s="81"/>
      <c r="AC226" s="81"/>
      <c r="AD226" s="84" t="s">
        <v>2782</v>
      </c>
      <c r="AE226" s="82">
        <v>1</v>
      </c>
      <c r="AF226" s="83" t="str">
        <f>REPLACE(INDEX(GroupVertices[Group],MATCH(Edges[[#This Row],[Vertex 1]],GroupVertices[Vertex],0)),1,1,"")</f>
        <v>1</v>
      </c>
      <c r="AG226" s="83" t="str">
        <f>REPLACE(INDEX(GroupVertices[Group],MATCH(Edges[[#This Row],[Vertex 2]],GroupVertices[Vertex],0)),1,1,"")</f>
        <v>1</v>
      </c>
      <c r="AH226" s="111">
        <v>0</v>
      </c>
      <c r="AI226" s="112">
        <v>0</v>
      </c>
      <c r="AJ226" s="111">
        <v>0</v>
      </c>
      <c r="AK226" s="112">
        <v>0</v>
      </c>
      <c r="AL226" s="111">
        <v>0</v>
      </c>
      <c r="AM226" s="112">
        <v>0</v>
      </c>
      <c r="AN226" s="111">
        <v>13</v>
      </c>
      <c r="AO226" s="112">
        <v>100</v>
      </c>
      <c r="AP226" s="111">
        <v>13</v>
      </c>
    </row>
    <row r="227" spans="1:42" ht="15">
      <c r="A227" s="65" t="s">
        <v>395</v>
      </c>
      <c r="B227" s="65" t="s">
        <v>287</v>
      </c>
      <c r="C227" s="66" t="s">
        <v>5345</v>
      </c>
      <c r="D227" s="67">
        <v>3</v>
      </c>
      <c r="E227" s="68"/>
      <c r="F227" s="69">
        <v>40</v>
      </c>
      <c r="G227" s="66"/>
      <c r="H227" s="70"/>
      <c r="I227" s="71"/>
      <c r="J227" s="71"/>
      <c r="K227" s="35" t="s">
        <v>66</v>
      </c>
      <c r="L227" s="79">
        <v>227</v>
      </c>
      <c r="M227" s="79"/>
      <c r="N227" s="73"/>
      <c r="O227" s="81" t="s">
        <v>760</v>
      </c>
      <c r="P227" s="81" t="s">
        <v>215</v>
      </c>
      <c r="Q227" s="84" t="s">
        <v>973</v>
      </c>
      <c r="R227" s="81" t="s">
        <v>395</v>
      </c>
      <c r="S227" s="81" t="s">
        <v>1724</v>
      </c>
      <c r="T227" s="86" t="str">
        <f>HYPERLINK("http://www.youtube.com/channel/UCh0VGauCghebPXCxT2p8HYw")</f>
        <v>http://www.youtube.com/channel/UCh0VGauCghebPXCxT2p8HYw</v>
      </c>
      <c r="U227" s="81"/>
      <c r="V227" s="81" t="s">
        <v>2311</v>
      </c>
      <c r="W227" s="86" t="str">
        <f>HYPERLINK("https://www.youtube.com/watch?v=DrCnSoZUXAc")</f>
        <v>https://www.youtube.com/watch?v=DrCnSoZUXAc</v>
      </c>
      <c r="X227" s="81" t="s">
        <v>2335</v>
      </c>
      <c r="Y227" s="81">
        <v>0</v>
      </c>
      <c r="Z227" s="88">
        <v>43318.017847222225</v>
      </c>
      <c r="AA227" s="88">
        <v>43318.017847222225</v>
      </c>
      <c r="AB227" s="81"/>
      <c r="AC227" s="81"/>
      <c r="AD227" s="84" t="s">
        <v>2782</v>
      </c>
      <c r="AE227" s="82">
        <v>1</v>
      </c>
      <c r="AF227" s="83" t="str">
        <f>REPLACE(INDEX(GroupVertices[Group],MATCH(Edges[[#This Row],[Vertex 1]],GroupVertices[Vertex],0)),1,1,"")</f>
        <v>1</v>
      </c>
      <c r="AG227" s="83" t="str">
        <f>REPLACE(INDEX(GroupVertices[Group],MATCH(Edges[[#This Row],[Vertex 2]],GroupVertices[Vertex],0)),1,1,"")</f>
        <v>1</v>
      </c>
      <c r="AH227" s="111">
        <v>1</v>
      </c>
      <c r="AI227" s="112">
        <v>8.333333333333334</v>
      </c>
      <c r="AJ227" s="111">
        <v>0</v>
      </c>
      <c r="AK227" s="112">
        <v>0</v>
      </c>
      <c r="AL227" s="111">
        <v>0</v>
      </c>
      <c r="AM227" s="112">
        <v>0</v>
      </c>
      <c r="AN227" s="111">
        <v>11</v>
      </c>
      <c r="AO227" s="112">
        <v>91.66666666666667</v>
      </c>
      <c r="AP227" s="111">
        <v>12</v>
      </c>
    </row>
    <row r="228" spans="1:42" ht="15">
      <c r="A228" s="65" t="s">
        <v>287</v>
      </c>
      <c r="B228" s="65" t="s">
        <v>396</v>
      </c>
      <c r="C228" s="66" t="s">
        <v>5345</v>
      </c>
      <c r="D228" s="67">
        <v>3</v>
      </c>
      <c r="E228" s="68"/>
      <c r="F228" s="69">
        <v>40</v>
      </c>
      <c r="G228" s="66"/>
      <c r="H228" s="70"/>
      <c r="I228" s="71"/>
      <c r="J228" s="71"/>
      <c r="K228" s="35" t="s">
        <v>66</v>
      </c>
      <c r="L228" s="79">
        <v>228</v>
      </c>
      <c r="M228" s="79"/>
      <c r="N228" s="73"/>
      <c r="O228" s="81" t="s">
        <v>761</v>
      </c>
      <c r="P228" s="81" t="s">
        <v>763</v>
      </c>
      <c r="Q228" s="84" t="s">
        <v>974</v>
      </c>
      <c r="R228" s="81" t="s">
        <v>287</v>
      </c>
      <c r="S228" s="81" t="s">
        <v>1616</v>
      </c>
      <c r="T228" s="86" t="str">
        <f>HYPERLINK("http://www.youtube.com/channel/UCbUhO-tut97b5IQhZ3i7TMA")</f>
        <v>http://www.youtube.com/channel/UCbUhO-tut97b5IQhZ3i7TMA</v>
      </c>
      <c r="U228" s="81" t="s">
        <v>2135</v>
      </c>
      <c r="V228" s="81" t="s">
        <v>2311</v>
      </c>
      <c r="W228" s="86" t="str">
        <f>HYPERLINK("https://www.youtube.com/watch?v=DrCnSoZUXAc")</f>
        <v>https://www.youtube.com/watch?v=DrCnSoZUXAc</v>
      </c>
      <c r="X228" s="81" t="s">
        <v>2335</v>
      </c>
      <c r="Y228" s="81">
        <v>0</v>
      </c>
      <c r="Z228" s="88">
        <v>43318.98641203704</v>
      </c>
      <c r="AA228" s="88">
        <v>43318.98641203704</v>
      </c>
      <c r="AB228" s="81"/>
      <c r="AC228" s="81"/>
      <c r="AD228" s="84" t="s">
        <v>2782</v>
      </c>
      <c r="AE228" s="82">
        <v>1</v>
      </c>
      <c r="AF228" s="83" t="str">
        <f>REPLACE(INDEX(GroupVertices[Group],MATCH(Edges[[#This Row],[Vertex 1]],GroupVertices[Vertex],0)),1,1,"")</f>
        <v>1</v>
      </c>
      <c r="AG228" s="83" t="str">
        <f>REPLACE(INDEX(GroupVertices[Group],MATCH(Edges[[#This Row],[Vertex 2]],GroupVertices[Vertex],0)),1,1,"")</f>
        <v>1</v>
      </c>
      <c r="AH228" s="111">
        <v>0</v>
      </c>
      <c r="AI228" s="112">
        <v>0</v>
      </c>
      <c r="AJ228" s="111">
        <v>0</v>
      </c>
      <c r="AK228" s="112">
        <v>0</v>
      </c>
      <c r="AL228" s="111">
        <v>0</v>
      </c>
      <c r="AM228" s="112">
        <v>0</v>
      </c>
      <c r="AN228" s="111">
        <v>8</v>
      </c>
      <c r="AO228" s="112">
        <v>100</v>
      </c>
      <c r="AP228" s="111">
        <v>8</v>
      </c>
    </row>
    <row r="229" spans="1:42" ht="15">
      <c r="A229" s="65" t="s">
        <v>396</v>
      </c>
      <c r="B229" s="65" t="s">
        <v>287</v>
      </c>
      <c r="C229" s="66" t="s">
        <v>5345</v>
      </c>
      <c r="D229" s="67">
        <v>3</v>
      </c>
      <c r="E229" s="68"/>
      <c r="F229" s="69">
        <v>40</v>
      </c>
      <c r="G229" s="66"/>
      <c r="H229" s="70"/>
      <c r="I229" s="71"/>
      <c r="J229" s="71"/>
      <c r="K229" s="35" t="s">
        <v>66</v>
      </c>
      <c r="L229" s="79">
        <v>229</v>
      </c>
      <c r="M229" s="79"/>
      <c r="N229" s="73"/>
      <c r="O229" s="81" t="s">
        <v>760</v>
      </c>
      <c r="P229" s="81" t="s">
        <v>215</v>
      </c>
      <c r="Q229" s="84" t="s">
        <v>975</v>
      </c>
      <c r="R229" s="81" t="s">
        <v>396</v>
      </c>
      <c r="S229" s="81" t="s">
        <v>1725</v>
      </c>
      <c r="T229" s="86" t="str">
        <f>HYPERLINK("http://www.youtube.com/channel/UCe4qQgOK8eDYeJC4xSfKocg")</f>
        <v>http://www.youtube.com/channel/UCe4qQgOK8eDYeJC4xSfKocg</v>
      </c>
      <c r="U229" s="81"/>
      <c r="V229" s="81" t="s">
        <v>2311</v>
      </c>
      <c r="W229" s="86" t="str">
        <f>HYPERLINK("https://www.youtube.com/watch?v=DrCnSoZUXAc")</f>
        <v>https://www.youtube.com/watch?v=DrCnSoZUXAc</v>
      </c>
      <c r="X229" s="81" t="s">
        <v>2335</v>
      </c>
      <c r="Y229" s="81">
        <v>0</v>
      </c>
      <c r="Z229" s="88">
        <v>43318.135613425926</v>
      </c>
      <c r="AA229" s="88">
        <v>43318.135613425926</v>
      </c>
      <c r="AB229" s="81"/>
      <c r="AC229" s="81"/>
      <c r="AD229" s="84" t="s">
        <v>2782</v>
      </c>
      <c r="AE229" s="82">
        <v>1</v>
      </c>
      <c r="AF229" s="83" t="str">
        <f>REPLACE(INDEX(GroupVertices[Group],MATCH(Edges[[#This Row],[Vertex 1]],GroupVertices[Vertex],0)),1,1,"")</f>
        <v>1</v>
      </c>
      <c r="AG229" s="83" t="str">
        <f>REPLACE(INDEX(GroupVertices[Group],MATCH(Edges[[#This Row],[Vertex 2]],GroupVertices[Vertex],0)),1,1,"")</f>
        <v>1</v>
      </c>
      <c r="AH229" s="111">
        <v>5</v>
      </c>
      <c r="AI229" s="112">
        <v>17.24137931034483</v>
      </c>
      <c r="AJ229" s="111">
        <v>1</v>
      </c>
      <c r="AK229" s="112">
        <v>3.4482758620689653</v>
      </c>
      <c r="AL229" s="111">
        <v>0</v>
      </c>
      <c r="AM229" s="112">
        <v>0</v>
      </c>
      <c r="AN229" s="111">
        <v>23</v>
      </c>
      <c r="AO229" s="112">
        <v>79.3103448275862</v>
      </c>
      <c r="AP229" s="111">
        <v>29</v>
      </c>
    </row>
    <row r="230" spans="1:42" ht="15">
      <c r="A230" s="65" t="s">
        <v>287</v>
      </c>
      <c r="B230" s="65" t="s">
        <v>397</v>
      </c>
      <c r="C230" s="66" t="s">
        <v>5345</v>
      </c>
      <c r="D230" s="67">
        <v>3</v>
      </c>
      <c r="E230" s="68"/>
      <c r="F230" s="69">
        <v>40</v>
      </c>
      <c r="G230" s="66"/>
      <c r="H230" s="70"/>
      <c r="I230" s="71"/>
      <c r="J230" s="71"/>
      <c r="K230" s="35" t="s">
        <v>66</v>
      </c>
      <c r="L230" s="79">
        <v>230</v>
      </c>
      <c r="M230" s="79"/>
      <c r="N230" s="73"/>
      <c r="O230" s="81" t="s">
        <v>761</v>
      </c>
      <c r="P230" s="81" t="s">
        <v>763</v>
      </c>
      <c r="Q230" s="84" t="s">
        <v>976</v>
      </c>
      <c r="R230" s="81" t="s">
        <v>287</v>
      </c>
      <c r="S230" s="81" t="s">
        <v>1616</v>
      </c>
      <c r="T230" s="86" t="str">
        <f>HYPERLINK("http://www.youtube.com/channel/UCbUhO-tut97b5IQhZ3i7TMA")</f>
        <v>http://www.youtube.com/channel/UCbUhO-tut97b5IQhZ3i7TMA</v>
      </c>
      <c r="U230" s="81" t="s">
        <v>2136</v>
      </c>
      <c r="V230" s="81" t="s">
        <v>2311</v>
      </c>
      <c r="W230" s="86" t="str">
        <f>HYPERLINK("https://www.youtube.com/watch?v=DrCnSoZUXAc")</f>
        <v>https://www.youtube.com/watch?v=DrCnSoZUXAc</v>
      </c>
      <c r="X230" s="81" t="s">
        <v>2335</v>
      </c>
      <c r="Y230" s="81">
        <v>0</v>
      </c>
      <c r="Z230" s="88">
        <v>43318.98509259259</v>
      </c>
      <c r="AA230" s="88">
        <v>43318.98509259259</v>
      </c>
      <c r="AB230" s="81"/>
      <c r="AC230" s="81"/>
      <c r="AD230" s="84" t="s">
        <v>2782</v>
      </c>
      <c r="AE230" s="82">
        <v>1</v>
      </c>
      <c r="AF230" s="83" t="str">
        <f>REPLACE(INDEX(GroupVertices[Group],MATCH(Edges[[#This Row],[Vertex 1]],GroupVertices[Vertex],0)),1,1,"")</f>
        <v>1</v>
      </c>
      <c r="AG230" s="83" t="str">
        <f>REPLACE(INDEX(GroupVertices[Group],MATCH(Edges[[#This Row],[Vertex 2]],GroupVertices[Vertex],0)),1,1,"")</f>
        <v>1</v>
      </c>
      <c r="AH230" s="111">
        <v>0</v>
      </c>
      <c r="AI230" s="112">
        <v>0</v>
      </c>
      <c r="AJ230" s="111">
        <v>0</v>
      </c>
      <c r="AK230" s="112">
        <v>0</v>
      </c>
      <c r="AL230" s="111">
        <v>0</v>
      </c>
      <c r="AM230" s="112">
        <v>0</v>
      </c>
      <c r="AN230" s="111">
        <v>13</v>
      </c>
      <c r="AO230" s="112">
        <v>100</v>
      </c>
      <c r="AP230" s="111">
        <v>13</v>
      </c>
    </row>
    <row r="231" spans="1:42" ht="15">
      <c r="A231" s="65" t="s">
        <v>397</v>
      </c>
      <c r="B231" s="65" t="s">
        <v>287</v>
      </c>
      <c r="C231" s="66" t="s">
        <v>5345</v>
      </c>
      <c r="D231" s="67">
        <v>3</v>
      </c>
      <c r="E231" s="68"/>
      <c r="F231" s="69">
        <v>40</v>
      </c>
      <c r="G231" s="66"/>
      <c r="H231" s="70"/>
      <c r="I231" s="71"/>
      <c r="J231" s="71"/>
      <c r="K231" s="35" t="s">
        <v>66</v>
      </c>
      <c r="L231" s="79">
        <v>231</v>
      </c>
      <c r="M231" s="79"/>
      <c r="N231" s="73"/>
      <c r="O231" s="81" t="s">
        <v>760</v>
      </c>
      <c r="P231" s="81" t="s">
        <v>215</v>
      </c>
      <c r="Q231" s="84" t="s">
        <v>977</v>
      </c>
      <c r="R231" s="81" t="s">
        <v>397</v>
      </c>
      <c r="S231" s="81" t="s">
        <v>1726</v>
      </c>
      <c r="T231" s="86" t="str">
        <f>HYPERLINK("http://www.youtube.com/channel/UChLhOc-pRi5xxIT9Nt2pA3Q")</f>
        <v>http://www.youtube.com/channel/UChLhOc-pRi5xxIT9Nt2pA3Q</v>
      </c>
      <c r="U231" s="81"/>
      <c r="V231" s="81" t="s">
        <v>2311</v>
      </c>
      <c r="W231" s="86" t="str">
        <f>HYPERLINK("https://www.youtube.com/watch?v=DrCnSoZUXAc")</f>
        <v>https://www.youtube.com/watch?v=DrCnSoZUXAc</v>
      </c>
      <c r="X231" s="81" t="s">
        <v>2335</v>
      </c>
      <c r="Y231" s="81">
        <v>0</v>
      </c>
      <c r="Z231" s="88">
        <v>43318.57042824074</v>
      </c>
      <c r="AA231" s="88">
        <v>43318.57042824074</v>
      </c>
      <c r="AB231" s="81"/>
      <c r="AC231" s="81"/>
      <c r="AD231" s="84" t="s">
        <v>2782</v>
      </c>
      <c r="AE231" s="82">
        <v>1</v>
      </c>
      <c r="AF231" s="83" t="str">
        <f>REPLACE(INDEX(GroupVertices[Group],MATCH(Edges[[#This Row],[Vertex 1]],GroupVertices[Vertex],0)),1,1,"")</f>
        <v>1</v>
      </c>
      <c r="AG231" s="83" t="str">
        <f>REPLACE(INDEX(GroupVertices[Group],MATCH(Edges[[#This Row],[Vertex 2]],GroupVertices[Vertex],0)),1,1,"")</f>
        <v>1</v>
      </c>
      <c r="AH231" s="111">
        <v>0</v>
      </c>
      <c r="AI231" s="112">
        <v>0</v>
      </c>
      <c r="AJ231" s="111">
        <v>0</v>
      </c>
      <c r="AK231" s="112">
        <v>0</v>
      </c>
      <c r="AL231" s="111">
        <v>0</v>
      </c>
      <c r="AM231" s="112">
        <v>0</v>
      </c>
      <c r="AN231" s="111">
        <v>18</v>
      </c>
      <c r="AO231" s="112">
        <v>100</v>
      </c>
      <c r="AP231" s="111">
        <v>18</v>
      </c>
    </row>
    <row r="232" spans="1:42" ht="15">
      <c r="A232" s="65" t="s">
        <v>287</v>
      </c>
      <c r="B232" s="65" t="s">
        <v>398</v>
      </c>
      <c r="C232" s="66" t="s">
        <v>5345</v>
      </c>
      <c r="D232" s="67">
        <v>3</v>
      </c>
      <c r="E232" s="68"/>
      <c r="F232" s="69">
        <v>40</v>
      </c>
      <c r="G232" s="66"/>
      <c r="H232" s="70"/>
      <c r="I232" s="71"/>
      <c r="J232" s="71"/>
      <c r="K232" s="35" t="s">
        <v>66</v>
      </c>
      <c r="L232" s="79">
        <v>232</v>
      </c>
      <c r="M232" s="79"/>
      <c r="N232" s="73"/>
      <c r="O232" s="81" t="s">
        <v>761</v>
      </c>
      <c r="P232" s="81" t="s">
        <v>763</v>
      </c>
      <c r="Q232" s="84" t="s">
        <v>978</v>
      </c>
      <c r="R232" s="81" t="s">
        <v>287</v>
      </c>
      <c r="S232" s="81" t="s">
        <v>1616</v>
      </c>
      <c r="T232" s="86" t="str">
        <f>HYPERLINK("http://www.youtube.com/channel/UCbUhO-tut97b5IQhZ3i7TMA")</f>
        <v>http://www.youtube.com/channel/UCbUhO-tut97b5IQhZ3i7TMA</v>
      </c>
      <c r="U232" s="81" t="s">
        <v>2137</v>
      </c>
      <c r="V232" s="81" t="s">
        <v>2311</v>
      </c>
      <c r="W232" s="86" t="str">
        <f>HYPERLINK("https://www.youtube.com/watch?v=DrCnSoZUXAc")</f>
        <v>https://www.youtube.com/watch?v=DrCnSoZUXAc</v>
      </c>
      <c r="X232" s="81" t="s">
        <v>2335</v>
      </c>
      <c r="Y232" s="81">
        <v>0</v>
      </c>
      <c r="Z232" s="88">
        <v>43318.98866898148</v>
      </c>
      <c r="AA232" s="88">
        <v>43318.98866898148</v>
      </c>
      <c r="AB232" s="81"/>
      <c r="AC232" s="81"/>
      <c r="AD232" s="84" t="s">
        <v>2782</v>
      </c>
      <c r="AE232" s="82">
        <v>1</v>
      </c>
      <c r="AF232" s="83" t="str">
        <f>REPLACE(INDEX(GroupVertices[Group],MATCH(Edges[[#This Row],[Vertex 1]],GroupVertices[Vertex],0)),1,1,"")</f>
        <v>1</v>
      </c>
      <c r="AG232" s="83" t="str">
        <f>REPLACE(INDEX(GroupVertices[Group],MATCH(Edges[[#This Row],[Vertex 2]],GroupVertices[Vertex],0)),1,1,"")</f>
        <v>1</v>
      </c>
      <c r="AH232" s="111">
        <v>1</v>
      </c>
      <c r="AI232" s="112">
        <v>50</v>
      </c>
      <c r="AJ232" s="111">
        <v>0</v>
      </c>
      <c r="AK232" s="112">
        <v>0</v>
      </c>
      <c r="AL232" s="111">
        <v>0</v>
      </c>
      <c r="AM232" s="112">
        <v>0</v>
      </c>
      <c r="AN232" s="111">
        <v>1</v>
      </c>
      <c r="AO232" s="112">
        <v>50</v>
      </c>
      <c r="AP232" s="111">
        <v>2</v>
      </c>
    </row>
    <row r="233" spans="1:42" ht="15">
      <c r="A233" s="65" t="s">
        <v>398</v>
      </c>
      <c r="B233" s="65" t="s">
        <v>287</v>
      </c>
      <c r="C233" s="66" t="s">
        <v>5345</v>
      </c>
      <c r="D233" s="67">
        <v>3</v>
      </c>
      <c r="E233" s="68"/>
      <c r="F233" s="69">
        <v>40</v>
      </c>
      <c r="G233" s="66"/>
      <c r="H233" s="70"/>
      <c r="I233" s="71"/>
      <c r="J233" s="71"/>
      <c r="K233" s="35" t="s">
        <v>66</v>
      </c>
      <c r="L233" s="79">
        <v>233</v>
      </c>
      <c r="M233" s="79"/>
      <c r="N233" s="73"/>
      <c r="O233" s="81" t="s">
        <v>760</v>
      </c>
      <c r="P233" s="81" t="s">
        <v>215</v>
      </c>
      <c r="Q233" s="84" t="s">
        <v>979</v>
      </c>
      <c r="R233" s="81" t="s">
        <v>398</v>
      </c>
      <c r="S233" s="81" t="s">
        <v>1727</v>
      </c>
      <c r="T233" s="86" t="str">
        <f>HYPERLINK("http://www.youtube.com/channel/UCbdgG3KDHsSRSDbI-4zR-eQ")</f>
        <v>http://www.youtube.com/channel/UCbdgG3KDHsSRSDbI-4zR-eQ</v>
      </c>
      <c r="U233" s="81"/>
      <c r="V233" s="81" t="s">
        <v>2311</v>
      </c>
      <c r="W233" s="86" t="str">
        <f>HYPERLINK("https://www.youtube.com/watch?v=DrCnSoZUXAc")</f>
        <v>https://www.youtube.com/watch?v=DrCnSoZUXAc</v>
      </c>
      <c r="X233" s="81" t="s">
        <v>2335</v>
      </c>
      <c r="Y233" s="81">
        <v>0</v>
      </c>
      <c r="Z233" s="88">
        <v>43318.91601851852</v>
      </c>
      <c r="AA233" s="88">
        <v>43318.91601851852</v>
      </c>
      <c r="AB233" s="81"/>
      <c r="AC233" s="81"/>
      <c r="AD233" s="84" t="s">
        <v>2782</v>
      </c>
      <c r="AE233" s="82">
        <v>1</v>
      </c>
      <c r="AF233" s="83" t="str">
        <f>REPLACE(INDEX(GroupVertices[Group],MATCH(Edges[[#This Row],[Vertex 1]],GroupVertices[Vertex],0)),1,1,"")</f>
        <v>1</v>
      </c>
      <c r="AG233" s="83" t="str">
        <f>REPLACE(INDEX(GroupVertices[Group],MATCH(Edges[[#This Row],[Vertex 2]],GroupVertices[Vertex],0)),1,1,"")</f>
        <v>1</v>
      </c>
      <c r="AH233" s="111">
        <v>0</v>
      </c>
      <c r="AI233" s="112">
        <v>0</v>
      </c>
      <c r="AJ233" s="111">
        <v>0</v>
      </c>
      <c r="AK233" s="112">
        <v>0</v>
      </c>
      <c r="AL233" s="111">
        <v>0</v>
      </c>
      <c r="AM233" s="112">
        <v>0</v>
      </c>
      <c r="AN233" s="111">
        <v>2</v>
      </c>
      <c r="AO233" s="112">
        <v>100</v>
      </c>
      <c r="AP233" s="111">
        <v>2</v>
      </c>
    </row>
    <row r="234" spans="1:42" ht="15">
      <c r="A234" s="65" t="s">
        <v>287</v>
      </c>
      <c r="B234" s="65" t="s">
        <v>399</v>
      </c>
      <c r="C234" s="66" t="s">
        <v>5345</v>
      </c>
      <c r="D234" s="67">
        <v>3</v>
      </c>
      <c r="E234" s="68"/>
      <c r="F234" s="69">
        <v>40</v>
      </c>
      <c r="G234" s="66"/>
      <c r="H234" s="70"/>
      <c r="I234" s="71"/>
      <c r="J234" s="71"/>
      <c r="K234" s="35" t="s">
        <v>66</v>
      </c>
      <c r="L234" s="79">
        <v>234</v>
      </c>
      <c r="M234" s="79"/>
      <c r="N234" s="73"/>
      <c r="O234" s="81" t="s">
        <v>761</v>
      </c>
      <c r="P234" s="81" t="s">
        <v>763</v>
      </c>
      <c r="Q234" s="84" t="s">
        <v>980</v>
      </c>
      <c r="R234" s="81" t="s">
        <v>287</v>
      </c>
      <c r="S234" s="81" t="s">
        <v>1616</v>
      </c>
      <c r="T234" s="86" t="str">
        <f>HYPERLINK("http://www.youtube.com/channel/UCbUhO-tut97b5IQhZ3i7TMA")</f>
        <v>http://www.youtube.com/channel/UCbUhO-tut97b5IQhZ3i7TMA</v>
      </c>
      <c r="U234" s="81" t="s">
        <v>2138</v>
      </c>
      <c r="V234" s="81" t="s">
        <v>2311</v>
      </c>
      <c r="W234" s="86" t="str">
        <f>HYPERLINK("https://www.youtube.com/watch?v=DrCnSoZUXAc")</f>
        <v>https://www.youtube.com/watch?v=DrCnSoZUXAc</v>
      </c>
      <c r="X234" s="81" t="s">
        <v>2335</v>
      </c>
      <c r="Y234" s="81">
        <v>0</v>
      </c>
      <c r="Z234" s="88">
        <v>43349.493414351855</v>
      </c>
      <c r="AA234" s="88">
        <v>43349.493414351855</v>
      </c>
      <c r="AB234" s="81"/>
      <c r="AC234" s="81"/>
      <c r="AD234" s="84" t="s">
        <v>2782</v>
      </c>
      <c r="AE234" s="82">
        <v>1</v>
      </c>
      <c r="AF234" s="83" t="str">
        <f>REPLACE(INDEX(GroupVertices[Group],MATCH(Edges[[#This Row],[Vertex 1]],GroupVertices[Vertex],0)),1,1,"")</f>
        <v>1</v>
      </c>
      <c r="AG234" s="83" t="str">
        <f>REPLACE(INDEX(GroupVertices[Group],MATCH(Edges[[#This Row],[Vertex 2]],GroupVertices[Vertex],0)),1,1,"")</f>
        <v>1</v>
      </c>
      <c r="AH234" s="111">
        <v>1</v>
      </c>
      <c r="AI234" s="112">
        <v>6.25</v>
      </c>
      <c r="AJ234" s="111">
        <v>0</v>
      </c>
      <c r="AK234" s="112">
        <v>0</v>
      </c>
      <c r="AL234" s="111">
        <v>0</v>
      </c>
      <c r="AM234" s="112">
        <v>0</v>
      </c>
      <c r="AN234" s="111">
        <v>15</v>
      </c>
      <c r="AO234" s="112">
        <v>93.75</v>
      </c>
      <c r="AP234" s="111">
        <v>16</v>
      </c>
    </row>
    <row r="235" spans="1:42" ht="15">
      <c r="A235" s="65" t="s">
        <v>399</v>
      </c>
      <c r="B235" s="65" t="s">
        <v>287</v>
      </c>
      <c r="C235" s="66" t="s">
        <v>5345</v>
      </c>
      <c r="D235" s="67">
        <v>3</v>
      </c>
      <c r="E235" s="68"/>
      <c r="F235" s="69">
        <v>40</v>
      </c>
      <c r="G235" s="66"/>
      <c r="H235" s="70"/>
      <c r="I235" s="71"/>
      <c r="J235" s="71"/>
      <c r="K235" s="35" t="s">
        <v>66</v>
      </c>
      <c r="L235" s="79">
        <v>235</v>
      </c>
      <c r="M235" s="79"/>
      <c r="N235" s="73"/>
      <c r="O235" s="81" t="s">
        <v>760</v>
      </c>
      <c r="P235" s="81" t="s">
        <v>215</v>
      </c>
      <c r="Q235" s="84" t="s">
        <v>981</v>
      </c>
      <c r="R235" s="81" t="s">
        <v>399</v>
      </c>
      <c r="S235" s="81" t="s">
        <v>1728</v>
      </c>
      <c r="T235" s="86" t="str">
        <f>HYPERLINK("http://www.youtube.com/channel/UCpC_rJRy9KIHkIqB-KuOIHA")</f>
        <v>http://www.youtube.com/channel/UCpC_rJRy9KIHkIqB-KuOIHA</v>
      </c>
      <c r="U235" s="81"/>
      <c r="V235" s="81" t="s">
        <v>2311</v>
      </c>
      <c r="W235" s="86" t="str">
        <f>HYPERLINK("https://www.youtube.com/watch?v=DrCnSoZUXAc")</f>
        <v>https://www.youtube.com/watch?v=DrCnSoZUXAc</v>
      </c>
      <c r="X235" s="81" t="s">
        <v>2335</v>
      </c>
      <c r="Y235" s="81">
        <v>0</v>
      </c>
      <c r="Z235" s="88">
        <v>43349.40934027778</v>
      </c>
      <c r="AA235" s="88">
        <v>43349.411631944444</v>
      </c>
      <c r="AB235" s="81"/>
      <c r="AC235" s="81"/>
      <c r="AD235" s="84" t="s">
        <v>2782</v>
      </c>
      <c r="AE235" s="82">
        <v>1</v>
      </c>
      <c r="AF235" s="83" t="str">
        <f>REPLACE(INDEX(GroupVertices[Group],MATCH(Edges[[#This Row],[Vertex 1]],GroupVertices[Vertex],0)),1,1,"")</f>
        <v>1</v>
      </c>
      <c r="AG235" s="83" t="str">
        <f>REPLACE(INDEX(GroupVertices[Group],MATCH(Edges[[#This Row],[Vertex 2]],GroupVertices[Vertex],0)),1,1,"")</f>
        <v>1</v>
      </c>
      <c r="AH235" s="111">
        <v>2</v>
      </c>
      <c r="AI235" s="112">
        <v>8.695652173913043</v>
      </c>
      <c r="AJ235" s="111">
        <v>0</v>
      </c>
      <c r="AK235" s="112">
        <v>0</v>
      </c>
      <c r="AL235" s="111">
        <v>0</v>
      </c>
      <c r="AM235" s="112">
        <v>0</v>
      </c>
      <c r="AN235" s="111">
        <v>21</v>
      </c>
      <c r="AO235" s="112">
        <v>91.30434782608695</v>
      </c>
      <c r="AP235" s="111">
        <v>23</v>
      </c>
    </row>
    <row r="236" spans="1:42" ht="15">
      <c r="A236" s="65" t="s">
        <v>287</v>
      </c>
      <c r="B236" s="65" t="s">
        <v>400</v>
      </c>
      <c r="C236" s="66" t="s">
        <v>5345</v>
      </c>
      <c r="D236" s="67">
        <v>3</v>
      </c>
      <c r="E236" s="68"/>
      <c r="F236" s="69">
        <v>40</v>
      </c>
      <c r="G236" s="66"/>
      <c r="H236" s="70"/>
      <c r="I236" s="71"/>
      <c r="J236" s="71"/>
      <c r="K236" s="35" t="s">
        <v>66</v>
      </c>
      <c r="L236" s="79">
        <v>236</v>
      </c>
      <c r="M236" s="79"/>
      <c r="N236" s="73"/>
      <c r="O236" s="81" t="s">
        <v>761</v>
      </c>
      <c r="P236" s="81" t="s">
        <v>763</v>
      </c>
      <c r="Q236" s="84" t="s">
        <v>982</v>
      </c>
      <c r="R236" s="81" t="s">
        <v>287</v>
      </c>
      <c r="S236" s="81" t="s">
        <v>1616</v>
      </c>
      <c r="T236" s="86" t="str">
        <f>HYPERLINK("http://www.youtube.com/channel/UCbUhO-tut97b5IQhZ3i7TMA")</f>
        <v>http://www.youtube.com/channel/UCbUhO-tut97b5IQhZ3i7TMA</v>
      </c>
      <c r="U236" s="81" t="s">
        <v>2139</v>
      </c>
      <c r="V236" s="81" t="s">
        <v>2311</v>
      </c>
      <c r="W236" s="86" t="str">
        <f>HYPERLINK("https://www.youtube.com/watch?v=DrCnSoZUXAc")</f>
        <v>https://www.youtube.com/watch?v=DrCnSoZUXAc</v>
      </c>
      <c r="X236" s="81" t="s">
        <v>2335</v>
      </c>
      <c r="Y236" s="81">
        <v>0</v>
      </c>
      <c r="Z236" s="88">
        <v>43410.92568287037</v>
      </c>
      <c r="AA236" s="88">
        <v>43410.92568287037</v>
      </c>
      <c r="AB236" s="81"/>
      <c r="AC236" s="81"/>
      <c r="AD236" s="84" t="s">
        <v>2782</v>
      </c>
      <c r="AE236" s="82">
        <v>1</v>
      </c>
      <c r="AF236" s="83" t="str">
        <f>REPLACE(INDEX(GroupVertices[Group],MATCH(Edges[[#This Row],[Vertex 1]],GroupVertices[Vertex],0)),1,1,"")</f>
        <v>1</v>
      </c>
      <c r="AG236" s="83" t="str">
        <f>REPLACE(INDEX(GroupVertices[Group],MATCH(Edges[[#This Row],[Vertex 2]],GroupVertices[Vertex],0)),1,1,"")</f>
        <v>1</v>
      </c>
      <c r="AH236" s="111">
        <v>1</v>
      </c>
      <c r="AI236" s="112">
        <v>7.142857142857143</v>
      </c>
      <c r="AJ236" s="111">
        <v>0</v>
      </c>
      <c r="AK236" s="112">
        <v>0</v>
      </c>
      <c r="AL236" s="111">
        <v>0</v>
      </c>
      <c r="AM236" s="112">
        <v>0</v>
      </c>
      <c r="AN236" s="111">
        <v>13</v>
      </c>
      <c r="AO236" s="112">
        <v>92.85714285714286</v>
      </c>
      <c r="AP236" s="111">
        <v>14</v>
      </c>
    </row>
    <row r="237" spans="1:42" ht="15">
      <c r="A237" s="65" t="s">
        <v>400</v>
      </c>
      <c r="B237" s="65" t="s">
        <v>287</v>
      </c>
      <c r="C237" s="66" t="s">
        <v>5345</v>
      </c>
      <c r="D237" s="67">
        <v>3</v>
      </c>
      <c r="E237" s="68"/>
      <c r="F237" s="69">
        <v>40</v>
      </c>
      <c r="G237" s="66"/>
      <c r="H237" s="70"/>
      <c r="I237" s="71"/>
      <c r="J237" s="71"/>
      <c r="K237" s="35" t="s">
        <v>66</v>
      </c>
      <c r="L237" s="79">
        <v>237</v>
      </c>
      <c r="M237" s="79"/>
      <c r="N237" s="73"/>
      <c r="O237" s="81" t="s">
        <v>760</v>
      </c>
      <c r="P237" s="81" t="s">
        <v>215</v>
      </c>
      <c r="Q237" s="84" t="s">
        <v>983</v>
      </c>
      <c r="R237" s="81" t="s">
        <v>400</v>
      </c>
      <c r="S237" s="81" t="s">
        <v>1729</v>
      </c>
      <c r="T237" s="86" t="str">
        <f>HYPERLINK("http://www.youtube.com/channel/UC3novV_JXrsNhBjA8lF8rlQ")</f>
        <v>http://www.youtube.com/channel/UC3novV_JXrsNhBjA8lF8rlQ</v>
      </c>
      <c r="U237" s="81"/>
      <c r="V237" s="81" t="s">
        <v>2311</v>
      </c>
      <c r="W237" s="86" t="str">
        <f>HYPERLINK("https://www.youtube.com/watch?v=DrCnSoZUXAc")</f>
        <v>https://www.youtube.com/watch?v=DrCnSoZUXAc</v>
      </c>
      <c r="X237" s="81" t="s">
        <v>2335</v>
      </c>
      <c r="Y237" s="81">
        <v>0</v>
      </c>
      <c r="Z237" s="88">
        <v>43379.750243055554</v>
      </c>
      <c r="AA237" s="88">
        <v>43379.750243055554</v>
      </c>
      <c r="AB237" s="81"/>
      <c r="AC237" s="81"/>
      <c r="AD237" s="84" t="s">
        <v>2782</v>
      </c>
      <c r="AE237" s="82">
        <v>1</v>
      </c>
      <c r="AF237" s="83" t="str">
        <f>REPLACE(INDEX(GroupVertices[Group],MATCH(Edges[[#This Row],[Vertex 1]],GroupVertices[Vertex],0)),1,1,"")</f>
        <v>1</v>
      </c>
      <c r="AG237" s="83" t="str">
        <f>REPLACE(INDEX(GroupVertices[Group],MATCH(Edges[[#This Row],[Vertex 2]],GroupVertices[Vertex],0)),1,1,"")</f>
        <v>1</v>
      </c>
      <c r="AH237" s="111">
        <v>2</v>
      </c>
      <c r="AI237" s="112">
        <v>8.333333333333334</v>
      </c>
      <c r="AJ237" s="111">
        <v>0</v>
      </c>
      <c r="AK237" s="112">
        <v>0</v>
      </c>
      <c r="AL237" s="111">
        <v>0</v>
      </c>
      <c r="AM237" s="112">
        <v>0</v>
      </c>
      <c r="AN237" s="111">
        <v>22</v>
      </c>
      <c r="AO237" s="112">
        <v>91.66666666666667</v>
      </c>
      <c r="AP237" s="111">
        <v>24</v>
      </c>
    </row>
    <row r="238" spans="1:42" ht="15">
      <c r="A238" s="65" t="s">
        <v>287</v>
      </c>
      <c r="B238" s="65" t="s">
        <v>386</v>
      </c>
      <c r="C238" s="66" t="s">
        <v>5345</v>
      </c>
      <c r="D238" s="67">
        <v>3</v>
      </c>
      <c r="E238" s="68"/>
      <c r="F238" s="69">
        <v>40</v>
      </c>
      <c r="G238" s="66"/>
      <c r="H238" s="70"/>
      <c r="I238" s="71"/>
      <c r="J238" s="71"/>
      <c r="K238" s="35" t="s">
        <v>66</v>
      </c>
      <c r="L238" s="79">
        <v>238</v>
      </c>
      <c r="M238" s="79"/>
      <c r="N238" s="73"/>
      <c r="O238" s="81" t="s">
        <v>761</v>
      </c>
      <c r="P238" s="81" t="s">
        <v>763</v>
      </c>
      <c r="Q238" s="84" t="s">
        <v>984</v>
      </c>
      <c r="R238" s="81" t="s">
        <v>287</v>
      </c>
      <c r="S238" s="81" t="s">
        <v>1616</v>
      </c>
      <c r="T238" s="86" t="str">
        <f>HYPERLINK("http://www.youtube.com/channel/UCbUhO-tut97b5IQhZ3i7TMA")</f>
        <v>http://www.youtube.com/channel/UCbUhO-tut97b5IQhZ3i7TMA</v>
      </c>
      <c r="U238" s="81" t="s">
        <v>2140</v>
      </c>
      <c r="V238" s="81" t="s">
        <v>2311</v>
      </c>
      <c r="W238" s="86" t="str">
        <f>HYPERLINK("https://www.youtube.com/watch?v=DrCnSoZUXAc")</f>
        <v>https://www.youtube.com/watch?v=DrCnSoZUXAc</v>
      </c>
      <c r="X238" s="81" t="s">
        <v>2335</v>
      </c>
      <c r="Y238" s="81">
        <v>0</v>
      </c>
      <c r="Z238" s="88">
        <v>43410.926041666666</v>
      </c>
      <c r="AA238" s="88">
        <v>43410.926041666666</v>
      </c>
      <c r="AB238" s="81"/>
      <c r="AC238" s="81"/>
      <c r="AD238" s="84" t="s">
        <v>2782</v>
      </c>
      <c r="AE238" s="82">
        <v>1</v>
      </c>
      <c r="AF238" s="83" t="str">
        <f>REPLACE(INDEX(GroupVertices[Group],MATCH(Edges[[#This Row],[Vertex 1]],GroupVertices[Vertex],0)),1,1,"")</f>
        <v>1</v>
      </c>
      <c r="AG238" s="83" t="str">
        <f>REPLACE(INDEX(GroupVertices[Group],MATCH(Edges[[#This Row],[Vertex 2]],GroupVertices[Vertex],0)),1,1,"")</f>
        <v>1</v>
      </c>
      <c r="AH238" s="111">
        <v>0</v>
      </c>
      <c r="AI238" s="112">
        <v>0</v>
      </c>
      <c r="AJ238" s="111">
        <v>0</v>
      </c>
      <c r="AK238" s="112">
        <v>0</v>
      </c>
      <c r="AL238" s="111">
        <v>0</v>
      </c>
      <c r="AM238" s="112">
        <v>0</v>
      </c>
      <c r="AN238" s="111">
        <v>3</v>
      </c>
      <c r="AO238" s="112">
        <v>100</v>
      </c>
      <c r="AP238" s="111">
        <v>3</v>
      </c>
    </row>
    <row r="239" spans="1:42" ht="15">
      <c r="A239" s="65" t="s">
        <v>386</v>
      </c>
      <c r="B239" s="65" t="s">
        <v>287</v>
      </c>
      <c r="C239" s="66" t="s">
        <v>5345</v>
      </c>
      <c r="D239" s="67">
        <v>3</v>
      </c>
      <c r="E239" s="68"/>
      <c r="F239" s="69">
        <v>40</v>
      </c>
      <c r="G239" s="66"/>
      <c r="H239" s="70"/>
      <c r="I239" s="71"/>
      <c r="J239" s="71"/>
      <c r="K239" s="35" t="s">
        <v>66</v>
      </c>
      <c r="L239" s="79">
        <v>239</v>
      </c>
      <c r="M239" s="79"/>
      <c r="N239" s="73"/>
      <c r="O239" s="81" t="s">
        <v>760</v>
      </c>
      <c r="P239" s="81" t="s">
        <v>215</v>
      </c>
      <c r="Q239" s="84" t="s">
        <v>985</v>
      </c>
      <c r="R239" s="81" t="s">
        <v>386</v>
      </c>
      <c r="S239" s="81" t="s">
        <v>1715</v>
      </c>
      <c r="T239" s="86" t="str">
        <f>HYPERLINK("http://www.youtube.com/channel/UCEig_3HhFVw-cFgABX1AP8Q")</f>
        <v>http://www.youtube.com/channel/UCEig_3HhFVw-cFgABX1AP8Q</v>
      </c>
      <c r="U239" s="81"/>
      <c r="V239" s="81" t="s">
        <v>2311</v>
      </c>
      <c r="W239" s="86" t="str">
        <f>HYPERLINK("https://www.youtube.com/watch?v=DrCnSoZUXAc")</f>
        <v>https://www.youtube.com/watch?v=DrCnSoZUXAc</v>
      </c>
      <c r="X239" s="81" t="s">
        <v>2335</v>
      </c>
      <c r="Y239" s="81">
        <v>0</v>
      </c>
      <c r="Z239" s="88">
        <v>43379.78633101852</v>
      </c>
      <c r="AA239" s="88">
        <v>43379.78633101852</v>
      </c>
      <c r="AB239" s="81"/>
      <c r="AC239" s="81"/>
      <c r="AD239" s="84" t="s">
        <v>2782</v>
      </c>
      <c r="AE239" s="82">
        <v>1</v>
      </c>
      <c r="AF239" s="83" t="str">
        <f>REPLACE(INDEX(GroupVertices[Group],MATCH(Edges[[#This Row],[Vertex 1]],GroupVertices[Vertex],0)),1,1,"")</f>
        <v>1</v>
      </c>
      <c r="AG239" s="83" t="str">
        <f>REPLACE(INDEX(GroupVertices[Group],MATCH(Edges[[#This Row],[Vertex 2]],GroupVertices[Vertex],0)),1,1,"")</f>
        <v>1</v>
      </c>
      <c r="AH239" s="111">
        <v>2</v>
      </c>
      <c r="AI239" s="112">
        <v>50</v>
      </c>
      <c r="AJ239" s="111">
        <v>0</v>
      </c>
      <c r="AK239" s="112">
        <v>0</v>
      </c>
      <c r="AL239" s="111">
        <v>0</v>
      </c>
      <c r="AM239" s="112">
        <v>0</v>
      </c>
      <c r="AN239" s="111">
        <v>2</v>
      </c>
      <c r="AO239" s="112">
        <v>50</v>
      </c>
      <c r="AP239" s="111">
        <v>4</v>
      </c>
    </row>
    <row r="240" spans="1:42" ht="15">
      <c r="A240" s="65" t="s">
        <v>287</v>
      </c>
      <c r="B240" s="65" t="s">
        <v>401</v>
      </c>
      <c r="C240" s="66" t="s">
        <v>5345</v>
      </c>
      <c r="D240" s="67">
        <v>3</v>
      </c>
      <c r="E240" s="68"/>
      <c r="F240" s="69">
        <v>40</v>
      </c>
      <c r="G240" s="66"/>
      <c r="H240" s="70"/>
      <c r="I240" s="71"/>
      <c r="J240" s="71"/>
      <c r="K240" s="35" t="s">
        <v>66</v>
      </c>
      <c r="L240" s="79">
        <v>240</v>
      </c>
      <c r="M240" s="79"/>
      <c r="N240" s="73"/>
      <c r="O240" s="81" t="s">
        <v>761</v>
      </c>
      <c r="P240" s="81" t="s">
        <v>763</v>
      </c>
      <c r="Q240" s="84" t="s">
        <v>978</v>
      </c>
      <c r="R240" s="81" t="s">
        <v>287</v>
      </c>
      <c r="S240" s="81" t="s">
        <v>1616</v>
      </c>
      <c r="T240" s="86" t="str">
        <f>HYPERLINK("http://www.youtube.com/channel/UCbUhO-tut97b5IQhZ3i7TMA")</f>
        <v>http://www.youtube.com/channel/UCbUhO-tut97b5IQhZ3i7TMA</v>
      </c>
      <c r="U240" s="81" t="s">
        <v>2141</v>
      </c>
      <c r="V240" s="81" t="s">
        <v>2311</v>
      </c>
      <c r="W240" s="86" t="str">
        <f>HYPERLINK("https://www.youtube.com/watch?v=DrCnSoZUXAc")</f>
        <v>https://www.youtube.com/watch?v=DrCnSoZUXAc</v>
      </c>
      <c r="X240" s="81" t="s">
        <v>2335</v>
      </c>
      <c r="Y240" s="81">
        <v>1</v>
      </c>
      <c r="Z240" s="88">
        <v>43410.926145833335</v>
      </c>
      <c r="AA240" s="88">
        <v>43410.926145833335</v>
      </c>
      <c r="AB240" s="81"/>
      <c r="AC240" s="81"/>
      <c r="AD240" s="84" t="s">
        <v>2782</v>
      </c>
      <c r="AE240" s="82">
        <v>1</v>
      </c>
      <c r="AF240" s="83" t="str">
        <f>REPLACE(INDEX(GroupVertices[Group],MATCH(Edges[[#This Row],[Vertex 1]],GroupVertices[Vertex],0)),1,1,"")</f>
        <v>1</v>
      </c>
      <c r="AG240" s="83" t="str">
        <f>REPLACE(INDEX(GroupVertices[Group],MATCH(Edges[[#This Row],[Vertex 2]],GroupVertices[Vertex],0)),1,1,"")</f>
        <v>1</v>
      </c>
      <c r="AH240" s="111">
        <v>1</v>
      </c>
      <c r="AI240" s="112">
        <v>50</v>
      </c>
      <c r="AJ240" s="111">
        <v>0</v>
      </c>
      <c r="AK240" s="112">
        <v>0</v>
      </c>
      <c r="AL240" s="111">
        <v>0</v>
      </c>
      <c r="AM240" s="112">
        <v>0</v>
      </c>
      <c r="AN240" s="111">
        <v>1</v>
      </c>
      <c r="AO240" s="112">
        <v>50</v>
      </c>
      <c r="AP240" s="111">
        <v>2</v>
      </c>
    </row>
    <row r="241" spans="1:42" ht="15">
      <c r="A241" s="65" t="s">
        <v>401</v>
      </c>
      <c r="B241" s="65" t="s">
        <v>287</v>
      </c>
      <c r="C241" s="66" t="s">
        <v>5345</v>
      </c>
      <c r="D241" s="67">
        <v>3</v>
      </c>
      <c r="E241" s="68"/>
      <c r="F241" s="69">
        <v>40</v>
      </c>
      <c r="G241" s="66"/>
      <c r="H241" s="70"/>
      <c r="I241" s="71"/>
      <c r="J241" s="71"/>
      <c r="K241" s="35" t="s">
        <v>66</v>
      </c>
      <c r="L241" s="79">
        <v>241</v>
      </c>
      <c r="M241" s="79"/>
      <c r="N241" s="73"/>
      <c r="O241" s="81" t="s">
        <v>760</v>
      </c>
      <c r="P241" s="81" t="s">
        <v>215</v>
      </c>
      <c r="Q241" s="84" t="s">
        <v>986</v>
      </c>
      <c r="R241" s="81" t="s">
        <v>401</v>
      </c>
      <c r="S241" s="81" t="s">
        <v>1730</v>
      </c>
      <c r="T241" s="86" t="str">
        <f>HYPERLINK("http://www.youtube.com/channel/UCw7KE_bnWCU7Ax0rglxmTYw")</f>
        <v>http://www.youtube.com/channel/UCw7KE_bnWCU7Ax0rglxmTYw</v>
      </c>
      <c r="U241" s="81"/>
      <c r="V241" s="81" t="s">
        <v>2311</v>
      </c>
      <c r="W241" s="86" t="str">
        <f>HYPERLINK("https://www.youtube.com/watch?v=DrCnSoZUXAc")</f>
        <v>https://www.youtube.com/watch?v=DrCnSoZUXAc</v>
      </c>
      <c r="X241" s="81" t="s">
        <v>2335</v>
      </c>
      <c r="Y241" s="81">
        <v>0</v>
      </c>
      <c r="Z241" s="88">
        <v>43379.81246527778</v>
      </c>
      <c r="AA241" s="88">
        <v>43379.81246527778</v>
      </c>
      <c r="AB241" s="81"/>
      <c r="AC241" s="81"/>
      <c r="AD241" s="84" t="s">
        <v>2782</v>
      </c>
      <c r="AE241" s="82">
        <v>1</v>
      </c>
      <c r="AF241" s="83" t="str">
        <f>REPLACE(INDEX(GroupVertices[Group],MATCH(Edges[[#This Row],[Vertex 1]],GroupVertices[Vertex],0)),1,1,"")</f>
        <v>1</v>
      </c>
      <c r="AG241" s="83" t="str">
        <f>REPLACE(INDEX(GroupVertices[Group],MATCH(Edges[[#This Row],[Vertex 2]],GroupVertices[Vertex],0)),1,1,"")</f>
        <v>1</v>
      </c>
      <c r="AH241" s="111">
        <v>3</v>
      </c>
      <c r="AI241" s="112">
        <v>75</v>
      </c>
      <c r="AJ241" s="111">
        <v>0</v>
      </c>
      <c r="AK241" s="112">
        <v>0</v>
      </c>
      <c r="AL241" s="111">
        <v>0</v>
      </c>
      <c r="AM241" s="112">
        <v>0</v>
      </c>
      <c r="AN241" s="111">
        <v>1</v>
      </c>
      <c r="AO241" s="112">
        <v>25</v>
      </c>
      <c r="AP241" s="111">
        <v>4</v>
      </c>
    </row>
    <row r="242" spans="1:42" ht="15">
      <c r="A242" s="65" t="s">
        <v>287</v>
      </c>
      <c r="B242" s="65" t="s">
        <v>402</v>
      </c>
      <c r="C242" s="66" t="s">
        <v>5345</v>
      </c>
      <c r="D242" s="67">
        <v>3</v>
      </c>
      <c r="E242" s="68"/>
      <c r="F242" s="69">
        <v>40</v>
      </c>
      <c r="G242" s="66"/>
      <c r="H242" s="70"/>
      <c r="I242" s="71"/>
      <c r="J242" s="71"/>
      <c r="K242" s="35" t="s">
        <v>66</v>
      </c>
      <c r="L242" s="79">
        <v>242</v>
      </c>
      <c r="M242" s="79"/>
      <c r="N242" s="73"/>
      <c r="O242" s="81" t="s">
        <v>761</v>
      </c>
      <c r="P242" s="81" t="s">
        <v>763</v>
      </c>
      <c r="Q242" s="84" t="s">
        <v>987</v>
      </c>
      <c r="R242" s="81" t="s">
        <v>287</v>
      </c>
      <c r="S242" s="81" t="s">
        <v>1616</v>
      </c>
      <c r="T242" s="86" t="str">
        <f>HYPERLINK("http://www.youtube.com/channel/UCbUhO-tut97b5IQhZ3i7TMA")</f>
        <v>http://www.youtube.com/channel/UCbUhO-tut97b5IQhZ3i7TMA</v>
      </c>
      <c r="U242" s="81" t="s">
        <v>2142</v>
      </c>
      <c r="V242" s="81" t="s">
        <v>2311</v>
      </c>
      <c r="W242" s="86" t="str">
        <f>HYPERLINK("https://www.youtube.com/watch?v=DrCnSoZUXAc")</f>
        <v>https://www.youtube.com/watch?v=DrCnSoZUXAc</v>
      </c>
      <c r="X242" s="81" t="s">
        <v>2335</v>
      </c>
      <c r="Y242" s="81">
        <v>0</v>
      </c>
      <c r="Z242" s="88">
        <v>43410.9609375</v>
      </c>
      <c r="AA242" s="88">
        <v>43410.9609375</v>
      </c>
      <c r="AB242" s="81"/>
      <c r="AC242" s="81"/>
      <c r="AD242" s="84" t="s">
        <v>2782</v>
      </c>
      <c r="AE242" s="82">
        <v>1</v>
      </c>
      <c r="AF242" s="83" t="str">
        <f>REPLACE(INDEX(GroupVertices[Group],MATCH(Edges[[#This Row],[Vertex 1]],GroupVertices[Vertex],0)),1,1,"")</f>
        <v>1</v>
      </c>
      <c r="AG242" s="83" t="str">
        <f>REPLACE(INDEX(GroupVertices[Group],MATCH(Edges[[#This Row],[Vertex 2]],GroupVertices[Vertex],0)),1,1,"")</f>
        <v>1</v>
      </c>
      <c r="AH242" s="111">
        <v>1</v>
      </c>
      <c r="AI242" s="112">
        <v>7.6923076923076925</v>
      </c>
      <c r="AJ242" s="111">
        <v>0</v>
      </c>
      <c r="AK242" s="112">
        <v>0</v>
      </c>
      <c r="AL242" s="111">
        <v>0</v>
      </c>
      <c r="AM242" s="112">
        <v>0</v>
      </c>
      <c r="AN242" s="111">
        <v>12</v>
      </c>
      <c r="AO242" s="112">
        <v>92.3076923076923</v>
      </c>
      <c r="AP242" s="111">
        <v>13</v>
      </c>
    </row>
    <row r="243" spans="1:42" ht="15">
      <c r="A243" s="65" t="s">
        <v>402</v>
      </c>
      <c r="B243" s="65" t="s">
        <v>402</v>
      </c>
      <c r="C243" s="66" t="s">
        <v>5345</v>
      </c>
      <c r="D243" s="67">
        <v>3</v>
      </c>
      <c r="E243" s="68"/>
      <c r="F243" s="69">
        <v>40</v>
      </c>
      <c r="G243" s="66"/>
      <c r="H243" s="70"/>
      <c r="I243" s="71"/>
      <c r="J243" s="71"/>
      <c r="K243" s="35" t="s">
        <v>65</v>
      </c>
      <c r="L243" s="79">
        <v>243</v>
      </c>
      <c r="M243" s="79"/>
      <c r="N243" s="73"/>
      <c r="O243" s="81" t="s">
        <v>761</v>
      </c>
      <c r="P243" s="81" t="s">
        <v>763</v>
      </c>
      <c r="Q243" s="84" t="s">
        <v>988</v>
      </c>
      <c r="R243" s="81" t="s">
        <v>402</v>
      </c>
      <c r="S243" s="81" t="s">
        <v>1731</v>
      </c>
      <c r="T243" s="86" t="str">
        <f>HYPERLINK("http://www.youtube.com/channel/UCuEDulggvlV91U-c0w9pCzg")</f>
        <v>http://www.youtube.com/channel/UCuEDulggvlV91U-c0w9pCzg</v>
      </c>
      <c r="U243" s="81" t="s">
        <v>2142</v>
      </c>
      <c r="V243" s="81" t="s">
        <v>2311</v>
      </c>
      <c r="W243" s="86" t="str">
        <f>HYPERLINK("https://www.youtube.com/watch?v=DrCnSoZUXAc")</f>
        <v>https://www.youtube.com/watch?v=DrCnSoZUXAc</v>
      </c>
      <c r="X243" s="81" t="s">
        <v>2335</v>
      </c>
      <c r="Y243" s="81">
        <v>0</v>
      </c>
      <c r="Z243" s="88">
        <v>43410.96393518519</v>
      </c>
      <c r="AA243" s="88">
        <v>43410.96393518519</v>
      </c>
      <c r="AB243" s="81"/>
      <c r="AC243" s="81"/>
      <c r="AD243" s="84" t="s">
        <v>2782</v>
      </c>
      <c r="AE243" s="82">
        <v>1</v>
      </c>
      <c r="AF243" s="83" t="str">
        <f>REPLACE(INDEX(GroupVertices[Group],MATCH(Edges[[#This Row],[Vertex 1]],GroupVertices[Vertex],0)),1,1,"")</f>
        <v>1</v>
      </c>
      <c r="AG243" s="83" t="str">
        <f>REPLACE(INDEX(GroupVertices[Group],MATCH(Edges[[#This Row],[Vertex 2]],GroupVertices[Vertex],0)),1,1,"")</f>
        <v>1</v>
      </c>
      <c r="AH243" s="111">
        <v>0</v>
      </c>
      <c r="AI243" s="112">
        <v>0</v>
      </c>
      <c r="AJ243" s="111">
        <v>0</v>
      </c>
      <c r="AK243" s="112">
        <v>0</v>
      </c>
      <c r="AL243" s="111">
        <v>0</v>
      </c>
      <c r="AM243" s="112">
        <v>0</v>
      </c>
      <c r="AN243" s="111">
        <v>10</v>
      </c>
      <c r="AO243" s="112">
        <v>100</v>
      </c>
      <c r="AP243" s="111">
        <v>10</v>
      </c>
    </row>
    <row r="244" spans="1:42" ht="15">
      <c r="A244" s="65" t="s">
        <v>402</v>
      </c>
      <c r="B244" s="65" t="s">
        <v>287</v>
      </c>
      <c r="C244" s="66" t="s">
        <v>5345</v>
      </c>
      <c r="D244" s="67">
        <v>3</v>
      </c>
      <c r="E244" s="68"/>
      <c r="F244" s="69">
        <v>40</v>
      </c>
      <c r="G244" s="66"/>
      <c r="H244" s="70"/>
      <c r="I244" s="71"/>
      <c r="J244" s="71"/>
      <c r="K244" s="35" t="s">
        <v>66</v>
      </c>
      <c r="L244" s="79">
        <v>244</v>
      </c>
      <c r="M244" s="79"/>
      <c r="N244" s="73"/>
      <c r="O244" s="81" t="s">
        <v>760</v>
      </c>
      <c r="P244" s="81" t="s">
        <v>215</v>
      </c>
      <c r="Q244" s="84" t="s">
        <v>989</v>
      </c>
      <c r="R244" s="81" t="s">
        <v>402</v>
      </c>
      <c r="S244" s="81" t="s">
        <v>1731</v>
      </c>
      <c r="T244" s="86" t="str">
        <f>HYPERLINK("http://www.youtube.com/channel/UCuEDulggvlV91U-c0w9pCzg")</f>
        <v>http://www.youtube.com/channel/UCuEDulggvlV91U-c0w9pCzg</v>
      </c>
      <c r="U244" s="81"/>
      <c r="V244" s="81" t="s">
        <v>2311</v>
      </c>
      <c r="W244" s="86" t="str">
        <f>HYPERLINK("https://www.youtube.com/watch?v=DrCnSoZUXAc")</f>
        <v>https://www.youtube.com/watch?v=DrCnSoZUXAc</v>
      </c>
      <c r="X244" s="81" t="s">
        <v>2335</v>
      </c>
      <c r="Y244" s="81">
        <v>0</v>
      </c>
      <c r="Z244" s="88">
        <v>43410.93969907407</v>
      </c>
      <c r="AA244" s="88">
        <v>43410.93969907407</v>
      </c>
      <c r="AB244" s="81"/>
      <c r="AC244" s="81"/>
      <c r="AD244" s="84" t="s">
        <v>2782</v>
      </c>
      <c r="AE244" s="82">
        <v>1</v>
      </c>
      <c r="AF244" s="83" t="str">
        <f>REPLACE(INDEX(GroupVertices[Group],MATCH(Edges[[#This Row],[Vertex 1]],GroupVertices[Vertex],0)),1,1,"")</f>
        <v>1</v>
      </c>
      <c r="AG244" s="83" t="str">
        <f>REPLACE(INDEX(GroupVertices[Group],MATCH(Edges[[#This Row],[Vertex 2]],GroupVertices[Vertex],0)),1,1,"")</f>
        <v>1</v>
      </c>
      <c r="AH244" s="111">
        <v>2</v>
      </c>
      <c r="AI244" s="112">
        <v>22.22222222222222</v>
      </c>
      <c r="AJ244" s="111">
        <v>0</v>
      </c>
      <c r="AK244" s="112">
        <v>0</v>
      </c>
      <c r="AL244" s="111">
        <v>0</v>
      </c>
      <c r="AM244" s="112">
        <v>0</v>
      </c>
      <c r="AN244" s="111">
        <v>7</v>
      </c>
      <c r="AO244" s="112">
        <v>77.77777777777777</v>
      </c>
      <c r="AP244" s="111">
        <v>9</v>
      </c>
    </row>
    <row r="245" spans="1:42" ht="15">
      <c r="A245" s="65" t="s">
        <v>287</v>
      </c>
      <c r="B245" s="65" t="s">
        <v>403</v>
      </c>
      <c r="C245" s="66" t="s">
        <v>5345</v>
      </c>
      <c r="D245" s="67">
        <v>3</v>
      </c>
      <c r="E245" s="68"/>
      <c r="F245" s="69">
        <v>40</v>
      </c>
      <c r="G245" s="66"/>
      <c r="H245" s="70"/>
      <c r="I245" s="71"/>
      <c r="J245" s="71"/>
      <c r="K245" s="35" t="s">
        <v>66</v>
      </c>
      <c r="L245" s="79">
        <v>245</v>
      </c>
      <c r="M245" s="79"/>
      <c r="N245" s="73"/>
      <c r="O245" s="81" t="s">
        <v>761</v>
      </c>
      <c r="P245" s="81" t="s">
        <v>763</v>
      </c>
      <c r="Q245" s="84" t="s">
        <v>990</v>
      </c>
      <c r="R245" s="81" t="s">
        <v>287</v>
      </c>
      <c r="S245" s="81" t="s">
        <v>1616</v>
      </c>
      <c r="T245" s="86" t="str">
        <f>HYPERLINK("http://www.youtube.com/channel/UCbUhO-tut97b5IQhZ3i7TMA")</f>
        <v>http://www.youtube.com/channel/UCbUhO-tut97b5IQhZ3i7TMA</v>
      </c>
      <c r="U245" s="81" t="s">
        <v>2143</v>
      </c>
      <c r="V245" s="81" t="s">
        <v>2311</v>
      </c>
      <c r="W245" s="86" t="str">
        <f>HYPERLINK("https://www.youtube.com/watch?v=DrCnSoZUXAc")</f>
        <v>https://www.youtube.com/watch?v=DrCnSoZUXAc</v>
      </c>
      <c r="X245" s="81" t="s">
        <v>2335</v>
      </c>
      <c r="Y245" s="81">
        <v>0</v>
      </c>
      <c r="Z245" s="81" t="s">
        <v>2410</v>
      </c>
      <c r="AA245" s="81" t="s">
        <v>2410</v>
      </c>
      <c r="AB245" s="81"/>
      <c r="AC245" s="81"/>
      <c r="AD245" s="84" t="s">
        <v>2782</v>
      </c>
      <c r="AE245" s="82">
        <v>1</v>
      </c>
      <c r="AF245" s="83" t="str">
        <f>REPLACE(INDEX(GroupVertices[Group],MATCH(Edges[[#This Row],[Vertex 1]],GroupVertices[Vertex],0)),1,1,"")</f>
        <v>1</v>
      </c>
      <c r="AG245" s="83" t="str">
        <f>REPLACE(INDEX(GroupVertices[Group],MATCH(Edges[[#This Row],[Vertex 2]],GroupVertices[Vertex],0)),1,1,"")</f>
        <v>1</v>
      </c>
      <c r="AH245" s="111">
        <v>0</v>
      </c>
      <c r="AI245" s="112">
        <v>0</v>
      </c>
      <c r="AJ245" s="111">
        <v>0</v>
      </c>
      <c r="AK245" s="112">
        <v>0</v>
      </c>
      <c r="AL245" s="111">
        <v>0</v>
      </c>
      <c r="AM245" s="112">
        <v>0</v>
      </c>
      <c r="AN245" s="111">
        <v>7</v>
      </c>
      <c r="AO245" s="112">
        <v>100</v>
      </c>
      <c r="AP245" s="111">
        <v>7</v>
      </c>
    </row>
    <row r="246" spans="1:42" ht="15">
      <c r="A246" s="65" t="s">
        <v>403</v>
      </c>
      <c r="B246" s="65" t="s">
        <v>287</v>
      </c>
      <c r="C246" s="66" t="s">
        <v>5345</v>
      </c>
      <c r="D246" s="67">
        <v>3</v>
      </c>
      <c r="E246" s="68"/>
      <c r="F246" s="69">
        <v>40</v>
      </c>
      <c r="G246" s="66"/>
      <c r="H246" s="70"/>
      <c r="I246" s="71"/>
      <c r="J246" s="71"/>
      <c r="K246" s="35" t="s">
        <v>66</v>
      </c>
      <c r="L246" s="79">
        <v>246</v>
      </c>
      <c r="M246" s="79"/>
      <c r="N246" s="73"/>
      <c r="O246" s="81" t="s">
        <v>760</v>
      </c>
      <c r="P246" s="81" t="s">
        <v>215</v>
      </c>
      <c r="Q246" s="84" t="s">
        <v>991</v>
      </c>
      <c r="R246" s="81" t="s">
        <v>403</v>
      </c>
      <c r="S246" s="81" t="s">
        <v>1732</v>
      </c>
      <c r="T246" s="86" t="str">
        <f>HYPERLINK("http://www.youtube.com/channel/UCQE1mw-rq5UI9dyIB6klLtg")</f>
        <v>http://www.youtube.com/channel/UCQE1mw-rq5UI9dyIB6klLtg</v>
      </c>
      <c r="U246" s="81"/>
      <c r="V246" s="81" t="s">
        <v>2311</v>
      </c>
      <c r="W246" s="86" t="str">
        <f>HYPERLINK("https://www.youtube.com/watch?v=DrCnSoZUXAc")</f>
        <v>https://www.youtube.com/watch?v=DrCnSoZUXAc</v>
      </c>
      <c r="X246" s="81" t="s">
        <v>2335</v>
      </c>
      <c r="Y246" s="81">
        <v>0</v>
      </c>
      <c r="Z246" s="88">
        <v>43440.01138888889</v>
      </c>
      <c r="AA246" s="88">
        <v>43440.01138888889</v>
      </c>
      <c r="AB246" s="81"/>
      <c r="AC246" s="81"/>
      <c r="AD246" s="84" t="s">
        <v>2782</v>
      </c>
      <c r="AE246" s="82">
        <v>1</v>
      </c>
      <c r="AF246" s="83" t="str">
        <f>REPLACE(INDEX(GroupVertices[Group],MATCH(Edges[[#This Row],[Vertex 1]],GroupVertices[Vertex],0)),1,1,"")</f>
        <v>1</v>
      </c>
      <c r="AG246" s="83" t="str">
        <f>REPLACE(INDEX(GroupVertices[Group],MATCH(Edges[[#This Row],[Vertex 2]],GroupVertices[Vertex],0)),1,1,"")</f>
        <v>1</v>
      </c>
      <c r="AH246" s="111">
        <v>0</v>
      </c>
      <c r="AI246" s="112">
        <v>0</v>
      </c>
      <c r="AJ246" s="111">
        <v>0</v>
      </c>
      <c r="AK246" s="112">
        <v>0</v>
      </c>
      <c r="AL246" s="111">
        <v>0</v>
      </c>
      <c r="AM246" s="112">
        <v>0</v>
      </c>
      <c r="AN246" s="111">
        <v>8</v>
      </c>
      <c r="AO246" s="112">
        <v>100</v>
      </c>
      <c r="AP246" s="111">
        <v>8</v>
      </c>
    </row>
    <row r="247" spans="1:42" ht="15">
      <c r="A247" s="65" t="s">
        <v>287</v>
      </c>
      <c r="B247" s="65" t="s">
        <v>404</v>
      </c>
      <c r="C247" s="66" t="s">
        <v>5345</v>
      </c>
      <c r="D247" s="67">
        <v>3</v>
      </c>
      <c r="E247" s="68"/>
      <c r="F247" s="69">
        <v>40</v>
      </c>
      <c r="G247" s="66"/>
      <c r="H247" s="70"/>
      <c r="I247" s="71"/>
      <c r="J247" s="71"/>
      <c r="K247" s="35" t="s">
        <v>66</v>
      </c>
      <c r="L247" s="79">
        <v>247</v>
      </c>
      <c r="M247" s="79"/>
      <c r="N247" s="73"/>
      <c r="O247" s="81" t="s">
        <v>761</v>
      </c>
      <c r="P247" s="81" t="s">
        <v>763</v>
      </c>
      <c r="Q247" s="84" t="s">
        <v>992</v>
      </c>
      <c r="R247" s="81" t="s">
        <v>287</v>
      </c>
      <c r="S247" s="81" t="s">
        <v>1616</v>
      </c>
      <c r="T247" s="86" t="str">
        <f>HYPERLINK("http://www.youtube.com/channel/UCbUhO-tut97b5IQhZ3i7TMA")</f>
        <v>http://www.youtube.com/channel/UCbUhO-tut97b5IQhZ3i7TMA</v>
      </c>
      <c r="U247" s="81" t="s">
        <v>2144</v>
      </c>
      <c r="V247" s="81" t="s">
        <v>2311</v>
      </c>
      <c r="W247" s="86" t="str">
        <f>HYPERLINK("https://www.youtube.com/watch?v=DrCnSoZUXAc")</f>
        <v>https://www.youtube.com/watch?v=DrCnSoZUXAc</v>
      </c>
      <c r="X247" s="81" t="s">
        <v>2335</v>
      </c>
      <c r="Y247" s="81">
        <v>0</v>
      </c>
      <c r="Z247" s="81" t="s">
        <v>2411</v>
      </c>
      <c r="AA247" s="81" t="s">
        <v>2411</v>
      </c>
      <c r="AB247" s="81"/>
      <c r="AC247" s="81"/>
      <c r="AD247" s="84" t="s">
        <v>2782</v>
      </c>
      <c r="AE247" s="82">
        <v>1</v>
      </c>
      <c r="AF247" s="83" t="str">
        <f>REPLACE(INDEX(GroupVertices[Group],MATCH(Edges[[#This Row],[Vertex 1]],GroupVertices[Vertex],0)),1,1,"")</f>
        <v>1</v>
      </c>
      <c r="AG247" s="83" t="str">
        <f>REPLACE(INDEX(GroupVertices[Group],MATCH(Edges[[#This Row],[Vertex 2]],GroupVertices[Vertex],0)),1,1,"")</f>
        <v>1</v>
      </c>
      <c r="AH247" s="111">
        <v>0</v>
      </c>
      <c r="AI247" s="112">
        <v>0</v>
      </c>
      <c r="AJ247" s="111">
        <v>0</v>
      </c>
      <c r="AK247" s="112">
        <v>0</v>
      </c>
      <c r="AL247" s="111">
        <v>0</v>
      </c>
      <c r="AM247" s="112">
        <v>0</v>
      </c>
      <c r="AN247" s="111">
        <v>7</v>
      </c>
      <c r="AO247" s="112">
        <v>100</v>
      </c>
      <c r="AP247" s="111">
        <v>7</v>
      </c>
    </row>
    <row r="248" spans="1:42" ht="15">
      <c r="A248" s="65" t="s">
        <v>404</v>
      </c>
      <c r="B248" s="65" t="s">
        <v>287</v>
      </c>
      <c r="C248" s="66" t="s">
        <v>5345</v>
      </c>
      <c r="D248" s="67">
        <v>3</v>
      </c>
      <c r="E248" s="68"/>
      <c r="F248" s="69">
        <v>40</v>
      </c>
      <c r="G248" s="66"/>
      <c r="H248" s="70"/>
      <c r="I248" s="71"/>
      <c r="J248" s="71"/>
      <c r="K248" s="35" t="s">
        <v>66</v>
      </c>
      <c r="L248" s="79">
        <v>248</v>
      </c>
      <c r="M248" s="79"/>
      <c r="N248" s="73"/>
      <c r="O248" s="81" t="s">
        <v>760</v>
      </c>
      <c r="P248" s="81" t="s">
        <v>215</v>
      </c>
      <c r="Q248" s="84" t="s">
        <v>993</v>
      </c>
      <c r="R248" s="81" t="s">
        <v>404</v>
      </c>
      <c r="S248" s="81" t="s">
        <v>1733</v>
      </c>
      <c r="T248" s="86" t="str">
        <f>HYPERLINK("http://www.youtube.com/channel/UC6KdutTO5KbpvRWwbYKg7Ag")</f>
        <v>http://www.youtube.com/channel/UC6KdutTO5KbpvRWwbYKg7Ag</v>
      </c>
      <c r="U248" s="81"/>
      <c r="V248" s="81" t="s">
        <v>2311</v>
      </c>
      <c r="W248" s="86" t="str">
        <f>HYPERLINK("https://www.youtube.com/watch?v=DrCnSoZUXAc")</f>
        <v>https://www.youtube.com/watch?v=DrCnSoZUXAc</v>
      </c>
      <c r="X248" s="81" t="s">
        <v>2335</v>
      </c>
      <c r="Y248" s="81">
        <v>1</v>
      </c>
      <c r="Z248" s="88">
        <v>43440.78634259259</v>
      </c>
      <c r="AA248" s="88">
        <v>43440.78634259259</v>
      </c>
      <c r="AB248" s="81"/>
      <c r="AC248" s="81"/>
      <c r="AD248" s="84" t="s">
        <v>2782</v>
      </c>
      <c r="AE248" s="82">
        <v>1</v>
      </c>
      <c r="AF248" s="83" t="str">
        <f>REPLACE(INDEX(GroupVertices[Group],MATCH(Edges[[#This Row],[Vertex 1]],GroupVertices[Vertex],0)),1,1,"")</f>
        <v>1</v>
      </c>
      <c r="AG248" s="83" t="str">
        <f>REPLACE(INDEX(GroupVertices[Group],MATCH(Edges[[#This Row],[Vertex 2]],GroupVertices[Vertex],0)),1,1,"")</f>
        <v>1</v>
      </c>
      <c r="AH248" s="111">
        <v>1</v>
      </c>
      <c r="AI248" s="112">
        <v>11.11111111111111</v>
      </c>
      <c r="AJ248" s="111">
        <v>0</v>
      </c>
      <c r="AK248" s="112">
        <v>0</v>
      </c>
      <c r="AL248" s="111">
        <v>0</v>
      </c>
      <c r="AM248" s="112">
        <v>0</v>
      </c>
      <c r="AN248" s="111">
        <v>8</v>
      </c>
      <c r="AO248" s="112">
        <v>88.88888888888889</v>
      </c>
      <c r="AP248" s="111">
        <v>9</v>
      </c>
    </row>
    <row r="249" spans="1:42" ht="15">
      <c r="A249" s="65" t="s">
        <v>287</v>
      </c>
      <c r="B249" s="65" t="s">
        <v>405</v>
      </c>
      <c r="C249" s="66" t="s">
        <v>5345</v>
      </c>
      <c r="D249" s="67">
        <v>3</v>
      </c>
      <c r="E249" s="68"/>
      <c r="F249" s="69">
        <v>40</v>
      </c>
      <c r="G249" s="66"/>
      <c r="H249" s="70"/>
      <c r="I249" s="71"/>
      <c r="J249" s="71"/>
      <c r="K249" s="35" t="s">
        <v>66</v>
      </c>
      <c r="L249" s="79">
        <v>249</v>
      </c>
      <c r="M249" s="79"/>
      <c r="N249" s="73"/>
      <c r="O249" s="81" t="s">
        <v>761</v>
      </c>
      <c r="P249" s="81" t="s">
        <v>763</v>
      </c>
      <c r="Q249" s="84" t="s">
        <v>994</v>
      </c>
      <c r="R249" s="81" t="s">
        <v>287</v>
      </c>
      <c r="S249" s="81" t="s">
        <v>1616</v>
      </c>
      <c r="T249" s="86" t="str">
        <f>HYPERLINK("http://www.youtube.com/channel/UCbUhO-tut97b5IQhZ3i7TMA")</f>
        <v>http://www.youtube.com/channel/UCbUhO-tut97b5IQhZ3i7TMA</v>
      </c>
      <c r="U249" s="81" t="s">
        <v>2145</v>
      </c>
      <c r="V249" s="81" t="s">
        <v>2311</v>
      </c>
      <c r="W249" s="86" t="str">
        <f>HYPERLINK("https://www.youtube.com/watch?v=DrCnSoZUXAc")</f>
        <v>https://www.youtube.com/watch?v=DrCnSoZUXAc</v>
      </c>
      <c r="X249" s="81" t="s">
        <v>2335</v>
      </c>
      <c r="Y249" s="81">
        <v>0</v>
      </c>
      <c r="Z249" s="81" t="s">
        <v>2412</v>
      </c>
      <c r="AA249" s="81" t="s">
        <v>2412</v>
      </c>
      <c r="AB249" s="81"/>
      <c r="AC249" s="81"/>
      <c r="AD249" s="84" t="s">
        <v>2782</v>
      </c>
      <c r="AE249" s="82">
        <v>1</v>
      </c>
      <c r="AF249" s="83" t="str">
        <f>REPLACE(INDEX(GroupVertices[Group],MATCH(Edges[[#This Row],[Vertex 1]],GroupVertices[Vertex],0)),1,1,"")</f>
        <v>1</v>
      </c>
      <c r="AG249" s="83" t="str">
        <f>REPLACE(INDEX(GroupVertices[Group],MATCH(Edges[[#This Row],[Vertex 2]],GroupVertices[Vertex],0)),1,1,"")</f>
        <v>1</v>
      </c>
      <c r="AH249" s="111">
        <v>1</v>
      </c>
      <c r="AI249" s="112">
        <v>8.333333333333334</v>
      </c>
      <c r="AJ249" s="111">
        <v>0</v>
      </c>
      <c r="AK249" s="112">
        <v>0</v>
      </c>
      <c r="AL249" s="111">
        <v>0</v>
      </c>
      <c r="AM249" s="112">
        <v>0</v>
      </c>
      <c r="AN249" s="111">
        <v>11</v>
      </c>
      <c r="AO249" s="112">
        <v>91.66666666666667</v>
      </c>
      <c r="AP249" s="111">
        <v>12</v>
      </c>
    </row>
    <row r="250" spans="1:42" ht="15">
      <c r="A250" s="65" t="s">
        <v>405</v>
      </c>
      <c r="B250" s="65" t="s">
        <v>287</v>
      </c>
      <c r="C250" s="66" t="s">
        <v>5345</v>
      </c>
      <c r="D250" s="67">
        <v>3</v>
      </c>
      <c r="E250" s="68"/>
      <c r="F250" s="69">
        <v>40</v>
      </c>
      <c r="G250" s="66"/>
      <c r="H250" s="70"/>
      <c r="I250" s="71"/>
      <c r="J250" s="71"/>
      <c r="K250" s="35" t="s">
        <v>66</v>
      </c>
      <c r="L250" s="79">
        <v>250</v>
      </c>
      <c r="M250" s="79"/>
      <c r="N250" s="73"/>
      <c r="O250" s="81" t="s">
        <v>760</v>
      </c>
      <c r="P250" s="81" t="s">
        <v>215</v>
      </c>
      <c r="Q250" s="84" t="s">
        <v>995</v>
      </c>
      <c r="R250" s="81" t="s">
        <v>405</v>
      </c>
      <c r="S250" s="81" t="s">
        <v>1734</v>
      </c>
      <c r="T250" s="86" t="str">
        <f>HYPERLINK("http://www.youtube.com/channel/UCYjfdF0L_mjxIK_zIQdurhA")</f>
        <v>http://www.youtube.com/channel/UCYjfdF0L_mjxIK_zIQdurhA</v>
      </c>
      <c r="U250" s="81"/>
      <c r="V250" s="81" t="s">
        <v>2311</v>
      </c>
      <c r="W250" s="86" t="str">
        <f>HYPERLINK("https://www.youtube.com/watch?v=DrCnSoZUXAc")</f>
        <v>https://www.youtube.com/watch?v=DrCnSoZUXAc</v>
      </c>
      <c r="X250" s="81" t="s">
        <v>2335</v>
      </c>
      <c r="Y250" s="81">
        <v>0</v>
      </c>
      <c r="Z250" s="81" t="s">
        <v>2413</v>
      </c>
      <c r="AA250" s="81" t="s">
        <v>2413</v>
      </c>
      <c r="AB250" s="81"/>
      <c r="AC250" s="81"/>
      <c r="AD250" s="84" t="s">
        <v>2782</v>
      </c>
      <c r="AE250" s="82">
        <v>1</v>
      </c>
      <c r="AF250" s="83" t="str">
        <f>REPLACE(INDEX(GroupVertices[Group],MATCH(Edges[[#This Row],[Vertex 1]],GroupVertices[Vertex],0)),1,1,"")</f>
        <v>1</v>
      </c>
      <c r="AG250" s="83" t="str">
        <f>REPLACE(INDEX(GroupVertices[Group],MATCH(Edges[[#This Row],[Vertex 2]],GroupVertices[Vertex],0)),1,1,"")</f>
        <v>1</v>
      </c>
      <c r="AH250" s="111">
        <v>1</v>
      </c>
      <c r="AI250" s="112">
        <v>25</v>
      </c>
      <c r="AJ250" s="111">
        <v>0</v>
      </c>
      <c r="AK250" s="112">
        <v>0</v>
      </c>
      <c r="AL250" s="111">
        <v>0</v>
      </c>
      <c r="AM250" s="112">
        <v>0</v>
      </c>
      <c r="AN250" s="111">
        <v>3</v>
      </c>
      <c r="AO250" s="112">
        <v>75</v>
      </c>
      <c r="AP250" s="111">
        <v>4</v>
      </c>
    </row>
    <row r="251" spans="1:42" ht="15">
      <c r="A251" s="65" t="s">
        <v>287</v>
      </c>
      <c r="B251" s="65" t="s">
        <v>406</v>
      </c>
      <c r="C251" s="66" t="s">
        <v>5345</v>
      </c>
      <c r="D251" s="67">
        <v>3</v>
      </c>
      <c r="E251" s="68"/>
      <c r="F251" s="69">
        <v>40</v>
      </c>
      <c r="G251" s="66"/>
      <c r="H251" s="70"/>
      <c r="I251" s="71"/>
      <c r="J251" s="71"/>
      <c r="K251" s="35" t="s">
        <v>66</v>
      </c>
      <c r="L251" s="79">
        <v>251</v>
      </c>
      <c r="M251" s="79"/>
      <c r="N251" s="73"/>
      <c r="O251" s="81" t="s">
        <v>761</v>
      </c>
      <c r="P251" s="81" t="s">
        <v>763</v>
      </c>
      <c r="Q251" s="84" t="s">
        <v>996</v>
      </c>
      <c r="R251" s="81" t="s">
        <v>287</v>
      </c>
      <c r="S251" s="81" t="s">
        <v>1616</v>
      </c>
      <c r="T251" s="86" t="str">
        <f>HYPERLINK("http://www.youtube.com/channel/UCbUhO-tut97b5IQhZ3i7TMA")</f>
        <v>http://www.youtube.com/channel/UCbUhO-tut97b5IQhZ3i7TMA</v>
      </c>
      <c r="U251" s="81" t="s">
        <v>2146</v>
      </c>
      <c r="V251" s="81" t="s">
        <v>2311</v>
      </c>
      <c r="W251" s="86" t="str">
        <f>HYPERLINK("https://www.youtube.com/watch?v=DrCnSoZUXAc")</f>
        <v>https://www.youtube.com/watch?v=DrCnSoZUXAc</v>
      </c>
      <c r="X251" s="81" t="s">
        <v>2335</v>
      </c>
      <c r="Y251" s="81">
        <v>0</v>
      </c>
      <c r="Z251" s="81" t="s">
        <v>2414</v>
      </c>
      <c r="AA251" s="81" t="s">
        <v>2414</v>
      </c>
      <c r="AB251" s="81"/>
      <c r="AC251" s="81"/>
      <c r="AD251" s="84" t="s">
        <v>2782</v>
      </c>
      <c r="AE251" s="82">
        <v>1</v>
      </c>
      <c r="AF251" s="83" t="str">
        <f>REPLACE(INDEX(GroupVertices[Group],MATCH(Edges[[#This Row],[Vertex 1]],GroupVertices[Vertex],0)),1,1,"")</f>
        <v>1</v>
      </c>
      <c r="AG251" s="83" t="str">
        <f>REPLACE(INDEX(GroupVertices[Group],MATCH(Edges[[#This Row],[Vertex 2]],GroupVertices[Vertex],0)),1,1,"")</f>
        <v>1</v>
      </c>
      <c r="AH251" s="111">
        <v>1</v>
      </c>
      <c r="AI251" s="112">
        <v>11.11111111111111</v>
      </c>
      <c r="AJ251" s="111">
        <v>0</v>
      </c>
      <c r="AK251" s="112">
        <v>0</v>
      </c>
      <c r="AL251" s="111">
        <v>0</v>
      </c>
      <c r="AM251" s="112">
        <v>0</v>
      </c>
      <c r="AN251" s="111">
        <v>8</v>
      </c>
      <c r="AO251" s="112">
        <v>88.88888888888889</v>
      </c>
      <c r="AP251" s="111">
        <v>9</v>
      </c>
    </row>
    <row r="252" spans="1:42" ht="15">
      <c r="A252" s="65" t="s">
        <v>406</v>
      </c>
      <c r="B252" s="65" t="s">
        <v>287</v>
      </c>
      <c r="C252" s="66" t="s">
        <v>5345</v>
      </c>
      <c r="D252" s="67">
        <v>3</v>
      </c>
      <c r="E252" s="68"/>
      <c r="F252" s="69">
        <v>40</v>
      </c>
      <c r="G252" s="66"/>
      <c r="H252" s="70"/>
      <c r="I252" s="71"/>
      <c r="J252" s="71"/>
      <c r="K252" s="35" t="s">
        <v>66</v>
      </c>
      <c r="L252" s="79">
        <v>252</v>
      </c>
      <c r="M252" s="79"/>
      <c r="N252" s="73"/>
      <c r="O252" s="81" t="s">
        <v>760</v>
      </c>
      <c r="P252" s="81" t="s">
        <v>215</v>
      </c>
      <c r="Q252" s="84" t="s">
        <v>997</v>
      </c>
      <c r="R252" s="81" t="s">
        <v>406</v>
      </c>
      <c r="S252" s="81" t="s">
        <v>1735</v>
      </c>
      <c r="T252" s="86" t="str">
        <f>HYPERLINK("http://www.youtube.com/channel/UCuBQNGcpjZ71xJP-0E5Sx0g")</f>
        <v>http://www.youtube.com/channel/UCuBQNGcpjZ71xJP-0E5Sx0g</v>
      </c>
      <c r="U252" s="81"/>
      <c r="V252" s="81" t="s">
        <v>2311</v>
      </c>
      <c r="W252" s="86" t="str">
        <f>HYPERLINK("https://www.youtube.com/watch?v=DrCnSoZUXAc")</f>
        <v>https://www.youtube.com/watch?v=DrCnSoZUXAc</v>
      </c>
      <c r="X252" s="81" t="s">
        <v>2335</v>
      </c>
      <c r="Y252" s="81">
        <v>0</v>
      </c>
      <c r="Z252" s="81" t="s">
        <v>2415</v>
      </c>
      <c r="AA252" s="81" t="s">
        <v>2415</v>
      </c>
      <c r="AB252" s="81"/>
      <c r="AC252" s="81"/>
      <c r="AD252" s="84" t="s">
        <v>2782</v>
      </c>
      <c r="AE252" s="82">
        <v>1</v>
      </c>
      <c r="AF252" s="83" t="str">
        <f>REPLACE(INDEX(GroupVertices[Group],MATCH(Edges[[#This Row],[Vertex 1]],GroupVertices[Vertex],0)),1,1,"")</f>
        <v>1</v>
      </c>
      <c r="AG252" s="83" t="str">
        <f>REPLACE(INDEX(GroupVertices[Group],MATCH(Edges[[#This Row],[Vertex 2]],GroupVertices[Vertex],0)),1,1,"")</f>
        <v>1</v>
      </c>
      <c r="AH252" s="111">
        <v>2</v>
      </c>
      <c r="AI252" s="112">
        <v>33.333333333333336</v>
      </c>
      <c r="AJ252" s="111">
        <v>0</v>
      </c>
      <c r="AK252" s="112">
        <v>0</v>
      </c>
      <c r="AL252" s="111">
        <v>0</v>
      </c>
      <c r="AM252" s="112">
        <v>0</v>
      </c>
      <c r="AN252" s="111">
        <v>4</v>
      </c>
      <c r="AO252" s="112">
        <v>66.66666666666667</v>
      </c>
      <c r="AP252" s="111">
        <v>6</v>
      </c>
    </row>
    <row r="253" spans="1:42" ht="15">
      <c r="A253" s="65" t="s">
        <v>407</v>
      </c>
      <c r="B253" s="65" t="s">
        <v>287</v>
      </c>
      <c r="C253" s="66" t="s">
        <v>5345</v>
      </c>
      <c r="D253" s="67">
        <v>3</v>
      </c>
      <c r="E253" s="68"/>
      <c r="F253" s="69">
        <v>40</v>
      </c>
      <c r="G253" s="66"/>
      <c r="H253" s="70"/>
      <c r="I253" s="71"/>
      <c r="J253" s="71"/>
      <c r="K253" s="35" t="s">
        <v>65</v>
      </c>
      <c r="L253" s="79">
        <v>253</v>
      </c>
      <c r="M253" s="79"/>
      <c r="N253" s="73"/>
      <c r="O253" s="81" t="s">
        <v>760</v>
      </c>
      <c r="P253" s="81" t="s">
        <v>215</v>
      </c>
      <c r="Q253" s="84" t="s">
        <v>998</v>
      </c>
      <c r="R253" s="81" t="s">
        <v>407</v>
      </c>
      <c r="S253" s="81" t="s">
        <v>1736</v>
      </c>
      <c r="T253" s="86" t="str">
        <f>HYPERLINK("http://www.youtube.com/channel/UCXEkJLv-N3HPqDf7IRuD2Bw")</f>
        <v>http://www.youtube.com/channel/UCXEkJLv-N3HPqDf7IRuD2Bw</v>
      </c>
      <c r="U253" s="81"/>
      <c r="V253" s="81" t="s">
        <v>2311</v>
      </c>
      <c r="W253" s="86" t="str">
        <f>HYPERLINK("https://www.youtube.com/watch?v=DrCnSoZUXAc")</f>
        <v>https://www.youtube.com/watch?v=DrCnSoZUXAc</v>
      </c>
      <c r="X253" s="81" t="s">
        <v>2335</v>
      </c>
      <c r="Y253" s="81">
        <v>2</v>
      </c>
      <c r="Z253" s="81" t="s">
        <v>2416</v>
      </c>
      <c r="AA253" s="81" t="s">
        <v>2416</v>
      </c>
      <c r="AB253" s="81"/>
      <c r="AC253" s="81"/>
      <c r="AD253" s="84" t="s">
        <v>2782</v>
      </c>
      <c r="AE253" s="82">
        <v>1</v>
      </c>
      <c r="AF253" s="83" t="str">
        <f>REPLACE(INDEX(GroupVertices[Group],MATCH(Edges[[#This Row],[Vertex 1]],GroupVertices[Vertex],0)),1,1,"")</f>
        <v>1</v>
      </c>
      <c r="AG253" s="83" t="str">
        <f>REPLACE(INDEX(GroupVertices[Group],MATCH(Edges[[#This Row],[Vertex 2]],GroupVertices[Vertex],0)),1,1,"")</f>
        <v>1</v>
      </c>
      <c r="AH253" s="111">
        <v>5</v>
      </c>
      <c r="AI253" s="112">
        <v>11.904761904761905</v>
      </c>
      <c r="AJ253" s="111">
        <v>0</v>
      </c>
      <c r="AK253" s="112">
        <v>0</v>
      </c>
      <c r="AL253" s="111">
        <v>0</v>
      </c>
      <c r="AM253" s="112">
        <v>0</v>
      </c>
      <c r="AN253" s="111">
        <v>37</v>
      </c>
      <c r="AO253" s="112">
        <v>88.0952380952381</v>
      </c>
      <c r="AP253" s="111">
        <v>42</v>
      </c>
    </row>
    <row r="254" spans="1:42" ht="15">
      <c r="A254" s="65" t="s">
        <v>287</v>
      </c>
      <c r="B254" s="65" t="s">
        <v>408</v>
      </c>
      <c r="C254" s="66" t="s">
        <v>5345</v>
      </c>
      <c r="D254" s="67">
        <v>3</v>
      </c>
      <c r="E254" s="68"/>
      <c r="F254" s="69">
        <v>40</v>
      </c>
      <c r="G254" s="66"/>
      <c r="H254" s="70"/>
      <c r="I254" s="71"/>
      <c r="J254" s="71"/>
      <c r="K254" s="35" t="s">
        <v>66</v>
      </c>
      <c r="L254" s="79">
        <v>254</v>
      </c>
      <c r="M254" s="79"/>
      <c r="N254" s="73"/>
      <c r="O254" s="81" t="s">
        <v>761</v>
      </c>
      <c r="P254" s="81" t="s">
        <v>763</v>
      </c>
      <c r="Q254" s="84" t="s">
        <v>999</v>
      </c>
      <c r="R254" s="81" t="s">
        <v>287</v>
      </c>
      <c r="S254" s="81" t="s">
        <v>1616</v>
      </c>
      <c r="T254" s="86" t="str">
        <f>HYPERLINK("http://www.youtube.com/channel/UCbUhO-tut97b5IQhZ3i7TMA")</f>
        <v>http://www.youtube.com/channel/UCbUhO-tut97b5IQhZ3i7TMA</v>
      </c>
      <c r="U254" s="81" t="s">
        <v>2147</v>
      </c>
      <c r="V254" s="81" t="s">
        <v>2311</v>
      </c>
      <c r="W254" s="86" t="str">
        <f>HYPERLINK("https://www.youtube.com/watch?v=DrCnSoZUXAc")</f>
        <v>https://www.youtube.com/watch?v=DrCnSoZUXAc</v>
      </c>
      <c r="X254" s="81" t="s">
        <v>2335</v>
      </c>
      <c r="Y254" s="81">
        <v>1</v>
      </c>
      <c r="Z254" s="81" t="s">
        <v>2417</v>
      </c>
      <c r="AA254" s="81" t="s">
        <v>2417</v>
      </c>
      <c r="AB254" s="81"/>
      <c r="AC254" s="81"/>
      <c r="AD254" s="84" t="s">
        <v>2782</v>
      </c>
      <c r="AE254" s="82">
        <v>1</v>
      </c>
      <c r="AF254" s="83" t="str">
        <f>REPLACE(INDEX(GroupVertices[Group],MATCH(Edges[[#This Row],[Vertex 1]],GroupVertices[Vertex],0)),1,1,"")</f>
        <v>1</v>
      </c>
      <c r="AG254" s="83" t="str">
        <f>REPLACE(INDEX(GroupVertices[Group],MATCH(Edges[[#This Row],[Vertex 2]],GroupVertices[Vertex],0)),1,1,"")</f>
        <v>1</v>
      </c>
      <c r="AH254" s="111">
        <v>1</v>
      </c>
      <c r="AI254" s="112">
        <v>12.5</v>
      </c>
      <c r="AJ254" s="111">
        <v>0</v>
      </c>
      <c r="AK254" s="112">
        <v>0</v>
      </c>
      <c r="AL254" s="111">
        <v>0</v>
      </c>
      <c r="AM254" s="112">
        <v>0</v>
      </c>
      <c r="AN254" s="111">
        <v>7</v>
      </c>
      <c r="AO254" s="112">
        <v>87.5</v>
      </c>
      <c r="AP254" s="111">
        <v>8</v>
      </c>
    </row>
    <row r="255" spans="1:42" ht="15">
      <c r="A255" s="65" t="s">
        <v>408</v>
      </c>
      <c r="B255" s="65" t="s">
        <v>287</v>
      </c>
      <c r="C255" s="66" t="s">
        <v>5345</v>
      </c>
      <c r="D255" s="67">
        <v>3</v>
      </c>
      <c r="E255" s="68"/>
      <c r="F255" s="69">
        <v>40</v>
      </c>
      <c r="G255" s="66"/>
      <c r="H255" s="70"/>
      <c r="I255" s="71"/>
      <c r="J255" s="71"/>
      <c r="K255" s="35" t="s">
        <v>66</v>
      </c>
      <c r="L255" s="79">
        <v>255</v>
      </c>
      <c r="M255" s="79"/>
      <c r="N255" s="73"/>
      <c r="O255" s="81" t="s">
        <v>760</v>
      </c>
      <c r="P255" s="81" t="s">
        <v>215</v>
      </c>
      <c r="Q255" s="84" t="s">
        <v>1000</v>
      </c>
      <c r="R255" s="81" t="s">
        <v>408</v>
      </c>
      <c r="S255" s="81" t="s">
        <v>1737</v>
      </c>
      <c r="T255" s="86" t="str">
        <f>HYPERLINK("http://www.youtube.com/channel/UC6_Uo8QjKzEpLF_JYX_vtQA")</f>
        <v>http://www.youtube.com/channel/UC6_Uo8QjKzEpLF_JYX_vtQA</v>
      </c>
      <c r="U255" s="81"/>
      <c r="V255" s="81" t="s">
        <v>2311</v>
      </c>
      <c r="W255" s="86" t="str">
        <f>HYPERLINK("https://www.youtube.com/watch?v=DrCnSoZUXAc")</f>
        <v>https://www.youtube.com/watch?v=DrCnSoZUXAc</v>
      </c>
      <c r="X255" s="81" t="s">
        <v>2335</v>
      </c>
      <c r="Y255" s="81">
        <v>0</v>
      </c>
      <c r="Z255" s="81" t="s">
        <v>2418</v>
      </c>
      <c r="AA255" s="81" t="s">
        <v>2418</v>
      </c>
      <c r="AB255" s="81"/>
      <c r="AC255" s="81"/>
      <c r="AD255" s="84" t="s">
        <v>2782</v>
      </c>
      <c r="AE255" s="82">
        <v>1</v>
      </c>
      <c r="AF255" s="83" t="str">
        <f>REPLACE(INDEX(GroupVertices[Group],MATCH(Edges[[#This Row],[Vertex 1]],GroupVertices[Vertex],0)),1,1,"")</f>
        <v>1</v>
      </c>
      <c r="AG255" s="83" t="str">
        <f>REPLACE(INDEX(GroupVertices[Group],MATCH(Edges[[#This Row],[Vertex 2]],GroupVertices[Vertex],0)),1,1,"")</f>
        <v>1</v>
      </c>
      <c r="AH255" s="111">
        <v>0</v>
      </c>
      <c r="AI255" s="112">
        <v>0</v>
      </c>
      <c r="AJ255" s="111">
        <v>0</v>
      </c>
      <c r="AK255" s="112">
        <v>0</v>
      </c>
      <c r="AL255" s="111">
        <v>0</v>
      </c>
      <c r="AM255" s="112">
        <v>0</v>
      </c>
      <c r="AN255" s="111">
        <v>9</v>
      </c>
      <c r="AO255" s="112">
        <v>100</v>
      </c>
      <c r="AP255" s="111">
        <v>9</v>
      </c>
    </row>
    <row r="256" spans="1:42" ht="15">
      <c r="A256" s="65" t="s">
        <v>409</v>
      </c>
      <c r="B256" s="65" t="s">
        <v>287</v>
      </c>
      <c r="C256" s="66" t="s">
        <v>5345</v>
      </c>
      <c r="D256" s="67">
        <v>3</v>
      </c>
      <c r="E256" s="68"/>
      <c r="F256" s="69">
        <v>40</v>
      </c>
      <c r="G256" s="66"/>
      <c r="H256" s="70"/>
      <c r="I256" s="71"/>
      <c r="J256" s="71"/>
      <c r="K256" s="35" t="s">
        <v>65</v>
      </c>
      <c r="L256" s="79">
        <v>256</v>
      </c>
      <c r="M256" s="79"/>
      <c r="N256" s="73"/>
      <c r="O256" s="81" t="s">
        <v>760</v>
      </c>
      <c r="P256" s="81" t="s">
        <v>215</v>
      </c>
      <c r="Q256" s="84" t="s">
        <v>1001</v>
      </c>
      <c r="R256" s="81" t="s">
        <v>409</v>
      </c>
      <c r="S256" s="81" t="s">
        <v>1738</v>
      </c>
      <c r="T256" s="86" t="str">
        <f>HYPERLINK("http://www.youtube.com/channel/UC_jZHGrm8gs-ZyUKcEG4o-w")</f>
        <v>http://www.youtube.com/channel/UC_jZHGrm8gs-ZyUKcEG4o-w</v>
      </c>
      <c r="U256" s="81"/>
      <c r="V256" s="81" t="s">
        <v>2311</v>
      </c>
      <c r="W256" s="86" t="str">
        <f>HYPERLINK("https://www.youtube.com/watch?v=DrCnSoZUXAc")</f>
        <v>https://www.youtube.com/watch?v=DrCnSoZUXAc</v>
      </c>
      <c r="X256" s="81" t="s">
        <v>2335</v>
      </c>
      <c r="Y256" s="81">
        <v>0</v>
      </c>
      <c r="Z256" s="81" t="s">
        <v>2419</v>
      </c>
      <c r="AA256" s="81" t="s">
        <v>2419</v>
      </c>
      <c r="AB256" s="81"/>
      <c r="AC256" s="81"/>
      <c r="AD256" s="84" t="s">
        <v>2782</v>
      </c>
      <c r="AE256" s="82">
        <v>1</v>
      </c>
      <c r="AF256" s="83" t="str">
        <f>REPLACE(INDEX(GroupVertices[Group],MATCH(Edges[[#This Row],[Vertex 1]],GroupVertices[Vertex],0)),1,1,"")</f>
        <v>1</v>
      </c>
      <c r="AG256" s="83" t="str">
        <f>REPLACE(INDEX(GroupVertices[Group],MATCH(Edges[[#This Row],[Vertex 2]],GroupVertices[Vertex],0)),1,1,"")</f>
        <v>1</v>
      </c>
      <c r="AH256" s="111">
        <v>5</v>
      </c>
      <c r="AI256" s="112">
        <v>17.24137931034483</v>
      </c>
      <c r="AJ256" s="111">
        <v>1</v>
      </c>
      <c r="AK256" s="112">
        <v>3.4482758620689653</v>
      </c>
      <c r="AL256" s="111">
        <v>0</v>
      </c>
      <c r="AM256" s="112">
        <v>0</v>
      </c>
      <c r="AN256" s="111">
        <v>23</v>
      </c>
      <c r="AO256" s="112">
        <v>79.3103448275862</v>
      </c>
      <c r="AP256" s="111">
        <v>29</v>
      </c>
    </row>
    <row r="257" spans="1:42" ht="15">
      <c r="A257" s="65" t="s">
        <v>287</v>
      </c>
      <c r="B257" s="65" t="s">
        <v>410</v>
      </c>
      <c r="C257" s="66" t="s">
        <v>5345</v>
      </c>
      <c r="D257" s="67">
        <v>3</v>
      </c>
      <c r="E257" s="68"/>
      <c r="F257" s="69">
        <v>40</v>
      </c>
      <c r="G257" s="66"/>
      <c r="H257" s="70"/>
      <c r="I257" s="71"/>
      <c r="J257" s="71"/>
      <c r="K257" s="35" t="s">
        <v>66</v>
      </c>
      <c r="L257" s="79">
        <v>257</v>
      </c>
      <c r="M257" s="79"/>
      <c r="N257" s="73"/>
      <c r="O257" s="81" t="s">
        <v>761</v>
      </c>
      <c r="P257" s="81" t="s">
        <v>763</v>
      </c>
      <c r="Q257" s="84" t="s">
        <v>1002</v>
      </c>
      <c r="R257" s="81" t="s">
        <v>287</v>
      </c>
      <c r="S257" s="81" t="s">
        <v>1616</v>
      </c>
      <c r="T257" s="86" t="str">
        <f>HYPERLINK("http://www.youtube.com/channel/UCbUhO-tut97b5IQhZ3i7TMA")</f>
        <v>http://www.youtube.com/channel/UCbUhO-tut97b5IQhZ3i7TMA</v>
      </c>
      <c r="U257" s="81" t="s">
        <v>2148</v>
      </c>
      <c r="V257" s="81" t="s">
        <v>2311</v>
      </c>
      <c r="W257" s="86" t="str">
        <f>HYPERLINK("https://www.youtube.com/watch?v=DrCnSoZUXAc")</f>
        <v>https://www.youtube.com/watch?v=DrCnSoZUXAc</v>
      </c>
      <c r="X257" s="81" t="s">
        <v>2335</v>
      </c>
      <c r="Y257" s="81">
        <v>1</v>
      </c>
      <c r="Z257" s="81" t="s">
        <v>2420</v>
      </c>
      <c r="AA257" s="81" t="s">
        <v>2420</v>
      </c>
      <c r="AB257" s="81"/>
      <c r="AC257" s="81"/>
      <c r="AD257" s="84" t="s">
        <v>2782</v>
      </c>
      <c r="AE257" s="82">
        <v>1</v>
      </c>
      <c r="AF257" s="83" t="str">
        <f>REPLACE(INDEX(GroupVertices[Group],MATCH(Edges[[#This Row],[Vertex 1]],GroupVertices[Vertex],0)),1,1,"")</f>
        <v>1</v>
      </c>
      <c r="AG257" s="83" t="str">
        <f>REPLACE(INDEX(GroupVertices[Group],MATCH(Edges[[#This Row],[Vertex 2]],GroupVertices[Vertex],0)),1,1,"")</f>
        <v>1</v>
      </c>
      <c r="AH257" s="111">
        <v>1</v>
      </c>
      <c r="AI257" s="112">
        <v>11.11111111111111</v>
      </c>
      <c r="AJ257" s="111">
        <v>0</v>
      </c>
      <c r="AK257" s="112">
        <v>0</v>
      </c>
      <c r="AL257" s="111">
        <v>0</v>
      </c>
      <c r="AM257" s="112">
        <v>0</v>
      </c>
      <c r="AN257" s="111">
        <v>8</v>
      </c>
      <c r="AO257" s="112">
        <v>88.88888888888889</v>
      </c>
      <c r="AP257" s="111">
        <v>9</v>
      </c>
    </row>
    <row r="258" spans="1:42" ht="15">
      <c r="A258" s="65" t="s">
        <v>410</v>
      </c>
      <c r="B258" s="65" t="s">
        <v>287</v>
      </c>
      <c r="C258" s="66" t="s">
        <v>5345</v>
      </c>
      <c r="D258" s="67">
        <v>3</v>
      </c>
      <c r="E258" s="68"/>
      <c r="F258" s="69">
        <v>40</v>
      </c>
      <c r="G258" s="66"/>
      <c r="H258" s="70"/>
      <c r="I258" s="71"/>
      <c r="J258" s="71"/>
      <c r="K258" s="35" t="s">
        <v>66</v>
      </c>
      <c r="L258" s="79">
        <v>258</v>
      </c>
      <c r="M258" s="79"/>
      <c r="N258" s="73"/>
      <c r="O258" s="81" t="s">
        <v>760</v>
      </c>
      <c r="P258" s="81" t="s">
        <v>215</v>
      </c>
      <c r="Q258" s="84" t="s">
        <v>1003</v>
      </c>
      <c r="R258" s="81" t="s">
        <v>410</v>
      </c>
      <c r="S258" s="81" t="s">
        <v>1739</v>
      </c>
      <c r="T258" s="86" t="str">
        <f>HYPERLINK("http://www.youtube.com/channel/UCeYgGyfOAbHNFRlWAvI6SWg")</f>
        <v>http://www.youtube.com/channel/UCeYgGyfOAbHNFRlWAvI6SWg</v>
      </c>
      <c r="U258" s="81"/>
      <c r="V258" s="81" t="s">
        <v>2311</v>
      </c>
      <c r="W258" s="86" t="str">
        <f>HYPERLINK("https://www.youtube.com/watch?v=DrCnSoZUXAc")</f>
        <v>https://www.youtube.com/watch?v=DrCnSoZUXAc</v>
      </c>
      <c r="X258" s="81" t="s">
        <v>2335</v>
      </c>
      <c r="Y258" s="81">
        <v>0</v>
      </c>
      <c r="Z258" s="81" t="s">
        <v>2421</v>
      </c>
      <c r="AA258" s="81" t="s">
        <v>2421</v>
      </c>
      <c r="AB258" s="81"/>
      <c r="AC258" s="81"/>
      <c r="AD258" s="84" t="s">
        <v>2782</v>
      </c>
      <c r="AE258" s="82">
        <v>1</v>
      </c>
      <c r="AF258" s="83" t="str">
        <f>REPLACE(INDEX(GroupVertices[Group],MATCH(Edges[[#This Row],[Vertex 1]],GroupVertices[Vertex],0)),1,1,"")</f>
        <v>1</v>
      </c>
      <c r="AG258" s="83" t="str">
        <f>REPLACE(INDEX(GroupVertices[Group],MATCH(Edges[[#This Row],[Vertex 2]],GroupVertices[Vertex],0)),1,1,"")</f>
        <v>1</v>
      </c>
      <c r="AH258" s="111">
        <v>1</v>
      </c>
      <c r="AI258" s="112">
        <v>3.7037037037037037</v>
      </c>
      <c r="AJ258" s="111">
        <v>0</v>
      </c>
      <c r="AK258" s="112">
        <v>0</v>
      </c>
      <c r="AL258" s="111">
        <v>0</v>
      </c>
      <c r="AM258" s="112">
        <v>0</v>
      </c>
      <c r="AN258" s="111">
        <v>26</v>
      </c>
      <c r="AO258" s="112">
        <v>96.29629629629629</v>
      </c>
      <c r="AP258" s="111">
        <v>27</v>
      </c>
    </row>
    <row r="259" spans="1:42" ht="15">
      <c r="A259" s="65" t="s">
        <v>411</v>
      </c>
      <c r="B259" s="65" t="s">
        <v>287</v>
      </c>
      <c r="C259" s="66" t="s">
        <v>5346</v>
      </c>
      <c r="D259" s="67">
        <v>10</v>
      </c>
      <c r="E259" s="68"/>
      <c r="F259" s="69">
        <v>15</v>
      </c>
      <c r="G259" s="66"/>
      <c r="H259" s="70"/>
      <c r="I259" s="71"/>
      <c r="J259" s="71"/>
      <c r="K259" s="35" t="s">
        <v>65</v>
      </c>
      <c r="L259" s="79">
        <v>259</v>
      </c>
      <c r="M259" s="79"/>
      <c r="N259" s="73"/>
      <c r="O259" s="81" t="s">
        <v>760</v>
      </c>
      <c r="P259" s="81" t="s">
        <v>215</v>
      </c>
      <c r="Q259" s="84" t="s">
        <v>1004</v>
      </c>
      <c r="R259" s="81" t="s">
        <v>411</v>
      </c>
      <c r="S259" s="81" t="s">
        <v>1740</v>
      </c>
      <c r="T259" s="86" t="str">
        <f>HYPERLINK("http://www.youtube.com/channel/UC3hqX3Q46tFKo5aQX3JhBDw")</f>
        <v>http://www.youtube.com/channel/UC3hqX3Q46tFKo5aQX3JhBDw</v>
      </c>
      <c r="U259" s="81"/>
      <c r="V259" s="81" t="s">
        <v>2311</v>
      </c>
      <c r="W259" s="86" t="str">
        <f>HYPERLINK("https://www.youtube.com/watch?v=DrCnSoZUXAc")</f>
        <v>https://www.youtube.com/watch?v=DrCnSoZUXAc</v>
      </c>
      <c r="X259" s="81" t="s">
        <v>2335</v>
      </c>
      <c r="Y259" s="81">
        <v>0</v>
      </c>
      <c r="Z259" s="88">
        <v>43229.95460648148</v>
      </c>
      <c r="AA259" s="88">
        <v>43229.95460648148</v>
      </c>
      <c r="AB259" s="81"/>
      <c r="AC259" s="81"/>
      <c r="AD259" s="84" t="s">
        <v>2782</v>
      </c>
      <c r="AE259" s="82">
        <v>2</v>
      </c>
      <c r="AF259" s="83" t="str">
        <f>REPLACE(INDEX(GroupVertices[Group],MATCH(Edges[[#This Row],[Vertex 1]],GroupVertices[Vertex],0)),1,1,"")</f>
        <v>1</v>
      </c>
      <c r="AG259" s="83" t="str">
        <f>REPLACE(INDEX(GroupVertices[Group],MATCH(Edges[[#This Row],[Vertex 2]],GroupVertices[Vertex],0)),1,1,"")</f>
        <v>1</v>
      </c>
      <c r="AH259" s="111">
        <v>0</v>
      </c>
      <c r="AI259" s="112">
        <v>0</v>
      </c>
      <c r="AJ259" s="111">
        <v>0</v>
      </c>
      <c r="AK259" s="112">
        <v>0</v>
      </c>
      <c r="AL259" s="111">
        <v>0</v>
      </c>
      <c r="AM259" s="112">
        <v>0</v>
      </c>
      <c r="AN259" s="111">
        <v>11</v>
      </c>
      <c r="AO259" s="112">
        <v>100</v>
      </c>
      <c r="AP259" s="111">
        <v>11</v>
      </c>
    </row>
    <row r="260" spans="1:42" ht="15">
      <c r="A260" s="65" t="s">
        <v>411</v>
      </c>
      <c r="B260" s="65" t="s">
        <v>287</v>
      </c>
      <c r="C260" s="66" t="s">
        <v>5346</v>
      </c>
      <c r="D260" s="67">
        <v>10</v>
      </c>
      <c r="E260" s="68"/>
      <c r="F260" s="69">
        <v>15</v>
      </c>
      <c r="G260" s="66"/>
      <c r="H260" s="70"/>
      <c r="I260" s="71"/>
      <c r="J260" s="71"/>
      <c r="K260" s="35" t="s">
        <v>65</v>
      </c>
      <c r="L260" s="79">
        <v>260</v>
      </c>
      <c r="M260" s="79"/>
      <c r="N260" s="73"/>
      <c r="O260" s="81" t="s">
        <v>760</v>
      </c>
      <c r="P260" s="81" t="s">
        <v>215</v>
      </c>
      <c r="Q260" s="84" t="s">
        <v>1005</v>
      </c>
      <c r="R260" s="81" t="s">
        <v>411</v>
      </c>
      <c r="S260" s="81" t="s">
        <v>1740</v>
      </c>
      <c r="T260" s="86" t="str">
        <f>HYPERLINK("http://www.youtube.com/channel/UC3hqX3Q46tFKo5aQX3JhBDw")</f>
        <v>http://www.youtube.com/channel/UC3hqX3Q46tFKo5aQX3JhBDw</v>
      </c>
      <c r="U260" s="81"/>
      <c r="V260" s="81" t="s">
        <v>2311</v>
      </c>
      <c r="W260" s="86" t="str">
        <f>HYPERLINK("https://www.youtube.com/watch?v=DrCnSoZUXAc")</f>
        <v>https://www.youtube.com/watch?v=DrCnSoZUXAc</v>
      </c>
      <c r="X260" s="81" t="s">
        <v>2335</v>
      </c>
      <c r="Y260" s="81">
        <v>0</v>
      </c>
      <c r="Z260" s="88">
        <v>43229.95643518519</v>
      </c>
      <c r="AA260" s="88">
        <v>43229.95643518519</v>
      </c>
      <c r="AB260" s="81"/>
      <c r="AC260" s="81"/>
      <c r="AD260" s="84" t="s">
        <v>2782</v>
      </c>
      <c r="AE260" s="82">
        <v>2</v>
      </c>
      <c r="AF260" s="83" t="str">
        <f>REPLACE(INDEX(GroupVertices[Group],MATCH(Edges[[#This Row],[Vertex 1]],GroupVertices[Vertex],0)),1,1,"")</f>
        <v>1</v>
      </c>
      <c r="AG260" s="83" t="str">
        <f>REPLACE(INDEX(GroupVertices[Group],MATCH(Edges[[#This Row],[Vertex 2]],GroupVertices[Vertex],0)),1,1,"")</f>
        <v>1</v>
      </c>
      <c r="AH260" s="111">
        <v>0</v>
      </c>
      <c r="AI260" s="112">
        <v>0</v>
      </c>
      <c r="AJ260" s="111">
        <v>0</v>
      </c>
      <c r="AK260" s="112">
        <v>0</v>
      </c>
      <c r="AL260" s="111">
        <v>0</v>
      </c>
      <c r="AM260" s="112">
        <v>0</v>
      </c>
      <c r="AN260" s="111">
        <v>15</v>
      </c>
      <c r="AO260" s="112">
        <v>100</v>
      </c>
      <c r="AP260" s="111">
        <v>15</v>
      </c>
    </row>
    <row r="261" spans="1:42" ht="15">
      <c r="A261" s="65" t="s">
        <v>412</v>
      </c>
      <c r="B261" s="65" t="s">
        <v>287</v>
      </c>
      <c r="C261" s="66" t="s">
        <v>5345</v>
      </c>
      <c r="D261" s="67">
        <v>3</v>
      </c>
      <c r="E261" s="68"/>
      <c r="F261" s="69">
        <v>40</v>
      </c>
      <c r="G261" s="66"/>
      <c r="H261" s="70"/>
      <c r="I261" s="71"/>
      <c r="J261" s="71"/>
      <c r="K261" s="35" t="s">
        <v>65</v>
      </c>
      <c r="L261" s="79">
        <v>261</v>
      </c>
      <c r="M261" s="79"/>
      <c r="N261" s="73"/>
      <c r="O261" s="81" t="s">
        <v>760</v>
      </c>
      <c r="P261" s="81" t="s">
        <v>215</v>
      </c>
      <c r="Q261" s="84" t="s">
        <v>1006</v>
      </c>
      <c r="R261" s="81" t="s">
        <v>412</v>
      </c>
      <c r="S261" s="81" t="s">
        <v>1741</v>
      </c>
      <c r="T261" s="86" t="str">
        <f>HYPERLINK("http://www.youtube.com/channel/UCw0MJZLkswfPRPeJAQzt7Wg")</f>
        <v>http://www.youtube.com/channel/UCw0MJZLkswfPRPeJAQzt7Wg</v>
      </c>
      <c r="U261" s="81"/>
      <c r="V261" s="81" t="s">
        <v>2311</v>
      </c>
      <c r="W261" s="86" t="str">
        <f>HYPERLINK("https://www.youtube.com/watch?v=DrCnSoZUXAc")</f>
        <v>https://www.youtube.com/watch?v=DrCnSoZUXAc</v>
      </c>
      <c r="X261" s="81" t="s">
        <v>2335</v>
      </c>
      <c r="Y261" s="81">
        <v>0</v>
      </c>
      <c r="Z261" s="81" t="s">
        <v>2422</v>
      </c>
      <c r="AA261" s="81" t="s">
        <v>2422</v>
      </c>
      <c r="AB261" s="81"/>
      <c r="AC261" s="81"/>
      <c r="AD261" s="84" t="s">
        <v>2782</v>
      </c>
      <c r="AE261" s="82">
        <v>1</v>
      </c>
      <c r="AF261" s="83" t="str">
        <f>REPLACE(INDEX(GroupVertices[Group],MATCH(Edges[[#This Row],[Vertex 1]],GroupVertices[Vertex],0)),1,1,"")</f>
        <v>1</v>
      </c>
      <c r="AG261" s="83" t="str">
        <f>REPLACE(INDEX(GroupVertices[Group],MATCH(Edges[[#This Row],[Vertex 2]],GroupVertices[Vertex],0)),1,1,"")</f>
        <v>1</v>
      </c>
      <c r="AH261" s="111">
        <v>3</v>
      </c>
      <c r="AI261" s="112">
        <v>2.608695652173913</v>
      </c>
      <c r="AJ261" s="111">
        <v>1</v>
      </c>
      <c r="AK261" s="112">
        <v>0.8695652173913043</v>
      </c>
      <c r="AL261" s="111">
        <v>0</v>
      </c>
      <c r="AM261" s="112">
        <v>0</v>
      </c>
      <c r="AN261" s="111">
        <v>111</v>
      </c>
      <c r="AO261" s="112">
        <v>96.52173913043478</v>
      </c>
      <c r="AP261" s="111">
        <v>115</v>
      </c>
    </row>
    <row r="262" spans="1:42" ht="15">
      <c r="A262" s="65" t="s">
        <v>413</v>
      </c>
      <c r="B262" s="65" t="s">
        <v>287</v>
      </c>
      <c r="C262" s="66" t="s">
        <v>5345</v>
      </c>
      <c r="D262" s="67">
        <v>3</v>
      </c>
      <c r="E262" s="68"/>
      <c r="F262" s="69">
        <v>40</v>
      </c>
      <c r="G262" s="66"/>
      <c r="H262" s="70"/>
      <c r="I262" s="71"/>
      <c r="J262" s="71"/>
      <c r="K262" s="35" t="s">
        <v>65</v>
      </c>
      <c r="L262" s="79">
        <v>262</v>
      </c>
      <c r="M262" s="79"/>
      <c r="N262" s="73"/>
      <c r="O262" s="81" t="s">
        <v>760</v>
      </c>
      <c r="P262" s="81" t="s">
        <v>215</v>
      </c>
      <c r="Q262" s="84" t="s">
        <v>1007</v>
      </c>
      <c r="R262" s="81" t="s">
        <v>413</v>
      </c>
      <c r="S262" s="81" t="s">
        <v>1742</v>
      </c>
      <c r="T262" s="86" t="str">
        <f>HYPERLINK("http://www.youtube.com/channel/UChib_9Y23CKeur7sLMZxQgA")</f>
        <v>http://www.youtube.com/channel/UChib_9Y23CKeur7sLMZxQgA</v>
      </c>
      <c r="U262" s="81"/>
      <c r="V262" s="81" t="s">
        <v>2311</v>
      </c>
      <c r="W262" s="86" t="str">
        <f>HYPERLINK("https://www.youtube.com/watch?v=DrCnSoZUXAc")</f>
        <v>https://www.youtube.com/watch?v=DrCnSoZUXAc</v>
      </c>
      <c r="X262" s="81" t="s">
        <v>2335</v>
      </c>
      <c r="Y262" s="81">
        <v>0</v>
      </c>
      <c r="Z262" s="81" t="s">
        <v>2423</v>
      </c>
      <c r="AA262" s="81" t="s">
        <v>2749</v>
      </c>
      <c r="AB262" s="81"/>
      <c r="AC262" s="81"/>
      <c r="AD262" s="84" t="s">
        <v>2782</v>
      </c>
      <c r="AE262" s="82">
        <v>1</v>
      </c>
      <c r="AF262" s="83" t="str">
        <f>REPLACE(INDEX(GroupVertices[Group],MATCH(Edges[[#This Row],[Vertex 1]],GroupVertices[Vertex],0)),1,1,"")</f>
        <v>1</v>
      </c>
      <c r="AG262" s="83" t="str">
        <f>REPLACE(INDEX(GroupVertices[Group],MATCH(Edges[[#This Row],[Vertex 2]],GroupVertices[Vertex],0)),1,1,"")</f>
        <v>1</v>
      </c>
      <c r="AH262" s="111">
        <v>4</v>
      </c>
      <c r="AI262" s="112">
        <v>11.428571428571429</v>
      </c>
      <c r="AJ262" s="111">
        <v>0</v>
      </c>
      <c r="AK262" s="112">
        <v>0</v>
      </c>
      <c r="AL262" s="111">
        <v>0</v>
      </c>
      <c r="AM262" s="112">
        <v>0</v>
      </c>
      <c r="AN262" s="111">
        <v>31</v>
      </c>
      <c r="AO262" s="112">
        <v>88.57142857142857</v>
      </c>
      <c r="AP262" s="111">
        <v>35</v>
      </c>
    </row>
    <row r="263" spans="1:42" ht="15">
      <c r="A263" s="65" t="s">
        <v>287</v>
      </c>
      <c r="B263" s="65" t="s">
        <v>414</v>
      </c>
      <c r="C263" s="66" t="s">
        <v>5345</v>
      </c>
      <c r="D263" s="67">
        <v>3</v>
      </c>
      <c r="E263" s="68"/>
      <c r="F263" s="69">
        <v>40</v>
      </c>
      <c r="G263" s="66"/>
      <c r="H263" s="70"/>
      <c r="I263" s="71"/>
      <c r="J263" s="71"/>
      <c r="K263" s="35" t="s">
        <v>66</v>
      </c>
      <c r="L263" s="79">
        <v>263</v>
      </c>
      <c r="M263" s="79"/>
      <c r="N263" s="73"/>
      <c r="O263" s="81" t="s">
        <v>761</v>
      </c>
      <c r="P263" s="81" t="s">
        <v>763</v>
      </c>
      <c r="Q263" s="84" t="s">
        <v>1008</v>
      </c>
      <c r="R263" s="81" t="s">
        <v>287</v>
      </c>
      <c r="S263" s="81" t="s">
        <v>1616</v>
      </c>
      <c r="T263" s="86" t="str">
        <f>HYPERLINK("http://www.youtube.com/channel/UCbUhO-tut97b5IQhZ3i7TMA")</f>
        <v>http://www.youtube.com/channel/UCbUhO-tut97b5IQhZ3i7TMA</v>
      </c>
      <c r="U263" s="81" t="s">
        <v>2149</v>
      </c>
      <c r="V263" s="81" t="s">
        <v>2311</v>
      </c>
      <c r="W263" s="86" t="str">
        <f>HYPERLINK("https://www.youtube.com/watch?v=DrCnSoZUXAc")</f>
        <v>https://www.youtube.com/watch?v=DrCnSoZUXAc</v>
      </c>
      <c r="X263" s="81" t="s">
        <v>2335</v>
      </c>
      <c r="Y263" s="81">
        <v>0</v>
      </c>
      <c r="Z263" s="81" t="s">
        <v>2424</v>
      </c>
      <c r="AA263" s="81" t="s">
        <v>2424</v>
      </c>
      <c r="AB263" s="81"/>
      <c r="AC263" s="81"/>
      <c r="AD263" s="84" t="s">
        <v>2782</v>
      </c>
      <c r="AE263" s="82">
        <v>1</v>
      </c>
      <c r="AF263" s="83" t="str">
        <f>REPLACE(INDEX(GroupVertices[Group],MATCH(Edges[[#This Row],[Vertex 1]],GroupVertices[Vertex],0)),1,1,"")</f>
        <v>1</v>
      </c>
      <c r="AG263" s="83" t="str">
        <f>REPLACE(INDEX(GroupVertices[Group],MATCH(Edges[[#This Row],[Vertex 2]],GroupVertices[Vertex],0)),1,1,"")</f>
        <v>1</v>
      </c>
      <c r="AH263" s="111">
        <v>1</v>
      </c>
      <c r="AI263" s="112">
        <v>33.333333333333336</v>
      </c>
      <c r="AJ263" s="111">
        <v>1</v>
      </c>
      <c r="AK263" s="112">
        <v>33.333333333333336</v>
      </c>
      <c r="AL263" s="111">
        <v>0</v>
      </c>
      <c r="AM263" s="112">
        <v>0</v>
      </c>
      <c r="AN263" s="111">
        <v>1</v>
      </c>
      <c r="AO263" s="112">
        <v>33.333333333333336</v>
      </c>
      <c r="AP263" s="111">
        <v>3</v>
      </c>
    </row>
    <row r="264" spans="1:42" ht="15">
      <c r="A264" s="65" t="s">
        <v>414</v>
      </c>
      <c r="B264" s="65" t="s">
        <v>287</v>
      </c>
      <c r="C264" s="66" t="s">
        <v>5345</v>
      </c>
      <c r="D264" s="67">
        <v>3</v>
      </c>
      <c r="E264" s="68"/>
      <c r="F264" s="69">
        <v>40</v>
      </c>
      <c r="G264" s="66"/>
      <c r="H264" s="70"/>
      <c r="I264" s="71"/>
      <c r="J264" s="71"/>
      <c r="K264" s="35" t="s">
        <v>66</v>
      </c>
      <c r="L264" s="79">
        <v>264</v>
      </c>
      <c r="M264" s="79"/>
      <c r="N264" s="73"/>
      <c r="O264" s="81" t="s">
        <v>760</v>
      </c>
      <c r="P264" s="81" t="s">
        <v>215</v>
      </c>
      <c r="Q264" s="84" t="s">
        <v>1009</v>
      </c>
      <c r="R264" s="81" t="s">
        <v>414</v>
      </c>
      <c r="S264" s="81" t="s">
        <v>1743</v>
      </c>
      <c r="T264" s="86" t="str">
        <f>HYPERLINK("http://www.youtube.com/channel/UCY5Jm-GIiyVMQCnZqMaB6Hw")</f>
        <v>http://www.youtube.com/channel/UCY5Jm-GIiyVMQCnZqMaB6Hw</v>
      </c>
      <c r="U264" s="81"/>
      <c r="V264" s="81" t="s">
        <v>2311</v>
      </c>
      <c r="W264" s="86" t="str">
        <f>HYPERLINK("https://www.youtube.com/watch?v=DrCnSoZUXAc")</f>
        <v>https://www.youtube.com/watch?v=DrCnSoZUXAc</v>
      </c>
      <c r="X264" s="81" t="s">
        <v>2335</v>
      </c>
      <c r="Y264" s="81">
        <v>0</v>
      </c>
      <c r="Z264" s="81" t="s">
        <v>2425</v>
      </c>
      <c r="AA264" s="81" t="s">
        <v>2425</v>
      </c>
      <c r="AB264" s="81"/>
      <c r="AC264" s="81"/>
      <c r="AD264" s="84" t="s">
        <v>2782</v>
      </c>
      <c r="AE264" s="82">
        <v>1</v>
      </c>
      <c r="AF264" s="83" t="str">
        <f>REPLACE(INDEX(GroupVertices[Group],MATCH(Edges[[#This Row],[Vertex 1]],GroupVertices[Vertex],0)),1,1,"")</f>
        <v>1</v>
      </c>
      <c r="AG264" s="83" t="str">
        <f>REPLACE(INDEX(GroupVertices[Group],MATCH(Edges[[#This Row],[Vertex 2]],GroupVertices[Vertex],0)),1,1,"")</f>
        <v>1</v>
      </c>
      <c r="AH264" s="111">
        <v>1</v>
      </c>
      <c r="AI264" s="112">
        <v>6.666666666666667</v>
      </c>
      <c r="AJ264" s="111">
        <v>0</v>
      </c>
      <c r="AK264" s="112">
        <v>0</v>
      </c>
      <c r="AL264" s="111">
        <v>0</v>
      </c>
      <c r="AM264" s="112">
        <v>0</v>
      </c>
      <c r="AN264" s="111">
        <v>14</v>
      </c>
      <c r="AO264" s="112">
        <v>93.33333333333333</v>
      </c>
      <c r="AP264" s="111">
        <v>15</v>
      </c>
    </row>
    <row r="265" spans="1:42" ht="15">
      <c r="A265" s="65" t="s">
        <v>415</v>
      </c>
      <c r="B265" s="65" t="s">
        <v>287</v>
      </c>
      <c r="C265" s="66" t="s">
        <v>5345</v>
      </c>
      <c r="D265" s="67">
        <v>3</v>
      </c>
      <c r="E265" s="68"/>
      <c r="F265" s="69">
        <v>40</v>
      </c>
      <c r="G265" s="66"/>
      <c r="H265" s="70"/>
      <c r="I265" s="71"/>
      <c r="J265" s="71"/>
      <c r="K265" s="35" t="s">
        <v>65</v>
      </c>
      <c r="L265" s="79">
        <v>265</v>
      </c>
      <c r="M265" s="79"/>
      <c r="N265" s="73"/>
      <c r="O265" s="81" t="s">
        <v>760</v>
      </c>
      <c r="P265" s="81" t="s">
        <v>215</v>
      </c>
      <c r="Q265" s="84" t="s">
        <v>1010</v>
      </c>
      <c r="R265" s="81" t="s">
        <v>415</v>
      </c>
      <c r="S265" s="81" t="s">
        <v>1744</v>
      </c>
      <c r="T265" s="86" t="str">
        <f>HYPERLINK("http://www.youtube.com/channel/UCGpYX63VUgJswqgDiB1QDGw")</f>
        <v>http://www.youtube.com/channel/UCGpYX63VUgJswqgDiB1QDGw</v>
      </c>
      <c r="U265" s="81"/>
      <c r="V265" s="81" t="s">
        <v>2311</v>
      </c>
      <c r="W265" s="86" t="str">
        <f>HYPERLINK("https://www.youtube.com/watch?v=DrCnSoZUXAc")</f>
        <v>https://www.youtube.com/watch?v=DrCnSoZUXAc</v>
      </c>
      <c r="X265" s="81" t="s">
        <v>2335</v>
      </c>
      <c r="Y265" s="81">
        <v>0</v>
      </c>
      <c r="Z265" s="88">
        <v>43563.667233796295</v>
      </c>
      <c r="AA265" s="88">
        <v>43563.667233796295</v>
      </c>
      <c r="AB265" s="81"/>
      <c r="AC265" s="81"/>
      <c r="AD265" s="84" t="s">
        <v>2782</v>
      </c>
      <c r="AE265" s="82">
        <v>1</v>
      </c>
      <c r="AF265" s="83" t="str">
        <f>REPLACE(INDEX(GroupVertices[Group],MATCH(Edges[[#This Row],[Vertex 1]],GroupVertices[Vertex],0)),1,1,"")</f>
        <v>1</v>
      </c>
      <c r="AG265" s="83" t="str">
        <f>REPLACE(INDEX(GroupVertices[Group],MATCH(Edges[[#This Row],[Vertex 2]],GroupVertices[Vertex],0)),1,1,"")</f>
        <v>1</v>
      </c>
      <c r="AH265" s="111">
        <v>1</v>
      </c>
      <c r="AI265" s="112">
        <v>6.666666666666667</v>
      </c>
      <c r="AJ265" s="111">
        <v>0</v>
      </c>
      <c r="AK265" s="112">
        <v>0</v>
      </c>
      <c r="AL265" s="111">
        <v>0</v>
      </c>
      <c r="AM265" s="112">
        <v>0</v>
      </c>
      <c r="AN265" s="111">
        <v>14</v>
      </c>
      <c r="AO265" s="112">
        <v>93.33333333333333</v>
      </c>
      <c r="AP265" s="111">
        <v>15</v>
      </c>
    </row>
    <row r="266" spans="1:42" ht="15">
      <c r="A266" s="65" t="s">
        <v>416</v>
      </c>
      <c r="B266" s="65" t="s">
        <v>287</v>
      </c>
      <c r="C266" s="66" t="s">
        <v>5345</v>
      </c>
      <c r="D266" s="67">
        <v>3</v>
      </c>
      <c r="E266" s="68"/>
      <c r="F266" s="69">
        <v>40</v>
      </c>
      <c r="G266" s="66"/>
      <c r="H266" s="70"/>
      <c r="I266" s="71"/>
      <c r="J266" s="71"/>
      <c r="K266" s="35" t="s">
        <v>65</v>
      </c>
      <c r="L266" s="79">
        <v>266</v>
      </c>
      <c r="M266" s="79"/>
      <c r="N266" s="73"/>
      <c r="O266" s="81" t="s">
        <v>760</v>
      </c>
      <c r="P266" s="81" t="s">
        <v>215</v>
      </c>
      <c r="Q266" s="84" t="s">
        <v>1011</v>
      </c>
      <c r="R266" s="81" t="s">
        <v>416</v>
      </c>
      <c r="S266" s="81" t="s">
        <v>1745</v>
      </c>
      <c r="T266" s="86" t="str">
        <f>HYPERLINK("http://www.youtube.com/channel/UC6XBJ-9A_b-3_zxuX17sbIQ")</f>
        <v>http://www.youtube.com/channel/UC6XBJ-9A_b-3_zxuX17sbIQ</v>
      </c>
      <c r="U266" s="81"/>
      <c r="V266" s="81" t="s">
        <v>2311</v>
      </c>
      <c r="W266" s="86" t="str">
        <f>HYPERLINK("https://www.youtube.com/watch?v=DrCnSoZUXAc")</f>
        <v>https://www.youtube.com/watch?v=DrCnSoZUXAc</v>
      </c>
      <c r="X266" s="81" t="s">
        <v>2335</v>
      </c>
      <c r="Y266" s="81">
        <v>1</v>
      </c>
      <c r="Z266" s="81" t="s">
        <v>2426</v>
      </c>
      <c r="AA266" s="81" t="s">
        <v>2426</v>
      </c>
      <c r="AB266" s="81"/>
      <c r="AC266" s="81"/>
      <c r="AD266" s="84" t="s">
        <v>2782</v>
      </c>
      <c r="AE266" s="82">
        <v>1</v>
      </c>
      <c r="AF266" s="83" t="str">
        <f>REPLACE(INDEX(GroupVertices[Group],MATCH(Edges[[#This Row],[Vertex 1]],GroupVertices[Vertex],0)),1,1,"")</f>
        <v>1</v>
      </c>
      <c r="AG266" s="83" t="str">
        <f>REPLACE(INDEX(GroupVertices[Group],MATCH(Edges[[#This Row],[Vertex 2]],GroupVertices[Vertex],0)),1,1,"")</f>
        <v>1</v>
      </c>
      <c r="AH266" s="111">
        <v>1</v>
      </c>
      <c r="AI266" s="112">
        <v>10</v>
      </c>
      <c r="AJ266" s="111">
        <v>0</v>
      </c>
      <c r="AK266" s="112">
        <v>0</v>
      </c>
      <c r="AL266" s="111">
        <v>0</v>
      </c>
      <c r="AM266" s="112">
        <v>0</v>
      </c>
      <c r="AN266" s="111">
        <v>9</v>
      </c>
      <c r="AO266" s="112">
        <v>90</v>
      </c>
      <c r="AP266" s="111">
        <v>10</v>
      </c>
    </row>
    <row r="267" spans="1:42" ht="15">
      <c r="A267" s="65" t="s">
        <v>417</v>
      </c>
      <c r="B267" s="65" t="s">
        <v>418</v>
      </c>
      <c r="C267" s="66" t="s">
        <v>5345</v>
      </c>
      <c r="D267" s="67">
        <v>3</v>
      </c>
      <c r="E267" s="68"/>
      <c r="F267" s="69">
        <v>40</v>
      </c>
      <c r="G267" s="66"/>
      <c r="H267" s="70"/>
      <c r="I267" s="71"/>
      <c r="J267" s="71"/>
      <c r="K267" s="35" t="s">
        <v>66</v>
      </c>
      <c r="L267" s="79">
        <v>267</v>
      </c>
      <c r="M267" s="79"/>
      <c r="N267" s="73"/>
      <c r="O267" s="81" t="s">
        <v>761</v>
      </c>
      <c r="P267" s="81" t="s">
        <v>763</v>
      </c>
      <c r="Q267" s="84" t="s">
        <v>1012</v>
      </c>
      <c r="R267" s="81" t="s">
        <v>417</v>
      </c>
      <c r="S267" s="81" t="s">
        <v>1746</v>
      </c>
      <c r="T267" s="86" t="str">
        <f>HYPERLINK("http://www.youtube.com/channel/UChI-cTok8fJePnryAd0mTvQ")</f>
        <v>http://www.youtube.com/channel/UChI-cTok8fJePnryAd0mTvQ</v>
      </c>
      <c r="U267" s="81" t="s">
        <v>2150</v>
      </c>
      <c r="V267" s="81" t="s">
        <v>2312</v>
      </c>
      <c r="W267" s="86" t="str">
        <f>HYPERLINK("https://www.youtube.com/watch?v=vWMAV6nNPbo")</f>
        <v>https://www.youtube.com/watch?v=vWMAV6nNPbo</v>
      </c>
      <c r="X267" s="81" t="s">
        <v>2335</v>
      </c>
      <c r="Y267" s="81">
        <v>1</v>
      </c>
      <c r="Z267" s="88">
        <v>43470.81760416667</v>
      </c>
      <c r="AA267" s="88">
        <v>43470.81760416667</v>
      </c>
      <c r="AB267" s="81"/>
      <c r="AC267" s="81"/>
      <c r="AD267" s="84" t="s">
        <v>2782</v>
      </c>
      <c r="AE267" s="82">
        <v>1</v>
      </c>
      <c r="AF267" s="83" t="str">
        <f>REPLACE(INDEX(GroupVertices[Group],MATCH(Edges[[#This Row],[Vertex 1]],GroupVertices[Vertex],0)),1,1,"")</f>
        <v>8</v>
      </c>
      <c r="AG267" s="83" t="str">
        <f>REPLACE(INDEX(GroupVertices[Group],MATCH(Edges[[#This Row],[Vertex 2]],GroupVertices[Vertex],0)),1,1,"")</f>
        <v>8</v>
      </c>
      <c r="AH267" s="111">
        <v>2</v>
      </c>
      <c r="AI267" s="112">
        <v>6.0606060606060606</v>
      </c>
      <c r="AJ267" s="111">
        <v>1</v>
      </c>
      <c r="AK267" s="112">
        <v>3.0303030303030303</v>
      </c>
      <c r="AL267" s="111">
        <v>0</v>
      </c>
      <c r="AM267" s="112">
        <v>0</v>
      </c>
      <c r="AN267" s="111">
        <v>30</v>
      </c>
      <c r="AO267" s="112">
        <v>90.9090909090909</v>
      </c>
      <c r="AP267" s="111">
        <v>33</v>
      </c>
    </row>
    <row r="268" spans="1:42" ht="15">
      <c r="A268" s="65" t="s">
        <v>418</v>
      </c>
      <c r="B268" s="65" t="s">
        <v>417</v>
      </c>
      <c r="C268" s="66" t="s">
        <v>5345</v>
      </c>
      <c r="D268" s="67">
        <v>3</v>
      </c>
      <c r="E268" s="68"/>
      <c r="F268" s="69">
        <v>40</v>
      </c>
      <c r="G268" s="66"/>
      <c r="H268" s="70"/>
      <c r="I268" s="71"/>
      <c r="J268" s="71"/>
      <c r="K268" s="35" t="s">
        <v>66</v>
      </c>
      <c r="L268" s="79">
        <v>268</v>
      </c>
      <c r="M268" s="79"/>
      <c r="N268" s="73"/>
      <c r="O268" s="81" t="s">
        <v>760</v>
      </c>
      <c r="P268" s="81" t="s">
        <v>215</v>
      </c>
      <c r="Q268" s="84" t="s">
        <v>1013</v>
      </c>
      <c r="R268" s="81" t="s">
        <v>418</v>
      </c>
      <c r="S268" s="81" t="s">
        <v>1747</v>
      </c>
      <c r="T268" s="86" t="str">
        <f>HYPERLINK("http://www.youtube.com/channel/UC0GVapQzfTeJ67hf2-y1_0g")</f>
        <v>http://www.youtube.com/channel/UC0GVapQzfTeJ67hf2-y1_0g</v>
      </c>
      <c r="U268" s="81"/>
      <c r="V268" s="81" t="s">
        <v>2312</v>
      </c>
      <c r="W268" s="86" t="str">
        <f>HYPERLINK("https://www.youtube.com/watch?v=vWMAV6nNPbo")</f>
        <v>https://www.youtube.com/watch?v=vWMAV6nNPbo</v>
      </c>
      <c r="X268" s="81" t="s">
        <v>2335</v>
      </c>
      <c r="Y268" s="81">
        <v>1</v>
      </c>
      <c r="Z268" s="81" t="s">
        <v>2427</v>
      </c>
      <c r="AA268" s="81" t="s">
        <v>2427</v>
      </c>
      <c r="AB268" s="81"/>
      <c r="AC268" s="81"/>
      <c r="AD268" s="84" t="s">
        <v>2782</v>
      </c>
      <c r="AE268" s="82">
        <v>1</v>
      </c>
      <c r="AF268" s="83" t="str">
        <f>REPLACE(INDEX(GroupVertices[Group],MATCH(Edges[[#This Row],[Vertex 1]],GroupVertices[Vertex],0)),1,1,"")</f>
        <v>8</v>
      </c>
      <c r="AG268" s="83" t="str">
        <f>REPLACE(INDEX(GroupVertices[Group],MATCH(Edges[[#This Row],[Vertex 2]],GroupVertices[Vertex],0)),1,1,"")</f>
        <v>8</v>
      </c>
      <c r="AH268" s="111">
        <v>2</v>
      </c>
      <c r="AI268" s="112">
        <v>18.181818181818183</v>
      </c>
      <c r="AJ268" s="111">
        <v>0</v>
      </c>
      <c r="AK268" s="112">
        <v>0</v>
      </c>
      <c r="AL268" s="111">
        <v>0</v>
      </c>
      <c r="AM268" s="112">
        <v>0</v>
      </c>
      <c r="AN268" s="111">
        <v>9</v>
      </c>
      <c r="AO268" s="112">
        <v>81.81818181818181</v>
      </c>
      <c r="AP268" s="111">
        <v>11</v>
      </c>
    </row>
    <row r="269" spans="1:42" ht="15">
      <c r="A269" s="65" t="s">
        <v>419</v>
      </c>
      <c r="B269" s="65" t="s">
        <v>420</v>
      </c>
      <c r="C269" s="66" t="s">
        <v>5346</v>
      </c>
      <c r="D269" s="67">
        <v>10</v>
      </c>
      <c r="E269" s="68"/>
      <c r="F269" s="69">
        <v>15</v>
      </c>
      <c r="G269" s="66"/>
      <c r="H269" s="70"/>
      <c r="I269" s="71"/>
      <c r="J269" s="71"/>
      <c r="K269" s="35" t="s">
        <v>65</v>
      </c>
      <c r="L269" s="79">
        <v>269</v>
      </c>
      <c r="M269" s="79"/>
      <c r="N269" s="73"/>
      <c r="O269" s="81" t="s">
        <v>761</v>
      </c>
      <c r="P269" s="81" t="s">
        <v>763</v>
      </c>
      <c r="Q269" s="84" t="s">
        <v>1014</v>
      </c>
      <c r="R269" s="81" t="s">
        <v>419</v>
      </c>
      <c r="S269" s="81" t="s">
        <v>1748</v>
      </c>
      <c r="T269" s="86" t="str">
        <f>HYPERLINK("http://www.youtube.com/channel/UC-V27PAFkljYNHVsWz4a8Mw")</f>
        <v>http://www.youtube.com/channel/UC-V27PAFkljYNHVsWz4a8Mw</v>
      </c>
      <c r="U269" s="81" t="s">
        <v>2151</v>
      </c>
      <c r="V269" s="81" t="s">
        <v>2312</v>
      </c>
      <c r="W269" s="86" t="str">
        <f>HYPERLINK("https://www.youtube.com/watch?v=vWMAV6nNPbo")</f>
        <v>https://www.youtube.com/watch?v=vWMAV6nNPbo</v>
      </c>
      <c r="X269" s="81" t="s">
        <v>2335</v>
      </c>
      <c r="Y269" s="81">
        <v>0</v>
      </c>
      <c r="Z269" s="88">
        <v>43902.49849537037</v>
      </c>
      <c r="AA269" s="88">
        <v>43902.49849537037</v>
      </c>
      <c r="AB269" s="81"/>
      <c r="AC269" s="81"/>
      <c r="AD269" s="84" t="s">
        <v>2782</v>
      </c>
      <c r="AE269" s="82">
        <v>2</v>
      </c>
      <c r="AF269" s="83" t="str">
        <f>REPLACE(INDEX(GroupVertices[Group],MATCH(Edges[[#This Row],[Vertex 1]],GroupVertices[Vertex],0)),1,1,"")</f>
        <v>8</v>
      </c>
      <c r="AG269" s="83" t="str">
        <f>REPLACE(INDEX(GroupVertices[Group],MATCH(Edges[[#This Row],[Vertex 2]],GroupVertices[Vertex],0)),1,1,"")</f>
        <v>8</v>
      </c>
      <c r="AH269" s="111">
        <v>1</v>
      </c>
      <c r="AI269" s="112">
        <v>11.11111111111111</v>
      </c>
      <c r="AJ269" s="111">
        <v>1</v>
      </c>
      <c r="AK269" s="112">
        <v>11.11111111111111</v>
      </c>
      <c r="AL269" s="111">
        <v>0</v>
      </c>
      <c r="AM269" s="112">
        <v>0</v>
      </c>
      <c r="AN269" s="111">
        <v>7</v>
      </c>
      <c r="AO269" s="112">
        <v>77.77777777777777</v>
      </c>
      <c r="AP269" s="111">
        <v>9</v>
      </c>
    </row>
    <row r="270" spans="1:42" ht="15">
      <c r="A270" s="65" t="s">
        <v>419</v>
      </c>
      <c r="B270" s="65" t="s">
        <v>420</v>
      </c>
      <c r="C270" s="66" t="s">
        <v>5346</v>
      </c>
      <c r="D270" s="67">
        <v>10</v>
      </c>
      <c r="E270" s="68"/>
      <c r="F270" s="69">
        <v>15</v>
      </c>
      <c r="G270" s="66"/>
      <c r="H270" s="70"/>
      <c r="I270" s="71"/>
      <c r="J270" s="71"/>
      <c r="K270" s="35" t="s">
        <v>65</v>
      </c>
      <c r="L270" s="79">
        <v>270</v>
      </c>
      <c r="M270" s="79"/>
      <c r="N270" s="73"/>
      <c r="O270" s="81" t="s">
        <v>761</v>
      </c>
      <c r="P270" s="81" t="s">
        <v>763</v>
      </c>
      <c r="Q270" s="84" t="s">
        <v>1015</v>
      </c>
      <c r="R270" s="81" t="s">
        <v>419</v>
      </c>
      <c r="S270" s="81" t="s">
        <v>1748</v>
      </c>
      <c r="T270" s="86" t="str">
        <f>HYPERLINK("http://www.youtube.com/channel/UC-V27PAFkljYNHVsWz4a8Mw")</f>
        <v>http://www.youtube.com/channel/UC-V27PAFkljYNHVsWz4a8Mw</v>
      </c>
      <c r="U270" s="81" t="s">
        <v>2151</v>
      </c>
      <c r="V270" s="81" t="s">
        <v>2312</v>
      </c>
      <c r="W270" s="86" t="str">
        <f>HYPERLINK("https://www.youtube.com/watch?v=vWMAV6nNPbo")</f>
        <v>https://www.youtube.com/watch?v=vWMAV6nNPbo</v>
      </c>
      <c r="X270" s="81" t="s">
        <v>2335</v>
      </c>
      <c r="Y270" s="81">
        <v>0</v>
      </c>
      <c r="Z270" s="88">
        <v>43902.609664351854</v>
      </c>
      <c r="AA270" s="88">
        <v>43902.609664351854</v>
      </c>
      <c r="AB270" s="81"/>
      <c r="AC270" s="81"/>
      <c r="AD270" s="84" t="s">
        <v>2782</v>
      </c>
      <c r="AE270" s="82">
        <v>2</v>
      </c>
      <c r="AF270" s="83" t="str">
        <f>REPLACE(INDEX(GroupVertices[Group],MATCH(Edges[[#This Row],[Vertex 1]],GroupVertices[Vertex],0)),1,1,"")</f>
        <v>8</v>
      </c>
      <c r="AG270" s="83" t="str">
        <f>REPLACE(INDEX(GroupVertices[Group],MATCH(Edges[[#This Row],[Vertex 2]],GroupVertices[Vertex],0)),1,1,"")</f>
        <v>8</v>
      </c>
      <c r="AH270" s="111">
        <v>1</v>
      </c>
      <c r="AI270" s="112">
        <v>6.25</v>
      </c>
      <c r="AJ270" s="111">
        <v>0</v>
      </c>
      <c r="AK270" s="112">
        <v>0</v>
      </c>
      <c r="AL270" s="111">
        <v>0</v>
      </c>
      <c r="AM270" s="112">
        <v>0</v>
      </c>
      <c r="AN270" s="111">
        <v>15</v>
      </c>
      <c r="AO270" s="112">
        <v>93.75</v>
      </c>
      <c r="AP270" s="111">
        <v>16</v>
      </c>
    </row>
    <row r="271" spans="1:42" ht="15">
      <c r="A271" s="65" t="s">
        <v>417</v>
      </c>
      <c r="B271" s="65" t="s">
        <v>420</v>
      </c>
      <c r="C271" s="66" t="s">
        <v>5346</v>
      </c>
      <c r="D271" s="67">
        <v>10</v>
      </c>
      <c r="E271" s="68"/>
      <c r="F271" s="69">
        <v>15</v>
      </c>
      <c r="G271" s="66"/>
      <c r="H271" s="70"/>
      <c r="I271" s="71"/>
      <c r="J271" s="71"/>
      <c r="K271" s="35" t="s">
        <v>66</v>
      </c>
      <c r="L271" s="79">
        <v>271</v>
      </c>
      <c r="M271" s="79"/>
      <c r="N271" s="73"/>
      <c r="O271" s="81" t="s">
        <v>761</v>
      </c>
      <c r="P271" s="81" t="s">
        <v>763</v>
      </c>
      <c r="Q271" s="84" t="s">
        <v>1016</v>
      </c>
      <c r="R271" s="81" t="s">
        <v>417</v>
      </c>
      <c r="S271" s="81" t="s">
        <v>1746</v>
      </c>
      <c r="T271" s="86" t="str">
        <f>HYPERLINK("http://www.youtube.com/channel/UChI-cTok8fJePnryAd0mTvQ")</f>
        <v>http://www.youtube.com/channel/UChI-cTok8fJePnryAd0mTvQ</v>
      </c>
      <c r="U271" s="81" t="s">
        <v>2151</v>
      </c>
      <c r="V271" s="81" t="s">
        <v>2312</v>
      </c>
      <c r="W271" s="86" t="str">
        <f>HYPERLINK("https://www.youtube.com/watch?v=vWMAV6nNPbo")</f>
        <v>https://www.youtube.com/watch?v=vWMAV6nNPbo</v>
      </c>
      <c r="X271" s="81" t="s">
        <v>2335</v>
      </c>
      <c r="Y271" s="81">
        <v>1</v>
      </c>
      <c r="Z271" s="88">
        <v>43864.67680555556</v>
      </c>
      <c r="AA271" s="88">
        <v>43864.67680555556</v>
      </c>
      <c r="AB271" s="81"/>
      <c r="AC271" s="81"/>
      <c r="AD271" s="84" t="s">
        <v>2782</v>
      </c>
      <c r="AE271" s="82">
        <v>2</v>
      </c>
      <c r="AF271" s="83" t="str">
        <f>REPLACE(INDEX(GroupVertices[Group],MATCH(Edges[[#This Row],[Vertex 1]],GroupVertices[Vertex],0)),1,1,"")</f>
        <v>8</v>
      </c>
      <c r="AG271" s="83" t="str">
        <f>REPLACE(INDEX(GroupVertices[Group],MATCH(Edges[[#This Row],[Vertex 2]],GroupVertices[Vertex],0)),1,1,"")</f>
        <v>8</v>
      </c>
      <c r="AH271" s="111">
        <v>0</v>
      </c>
      <c r="AI271" s="112">
        <v>0</v>
      </c>
      <c r="AJ271" s="111">
        <v>0</v>
      </c>
      <c r="AK271" s="112">
        <v>0</v>
      </c>
      <c r="AL271" s="111">
        <v>0</v>
      </c>
      <c r="AM271" s="112">
        <v>0</v>
      </c>
      <c r="AN271" s="111">
        <v>1</v>
      </c>
      <c r="AO271" s="112">
        <v>100</v>
      </c>
      <c r="AP271" s="111">
        <v>1</v>
      </c>
    </row>
    <row r="272" spans="1:42" ht="15">
      <c r="A272" s="65" t="s">
        <v>417</v>
      </c>
      <c r="B272" s="65" t="s">
        <v>420</v>
      </c>
      <c r="C272" s="66" t="s">
        <v>5346</v>
      </c>
      <c r="D272" s="67">
        <v>10</v>
      </c>
      <c r="E272" s="68"/>
      <c r="F272" s="69">
        <v>15</v>
      </c>
      <c r="G272" s="66"/>
      <c r="H272" s="70"/>
      <c r="I272" s="71"/>
      <c r="J272" s="71"/>
      <c r="K272" s="35" t="s">
        <v>66</v>
      </c>
      <c r="L272" s="79">
        <v>272</v>
      </c>
      <c r="M272" s="79"/>
      <c r="N272" s="73"/>
      <c r="O272" s="81" t="s">
        <v>761</v>
      </c>
      <c r="P272" s="81" t="s">
        <v>763</v>
      </c>
      <c r="Q272" s="84" t="s">
        <v>1017</v>
      </c>
      <c r="R272" s="81" t="s">
        <v>417</v>
      </c>
      <c r="S272" s="81" t="s">
        <v>1746</v>
      </c>
      <c r="T272" s="86" t="str">
        <f>HYPERLINK("http://www.youtube.com/channel/UChI-cTok8fJePnryAd0mTvQ")</f>
        <v>http://www.youtube.com/channel/UChI-cTok8fJePnryAd0mTvQ</v>
      </c>
      <c r="U272" s="81" t="s">
        <v>2151</v>
      </c>
      <c r="V272" s="81" t="s">
        <v>2312</v>
      </c>
      <c r="W272" s="86" t="str">
        <f>HYPERLINK("https://www.youtube.com/watch?v=vWMAV6nNPbo")</f>
        <v>https://www.youtube.com/watch?v=vWMAV6nNPbo</v>
      </c>
      <c r="X272" s="81" t="s">
        <v>2335</v>
      </c>
      <c r="Y272" s="81">
        <v>1</v>
      </c>
      <c r="Z272" s="88">
        <v>43902.58934027778</v>
      </c>
      <c r="AA272" s="88">
        <v>43902.58934027778</v>
      </c>
      <c r="AB272" s="81"/>
      <c r="AC272" s="81"/>
      <c r="AD272" s="84" t="s">
        <v>2782</v>
      </c>
      <c r="AE272" s="82">
        <v>2</v>
      </c>
      <c r="AF272" s="83" t="str">
        <f>REPLACE(INDEX(GroupVertices[Group],MATCH(Edges[[#This Row],[Vertex 1]],GroupVertices[Vertex],0)),1,1,"")</f>
        <v>8</v>
      </c>
      <c r="AG272" s="83" t="str">
        <f>REPLACE(INDEX(GroupVertices[Group],MATCH(Edges[[#This Row],[Vertex 2]],GroupVertices[Vertex],0)),1,1,"")</f>
        <v>8</v>
      </c>
      <c r="AH272" s="111">
        <v>0</v>
      </c>
      <c r="AI272" s="112">
        <v>0</v>
      </c>
      <c r="AJ272" s="111">
        <v>1</v>
      </c>
      <c r="AK272" s="112">
        <v>12.5</v>
      </c>
      <c r="AL272" s="111">
        <v>0</v>
      </c>
      <c r="AM272" s="112">
        <v>0</v>
      </c>
      <c r="AN272" s="111">
        <v>7</v>
      </c>
      <c r="AO272" s="112">
        <v>87.5</v>
      </c>
      <c r="AP272" s="111">
        <v>8</v>
      </c>
    </row>
    <row r="273" spans="1:42" ht="15">
      <c r="A273" s="65" t="s">
        <v>420</v>
      </c>
      <c r="B273" s="65" t="s">
        <v>417</v>
      </c>
      <c r="C273" s="66" t="s">
        <v>5345</v>
      </c>
      <c r="D273" s="67">
        <v>3</v>
      </c>
      <c r="E273" s="68"/>
      <c r="F273" s="69">
        <v>40</v>
      </c>
      <c r="G273" s="66"/>
      <c r="H273" s="70"/>
      <c r="I273" s="71"/>
      <c r="J273" s="71"/>
      <c r="K273" s="35" t="s">
        <v>66</v>
      </c>
      <c r="L273" s="79">
        <v>273</v>
      </c>
      <c r="M273" s="79"/>
      <c r="N273" s="73"/>
      <c r="O273" s="81" t="s">
        <v>760</v>
      </c>
      <c r="P273" s="81" t="s">
        <v>215</v>
      </c>
      <c r="Q273" s="84" t="s">
        <v>1018</v>
      </c>
      <c r="R273" s="81" t="s">
        <v>420</v>
      </c>
      <c r="S273" s="81" t="s">
        <v>1749</v>
      </c>
      <c r="T273" s="86" t="str">
        <f>HYPERLINK("http://www.youtube.com/channel/UCGZQ0gB3nM3CLYiDahlMKjA")</f>
        <v>http://www.youtube.com/channel/UCGZQ0gB3nM3CLYiDahlMKjA</v>
      </c>
      <c r="U273" s="81"/>
      <c r="V273" s="81" t="s">
        <v>2312</v>
      </c>
      <c r="W273" s="86" t="str">
        <f>HYPERLINK("https://www.youtube.com/watch?v=vWMAV6nNPbo")</f>
        <v>https://www.youtube.com/watch?v=vWMAV6nNPbo</v>
      </c>
      <c r="X273" s="81" t="s">
        <v>2335</v>
      </c>
      <c r="Y273" s="81">
        <v>0</v>
      </c>
      <c r="Z273" s="88">
        <v>43833.77128472222</v>
      </c>
      <c r="AA273" s="88">
        <v>43833.77128472222</v>
      </c>
      <c r="AB273" s="81"/>
      <c r="AC273" s="81"/>
      <c r="AD273" s="84" t="s">
        <v>2782</v>
      </c>
      <c r="AE273" s="82">
        <v>1</v>
      </c>
      <c r="AF273" s="83" t="str">
        <f>REPLACE(INDEX(GroupVertices[Group],MATCH(Edges[[#This Row],[Vertex 1]],GroupVertices[Vertex],0)),1,1,"")</f>
        <v>8</v>
      </c>
      <c r="AG273" s="83" t="str">
        <f>REPLACE(INDEX(GroupVertices[Group],MATCH(Edges[[#This Row],[Vertex 2]],GroupVertices[Vertex],0)),1,1,"")</f>
        <v>8</v>
      </c>
      <c r="AH273" s="111">
        <v>0</v>
      </c>
      <c r="AI273" s="112">
        <v>0</v>
      </c>
      <c r="AJ273" s="111">
        <v>0</v>
      </c>
      <c r="AK273" s="112">
        <v>0</v>
      </c>
      <c r="AL273" s="111">
        <v>0</v>
      </c>
      <c r="AM273" s="112">
        <v>0</v>
      </c>
      <c r="AN273" s="111">
        <v>19</v>
      </c>
      <c r="AO273" s="112">
        <v>100</v>
      </c>
      <c r="AP273" s="111">
        <v>19</v>
      </c>
    </row>
    <row r="274" spans="1:42" ht="15">
      <c r="A274" s="65" t="s">
        <v>421</v>
      </c>
      <c r="B274" s="65" t="s">
        <v>417</v>
      </c>
      <c r="C274" s="66" t="s">
        <v>5345</v>
      </c>
      <c r="D274" s="67">
        <v>3</v>
      </c>
      <c r="E274" s="68"/>
      <c r="F274" s="69">
        <v>40</v>
      </c>
      <c r="G274" s="66"/>
      <c r="H274" s="70"/>
      <c r="I274" s="71"/>
      <c r="J274" s="71"/>
      <c r="K274" s="35" t="s">
        <v>65</v>
      </c>
      <c r="L274" s="79">
        <v>274</v>
      </c>
      <c r="M274" s="79"/>
      <c r="N274" s="73"/>
      <c r="O274" s="81" t="s">
        <v>760</v>
      </c>
      <c r="P274" s="81" t="s">
        <v>215</v>
      </c>
      <c r="Q274" s="84" t="s">
        <v>1019</v>
      </c>
      <c r="R274" s="81" t="s">
        <v>421</v>
      </c>
      <c r="S274" s="81" t="s">
        <v>1750</v>
      </c>
      <c r="T274" s="86" t="str">
        <f>HYPERLINK("http://www.youtube.com/channel/UCW4JMrzXnCzdNw2B37IcOFA")</f>
        <v>http://www.youtube.com/channel/UCW4JMrzXnCzdNw2B37IcOFA</v>
      </c>
      <c r="U274" s="81"/>
      <c r="V274" s="81" t="s">
        <v>2312</v>
      </c>
      <c r="W274" s="86" t="str">
        <f>HYPERLINK("https://www.youtube.com/watch?v=vWMAV6nNPbo")</f>
        <v>https://www.youtube.com/watch?v=vWMAV6nNPbo</v>
      </c>
      <c r="X274" s="81" t="s">
        <v>2335</v>
      </c>
      <c r="Y274" s="81">
        <v>1</v>
      </c>
      <c r="Z274" s="81" t="s">
        <v>2428</v>
      </c>
      <c r="AA274" s="81" t="s">
        <v>2428</v>
      </c>
      <c r="AB274" s="81"/>
      <c r="AC274" s="81"/>
      <c r="AD274" s="84" t="s">
        <v>2782</v>
      </c>
      <c r="AE274" s="82">
        <v>1</v>
      </c>
      <c r="AF274" s="83" t="str">
        <f>REPLACE(INDEX(GroupVertices[Group],MATCH(Edges[[#This Row],[Vertex 1]],GroupVertices[Vertex],0)),1,1,"")</f>
        <v>8</v>
      </c>
      <c r="AG274" s="83" t="str">
        <f>REPLACE(INDEX(GroupVertices[Group],MATCH(Edges[[#This Row],[Vertex 2]],GroupVertices[Vertex],0)),1,1,"")</f>
        <v>8</v>
      </c>
      <c r="AH274" s="111">
        <v>1</v>
      </c>
      <c r="AI274" s="112">
        <v>20</v>
      </c>
      <c r="AJ274" s="111">
        <v>0</v>
      </c>
      <c r="AK274" s="112">
        <v>0</v>
      </c>
      <c r="AL274" s="111">
        <v>0</v>
      </c>
      <c r="AM274" s="112">
        <v>0</v>
      </c>
      <c r="AN274" s="111">
        <v>4</v>
      </c>
      <c r="AO274" s="112">
        <v>80</v>
      </c>
      <c r="AP274" s="111">
        <v>5</v>
      </c>
    </row>
    <row r="275" spans="1:42" ht="15">
      <c r="A275" s="65" t="s">
        <v>287</v>
      </c>
      <c r="B275" s="65" t="s">
        <v>422</v>
      </c>
      <c r="C275" s="66" t="s">
        <v>5345</v>
      </c>
      <c r="D275" s="67">
        <v>3</v>
      </c>
      <c r="E275" s="68"/>
      <c r="F275" s="69">
        <v>40</v>
      </c>
      <c r="G275" s="66"/>
      <c r="H275" s="70"/>
      <c r="I275" s="71"/>
      <c r="J275" s="71"/>
      <c r="K275" s="35" t="s">
        <v>66</v>
      </c>
      <c r="L275" s="79">
        <v>275</v>
      </c>
      <c r="M275" s="79"/>
      <c r="N275" s="73"/>
      <c r="O275" s="81" t="s">
        <v>761</v>
      </c>
      <c r="P275" s="81" t="s">
        <v>763</v>
      </c>
      <c r="Q275" s="84" t="s">
        <v>1020</v>
      </c>
      <c r="R275" s="81" t="s">
        <v>287</v>
      </c>
      <c r="S275" s="81" t="s">
        <v>1616</v>
      </c>
      <c r="T275" s="86" t="str">
        <f>HYPERLINK("http://www.youtube.com/channel/UCbUhO-tut97b5IQhZ3i7TMA")</f>
        <v>http://www.youtube.com/channel/UCbUhO-tut97b5IQhZ3i7TMA</v>
      </c>
      <c r="U275" s="81" t="s">
        <v>2152</v>
      </c>
      <c r="V275" s="81" t="s">
        <v>2311</v>
      </c>
      <c r="W275" s="86" t="str">
        <f>HYPERLINK("https://www.youtube.com/watch?v=DrCnSoZUXAc")</f>
        <v>https://www.youtube.com/watch?v=DrCnSoZUXAc</v>
      </c>
      <c r="X275" s="81" t="s">
        <v>2335</v>
      </c>
      <c r="Y275" s="81">
        <v>1</v>
      </c>
      <c r="Z275" s="81" t="s">
        <v>2429</v>
      </c>
      <c r="AA275" s="81" t="s">
        <v>2429</v>
      </c>
      <c r="AB275" s="81"/>
      <c r="AC275" s="81"/>
      <c r="AD275" s="84" t="s">
        <v>2782</v>
      </c>
      <c r="AE275" s="82">
        <v>1</v>
      </c>
      <c r="AF275" s="83" t="str">
        <f>REPLACE(INDEX(GroupVertices[Group],MATCH(Edges[[#This Row],[Vertex 1]],GroupVertices[Vertex],0)),1,1,"")</f>
        <v>1</v>
      </c>
      <c r="AG275" s="83" t="str">
        <f>REPLACE(INDEX(GroupVertices[Group],MATCH(Edges[[#This Row],[Vertex 2]],GroupVertices[Vertex],0)),1,1,"")</f>
        <v>1</v>
      </c>
      <c r="AH275" s="111">
        <v>1</v>
      </c>
      <c r="AI275" s="112">
        <v>50</v>
      </c>
      <c r="AJ275" s="111">
        <v>0</v>
      </c>
      <c r="AK275" s="112">
        <v>0</v>
      </c>
      <c r="AL275" s="111">
        <v>0</v>
      </c>
      <c r="AM275" s="112">
        <v>0</v>
      </c>
      <c r="AN275" s="111">
        <v>1</v>
      </c>
      <c r="AO275" s="112">
        <v>50</v>
      </c>
      <c r="AP275" s="111">
        <v>2</v>
      </c>
    </row>
    <row r="276" spans="1:42" ht="15">
      <c r="A276" s="65" t="s">
        <v>422</v>
      </c>
      <c r="B276" s="65" t="s">
        <v>287</v>
      </c>
      <c r="C276" s="66" t="s">
        <v>5346</v>
      </c>
      <c r="D276" s="67">
        <v>10</v>
      </c>
      <c r="E276" s="68"/>
      <c r="F276" s="69">
        <v>15</v>
      </c>
      <c r="G276" s="66"/>
      <c r="H276" s="70"/>
      <c r="I276" s="71"/>
      <c r="J276" s="71"/>
      <c r="K276" s="35" t="s">
        <v>66</v>
      </c>
      <c r="L276" s="79">
        <v>276</v>
      </c>
      <c r="M276" s="79"/>
      <c r="N276" s="73"/>
      <c r="O276" s="81" t="s">
        <v>760</v>
      </c>
      <c r="P276" s="81" t="s">
        <v>215</v>
      </c>
      <c r="Q276" s="84" t="s">
        <v>1021</v>
      </c>
      <c r="R276" s="81" t="s">
        <v>422</v>
      </c>
      <c r="S276" s="81" t="s">
        <v>1751</v>
      </c>
      <c r="T276" s="86" t="str">
        <f>HYPERLINK("http://www.youtube.com/channel/UC4TTpP-AWKZAFdkVT1_bPgw")</f>
        <v>http://www.youtube.com/channel/UC4TTpP-AWKZAFdkVT1_bPgw</v>
      </c>
      <c r="U276" s="81"/>
      <c r="V276" s="81" t="s">
        <v>2311</v>
      </c>
      <c r="W276" s="86" t="str">
        <f>HYPERLINK("https://www.youtube.com/watch?v=DrCnSoZUXAc")</f>
        <v>https://www.youtube.com/watch?v=DrCnSoZUXAc</v>
      </c>
      <c r="X276" s="81" t="s">
        <v>2335</v>
      </c>
      <c r="Y276" s="81">
        <v>0</v>
      </c>
      <c r="Z276" s="81" t="s">
        <v>2430</v>
      </c>
      <c r="AA276" s="81" t="s">
        <v>2430</v>
      </c>
      <c r="AB276" s="81"/>
      <c r="AC276" s="81"/>
      <c r="AD276" s="84" t="s">
        <v>2782</v>
      </c>
      <c r="AE276" s="82">
        <v>2</v>
      </c>
      <c r="AF276" s="83" t="str">
        <f>REPLACE(INDEX(GroupVertices[Group],MATCH(Edges[[#This Row],[Vertex 1]],GroupVertices[Vertex],0)),1,1,"")</f>
        <v>1</v>
      </c>
      <c r="AG276" s="83" t="str">
        <f>REPLACE(INDEX(GroupVertices[Group],MATCH(Edges[[#This Row],[Vertex 2]],GroupVertices[Vertex],0)),1,1,"")</f>
        <v>1</v>
      </c>
      <c r="AH276" s="111">
        <v>1</v>
      </c>
      <c r="AI276" s="112">
        <v>50</v>
      </c>
      <c r="AJ276" s="111">
        <v>0</v>
      </c>
      <c r="AK276" s="112">
        <v>0</v>
      </c>
      <c r="AL276" s="111">
        <v>0</v>
      </c>
      <c r="AM276" s="112">
        <v>0</v>
      </c>
      <c r="AN276" s="111">
        <v>1</v>
      </c>
      <c r="AO276" s="112">
        <v>50</v>
      </c>
      <c r="AP276" s="111">
        <v>2</v>
      </c>
    </row>
    <row r="277" spans="1:42" ht="15">
      <c r="A277" s="65" t="s">
        <v>422</v>
      </c>
      <c r="B277" s="65" t="s">
        <v>287</v>
      </c>
      <c r="C277" s="66" t="s">
        <v>5346</v>
      </c>
      <c r="D277" s="67">
        <v>10</v>
      </c>
      <c r="E277" s="68"/>
      <c r="F277" s="69">
        <v>15</v>
      </c>
      <c r="G277" s="66"/>
      <c r="H277" s="70"/>
      <c r="I277" s="71"/>
      <c r="J277" s="71"/>
      <c r="K277" s="35" t="s">
        <v>66</v>
      </c>
      <c r="L277" s="79">
        <v>277</v>
      </c>
      <c r="M277" s="79"/>
      <c r="N277" s="73"/>
      <c r="O277" s="81" t="s">
        <v>760</v>
      </c>
      <c r="P277" s="81" t="s">
        <v>215</v>
      </c>
      <c r="Q277" s="84" t="s">
        <v>1022</v>
      </c>
      <c r="R277" s="81" t="s">
        <v>422</v>
      </c>
      <c r="S277" s="81" t="s">
        <v>1751</v>
      </c>
      <c r="T277" s="86" t="str">
        <f>HYPERLINK("http://www.youtube.com/channel/UC4TTpP-AWKZAFdkVT1_bPgw")</f>
        <v>http://www.youtube.com/channel/UC4TTpP-AWKZAFdkVT1_bPgw</v>
      </c>
      <c r="U277" s="81"/>
      <c r="V277" s="81" t="s">
        <v>2313</v>
      </c>
      <c r="W277" s="86" t="str">
        <f>HYPERLINK("https://www.youtube.com/watch?v=-EA6GvKa0EA")</f>
        <v>https://www.youtube.com/watch?v=-EA6GvKa0EA</v>
      </c>
      <c r="X277" s="81" t="s">
        <v>2335</v>
      </c>
      <c r="Y277" s="81">
        <v>0</v>
      </c>
      <c r="Z277" s="88">
        <v>43168.66292824074</v>
      </c>
      <c r="AA277" s="88">
        <v>43168.66292824074</v>
      </c>
      <c r="AB277" s="81"/>
      <c r="AC277" s="81"/>
      <c r="AD277" s="84" t="s">
        <v>2782</v>
      </c>
      <c r="AE277" s="82">
        <v>2</v>
      </c>
      <c r="AF277" s="83" t="str">
        <f>REPLACE(INDEX(GroupVertices[Group],MATCH(Edges[[#This Row],[Vertex 1]],GroupVertices[Vertex],0)),1,1,"")</f>
        <v>1</v>
      </c>
      <c r="AG277" s="83" t="str">
        <f>REPLACE(INDEX(GroupVertices[Group],MATCH(Edges[[#This Row],[Vertex 2]],GroupVertices[Vertex],0)),1,1,"")</f>
        <v>1</v>
      </c>
      <c r="AH277" s="111">
        <v>0</v>
      </c>
      <c r="AI277" s="112">
        <v>0</v>
      </c>
      <c r="AJ277" s="111">
        <v>0</v>
      </c>
      <c r="AK277" s="112">
        <v>0</v>
      </c>
      <c r="AL277" s="111">
        <v>0</v>
      </c>
      <c r="AM277" s="112">
        <v>0</v>
      </c>
      <c r="AN277" s="111">
        <v>0</v>
      </c>
      <c r="AO277" s="112">
        <v>0</v>
      </c>
      <c r="AP277" s="111">
        <v>0</v>
      </c>
    </row>
    <row r="278" spans="1:42" ht="15">
      <c r="A278" s="65" t="s">
        <v>423</v>
      </c>
      <c r="B278" s="65" t="s">
        <v>287</v>
      </c>
      <c r="C278" s="66" t="s">
        <v>5345</v>
      </c>
      <c r="D278" s="67">
        <v>3</v>
      </c>
      <c r="E278" s="68"/>
      <c r="F278" s="69">
        <v>40</v>
      </c>
      <c r="G278" s="66"/>
      <c r="H278" s="70"/>
      <c r="I278" s="71"/>
      <c r="J278" s="71"/>
      <c r="K278" s="35" t="s">
        <v>65</v>
      </c>
      <c r="L278" s="79">
        <v>278</v>
      </c>
      <c r="M278" s="79"/>
      <c r="N278" s="73"/>
      <c r="O278" s="81" t="s">
        <v>760</v>
      </c>
      <c r="P278" s="81" t="s">
        <v>215</v>
      </c>
      <c r="Q278" s="84" t="s">
        <v>1023</v>
      </c>
      <c r="R278" s="81" t="s">
        <v>423</v>
      </c>
      <c r="S278" s="81" t="s">
        <v>1752</v>
      </c>
      <c r="T278" s="86" t="str">
        <f>HYPERLINK("http://www.youtube.com/channel/UCdAAVvZcpM_6oW16Eh2Jpgg")</f>
        <v>http://www.youtube.com/channel/UCdAAVvZcpM_6oW16Eh2Jpgg</v>
      </c>
      <c r="U278" s="81"/>
      <c r="V278" s="81" t="s">
        <v>2313</v>
      </c>
      <c r="W278" s="86" t="str">
        <f>HYPERLINK("https://www.youtube.com/watch?v=-EA6GvKa0EA")</f>
        <v>https://www.youtube.com/watch?v=-EA6GvKa0EA</v>
      </c>
      <c r="X278" s="81" t="s">
        <v>2335</v>
      </c>
      <c r="Y278" s="81">
        <v>2</v>
      </c>
      <c r="Z278" s="88">
        <v>43168.75546296296</v>
      </c>
      <c r="AA278" s="88">
        <v>43168.75546296296</v>
      </c>
      <c r="AB278" s="81"/>
      <c r="AC278" s="81"/>
      <c r="AD278" s="84" t="s">
        <v>2782</v>
      </c>
      <c r="AE278" s="82">
        <v>1</v>
      </c>
      <c r="AF278" s="83" t="str">
        <f>REPLACE(INDEX(GroupVertices[Group],MATCH(Edges[[#This Row],[Vertex 1]],GroupVertices[Vertex],0)),1,1,"")</f>
        <v>1</v>
      </c>
      <c r="AG278" s="83" t="str">
        <f>REPLACE(INDEX(GroupVertices[Group],MATCH(Edges[[#This Row],[Vertex 2]],GroupVertices[Vertex],0)),1,1,"")</f>
        <v>1</v>
      </c>
      <c r="AH278" s="111">
        <v>1</v>
      </c>
      <c r="AI278" s="112">
        <v>14.285714285714286</v>
      </c>
      <c r="AJ278" s="111">
        <v>0</v>
      </c>
      <c r="AK278" s="112">
        <v>0</v>
      </c>
      <c r="AL278" s="111">
        <v>0</v>
      </c>
      <c r="AM278" s="112">
        <v>0</v>
      </c>
      <c r="AN278" s="111">
        <v>6</v>
      </c>
      <c r="AO278" s="112">
        <v>85.71428571428571</v>
      </c>
      <c r="AP278" s="111">
        <v>7</v>
      </c>
    </row>
    <row r="279" spans="1:42" ht="15">
      <c r="A279" s="65" t="s">
        <v>424</v>
      </c>
      <c r="B279" s="65" t="s">
        <v>287</v>
      </c>
      <c r="C279" s="66" t="s">
        <v>5345</v>
      </c>
      <c r="D279" s="67">
        <v>3</v>
      </c>
      <c r="E279" s="68"/>
      <c r="F279" s="69">
        <v>40</v>
      </c>
      <c r="G279" s="66"/>
      <c r="H279" s="70"/>
      <c r="I279" s="71"/>
      <c r="J279" s="71"/>
      <c r="K279" s="35" t="s">
        <v>65</v>
      </c>
      <c r="L279" s="79">
        <v>279</v>
      </c>
      <c r="M279" s="79"/>
      <c r="N279" s="73"/>
      <c r="O279" s="81" t="s">
        <v>760</v>
      </c>
      <c r="P279" s="81" t="s">
        <v>215</v>
      </c>
      <c r="Q279" s="84" t="s">
        <v>1024</v>
      </c>
      <c r="R279" s="81" t="s">
        <v>424</v>
      </c>
      <c r="S279" s="81" t="s">
        <v>1753</v>
      </c>
      <c r="T279" s="86" t="str">
        <f>HYPERLINK("http://www.youtube.com/channel/UC9zezKVUM8gUGYQNJZQz4PQ")</f>
        <v>http://www.youtube.com/channel/UC9zezKVUM8gUGYQNJZQz4PQ</v>
      </c>
      <c r="U279" s="81"/>
      <c r="V279" s="81" t="s">
        <v>2313</v>
      </c>
      <c r="W279" s="86" t="str">
        <f>HYPERLINK("https://www.youtube.com/watch?v=-EA6GvKa0EA")</f>
        <v>https://www.youtube.com/watch?v=-EA6GvKa0EA</v>
      </c>
      <c r="X279" s="81" t="s">
        <v>2335</v>
      </c>
      <c r="Y279" s="81">
        <v>0</v>
      </c>
      <c r="Z279" s="88">
        <v>43168.89475694444</v>
      </c>
      <c r="AA279" s="88">
        <v>43168.89475694444</v>
      </c>
      <c r="AB279" s="81"/>
      <c r="AC279" s="81"/>
      <c r="AD279" s="84" t="s">
        <v>2782</v>
      </c>
      <c r="AE279" s="82">
        <v>1</v>
      </c>
      <c r="AF279" s="83" t="str">
        <f>REPLACE(INDEX(GroupVertices[Group],MATCH(Edges[[#This Row],[Vertex 1]],GroupVertices[Vertex],0)),1,1,"")</f>
        <v>1</v>
      </c>
      <c r="AG279" s="83" t="str">
        <f>REPLACE(INDEX(GroupVertices[Group],MATCH(Edges[[#This Row],[Vertex 2]],GroupVertices[Vertex],0)),1,1,"")</f>
        <v>1</v>
      </c>
      <c r="AH279" s="111">
        <v>1</v>
      </c>
      <c r="AI279" s="112">
        <v>50</v>
      </c>
      <c r="AJ279" s="111">
        <v>0</v>
      </c>
      <c r="AK279" s="112">
        <v>0</v>
      </c>
      <c r="AL279" s="111">
        <v>0</v>
      </c>
      <c r="AM279" s="112">
        <v>0</v>
      </c>
      <c r="AN279" s="111">
        <v>1</v>
      </c>
      <c r="AO279" s="112">
        <v>50</v>
      </c>
      <c r="AP279" s="111">
        <v>2</v>
      </c>
    </row>
    <row r="280" spans="1:42" ht="15">
      <c r="A280" s="65" t="s">
        <v>425</v>
      </c>
      <c r="B280" s="65" t="s">
        <v>287</v>
      </c>
      <c r="C280" s="66" t="s">
        <v>5345</v>
      </c>
      <c r="D280" s="67">
        <v>3</v>
      </c>
      <c r="E280" s="68"/>
      <c r="F280" s="69">
        <v>40</v>
      </c>
      <c r="G280" s="66"/>
      <c r="H280" s="70"/>
      <c r="I280" s="71"/>
      <c r="J280" s="71"/>
      <c r="K280" s="35" t="s">
        <v>65</v>
      </c>
      <c r="L280" s="79">
        <v>280</v>
      </c>
      <c r="M280" s="79"/>
      <c r="N280" s="73"/>
      <c r="O280" s="81" t="s">
        <v>760</v>
      </c>
      <c r="P280" s="81" t="s">
        <v>215</v>
      </c>
      <c r="Q280" s="84" t="s">
        <v>1025</v>
      </c>
      <c r="R280" s="81" t="s">
        <v>425</v>
      </c>
      <c r="S280" s="81" t="s">
        <v>1754</v>
      </c>
      <c r="T280" s="86" t="str">
        <f>HYPERLINK("http://www.youtube.com/channel/UCj-XJ0Br72D9LCQGjWJpfCQ")</f>
        <v>http://www.youtube.com/channel/UCj-XJ0Br72D9LCQGjWJpfCQ</v>
      </c>
      <c r="U280" s="81"/>
      <c r="V280" s="81" t="s">
        <v>2313</v>
      </c>
      <c r="W280" s="86" t="str">
        <f>HYPERLINK("https://www.youtube.com/watch?v=-EA6GvKa0EA")</f>
        <v>https://www.youtube.com/watch?v=-EA6GvKa0EA</v>
      </c>
      <c r="X280" s="81" t="s">
        <v>2335</v>
      </c>
      <c r="Y280" s="81">
        <v>0</v>
      </c>
      <c r="Z280" s="88">
        <v>43199.51756944445</v>
      </c>
      <c r="AA280" s="88">
        <v>43199.51756944445</v>
      </c>
      <c r="AB280" s="81"/>
      <c r="AC280" s="81"/>
      <c r="AD280" s="84" t="s">
        <v>2782</v>
      </c>
      <c r="AE280" s="82">
        <v>1</v>
      </c>
      <c r="AF280" s="83" t="str">
        <f>REPLACE(INDEX(GroupVertices[Group],MATCH(Edges[[#This Row],[Vertex 1]],GroupVertices[Vertex],0)),1,1,"")</f>
        <v>1</v>
      </c>
      <c r="AG280" s="83" t="str">
        <f>REPLACE(INDEX(GroupVertices[Group],MATCH(Edges[[#This Row],[Vertex 2]],GroupVertices[Vertex],0)),1,1,"")</f>
        <v>1</v>
      </c>
      <c r="AH280" s="111">
        <v>1</v>
      </c>
      <c r="AI280" s="112">
        <v>50</v>
      </c>
      <c r="AJ280" s="111">
        <v>0</v>
      </c>
      <c r="AK280" s="112">
        <v>0</v>
      </c>
      <c r="AL280" s="111">
        <v>0</v>
      </c>
      <c r="AM280" s="112">
        <v>0</v>
      </c>
      <c r="AN280" s="111">
        <v>1</v>
      </c>
      <c r="AO280" s="112">
        <v>50</v>
      </c>
      <c r="AP280" s="111">
        <v>2</v>
      </c>
    </row>
    <row r="281" spans="1:42" ht="15">
      <c r="A281" s="65" t="s">
        <v>426</v>
      </c>
      <c r="B281" s="65" t="s">
        <v>287</v>
      </c>
      <c r="C281" s="66" t="s">
        <v>5345</v>
      </c>
      <c r="D281" s="67">
        <v>3</v>
      </c>
      <c r="E281" s="68"/>
      <c r="F281" s="69">
        <v>40</v>
      </c>
      <c r="G281" s="66"/>
      <c r="H281" s="70"/>
      <c r="I281" s="71"/>
      <c r="J281" s="71"/>
      <c r="K281" s="35" t="s">
        <v>65</v>
      </c>
      <c r="L281" s="79">
        <v>281</v>
      </c>
      <c r="M281" s="79"/>
      <c r="N281" s="73"/>
      <c r="O281" s="81" t="s">
        <v>760</v>
      </c>
      <c r="P281" s="81" t="s">
        <v>215</v>
      </c>
      <c r="Q281" s="84" t="s">
        <v>1026</v>
      </c>
      <c r="R281" s="81" t="s">
        <v>426</v>
      </c>
      <c r="S281" s="81" t="s">
        <v>1755</v>
      </c>
      <c r="T281" s="86" t="str">
        <f>HYPERLINK("http://www.youtube.com/channel/UCKO5k9-UdH6bjVafQWC6_pA")</f>
        <v>http://www.youtube.com/channel/UCKO5k9-UdH6bjVafQWC6_pA</v>
      </c>
      <c r="U281" s="81"/>
      <c r="V281" s="81" t="s">
        <v>2313</v>
      </c>
      <c r="W281" s="86" t="str">
        <f>HYPERLINK("https://www.youtube.com/watch?v=-EA6GvKa0EA")</f>
        <v>https://www.youtube.com/watch?v=-EA6GvKa0EA</v>
      </c>
      <c r="X281" s="81" t="s">
        <v>2335</v>
      </c>
      <c r="Y281" s="81">
        <v>2</v>
      </c>
      <c r="Z281" s="88">
        <v>43199.623344907406</v>
      </c>
      <c r="AA281" s="88">
        <v>43199.623344907406</v>
      </c>
      <c r="AB281" s="81"/>
      <c r="AC281" s="81"/>
      <c r="AD281" s="84" t="s">
        <v>2782</v>
      </c>
      <c r="AE281" s="82">
        <v>1</v>
      </c>
      <c r="AF281" s="83" t="str">
        <f>REPLACE(INDEX(GroupVertices[Group],MATCH(Edges[[#This Row],[Vertex 1]],GroupVertices[Vertex],0)),1,1,"")</f>
        <v>1</v>
      </c>
      <c r="AG281" s="83" t="str">
        <f>REPLACE(INDEX(GroupVertices[Group],MATCH(Edges[[#This Row],[Vertex 2]],GroupVertices[Vertex],0)),1,1,"")</f>
        <v>1</v>
      </c>
      <c r="AH281" s="111">
        <v>1</v>
      </c>
      <c r="AI281" s="112">
        <v>7.6923076923076925</v>
      </c>
      <c r="AJ281" s="111">
        <v>0</v>
      </c>
      <c r="AK281" s="112">
        <v>0</v>
      </c>
      <c r="AL281" s="111">
        <v>0</v>
      </c>
      <c r="AM281" s="112">
        <v>0</v>
      </c>
      <c r="AN281" s="111">
        <v>12</v>
      </c>
      <c r="AO281" s="112">
        <v>92.3076923076923</v>
      </c>
      <c r="AP281" s="111">
        <v>13</v>
      </c>
    </row>
    <row r="282" spans="1:42" ht="15">
      <c r="A282" s="65" t="s">
        <v>427</v>
      </c>
      <c r="B282" s="65" t="s">
        <v>287</v>
      </c>
      <c r="C282" s="66" t="s">
        <v>5345</v>
      </c>
      <c r="D282" s="67">
        <v>3</v>
      </c>
      <c r="E282" s="68"/>
      <c r="F282" s="69">
        <v>40</v>
      </c>
      <c r="G282" s="66"/>
      <c r="H282" s="70"/>
      <c r="I282" s="71"/>
      <c r="J282" s="71"/>
      <c r="K282" s="35" t="s">
        <v>65</v>
      </c>
      <c r="L282" s="79">
        <v>282</v>
      </c>
      <c r="M282" s="79"/>
      <c r="N282" s="73"/>
      <c r="O282" s="81" t="s">
        <v>760</v>
      </c>
      <c r="P282" s="81" t="s">
        <v>215</v>
      </c>
      <c r="Q282" s="84" t="s">
        <v>1027</v>
      </c>
      <c r="R282" s="81" t="s">
        <v>427</v>
      </c>
      <c r="S282" s="81" t="s">
        <v>1756</v>
      </c>
      <c r="T282" s="86" t="str">
        <f>HYPERLINK("http://www.youtube.com/channel/UC74JtQ2kUOGNYk2CKC6ICDw")</f>
        <v>http://www.youtube.com/channel/UC74JtQ2kUOGNYk2CKC6ICDw</v>
      </c>
      <c r="U282" s="81"/>
      <c r="V282" s="81" t="s">
        <v>2313</v>
      </c>
      <c r="W282" s="86" t="str">
        <f>HYPERLINK("https://www.youtube.com/watch?v=-EA6GvKa0EA")</f>
        <v>https://www.youtube.com/watch?v=-EA6GvKa0EA</v>
      </c>
      <c r="X282" s="81" t="s">
        <v>2335</v>
      </c>
      <c r="Y282" s="81">
        <v>1</v>
      </c>
      <c r="Z282" s="88">
        <v>43199.71596064815</v>
      </c>
      <c r="AA282" s="88">
        <v>43199.716782407406</v>
      </c>
      <c r="AB282" s="81"/>
      <c r="AC282" s="81"/>
      <c r="AD282" s="84" t="s">
        <v>2782</v>
      </c>
      <c r="AE282" s="82">
        <v>1</v>
      </c>
      <c r="AF282" s="83" t="str">
        <f>REPLACE(INDEX(GroupVertices[Group],MATCH(Edges[[#This Row],[Vertex 1]],GroupVertices[Vertex],0)),1,1,"")</f>
        <v>1</v>
      </c>
      <c r="AG282" s="83" t="str">
        <f>REPLACE(INDEX(GroupVertices[Group],MATCH(Edges[[#This Row],[Vertex 2]],GroupVertices[Vertex],0)),1,1,"")</f>
        <v>1</v>
      </c>
      <c r="AH282" s="111">
        <v>3</v>
      </c>
      <c r="AI282" s="112">
        <v>27.272727272727273</v>
      </c>
      <c r="AJ282" s="111">
        <v>0</v>
      </c>
      <c r="AK282" s="112">
        <v>0</v>
      </c>
      <c r="AL282" s="111">
        <v>0</v>
      </c>
      <c r="AM282" s="112">
        <v>0</v>
      </c>
      <c r="AN282" s="111">
        <v>8</v>
      </c>
      <c r="AO282" s="112">
        <v>72.72727272727273</v>
      </c>
      <c r="AP282" s="111">
        <v>11</v>
      </c>
    </row>
    <row r="283" spans="1:42" ht="15">
      <c r="A283" s="65" t="s">
        <v>287</v>
      </c>
      <c r="B283" s="65" t="s">
        <v>428</v>
      </c>
      <c r="C283" s="66" t="s">
        <v>5345</v>
      </c>
      <c r="D283" s="67">
        <v>3</v>
      </c>
      <c r="E283" s="68"/>
      <c r="F283" s="69">
        <v>40</v>
      </c>
      <c r="G283" s="66"/>
      <c r="H283" s="70"/>
      <c r="I283" s="71"/>
      <c r="J283" s="71"/>
      <c r="K283" s="35" t="s">
        <v>66</v>
      </c>
      <c r="L283" s="79">
        <v>283</v>
      </c>
      <c r="M283" s="79"/>
      <c r="N283" s="73"/>
      <c r="O283" s="81" t="s">
        <v>761</v>
      </c>
      <c r="P283" s="81" t="s">
        <v>763</v>
      </c>
      <c r="Q283" s="84" t="s">
        <v>1028</v>
      </c>
      <c r="R283" s="81" t="s">
        <v>287</v>
      </c>
      <c r="S283" s="81" t="s">
        <v>1616</v>
      </c>
      <c r="T283" s="86" t="str">
        <f>HYPERLINK("http://www.youtube.com/channel/UCbUhO-tut97b5IQhZ3i7TMA")</f>
        <v>http://www.youtube.com/channel/UCbUhO-tut97b5IQhZ3i7TMA</v>
      </c>
      <c r="U283" s="81" t="s">
        <v>2153</v>
      </c>
      <c r="V283" s="81" t="s">
        <v>2313</v>
      </c>
      <c r="W283" s="86" t="str">
        <f>HYPERLINK("https://www.youtube.com/watch?v=-EA6GvKa0EA")</f>
        <v>https://www.youtube.com/watch?v=-EA6GvKa0EA</v>
      </c>
      <c r="X283" s="81" t="s">
        <v>2335</v>
      </c>
      <c r="Y283" s="81">
        <v>0</v>
      </c>
      <c r="Z283" s="88">
        <v>43229.811585648145</v>
      </c>
      <c r="AA283" s="88">
        <v>43229.811585648145</v>
      </c>
      <c r="AB283" s="81"/>
      <c r="AC283" s="81"/>
      <c r="AD283" s="84" t="s">
        <v>2782</v>
      </c>
      <c r="AE283" s="82">
        <v>1</v>
      </c>
      <c r="AF283" s="83" t="str">
        <f>REPLACE(INDEX(GroupVertices[Group],MATCH(Edges[[#This Row],[Vertex 1]],GroupVertices[Vertex],0)),1,1,"")</f>
        <v>1</v>
      </c>
      <c r="AG283" s="83" t="str">
        <f>REPLACE(INDEX(GroupVertices[Group],MATCH(Edges[[#This Row],[Vertex 2]],GroupVertices[Vertex],0)),1,1,"")</f>
        <v>1</v>
      </c>
      <c r="AH283" s="111">
        <v>2</v>
      </c>
      <c r="AI283" s="112">
        <v>25</v>
      </c>
      <c r="AJ283" s="111">
        <v>0</v>
      </c>
      <c r="AK283" s="112">
        <v>0</v>
      </c>
      <c r="AL283" s="111">
        <v>0</v>
      </c>
      <c r="AM283" s="112">
        <v>0</v>
      </c>
      <c r="AN283" s="111">
        <v>6</v>
      </c>
      <c r="AO283" s="112">
        <v>75</v>
      </c>
      <c r="AP283" s="111">
        <v>8</v>
      </c>
    </row>
    <row r="284" spans="1:42" ht="15">
      <c r="A284" s="65" t="s">
        <v>428</v>
      </c>
      <c r="B284" s="65" t="s">
        <v>287</v>
      </c>
      <c r="C284" s="66" t="s">
        <v>5345</v>
      </c>
      <c r="D284" s="67">
        <v>3</v>
      </c>
      <c r="E284" s="68"/>
      <c r="F284" s="69">
        <v>40</v>
      </c>
      <c r="G284" s="66"/>
      <c r="H284" s="70"/>
      <c r="I284" s="71"/>
      <c r="J284" s="71"/>
      <c r="K284" s="35" t="s">
        <v>66</v>
      </c>
      <c r="L284" s="79">
        <v>284</v>
      </c>
      <c r="M284" s="79"/>
      <c r="N284" s="73"/>
      <c r="O284" s="81" t="s">
        <v>760</v>
      </c>
      <c r="P284" s="81" t="s">
        <v>215</v>
      </c>
      <c r="Q284" s="84" t="s">
        <v>1029</v>
      </c>
      <c r="R284" s="81" t="s">
        <v>428</v>
      </c>
      <c r="S284" s="81" t="s">
        <v>1757</v>
      </c>
      <c r="T284" s="86" t="str">
        <f>HYPERLINK("http://www.youtube.com/channel/UCMavrp4EnHaop5NsO49PSWQ")</f>
        <v>http://www.youtube.com/channel/UCMavrp4EnHaop5NsO49PSWQ</v>
      </c>
      <c r="U284" s="81"/>
      <c r="V284" s="81" t="s">
        <v>2313</v>
      </c>
      <c r="W284" s="86" t="str">
        <f>HYPERLINK("https://www.youtube.com/watch?v=-EA6GvKa0EA")</f>
        <v>https://www.youtube.com/watch?v=-EA6GvKa0EA</v>
      </c>
      <c r="X284" s="81" t="s">
        <v>2335</v>
      </c>
      <c r="Y284" s="81">
        <v>0</v>
      </c>
      <c r="Z284" s="88">
        <v>43199.73259259259</v>
      </c>
      <c r="AA284" s="88">
        <v>43199.73259259259</v>
      </c>
      <c r="AB284" s="81"/>
      <c r="AC284" s="81"/>
      <c r="AD284" s="84" t="s">
        <v>2782</v>
      </c>
      <c r="AE284" s="82">
        <v>1</v>
      </c>
      <c r="AF284" s="83" t="str">
        <f>REPLACE(INDEX(GroupVertices[Group],MATCH(Edges[[#This Row],[Vertex 1]],GroupVertices[Vertex],0)),1,1,"")</f>
        <v>1</v>
      </c>
      <c r="AG284" s="83" t="str">
        <f>REPLACE(INDEX(GroupVertices[Group],MATCH(Edges[[#This Row],[Vertex 2]],GroupVertices[Vertex],0)),1,1,"")</f>
        <v>1</v>
      </c>
      <c r="AH284" s="111">
        <v>4</v>
      </c>
      <c r="AI284" s="112">
        <v>6.451612903225806</v>
      </c>
      <c r="AJ284" s="111">
        <v>2</v>
      </c>
      <c r="AK284" s="112">
        <v>3.225806451612903</v>
      </c>
      <c r="AL284" s="111">
        <v>0</v>
      </c>
      <c r="AM284" s="112">
        <v>0</v>
      </c>
      <c r="AN284" s="111">
        <v>56</v>
      </c>
      <c r="AO284" s="112">
        <v>90.3225806451613</v>
      </c>
      <c r="AP284" s="111">
        <v>62</v>
      </c>
    </row>
    <row r="285" spans="1:42" ht="15">
      <c r="A285" s="65" t="s">
        <v>287</v>
      </c>
      <c r="B285" s="65" t="s">
        <v>429</v>
      </c>
      <c r="C285" s="66" t="s">
        <v>5346</v>
      </c>
      <c r="D285" s="67">
        <v>10</v>
      </c>
      <c r="E285" s="68"/>
      <c r="F285" s="69">
        <v>15</v>
      </c>
      <c r="G285" s="66"/>
      <c r="H285" s="70"/>
      <c r="I285" s="71"/>
      <c r="J285" s="71"/>
      <c r="K285" s="35" t="s">
        <v>66</v>
      </c>
      <c r="L285" s="79">
        <v>285</v>
      </c>
      <c r="M285" s="79"/>
      <c r="N285" s="73"/>
      <c r="O285" s="81" t="s">
        <v>761</v>
      </c>
      <c r="P285" s="81" t="s">
        <v>763</v>
      </c>
      <c r="Q285" s="84" t="s">
        <v>1030</v>
      </c>
      <c r="R285" s="81" t="s">
        <v>287</v>
      </c>
      <c r="S285" s="81" t="s">
        <v>1616</v>
      </c>
      <c r="T285" s="86" t="str">
        <f>HYPERLINK("http://www.youtube.com/channel/UCbUhO-tut97b5IQhZ3i7TMA")</f>
        <v>http://www.youtube.com/channel/UCbUhO-tut97b5IQhZ3i7TMA</v>
      </c>
      <c r="U285" s="81" t="s">
        <v>2154</v>
      </c>
      <c r="V285" s="81" t="s">
        <v>2311</v>
      </c>
      <c r="W285" s="86" t="str">
        <f>HYPERLINK("https://www.youtube.com/watch?v=DrCnSoZUXAc")</f>
        <v>https://www.youtube.com/watch?v=DrCnSoZUXAc</v>
      </c>
      <c r="X285" s="81" t="s">
        <v>2335</v>
      </c>
      <c r="Y285" s="81">
        <v>1</v>
      </c>
      <c r="Z285" s="88">
        <v>43287.954872685186</v>
      </c>
      <c r="AA285" s="88">
        <v>43287.954872685186</v>
      </c>
      <c r="AB285" s="81"/>
      <c r="AC285" s="81"/>
      <c r="AD285" s="84" t="s">
        <v>2782</v>
      </c>
      <c r="AE285" s="82">
        <v>2</v>
      </c>
      <c r="AF285" s="83" t="str">
        <f>REPLACE(INDEX(GroupVertices[Group],MATCH(Edges[[#This Row],[Vertex 1]],GroupVertices[Vertex],0)),1,1,"")</f>
        <v>1</v>
      </c>
      <c r="AG285" s="83" t="str">
        <f>REPLACE(INDEX(GroupVertices[Group],MATCH(Edges[[#This Row],[Vertex 2]],GroupVertices[Vertex],0)),1,1,"")</f>
        <v>1</v>
      </c>
      <c r="AH285" s="111">
        <v>3</v>
      </c>
      <c r="AI285" s="112">
        <v>15.789473684210526</v>
      </c>
      <c r="AJ285" s="111">
        <v>0</v>
      </c>
      <c r="AK285" s="112">
        <v>0</v>
      </c>
      <c r="AL285" s="111">
        <v>0</v>
      </c>
      <c r="AM285" s="112">
        <v>0</v>
      </c>
      <c r="AN285" s="111">
        <v>16</v>
      </c>
      <c r="AO285" s="112">
        <v>84.21052631578948</v>
      </c>
      <c r="AP285" s="111">
        <v>19</v>
      </c>
    </row>
    <row r="286" spans="1:42" ht="15">
      <c r="A286" s="65" t="s">
        <v>429</v>
      </c>
      <c r="B286" s="65" t="s">
        <v>287</v>
      </c>
      <c r="C286" s="66" t="s">
        <v>5346</v>
      </c>
      <c r="D286" s="67">
        <v>10</v>
      </c>
      <c r="E286" s="68"/>
      <c r="F286" s="69">
        <v>15</v>
      </c>
      <c r="G286" s="66"/>
      <c r="H286" s="70"/>
      <c r="I286" s="71"/>
      <c r="J286" s="71"/>
      <c r="K286" s="35" t="s">
        <v>66</v>
      </c>
      <c r="L286" s="79">
        <v>286</v>
      </c>
      <c r="M286" s="79"/>
      <c r="N286" s="73"/>
      <c r="O286" s="81" t="s">
        <v>760</v>
      </c>
      <c r="P286" s="81" t="s">
        <v>215</v>
      </c>
      <c r="Q286" s="84" t="s">
        <v>1031</v>
      </c>
      <c r="R286" s="81" t="s">
        <v>429</v>
      </c>
      <c r="S286" s="81" t="s">
        <v>1758</v>
      </c>
      <c r="T286" s="86" t="str">
        <f>HYPERLINK("http://www.youtube.com/channel/UCXcl157VymrO9vRNg1nDMfQ")</f>
        <v>http://www.youtube.com/channel/UCXcl157VymrO9vRNg1nDMfQ</v>
      </c>
      <c r="U286" s="81"/>
      <c r="V286" s="81" t="s">
        <v>2311</v>
      </c>
      <c r="W286" s="86" t="str">
        <f>HYPERLINK("https://www.youtube.com/watch?v=DrCnSoZUXAc")</f>
        <v>https://www.youtube.com/watch?v=DrCnSoZUXAc</v>
      </c>
      <c r="X286" s="81" t="s">
        <v>2335</v>
      </c>
      <c r="Y286" s="81">
        <v>5</v>
      </c>
      <c r="Z286" s="88">
        <v>43287.868368055555</v>
      </c>
      <c r="AA286" s="88">
        <v>43287.868368055555</v>
      </c>
      <c r="AB286" s="81"/>
      <c r="AC286" s="81"/>
      <c r="AD286" s="84" t="s">
        <v>2782</v>
      </c>
      <c r="AE286" s="82">
        <v>2</v>
      </c>
      <c r="AF286" s="83" t="str">
        <f>REPLACE(INDEX(GroupVertices[Group],MATCH(Edges[[#This Row],[Vertex 1]],GroupVertices[Vertex],0)),1,1,"")</f>
        <v>1</v>
      </c>
      <c r="AG286" s="83" t="str">
        <f>REPLACE(INDEX(GroupVertices[Group],MATCH(Edges[[#This Row],[Vertex 2]],GroupVertices[Vertex],0)),1,1,"")</f>
        <v>1</v>
      </c>
      <c r="AH286" s="111">
        <v>2</v>
      </c>
      <c r="AI286" s="112">
        <v>18.181818181818183</v>
      </c>
      <c r="AJ286" s="111">
        <v>0</v>
      </c>
      <c r="AK286" s="112">
        <v>0</v>
      </c>
      <c r="AL286" s="111">
        <v>0</v>
      </c>
      <c r="AM286" s="112">
        <v>0</v>
      </c>
      <c r="AN286" s="111">
        <v>9</v>
      </c>
      <c r="AO286" s="112">
        <v>81.81818181818181</v>
      </c>
      <c r="AP286" s="111">
        <v>11</v>
      </c>
    </row>
    <row r="287" spans="1:42" ht="15">
      <c r="A287" s="65" t="s">
        <v>287</v>
      </c>
      <c r="B287" s="65" t="s">
        <v>429</v>
      </c>
      <c r="C287" s="66" t="s">
        <v>5346</v>
      </c>
      <c r="D287" s="67">
        <v>10</v>
      </c>
      <c r="E287" s="68"/>
      <c r="F287" s="69">
        <v>15</v>
      </c>
      <c r="G287" s="66"/>
      <c r="H287" s="70"/>
      <c r="I287" s="71"/>
      <c r="J287" s="71"/>
      <c r="K287" s="35" t="s">
        <v>66</v>
      </c>
      <c r="L287" s="79">
        <v>287</v>
      </c>
      <c r="M287" s="79"/>
      <c r="N287" s="73"/>
      <c r="O287" s="81" t="s">
        <v>761</v>
      </c>
      <c r="P287" s="81" t="s">
        <v>763</v>
      </c>
      <c r="Q287" s="84" t="s">
        <v>1032</v>
      </c>
      <c r="R287" s="81" t="s">
        <v>287</v>
      </c>
      <c r="S287" s="81" t="s">
        <v>1616</v>
      </c>
      <c r="T287" s="86" t="str">
        <f>HYPERLINK("http://www.youtube.com/channel/UCbUhO-tut97b5IQhZ3i7TMA")</f>
        <v>http://www.youtube.com/channel/UCbUhO-tut97b5IQhZ3i7TMA</v>
      </c>
      <c r="U287" s="81" t="s">
        <v>2155</v>
      </c>
      <c r="V287" s="81" t="s">
        <v>2313</v>
      </c>
      <c r="W287" s="86" t="str">
        <f>HYPERLINK("https://www.youtube.com/watch?v=-EA6GvKa0EA")</f>
        <v>https://www.youtube.com/watch?v=-EA6GvKa0EA</v>
      </c>
      <c r="X287" s="81" t="s">
        <v>2335</v>
      </c>
      <c r="Y287" s="81">
        <v>0</v>
      </c>
      <c r="Z287" s="88">
        <v>43229.81212962963</v>
      </c>
      <c r="AA287" s="88">
        <v>43229.81212962963</v>
      </c>
      <c r="AB287" s="81"/>
      <c r="AC287" s="81"/>
      <c r="AD287" s="84" t="s">
        <v>2782</v>
      </c>
      <c r="AE287" s="82">
        <v>2</v>
      </c>
      <c r="AF287" s="83" t="str">
        <f>REPLACE(INDEX(GroupVertices[Group],MATCH(Edges[[#This Row],[Vertex 1]],GroupVertices[Vertex],0)),1,1,"")</f>
        <v>1</v>
      </c>
      <c r="AG287" s="83" t="str">
        <f>REPLACE(INDEX(GroupVertices[Group],MATCH(Edges[[#This Row],[Vertex 2]],GroupVertices[Vertex],0)),1,1,"")</f>
        <v>1</v>
      </c>
      <c r="AH287" s="111">
        <v>1</v>
      </c>
      <c r="AI287" s="112">
        <v>14.285714285714286</v>
      </c>
      <c r="AJ287" s="111">
        <v>1</v>
      </c>
      <c r="AK287" s="112">
        <v>14.285714285714286</v>
      </c>
      <c r="AL287" s="111">
        <v>0</v>
      </c>
      <c r="AM287" s="112">
        <v>0</v>
      </c>
      <c r="AN287" s="111">
        <v>5</v>
      </c>
      <c r="AO287" s="112">
        <v>71.42857142857143</v>
      </c>
      <c r="AP287" s="111">
        <v>7</v>
      </c>
    </row>
    <row r="288" spans="1:42" ht="15">
      <c r="A288" s="65" t="s">
        <v>429</v>
      </c>
      <c r="B288" s="65" t="s">
        <v>287</v>
      </c>
      <c r="C288" s="66" t="s">
        <v>5346</v>
      </c>
      <c r="D288" s="67">
        <v>10</v>
      </c>
      <c r="E288" s="68"/>
      <c r="F288" s="69">
        <v>15</v>
      </c>
      <c r="G288" s="66"/>
      <c r="H288" s="70"/>
      <c r="I288" s="71"/>
      <c r="J288" s="71"/>
      <c r="K288" s="35" t="s">
        <v>66</v>
      </c>
      <c r="L288" s="79">
        <v>288</v>
      </c>
      <c r="M288" s="79"/>
      <c r="N288" s="73"/>
      <c r="O288" s="81" t="s">
        <v>760</v>
      </c>
      <c r="P288" s="81" t="s">
        <v>215</v>
      </c>
      <c r="Q288" s="84" t="s">
        <v>1033</v>
      </c>
      <c r="R288" s="81" t="s">
        <v>429</v>
      </c>
      <c r="S288" s="81" t="s">
        <v>1758</v>
      </c>
      <c r="T288" s="86" t="str">
        <f>HYPERLINK("http://www.youtube.com/channel/UCXcl157VymrO9vRNg1nDMfQ")</f>
        <v>http://www.youtube.com/channel/UCXcl157VymrO9vRNg1nDMfQ</v>
      </c>
      <c r="U288" s="81"/>
      <c r="V288" s="81" t="s">
        <v>2313</v>
      </c>
      <c r="W288" s="86" t="str">
        <f>HYPERLINK("https://www.youtube.com/watch?v=-EA6GvKa0EA")</f>
        <v>https://www.youtube.com/watch?v=-EA6GvKa0EA</v>
      </c>
      <c r="X288" s="81" t="s">
        <v>2335</v>
      </c>
      <c r="Y288" s="81">
        <v>2</v>
      </c>
      <c r="Z288" s="88">
        <v>43199.97440972222</v>
      </c>
      <c r="AA288" s="88">
        <v>43199.97440972222</v>
      </c>
      <c r="AB288" s="81"/>
      <c r="AC288" s="81"/>
      <c r="AD288" s="84" t="s">
        <v>2782</v>
      </c>
      <c r="AE288" s="82">
        <v>2</v>
      </c>
      <c r="AF288" s="83" t="str">
        <f>REPLACE(INDEX(GroupVertices[Group],MATCH(Edges[[#This Row],[Vertex 1]],GroupVertices[Vertex],0)),1,1,"")</f>
        <v>1</v>
      </c>
      <c r="AG288" s="83" t="str">
        <f>REPLACE(INDEX(GroupVertices[Group],MATCH(Edges[[#This Row],[Vertex 2]],GroupVertices[Vertex],0)),1,1,"")</f>
        <v>1</v>
      </c>
      <c r="AH288" s="111">
        <v>2</v>
      </c>
      <c r="AI288" s="112">
        <v>28.571428571428573</v>
      </c>
      <c r="AJ288" s="111">
        <v>0</v>
      </c>
      <c r="AK288" s="112">
        <v>0</v>
      </c>
      <c r="AL288" s="111">
        <v>0</v>
      </c>
      <c r="AM288" s="112">
        <v>0</v>
      </c>
      <c r="AN288" s="111">
        <v>5</v>
      </c>
      <c r="AO288" s="112">
        <v>71.42857142857143</v>
      </c>
      <c r="AP288" s="111">
        <v>7</v>
      </c>
    </row>
    <row r="289" spans="1:42" ht="15">
      <c r="A289" s="65" t="s">
        <v>287</v>
      </c>
      <c r="B289" s="65" t="s">
        <v>430</v>
      </c>
      <c r="C289" s="66" t="s">
        <v>5345</v>
      </c>
      <c r="D289" s="67">
        <v>3</v>
      </c>
      <c r="E289" s="68"/>
      <c r="F289" s="69">
        <v>40</v>
      </c>
      <c r="G289" s="66"/>
      <c r="H289" s="70"/>
      <c r="I289" s="71"/>
      <c r="J289" s="71"/>
      <c r="K289" s="35" t="s">
        <v>66</v>
      </c>
      <c r="L289" s="79">
        <v>289</v>
      </c>
      <c r="M289" s="79"/>
      <c r="N289" s="73"/>
      <c r="O289" s="81" t="s">
        <v>761</v>
      </c>
      <c r="P289" s="81" t="s">
        <v>763</v>
      </c>
      <c r="Q289" s="84" t="s">
        <v>1034</v>
      </c>
      <c r="R289" s="81" t="s">
        <v>287</v>
      </c>
      <c r="S289" s="81" t="s">
        <v>1616</v>
      </c>
      <c r="T289" s="86" t="str">
        <f>HYPERLINK("http://www.youtube.com/channel/UCbUhO-tut97b5IQhZ3i7TMA")</f>
        <v>http://www.youtube.com/channel/UCbUhO-tut97b5IQhZ3i7TMA</v>
      </c>
      <c r="U289" s="81" t="s">
        <v>2156</v>
      </c>
      <c r="V289" s="81" t="s">
        <v>2313</v>
      </c>
      <c r="W289" s="86" t="str">
        <f>HYPERLINK("https://www.youtube.com/watch?v=-EA6GvKa0EA")</f>
        <v>https://www.youtube.com/watch?v=-EA6GvKa0EA</v>
      </c>
      <c r="X289" s="81" t="s">
        <v>2335</v>
      </c>
      <c r="Y289" s="81">
        <v>0</v>
      </c>
      <c r="Z289" s="88">
        <v>43413.8458912037</v>
      </c>
      <c r="AA289" s="88">
        <v>43413.8458912037</v>
      </c>
      <c r="AB289" s="81"/>
      <c r="AC289" s="81"/>
      <c r="AD289" s="84" t="s">
        <v>2782</v>
      </c>
      <c r="AE289" s="82">
        <v>1</v>
      </c>
      <c r="AF289" s="83" t="str">
        <f>REPLACE(INDEX(GroupVertices[Group],MATCH(Edges[[#This Row],[Vertex 1]],GroupVertices[Vertex],0)),1,1,"")</f>
        <v>1</v>
      </c>
      <c r="AG289" s="83" t="str">
        <f>REPLACE(INDEX(GroupVertices[Group],MATCH(Edges[[#This Row],[Vertex 2]],GroupVertices[Vertex],0)),1,1,"")</f>
        <v>1</v>
      </c>
      <c r="AH289" s="111">
        <v>1</v>
      </c>
      <c r="AI289" s="112">
        <v>25</v>
      </c>
      <c r="AJ289" s="111">
        <v>0</v>
      </c>
      <c r="AK289" s="112">
        <v>0</v>
      </c>
      <c r="AL289" s="111">
        <v>0</v>
      </c>
      <c r="AM289" s="112">
        <v>0</v>
      </c>
      <c r="AN289" s="111">
        <v>3</v>
      </c>
      <c r="AO289" s="112">
        <v>75</v>
      </c>
      <c r="AP289" s="111">
        <v>4</v>
      </c>
    </row>
    <row r="290" spans="1:42" ht="15">
      <c r="A290" s="65" t="s">
        <v>430</v>
      </c>
      <c r="B290" s="65" t="s">
        <v>287</v>
      </c>
      <c r="C290" s="66" t="s">
        <v>5345</v>
      </c>
      <c r="D290" s="67">
        <v>3</v>
      </c>
      <c r="E290" s="68"/>
      <c r="F290" s="69">
        <v>40</v>
      </c>
      <c r="G290" s="66"/>
      <c r="H290" s="70"/>
      <c r="I290" s="71"/>
      <c r="J290" s="71"/>
      <c r="K290" s="35" t="s">
        <v>66</v>
      </c>
      <c r="L290" s="79">
        <v>290</v>
      </c>
      <c r="M290" s="79"/>
      <c r="N290" s="73"/>
      <c r="O290" s="81" t="s">
        <v>760</v>
      </c>
      <c r="P290" s="81" t="s">
        <v>215</v>
      </c>
      <c r="Q290" s="84" t="s">
        <v>1035</v>
      </c>
      <c r="R290" s="81" t="s">
        <v>430</v>
      </c>
      <c r="S290" s="81" t="s">
        <v>1759</v>
      </c>
      <c r="T290" s="86" t="str">
        <f>HYPERLINK("http://www.youtube.com/channel/UCNeUHjjDcVrn3-JbArGhNwg")</f>
        <v>http://www.youtube.com/channel/UCNeUHjjDcVrn3-JbArGhNwg</v>
      </c>
      <c r="U290" s="81"/>
      <c r="V290" s="81" t="s">
        <v>2313</v>
      </c>
      <c r="W290" s="86" t="str">
        <f>HYPERLINK("https://www.youtube.com/watch?v=-EA6GvKa0EA")</f>
        <v>https://www.youtube.com/watch?v=-EA6GvKa0EA</v>
      </c>
      <c r="X290" s="81" t="s">
        <v>2335</v>
      </c>
      <c r="Y290" s="81">
        <v>0</v>
      </c>
      <c r="Z290" s="88">
        <v>43382.014386574076</v>
      </c>
      <c r="AA290" s="88">
        <v>43382.014386574076</v>
      </c>
      <c r="AB290" s="81"/>
      <c r="AC290" s="81"/>
      <c r="AD290" s="84" t="s">
        <v>2782</v>
      </c>
      <c r="AE290" s="82">
        <v>1</v>
      </c>
      <c r="AF290" s="83" t="str">
        <f>REPLACE(INDEX(GroupVertices[Group],MATCH(Edges[[#This Row],[Vertex 1]],GroupVertices[Vertex],0)),1,1,"")</f>
        <v>1</v>
      </c>
      <c r="AG290" s="83" t="str">
        <f>REPLACE(INDEX(GroupVertices[Group],MATCH(Edges[[#This Row],[Vertex 2]],GroupVertices[Vertex],0)),1,1,"")</f>
        <v>1</v>
      </c>
      <c r="AH290" s="111">
        <v>8</v>
      </c>
      <c r="AI290" s="112">
        <v>10.666666666666666</v>
      </c>
      <c r="AJ290" s="111">
        <v>0</v>
      </c>
      <c r="AK290" s="112">
        <v>0</v>
      </c>
      <c r="AL290" s="111">
        <v>0</v>
      </c>
      <c r="AM290" s="112">
        <v>0</v>
      </c>
      <c r="AN290" s="111">
        <v>67</v>
      </c>
      <c r="AO290" s="112">
        <v>89.33333333333333</v>
      </c>
      <c r="AP290" s="111">
        <v>75</v>
      </c>
    </row>
    <row r="291" spans="1:42" ht="15">
      <c r="A291" s="65" t="s">
        <v>431</v>
      </c>
      <c r="B291" s="65" t="s">
        <v>287</v>
      </c>
      <c r="C291" s="66" t="s">
        <v>5345</v>
      </c>
      <c r="D291" s="67">
        <v>3</v>
      </c>
      <c r="E291" s="68"/>
      <c r="F291" s="69">
        <v>40</v>
      </c>
      <c r="G291" s="66"/>
      <c r="H291" s="70"/>
      <c r="I291" s="71"/>
      <c r="J291" s="71"/>
      <c r="K291" s="35" t="s">
        <v>65</v>
      </c>
      <c r="L291" s="79">
        <v>291</v>
      </c>
      <c r="M291" s="79"/>
      <c r="N291" s="73"/>
      <c r="O291" s="81" t="s">
        <v>760</v>
      </c>
      <c r="P291" s="81" t="s">
        <v>215</v>
      </c>
      <c r="Q291" s="84" t="s">
        <v>1036</v>
      </c>
      <c r="R291" s="81" t="s">
        <v>431</v>
      </c>
      <c r="S291" s="81" t="s">
        <v>1760</v>
      </c>
      <c r="T291" s="86" t="str">
        <f>HYPERLINK("http://www.youtube.com/channel/UC6LaBZ_TUJkyYifcxZ1hTcw")</f>
        <v>http://www.youtube.com/channel/UC6LaBZ_TUJkyYifcxZ1hTcw</v>
      </c>
      <c r="U291" s="81"/>
      <c r="V291" s="81" t="s">
        <v>2313</v>
      </c>
      <c r="W291" s="86" t="str">
        <f>HYPERLINK("https://www.youtube.com/watch?v=-EA6GvKa0EA")</f>
        <v>https://www.youtube.com/watch?v=-EA6GvKa0EA</v>
      </c>
      <c r="X291" s="81" t="s">
        <v>2335</v>
      </c>
      <c r="Y291" s="81">
        <v>0</v>
      </c>
      <c r="Z291" s="81" t="s">
        <v>2431</v>
      </c>
      <c r="AA291" s="81" t="s">
        <v>2431</v>
      </c>
      <c r="AB291" s="81"/>
      <c r="AC291" s="81"/>
      <c r="AD291" s="84" t="s">
        <v>2782</v>
      </c>
      <c r="AE291" s="82">
        <v>1</v>
      </c>
      <c r="AF291" s="83" t="str">
        <f>REPLACE(INDEX(GroupVertices[Group],MATCH(Edges[[#This Row],[Vertex 1]],GroupVertices[Vertex],0)),1,1,"")</f>
        <v>1</v>
      </c>
      <c r="AG291" s="83" t="str">
        <f>REPLACE(INDEX(GroupVertices[Group],MATCH(Edges[[#This Row],[Vertex 2]],GroupVertices[Vertex],0)),1,1,"")</f>
        <v>1</v>
      </c>
      <c r="AH291" s="111">
        <v>4</v>
      </c>
      <c r="AI291" s="112">
        <v>13.333333333333334</v>
      </c>
      <c r="AJ291" s="111">
        <v>0</v>
      </c>
      <c r="AK291" s="112">
        <v>0</v>
      </c>
      <c r="AL291" s="111">
        <v>0</v>
      </c>
      <c r="AM291" s="112">
        <v>0</v>
      </c>
      <c r="AN291" s="111">
        <v>26</v>
      </c>
      <c r="AO291" s="112">
        <v>86.66666666666667</v>
      </c>
      <c r="AP291" s="111">
        <v>30</v>
      </c>
    </row>
    <row r="292" spans="1:42" ht="15">
      <c r="A292" s="65" t="s">
        <v>287</v>
      </c>
      <c r="B292" s="65" t="s">
        <v>432</v>
      </c>
      <c r="C292" s="66" t="s">
        <v>5345</v>
      </c>
      <c r="D292" s="67">
        <v>3</v>
      </c>
      <c r="E292" s="68"/>
      <c r="F292" s="69">
        <v>40</v>
      </c>
      <c r="G292" s="66"/>
      <c r="H292" s="70"/>
      <c r="I292" s="71"/>
      <c r="J292" s="71"/>
      <c r="K292" s="35" t="s">
        <v>66</v>
      </c>
      <c r="L292" s="79">
        <v>292</v>
      </c>
      <c r="M292" s="79"/>
      <c r="N292" s="73"/>
      <c r="O292" s="81" t="s">
        <v>761</v>
      </c>
      <c r="P292" s="81" t="s">
        <v>763</v>
      </c>
      <c r="Q292" s="84" t="s">
        <v>1037</v>
      </c>
      <c r="R292" s="81" t="s">
        <v>287</v>
      </c>
      <c r="S292" s="81" t="s">
        <v>1616</v>
      </c>
      <c r="T292" s="86" t="str">
        <f>HYPERLINK("http://www.youtube.com/channel/UCbUhO-tut97b5IQhZ3i7TMA")</f>
        <v>http://www.youtube.com/channel/UCbUhO-tut97b5IQhZ3i7TMA</v>
      </c>
      <c r="U292" s="81" t="s">
        <v>2157</v>
      </c>
      <c r="V292" s="81" t="s">
        <v>2313</v>
      </c>
      <c r="W292" s="86" t="str">
        <f>HYPERLINK("https://www.youtube.com/watch?v=-EA6GvKa0EA")</f>
        <v>https://www.youtube.com/watch?v=-EA6GvKa0EA</v>
      </c>
      <c r="X292" s="81" t="s">
        <v>2335</v>
      </c>
      <c r="Y292" s="81">
        <v>0</v>
      </c>
      <c r="Z292" s="88">
        <v>43169.6283912037</v>
      </c>
      <c r="AA292" s="88">
        <v>43169.6283912037</v>
      </c>
      <c r="AB292" s="81"/>
      <c r="AC292" s="81"/>
      <c r="AD292" s="84" t="s">
        <v>2782</v>
      </c>
      <c r="AE292" s="82">
        <v>1</v>
      </c>
      <c r="AF292" s="83" t="str">
        <f>REPLACE(INDEX(GroupVertices[Group],MATCH(Edges[[#This Row],[Vertex 1]],GroupVertices[Vertex],0)),1,1,"")</f>
        <v>1</v>
      </c>
      <c r="AG292" s="83" t="str">
        <f>REPLACE(INDEX(GroupVertices[Group],MATCH(Edges[[#This Row],[Vertex 2]],GroupVertices[Vertex],0)),1,1,"")</f>
        <v>1</v>
      </c>
      <c r="AH292" s="111">
        <v>2</v>
      </c>
      <c r="AI292" s="112">
        <v>33.333333333333336</v>
      </c>
      <c r="AJ292" s="111">
        <v>0</v>
      </c>
      <c r="AK292" s="112">
        <v>0</v>
      </c>
      <c r="AL292" s="111">
        <v>0</v>
      </c>
      <c r="AM292" s="112">
        <v>0</v>
      </c>
      <c r="AN292" s="111">
        <v>4</v>
      </c>
      <c r="AO292" s="112">
        <v>66.66666666666667</v>
      </c>
      <c r="AP292" s="111">
        <v>6</v>
      </c>
    </row>
    <row r="293" spans="1:42" ht="15">
      <c r="A293" s="65" t="s">
        <v>432</v>
      </c>
      <c r="B293" s="65" t="s">
        <v>287</v>
      </c>
      <c r="C293" s="66" t="s">
        <v>5345</v>
      </c>
      <c r="D293" s="67">
        <v>3</v>
      </c>
      <c r="E293" s="68"/>
      <c r="F293" s="69">
        <v>40</v>
      </c>
      <c r="G293" s="66"/>
      <c r="H293" s="70"/>
      <c r="I293" s="71"/>
      <c r="J293" s="71"/>
      <c r="K293" s="35" t="s">
        <v>66</v>
      </c>
      <c r="L293" s="79">
        <v>293</v>
      </c>
      <c r="M293" s="79"/>
      <c r="N293" s="73"/>
      <c r="O293" s="81" t="s">
        <v>760</v>
      </c>
      <c r="P293" s="81" t="s">
        <v>215</v>
      </c>
      <c r="Q293" s="84" t="s">
        <v>1038</v>
      </c>
      <c r="R293" s="81" t="s">
        <v>432</v>
      </c>
      <c r="S293" s="81" t="s">
        <v>1761</v>
      </c>
      <c r="T293" s="86" t="str">
        <f>HYPERLINK("http://www.youtube.com/channel/UCKrWCbIKAdCU2KifXPioi0g")</f>
        <v>http://www.youtube.com/channel/UCKrWCbIKAdCU2KifXPioi0g</v>
      </c>
      <c r="U293" s="81"/>
      <c r="V293" s="81" t="s">
        <v>2313</v>
      </c>
      <c r="W293" s="86" t="str">
        <f>HYPERLINK("https://www.youtube.com/watch?v=-EA6GvKa0EA")</f>
        <v>https://www.youtube.com/watch?v=-EA6GvKa0EA</v>
      </c>
      <c r="X293" s="81" t="s">
        <v>2335</v>
      </c>
      <c r="Y293" s="81">
        <v>0</v>
      </c>
      <c r="Z293" s="88">
        <v>43169.27515046296</v>
      </c>
      <c r="AA293" s="88">
        <v>43169.27515046296</v>
      </c>
      <c r="AB293" s="81"/>
      <c r="AC293" s="81"/>
      <c r="AD293" s="84" t="s">
        <v>2782</v>
      </c>
      <c r="AE293" s="82">
        <v>1</v>
      </c>
      <c r="AF293" s="83" t="str">
        <f>REPLACE(INDEX(GroupVertices[Group],MATCH(Edges[[#This Row],[Vertex 1]],GroupVertices[Vertex],0)),1,1,"")</f>
        <v>1</v>
      </c>
      <c r="AG293" s="83" t="str">
        <f>REPLACE(INDEX(GroupVertices[Group],MATCH(Edges[[#This Row],[Vertex 2]],GroupVertices[Vertex],0)),1,1,"")</f>
        <v>1</v>
      </c>
      <c r="AH293" s="111">
        <v>3</v>
      </c>
      <c r="AI293" s="112">
        <v>23.076923076923077</v>
      </c>
      <c r="AJ293" s="111">
        <v>0</v>
      </c>
      <c r="AK293" s="112">
        <v>0</v>
      </c>
      <c r="AL293" s="111">
        <v>0</v>
      </c>
      <c r="AM293" s="112">
        <v>0</v>
      </c>
      <c r="AN293" s="111">
        <v>10</v>
      </c>
      <c r="AO293" s="112">
        <v>76.92307692307692</v>
      </c>
      <c r="AP293" s="111">
        <v>13</v>
      </c>
    </row>
    <row r="294" spans="1:42" ht="15">
      <c r="A294" s="65" t="s">
        <v>287</v>
      </c>
      <c r="B294" s="65" t="s">
        <v>433</v>
      </c>
      <c r="C294" s="66" t="s">
        <v>5345</v>
      </c>
      <c r="D294" s="67">
        <v>3</v>
      </c>
      <c r="E294" s="68"/>
      <c r="F294" s="69">
        <v>40</v>
      </c>
      <c r="G294" s="66"/>
      <c r="H294" s="70"/>
      <c r="I294" s="71"/>
      <c r="J294" s="71"/>
      <c r="K294" s="35" t="s">
        <v>66</v>
      </c>
      <c r="L294" s="79">
        <v>294</v>
      </c>
      <c r="M294" s="79"/>
      <c r="N294" s="73"/>
      <c r="O294" s="81" t="s">
        <v>761</v>
      </c>
      <c r="P294" s="81" t="s">
        <v>763</v>
      </c>
      <c r="Q294" s="84" t="s">
        <v>1039</v>
      </c>
      <c r="R294" s="81" t="s">
        <v>287</v>
      </c>
      <c r="S294" s="81" t="s">
        <v>1616</v>
      </c>
      <c r="T294" s="86" t="str">
        <f>HYPERLINK("http://www.youtube.com/channel/UCbUhO-tut97b5IQhZ3i7TMA")</f>
        <v>http://www.youtube.com/channel/UCbUhO-tut97b5IQhZ3i7TMA</v>
      </c>
      <c r="U294" s="81" t="s">
        <v>2158</v>
      </c>
      <c r="V294" s="81" t="s">
        <v>2313</v>
      </c>
      <c r="W294" s="86" t="str">
        <f>HYPERLINK("https://www.youtube.com/watch?v=-EA6GvKa0EA")</f>
        <v>https://www.youtube.com/watch?v=-EA6GvKa0EA</v>
      </c>
      <c r="X294" s="81" t="s">
        <v>2335</v>
      </c>
      <c r="Y294" s="81">
        <v>1</v>
      </c>
      <c r="Z294" s="88">
        <v>43261.69631944445</v>
      </c>
      <c r="AA294" s="88">
        <v>43261.69631944445</v>
      </c>
      <c r="AB294" s="81"/>
      <c r="AC294" s="81"/>
      <c r="AD294" s="84" t="s">
        <v>2782</v>
      </c>
      <c r="AE294" s="82">
        <v>1</v>
      </c>
      <c r="AF294" s="83" t="str">
        <f>REPLACE(INDEX(GroupVertices[Group],MATCH(Edges[[#This Row],[Vertex 1]],GroupVertices[Vertex],0)),1,1,"")</f>
        <v>1</v>
      </c>
      <c r="AG294" s="83" t="str">
        <f>REPLACE(INDEX(GroupVertices[Group],MATCH(Edges[[#This Row],[Vertex 2]],GroupVertices[Vertex],0)),1,1,"")</f>
        <v>1</v>
      </c>
      <c r="AH294" s="111">
        <v>0</v>
      </c>
      <c r="AI294" s="112">
        <v>0</v>
      </c>
      <c r="AJ294" s="111">
        <v>0</v>
      </c>
      <c r="AK294" s="112">
        <v>0</v>
      </c>
      <c r="AL294" s="111">
        <v>0</v>
      </c>
      <c r="AM294" s="112">
        <v>0</v>
      </c>
      <c r="AN294" s="111">
        <v>3</v>
      </c>
      <c r="AO294" s="112">
        <v>100</v>
      </c>
      <c r="AP294" s="111">
        <v>3</v>
      </c>
    </row>
    <row r="295" spans="1:42" ht="15">
      <c r="A295" s="65" t="s">
        <v>433</v>
      </c>
      <c r="B295" s="65" t="s">
        <v>287</v>
      </c>
      <c r="C295" s="66" t="s">
        <v>5345</v>
      </c>
      <c r="D295" s="67">
        <v>3</v>
      </c>
      <c r="E295" s="68"/>
      <c r="F295" s="69">
        <v>40</v>
      </c>
      <c r="G295" s="66"/>
      <c r="H295" s="70"/>
      <c r="I295" s="71"/>
      <c r="J295" s="71"/>
      <c r="K295" s="35" t="s">
        <v>66</v>
      </c>
      <c r="L295" s="79">
        <v>295</v>
      </c>
      <c r="M295" s="79"/>
      <c r="N295" s="73"/>
      <c r="O295" s="81" t="s">
        <v>760</v>
      </c>
      <c r="P295" s="81" t="s">
        <v>215</v>
      </c>
      <c r="Q295" s="84" t="s">
        <v>1040</v>
      </c>
      <c r="R295" s="81" t="s">
        <v>433</v>
      </c>
      <c r="S295" s="81" t="s">
        <v>1762</v>
      </c>
      <c r="T295" s="86" t="str">
        <f>HYPERLINK("http://www.youtube.com/channel/UCg8gJerTFALveG4XDXHw-QQ")</f>
        <v>http://www.youtube.com/channel/UCg8gJerTFALveG4XDXHw-QQ</v>
      </c>
      <c r="U295" s="81"/>
      <c r="V295" s="81" t="s">
        <v>2313</v>
      </c>
      <c r="W295" s="86" t="str">
        <f>HYPERLINK("https://www.youtube.com/watch?v=-EA6GvKa0EA")</f>
        <v>https://www.youtube.com/watch?v=-EA6GvKa0EA</v>
      </c>
      <c r="X295" s="81" t="s">
        <v>2335</v>
      </c>
      <c r="Y295" s="81">
        <v>0</v>
      </c>
      <c r="Z295" s="88">
        <v>43261.500555555554</v>
      </c>
      <c r="AA295" s="88">
        <v>43261.50640046296</v>
      </c>
      <c r="AB295" s="81" t="s">
        <v>2761</v>
      </c>
      <c r="AC295" s="81" t="s">
        <v>2774</v>
      </c>
      <c r="AD295" s="84" t="s">
        <v>2782</v>
      </c>
      <c r="AE295" s="82">
        <v>1</v>
      </c>
      <c r="AF295" s="83" t="str">
        <f>REPLACE(INDEX(GroupVertices[Group],MATCH(Edges[[#This Row],[Vertex 1]],GroupVertices[Vertex],0)),1,1,"")</f>
        <v>1</v>
      </c>
      <c r="AG295" s="83" t="str">
        <f>REPLACE(INDEX(GroupVertices[Group],MATCH(Edges[[#This Row],[Vertex 2]],GroupVertices[Vertex],0)),1,1,"")</f>
        <v>1</v>
      </c>
      <c r="AH295" s="111">
        <v>5</v>
      </c>
      <c r="AI295" s="112">
        <v>13.157894736842104</v>
      </c>
      <c r="AJ295" s="111">
        <v>0</v>
      </c>
      <c r="AK295" s="112">
        <v>0</v>
      </c>
      <c r="AL295" s="111">
        <v>0</v>
      </c>
      <c r="AM295" s="112">
        <v>0</v>
      </c>
      <c r="AN295" s="111">
        <v>33</v>
      </c>
      <c r="AO295" s="112">
        <v>86.84210526315789</v>
      </c>
      <c r="AP295" s="111">
        <v>38</v>
      </c>
    </row>
    <row r="296" spans="1:42" ht="15">
      <c r="A296" s="65" t="s">
        <v>287</v>
      </c>
      <c r="B296" s="65" t="s">
        <v>434</v>
      </c>
      <c r="C296" s="66" t="s">
        <v>5345</v>
      </c>
      <c r="D296" s="67">
        <v>3</v>
      </c>
      <c r="E296" s="68"/>
      <c r="F296" s="69">
        <v>40</v>
      </c>
      <c r="G296" s="66"/>
      <c r="H296" s="70"/>
      <c r="I296" s="71"/>
      <c r="J296" s="71"/>
      <c r="K296" s="35" t="s">
        <v>66</v>
      </c>
      <c r="L296" s="79">
        <v>296</v>
      </c>
      <c r="M296" s="79"/>
      <c r="N296" s="73"/>
      <c r="O296" s="81" t="s">
        <v>761</v>
      </c>
      <c r="P296" s="81" t="s">
        <v>763</v>
      </c>
      <c r="Q296" s="84" t="s">
        <v>1041</v>
      </c>
      <c r="R296" s="81" t="s">
        <v>287</v>
      </c>
      <c r="S296" s="81" t="s">
        <v>1616</v>
      </c>
      <c r="T296" s="86" t="str">
        <f>HYPERLINK("http://www.youtube.com/channel/UCbUhO-tut97b5IQhZ3i7TMA")</f>
        <v>http://www.youtube.com/channel/UCbUhO-tut97b5IQhZ3i7TMA</v>
      </c>
      <c r="U296" s="81" t="s">
        <v>2159</v>
      </c>
      <c r="V296" s="81" t="s">
        <v>2313</v>
      </c>
      <c r="W296" s="86" t="str">
        <f>HYPERLINK("https://www.youtube.com/watch?v=-EA6GvKa0EA")</f>
        <v>https://www.youtube.com/watch?v=-EA6GvKa0EA</v>
      </c>
      <c r="X296" s="81" t="s">
        <v>2335</v>
      </c>
      <c r="Y296" s="81">
        <v>0</v>
      </c>
      <c r="Z296" s="88">
        <v>43291.935115740744</v>
      </c>
      <c r="AA296" s="88">
        <v>43291.935115740744</v>
      </c>
      <c r="AB296" s="81"/>
      <c r="AC296" s="81"/>
      <c r="AD296" s="84" t="s">
        <v>2782</v>
      </c>
      <c r="AE296" s="82">
        <v>1</v>
      </c>
      <c r="AF296" s="83" t="str">
        <f>REPLACE(INDEX(GroupVertices[Group],MATCH(Edges[[#This Row],[Vertex 1]],GroupVertices[Vertex],0)),1,1,"")</f>
        <v>1</v>
      </c>
      <c r="AG296" s="83" t="str">
        <f>REPLACE(INDEX(GroupVertices[Group],MATCH(Edges[[#This Row],[Vertex 2]],GroupVertices[Vertex],0)),1,1,"")</f>
        <v>1</v>
      </c>
      <c r="AH296" s="111">
        <v>1</v>
      </c>
      <c r="AI296" s="112">
        <v>33.333333333333336</v>
      </c>
      <c r="AJ296" s="111">
        <v>0</v>
      </c>
      <c r="AK296" s="112">
        <v>0</v>
      </c>
      <c r="AL296" s="111">
        <v>0</v>
      </c>
      <c r="AM296" s="112">
        <v>0</v>
      </c>
      <c r="AN296" s="111">
        <v>2</v>
      </c>
      <c r="AO296" s="112">
        <v>66.66666666666667</v>
      </c>
      <c r="AP296" s="111">
        <v>3</v>
      </c>
    </row>
    <row r="297" spans="1:42" ht="15">
      <c r="A297" s="65" t="s">
        <v>434</v>
      </c>
      <c r="B297" s="65" t="s">
        <v>287</v>
      </c>
      <c r="C297" s="66" t="s">
        <v>5345</v>
      </c>
      <c r="D297" s="67">
        <v>3</v>
      </c>
      <c r="E297" s="68"/>
      <c r="F297" s="69">
        <v>40</v>
      </c>
      <c r="G297" s="66"/>
      <c r="H297" s="70"/>
      <c r="I297" s="71"/>
      <c r="J297" s="71"/>
      <c r="K297" s="35" t="s">
        <v>66</v>
      </c>
      <c r="L297" s="79">
        <v>297</v>
      </c>
      <c r="M297" s="79"/>
      <c r="N297" s="73"/>
      <c r="O297" s="81" t="s">
        <v>760</v>
      </c>
      <c r="P297" s="81" t="s">
        <v>215</v>
      </c>
      <c r="Q297" s="84" t="s">
        <v>1042</v>
      </c>
      <c r="R297" s="81" t="s">
        <v>434</v>
      </c>
      <c r="S297" s="81" t="s">
        <v>1763</v>
      </c>
      <c r="T297" s="86" t="str">
        <f>HYPERLINK("http://www.youtube.com/channel/UC-t7W0TO210XGhyZdTcUEZw")</f>
        <v>http://www.youtube.com/channel/UC-t7W0TO210XGhyZdTcUEZw</v>
      </c>
      <c r="U297" s="81"/>
      <c r="V297" s="81" t="s">
        <v>2313</v>
      </c>
      <c r="W297" s="86" t="str">
        <f>HYPERLINK("https://www.youtube.com/watch?v=-EA6GvKa0EA")</f>
        <v>https://www.youtube.com/watch?v=-EA6GvKa0EA</v>
      </c>
      <c r="X297" s="81" t="s">
        <v>2335</v>
      </c>
      <c r="Y297" s="81">
        <v>1</v>
      </c>
      <c r="Z297" s="88">
        <v>43291.00950231482</v>
      </c>
      <c r="AA297" s="88">
        <v>43291.00950231482</v>
      </c>
      <c r="AB297" s="81"/>
      <c r="AC297" s="81"/>
      <c r="AD297" s="84" t="s">
        <v>2782</v>
      </c>
      <c r="AE297" s="82">
        <v>1</v>
      </c>
      <c r="AF297" s="83" t="str">
        <f>REPLACE(INDEX(GroupVertices[Group],MATCH(Edges[[#This Row],[Vertex 1]],GroupVertices[Vertex],0)),1,1,"")</f>
        <v>1</v>
      </c>
      <c r="AG297" s="83" t="str">
        <f>REPLACE(INDEX(GroupVertices[Group],MATCH(Edges[[#This Row],[Vertex 2]],GroupVertices[Vertex],0)),1,1,"")</f>
        <v>1</v>
      </c>
      <c r="AH297" s="111">
        <v>3</v>
      </c>
      <c r="AI297" s="112">
        <v>12.5</v>
      </c>
      <c r="AJ297" s="111">
        <v>0</v>
      </c>
      <c r="AK297" s="112">
        <v>0</v>
      </c>
      <c r="AL297" s="111">
        <v>0</v>
      </c>
      <c r="AM297" s="112">
        <v>0</v>
      </c>
      <c r="AN297" s="111">
        <v>21</v>
      </c>
      <c r="AO297" s="112">
        <v>87.5</v>
      </c>
      <c r="AP297" s="111">
        <v>24</v>
      </c>
    </row>
    <row r="298" spans="1:42" ht="15">
      <c r="A298" s="65" t="s">
        <v>435</v>
      </c>
      <c r="B298" s="65" t="s">
        <v>287</v>
      </c>
      <c r="C298" s="66" t="s">
        <v>5345</v>
      </c>
      <c r="D298" s="67">
        <v>3</v>
      </c>
      <c r="E298" s="68"/>
      <c r="F298" s="69">
        <v>40</v>
      </c>
      <c r="G298" s="66"/>
      <c r="H298" s="70"/>
      <c r="I298" s="71"/>
      <c r="J298" s="71"/>
      <c r="K298" s="35" t="s">
        <v>65</v>
      </c>
      <c r="L298" s="79">
        <v>298</v>
      </c>
      <c r="M298" s="79"/>
      <c r="N298" s="73"/>
      <c r="O298" s="81" t="s">
        <v>760</v>
      </c>
      <c r="P298" s="81" t="s">
        <v>215</v>
      </c>
      <c r="Q298" s="84" t="s">
        <v>1043</v>
      </c>
      <c r="R298" s="81" t="s">
        <v>435</v>
      </c>
      <c r="S298" s="81" t="s">
        <v>1764</v>
      </c>
      <c r="T298" s="86" t="str">
        <f>HYPERLINK("http://www.youtube.com/channel/UCTMI-Ibj-RffeLY6xdTkgWA")</f>
        <v>http://www.youtube.com/channel/UCTMI-Ibj-RffeLY6xdTkgWA</v>
      </c>
      <c r="U298" s="81"/>
      <c r="V298" s="81" t="s">
        <v>2313</v>
      </c>
      <c r="W298" s="86" t="str">
        <f>HYPERLINK("https://www.youtube.com/watch?v=-EA6GvKa0EA")</f>
        <v>https://www.youtube.com/watch?v=-EA6GvKa0EA</v>
      </c>
      <c r="X298" s="81" t="s">
        <v>2335</v>
      </c>
      <c r="Y298" s="81">
        <v>0</v>
      </c>
      <c r="Z298" s="81" t="s">
        <v>2432</v>
      </c>
      <c r="AA298" s="81" t="s">
        <v>2432</v>
      </c>
      <c r="AB298" s="81"/>
      <c r="AC298" s="81"/>
      <c r="AD298" s="84" t="s">
        <v>2782</v>
      </c>
      <c r="AE298" s="82">
        <v>1</v>
      </c>
      <c r="AF298" s="83" t="str">
        <f>REPLACE(INDEX(GroupVertices[Group],MATCH(Edges[[#This Row],[Vertex 1]],GroupVertices[Vertex],0)),1,1,"")</f>
        <v>1</v>
      </c>
      <c r="AG298" s="83" t="str">
        <f>REPLACE(INDEX(GroupVertices[Group],MATCH(Edges[[#This Row],[Vertex 2]],GroupVertices[Vertex],0)),1,1,"")</f>
        <v>1</v>
      </c>
      <c r="AH298" s="111">
        <v>1</v>
      </c>
      <c r="AI298" s="112">
        <v>50</v>
      </c>
      <c r="AJ298" s="111">
        <v>0</v>
      </c>
      <c r="AK298" s="112">
        <v>0</v>
      </c>
      <c r="AL298" s="111">
        <v>0</v>
      </c>
      <c r="AM298" s="112">
        <v>0</v>
      </c>
      <c r="AN298" s="111">
        <v>1</v>
      </c>
      <c r="AO298" s="112">
        <v>50</v>
      </c>
      <c r="AP298" s="111">
        <v>2</v>
      </c>
    </row>
    <row r="299" spans="1:42" ht="15">
      <c r="A299" s="65" t="s">
        <v>436</v>
      </c>
      <c r="B299" s="65" t="s">
        <v>287</v>
      </c>
      <c r="C299" s="66" t="s">
        <v>5345</v>
      </c>
      <c r="D299" s="67">
        <v>3</v>
      </c>
      <c r="E299" s="68"/>
      <c r="F299" s="69">
        <v>40</v>
      </c>
      <c r="G299" s="66"/>
      <c r="H299" s="70"/>
      <c r="I299" s="71"/>
      <c r="J299" s="71"/>
      <c r="K299" s="35" t="s">
        <v>65</v>
      </c>
      <c r="L299" s="79">
        <v>299</v>
      </c>
      <c r="M299" s="79"/>
      <c r="N299" s="73"/>
      <c r="O299" s="81" t="s">
        <v>760</v>
      </c>
      <c r="P299" s="81" t="s">
        <v>215</v>
      </c>
      <c r="Q299" s="84" t="s">
        <v>1044</v>
      </c>
      <c r="R299" s="81" t="s">
        <v>436</v>
      </c>
      <c r="S299" s="81" t="s">
        <v>1765</v>
      </c>
      <c r="T299" s="86" t="str">
        <f>HYPERLINK("http://www.youtube.com/channel/UCITip3VvBZWu8_PlXbYT_FQ")</f>
        <v>http://www.youtube.com/channel/UCITip3VvBZWu8_PlXbYT_FQ</v>
      </c>
      <c r="U299" s="81"/>
      <c r="V299" s="81" t="s">
        <v>2313</v>
      </c>
      <c r="W299" s="86" t="str">
        <f>HYPERLINK("https://www.youtube.com/watch?v=-EA6GvKa0EA")</f>
        <v>https://www.youtube.com/watch?v=-EA6GvKa0EA</v>
      </c>
      <c r="X299" s="81" t="s">
        <v>2335</v>
      </c>
      <c r="Y299" s="81">
        <v>0</v>
      </c>
      <c r="Z299" s="81" t="s">
        <v>2433</v>
      </c>
      <c r="AA299" s="81" t="s">
        <v>2433</v>
      </c>
      <c r="AB299" s="81"/>
      <c r="AC299" s="81"/>
      <c r="AD299" s="84" t="s">
        <v>2782</v>
      </c>
      <c r="AE299" s="82">
        <v>1</v>
      </c>
      <c r="AF299" s="83" t="str">
        <f>REPLACE(INDEX(GroupVertices[Group],MATCH(Edges[[#This Row],[Vertex 1]],GroupVertices[Vertex],0)),1,1,"")</f>
        <v>1</v>
      </c>
      <c r="AG299" s="83" t="str">
        <f>REPLACE(INDEX(GroupVertices[Group],MATCH(Edges[[#This Row],[Vertex 2]],GroupVertices[Vertex],0)),1,1,"")</f>
        <v>1</v>
      </c>
      <c r="AH299" s="111">
        <v>2</v>
      </c>
      <c r="AI299" s="112">
        <v>50</v>
      </c>
      <c r="AJ299" s="111">
        <v>0</v>
      </c>
      <c r="AK299" s="112">
        <v>0</v>
      </c>
      <c r="AL299" s="111">
        <v>0</v>
      </c>
      <c r="AM299" s="112">
        <v>0</v>
      </c>
      <c r="AN299" s="111">
        <v>2</v>
      </c>
      <c r="AO299" s="112">
        <v>50</v>
      </c>
      <c r="AP299" s="111">
        <v>4</v>
      </c>
    </row>
    <row r="300" spans="1:42" ht="15">
      <c r="A300" s="65" t="s">
        <v>287</v>
      </c>
      <c r="B300" s="65" t="s">
        <v>437</v>
      </c>
      <c r="C300" s="66" t="s">
        <v>5345</v>
      </c>
      <c r="D300" s="67">
        <v>3</v>
      </c>
      <c r="E300" s="68"/>
      <c r="F300" s="69">
        <v>40</v>
      </c>
      <c r="G300" s="66"/>
      <c r="H300" s="70"/>
      <c r="I300" s="71"/>
      <c r="J300" s="71"/>
      <c r="K300" s="35" t="s">
        <v>66</v>
      </c>
      <c r="L300" s="79">
        <v>300</v>
      </c>
      <c r="M300" s="79"/>
      <c r="N300" s="73"/>
      <c r="O300" s="81" t="s">
        <v>761</v>
      </c>
      <c r="P300" s="81" t="s">
        <v>763</v>
      </c>
      <c r="Q300" s="84" t="s">
        <v>1045</v>
      </c>
      <c r="R300" s="81" t="s">
        <v>287</v>
      </c>
      <c r="S300" s="81" t="s">
        <v>1616</v>
      </c>
      <c r="T300" s="86" t="str">
        <f>HYPERLINK("http://www.youtube.com/channel/UCbUhO-tut97b5IQhZ3i7TMA")</f>
        <v>http://www.youtube.com/channel/UCbUhO-tut97b5IQhZ3i7TMA</v>
      </c>
      <c r="U300" s="81" t="s">
        <v>2160</v>
      </c>
      <c r="V300" s="81" t="s">
        <v>2313</v>
      </c>
      <c r="W300" s="86" t="str">
        <f>HYPERLINK("https://www.youtube.com/watch?v=-EA6GvKa0EA")</f>
        <v>https://www.youtube.com/watch?v=-EA6GvKa0EA</v>
      </c>
      <c r="X300" s="81" t="s">
        <v>2335</v>
      </c>
      <c r="Y300" s="81">
        <v>0</v>
      </c>
      <c r="Z300" s="81" t="s">
        <v>2434</v>
      </c>
      <c r="AA300" s="81" t="s">
        <v>2434</v>
      </c>
      <c r="AB300" s="81"/>
      <c r="AC300" s="81"/>
      <c r="AD300" s="84" t="s">
        <v>2782</v>
      </c>
      <c r="AE300" s="82">
        <v>1</v>
      </c>
      <c r="AF300" s="83" t="str">
        <f>REPLACE(INDEX(GroupVertices[Group],MATCH(Edges[[#This Row],[Vertex 1]],GroupVertices[Vertex],0)),1,1,"")</f>
        <v>1</v>
      </c>
      <c r="AG300" s="83" t="str">
        <f>REPLACE(INDEX(GroupVertices[Group],MATCH(Edges[[#This Row],[Vertex 2]],GroupVertices[Vertex],0)),1,1,"")</f>
        <v>1</v>
      </c>
      <c r="AH300" s="111">
        <v>1</v>
      </c>
      <c r="AI300" s="112">
        <v>33.333333333333336</v>
      </c>
      <c r="AJ300" s="111">
        <v>0</v>
      </c>
      <c r="AK300" s="112">
        <v>0</v>
      </c>
      <c r="AL300" s="111">
        <v>0</v>
      </c>
      <c r="AM300" s="112">
        <v>0</v>
      </c>
      <c r="AN300" s="111">
        <v>2</v>
      </c>
      <c r="AO300" s="112">
        <v>66.66666666666667</v>
      </c>
      <c r="AP300" s="111">
        <v>3</v>
      </c>
    </row>
    <row r="301" spans="1:42" ht="15">
      <c r="A301" s="65" t="s">
        <v>437</v>
      </c>
      <c r="B301" s="65" t="s">
        <v>287</v>
      </c>
      <c r="C301" s="66" t="s">
        <v>5345</v>
      </c>
      <c r="D301" s="67">
        <v>3</v>
      </c>
      <c r="E301" s="68"/>
      <c r="F301" s="69">
        <v>40</v>
      </c>
      <c r="G301" s="66"/>
      <c r="H301" s="70"/>
      <c r="I301" s="71"/>
      <c r="J301" s="71"/>
      <c r="K301" s="35" t="s">
        <v>66</v>
      </c>
      <c r="L301" s="79">
        <v>301</v>
      </c>
      <c r="M301" s="79"/>
      <c r="N301" s="73"/>
      <c r="O301" s="81" t="s">
        <v>760</v>
      </c>
      <c r="P301" s="81" t="s">
        <v>215</v>
      </c>
      <c r="Q301" s="84" t="s">
        <v>1046</v>
      </c>
      <c r="R301" s="81" t="s">
        <v>437</v>
      </c>
      <c r="S301" s="81" t="s">
        <v>1766</v>
      </c>
      <c r="T301" s="86" t="str">
        <f>HYPERLINK("http://www.youtube.com/channel/UC_8NfH_wP6quvlyspts1r5g")</f>
        <v>http://www.youtube.com/channel/UC_8NfH_wP6quvlyspts1r5g</v>
      </c>
      <c r="U301" s="81"/>
      <c r="V301" s="81" t="s">
        <v>2313</v>
      </c>
      <c r="W301" s="86" t="str">
        <f>HYPERLINK("https://www.youtube.com/watch?v=-EA6GvKa0EA")</f>
        <v>https://www.youtube.com/watch?v=-EA6GvKa0EA</v>
      </c>
      <c r="X301" s="81" t="s">
        <v>2335</v>
      </c>
      <c r="Y301" s="81">
        <v>0</v>
      </c>
      <c r="Z301" s="81" t="s">
        <v>2435</v>
      </c>
      <c r="AA301" s="81" t="s">
        <v>2435</v>
      </c>
      <c r="AB301" s="81"/>
      <c r="AC301" s="81"/>
      <c r="AD301" s="84" t="s">
        <v>2782</v>
      </c>
      <c r="AE301" s="82">
        <v>1</v>
      </c>
      <c r="AF301" s="83" t="str">
        <f>REPLACE(INDEX(GroupVertices[Group],MATCH(Edges[[#This Row],[Vertex 1]],GroupVertices[Vertex],0)),1,1,"")</f>
        <v>1</v>
      </c>
      <c r="AG301" s="83" t="str">
        <f>REPLACE(INDEX(GroupVertices[Group],MATCH(Edges[[#This Row],[Vertex 2]],GroupVertices[Vertex],0)),1,1,"")</f>
        <v>1</v>
      </c>
      <c r="AH301" s="111">
        <v>1</v>
      </c>
      <c r="AI301" s="112">
        <v>100</v>
      </c>
      <c r="AJ301" s="111">
        <v>0</v>
      </c>
      <c r="AK301" s="112">
        <v>0</v>
      </c>
      <c r="AL301" s="111">
        <v>0</v>
      </c>
      <c r="AM301" s="112">
        <v>0</v>
      </c>
      <c r="AN301" s="111">
        <v>0</v>
      </c>
      <c r="AO301" s="112">
        <v>0</v>
      </c>
      <c r="AP301" s="111">
        <v>1</v>
      </c>
    </row>
    <row r="302" spans="1:42" ht="15">
      <c r="A302" s="65" t="s">
        <v>287</v>
      </c>
      <c r="B302" s="65" t="s">
        <v>438</v>
      </c>
      <c r="C302" s="66" t="s">
        <v>5345</v>
      </c>
      <c r="D302" s="67">
        <v>3</v>
      </c>
      <c r="E302" s="68"/>
      <c r="F302" s="69">
        <v>40</v>
      </c>
      <c r="G302" s="66"/>
      <c r="H302" s="70"/>
      <c r="I302" s="71"/>
      <c r="J302" s="71"/>
      <c r="K302" s="35" t="s">
        <v>66</v>
      </c>
      <c r="L302" s="79">
        <v>302</v>
      </c>
      <c r="M302" s="79"/>
      <c r="N302" s="73"/>
      <c r="O302" s="81" t="s">
        <v>761</v>
      </c>
      <c r="P302" s="81" t="s">
        <v>763</v>
      </c>
      <c r="Q302" s="84" t="s">
        <v>1047</v>
      </c>
      <c r="R302" s="81" t="s">
        <v>287</v>
      </c>
      <c r="S302" s="81" t="s">
        <v>1616</v>
      </c>
      <c r="T302" s="86" t="str">
        <f>HYPERLINK("http://www.youtube.com/channel/UCbUhO-tut97b5IQhZ3i7TMA")</f>
        <v>http://www.youtube.com/channel/UCbUhO-tut97b5IQhZ3i7TMA</v>
      </c>
      <c r="U302" s="81" t="s">
        <v>2161</v>
      </c>
      <c r="V302" s="81" t="s">
        <v>2313</v>
      </c>
      <c r="W302" s="86" t="str">
        <f>HYPERLINK("https://www.youtube.com/watch?v=-EA6GvKa0EA")</f>
        <v>https://www.youtube.com/watch?v=-EA6GvKa0EA</v>
      </c>
      <c r="X302" s="81" t="s">
        <v>2335</v>
      </c>
      <c r="Y302" s="81">
        <v>0</v>
      </c>
      <c r="Z302" s="88">
        <v>43415.951157407406</v>
      </c>
      <c r="AA302" s="88">
        <v>43415.951157407406</v>
      </c>
      <c r="AB302" s="81"/>
      <c r="AC302" s="81"/>
      <c r="AD302" s="84" t="s">
        <v>2782</v>
      </c>
      <c r="AE302" s="82">
        <v>1</v>
      </c>
      <c r="AF302" s="83" t="str">
        <f>REPLACE(INDEX(GroupVertices[Group],MATCH(Edges[[#This Row],[Vertex 1]],GroupVertices[Vertex],0)),1,1,"")</f>
        <v>1</v>
      </c>
      <c r="AG302" s="83" t="str">
        <f>REPLACE(INDEX(GroupVertices[Group],MATCH(Edges[[#This Row],[Vertex 2]],GroupVertices[Vertex],0)),1,1,"")</f>
        <v>1</v>
      </c>
      <c r="AH302" s="111">
        <v>0</v>
      </c>
      <c r="AI302" s="112">
        <v>0</v>
      </c>
      <c r="AJ302" s="111">
        <v>0</v>
      </c>
      <c r="AK302" s="112">
        <v>0</v>
      </c>
      <c r="AL302" s="111">
        <v>0</v>
      </c>
      <c r="AM302" s="112">
        <v>0</v>
      </c>
      <c r="AN302" s="111">
        <v>17</v>
      </c>
      <c r="AO302" s="112">
        <v>100</v>
      </c>
      <c r="AP302" s="111">
        <v>17</v>
      </c>
    </row>
    <row r="303" spans="1:42" ht="15">
      <c r="A303" s="65" t="s">
        <v>438</v>
      </c>
      <c r="B303" s="65" t="s">
        <v>287</v>
      </c>
      <c r="C303" s="66" t="s">
        <v>5345</v>
      </c>
      <c r="D303" s="67">
        <v>3</v>
      </c>
      <c r="E303" s="68"/>
      <c r="F303" s="69">
        <v>40</v>
      </c>
      <c r="G303" s="66"/>
      <c r="H303" s="70"/>
      <c r="I303" s="71"/>
      <c r="J303" s="71"/>
      <c r="K303" s="35" t="s">
        <v>66</v>
      </c>
      <c r="L303" s="79">
        <v>303</v>
      </c>
      <c r="M303" s="79"/>
      <c r="N303" s="73"/>
      <c r="O303" s="81" t="s">
        <v>760</v>
      </c>
      <c r="P303" s="81" t="s">
        <v>215</v>
      </c>
      <c r="Q303" s="84" t="s">
        <v>1048</v>
      </c>
      <c r="R303" s="81" t="s">
        <v>438</v>
      </c>
      <c r="S303" s="81" t="s">
        <v>1767</v>
      </c>
      <c r="T303" s="86" t="str">
        <f>HYPERLINK("http://www.youtube.com/channel/UCBOXk97g9e7s1c8BCKJB9Dw")</f>
        <v>http://www.youtube.com/channel/UCBOXk97g9e7s1c8BCKJB9Dw</v>
      </c>
      <c r="U303" s="81"/>
      <c r="V303" s="81" t="s">
        <v>2313</v>
      </c>
      <c r="W303" s="86" t="str">
        <f>HYPERLINK("https://www.youtube.com/watch?v=-EA6GvKa0EA")</f>
        <v>https://www.youtube.com/watch?v=-EA6GvKa0EA</v>
      </c>
      <c r="X303" s="81" t="s">
        <v>2335</v>
      </c>
      <c r="Y303" s="81">
        <v>0</v>
      </c>
      <c r="Z303" s="88">
        <v>43415.63361111111</v>
      </c>
      <c r="AA303" s="88">
        <v>43415.63361111111</v>
      </c>
      <c r="AB303" s="81"/>
      <c r="AC303" s="81"/>
      <c r="AD303" s="84" t="s">
        <v>2782</v>
      </c>
      <c r="AE303" s="82">
        <v>1</v>
      </c>
      <c r="AF303" s="83" t="str">
        <f>REPLACE(INDEX(GroupVertices[Group],MATCH(Edges[[#This Row],[Vertex 1]],GroupVertices[Vertex],0)),1,1,"")</f>
        <v>1</v>
      </c>
      <c r="AG303" s="83" t="str">
        <f>REPLACE(INDEX(GroupVertices[Group],MATCH(Edges[[#This Row],[Vertex 2]],GroupVertices[Vertex],0)),1,1,"")</f>
        <v>1</v>
      </c>
      <c r="AH303" s="111">
        <v>1</v>
      </c>
      <c r="AI303" s="112">
        <v>8.333333333333334</v>
      </c>
      <c r="AJ303" s="111">
        <v>0</v>
      </c>
      <c r="AK303" s="112">
        <v>0</v>
      </c>
      <c r="AL303" s="111">
        <v>0</v>
      </c>
      <c r="AM303" s="112">
        <v>0</v>
      </c>
      <c r="AN303" s="111">
        <v>11</v>
      </c>
      <c r="AO303" s="112">
        <v>91.66666666666667</v>
      </c>
      <c r="AP303" s="111">
        <v>12</v>
      </c>
    </row>
    <row r="304" spans="1:42" ht="15">
      <c r="A304" s="65" t="s">
        <v>439</v>
      </c>
      <c r="B304" s="65" t="s">
        <v>287</v>
      </c>
      <c r="C304" s="66" t="s">
        <v>5345</v>
      </c>
      <c r="D304" s="67">
        <v>3</v>
      </c>
      <c r="E304" s="68"/>
      <c r="F304" s="69">
        <v>40</v>
      </c>
      <c r="G304" s="66"/>
      <c r="H304" s="70"/>
      <c r="I304" s="71"/>
      <c r="J304" s="71"/>
      <c r="K304" s="35" t="s">
        <v>65</v>
      </c>
      <c r="L304" s="79">
        <v>304</v>
      </c>
      <c r="M304" s="79"/>
      <c r="N304" s="73"/>
      <c r="O304" s="81" t="s">
        <v>760</v>
      </c>
      <c r="P304" s="81" t="s">
        <v>215</v>
      </c>
      <c r="Q304" s="84" t="s">
        <v>1049</v>
      </c>
      <c r="R304" s="81" t="s">
        <v>439</v>
      </c>
      <c r="S304" s="81" t="s">
        <v>1768</v>
      </c>
      <c r="T304" s="86" t="str">
        <f>HYPERLINK("http://www.youtube.com/channel/UCc4LJ1SpCAiSwgWLW6q5wQQ")</f>
        <v>http://www.youtube.com/channel/UCc4LJ1SpCAiSwgWLW6q5wQQ</v>
      </c>
      <c r="U304" s="81"/>
      <c r="V304" s="81" t="s">
        <v>2313</v>
      </c>
      <c r="W304" s="86" t="str">
        <f>HYPERLINK("https://www.youtube.com/watch?v=-EA6GvKa0EA")</f>
        <v>https://www.youtube.com/watch?v=-EA6GvKa0EA</v>
      </c>
      <c r="X304" s="81" t="s">
        <v>2335</v>
      </c>
      <c r="Y304" s="81">
        <v>0</v>
      </c>
      <c r="Z304" s="81" t="s">
        <v>2436</v>
      </c>
      <c r="AA304" s="81" t="s">
        <v>2436</v>
      </c>
      <c r="AB304" s="81"/>
      <c r="AC304" s="81"/>
      <c r="AD304" s="84" t="s">
        <v>2782</v>
      </c>
      <c r="AE304" s="82">
        <v>1</v>
      </c>
      <c r="AF304" s="83" t="str">
        <f>REPLACE(INDEX(GroupVertices[Group],MATCH(Edges[[#This Row],[Vertex 1]],GroupVertices[Vertex],0)),1,1,"")</f>
        <v>1</v>
      </c>
      <c r="AG304" s="83" t="str">
        <f>REPLACE(INDEX(GroupVertices[Group],MATCH(Edges[[#This Row],[Vertex 2]],GroupVertices[Vertex],0)),1,1,"")</f>
        <v>1</v>
      </c>
      <c r="AH304" s="111">
        <v>2</v>
      </c>
      <c r="AI304" s="112">
        <v>33.333333333333336</v>
      </c>
      <c r="AJ304" s="111">
        <v>0</v>
      </c>
      <c r="AK304" s="112">
        <v>0</v>
      </c>
      <c r="AL304" s="111">
        <v>0</v>
      </c>
      <c r="AM304" s="112">
        <v>0</v>
      </c>
      <c r="AN304" s="111">
        <v>4</v>
      </c>
      <c r="AO304" s="112">
        <v>66.66666666666667</v>
      </c>
      <c r="AP304" s="111">
        <v>6</v>
      </c>
    </row>
    <row r="305" spans="1:42" ht="15">
      <c r="A305" s="65" t="s">
        <v>440</v>
      </c>
      <c r="B305" s="65" t="s">
        <v>287</v>
      </c>
      <c r="C305" s="66" t="s">
        <v>5345</v>
      </c>
      <c r="D305" s="67">
        <v>3</v>
      </c>
      <c r="E305" s="68"/>
      <c r="F305" s="69">
        <v>40</v>
      </c>
      <c r="G305" s="66"/>
      <c r="H305" s="70"/>
      <c r="I305" s="71"/>
      <c r="J305" s="71"/>
      <c r="K305" s="35" t="s">
        <v>65</v>
      </c>
      <c r="L305" s="79">
        <v>305</v>
      </c>
      <c r="M305" s="79"/>
      <c r="N305" s="73"/>
      <c r="O305" s="81" t="s">
        <v>760</v>
      </c>
      <c r="P305" s="81" t="s">
        <v>215</v>
      </c>
      <c r="Q305" s="84" t="s">
        <v>1050</v>
      </c>
      <c r="R305" s="81" t="s">
        <v>440</v>
      </c>
      <c r="S305" s="81" t="s">
        <v>1769</v>
      </c>
      <c r="T305" s="86" t="str">
        <f>HYPERLINK("http://www.youtube.com/channel/UCOXY5z_dylCePULXreqnayw")</f>
        <v>http://www.youtube.com/channel/UCOXY5z_dylCePULXreqnayw</v>
      </c>
      <c r="U305" s="81"/>
      <c r="V305" s="81" t="s">
        <v>2313</v>
      </c>
      <c r="W305" s="86" t="str">
        <f>HYPERLINK("https://www.youtube.com/watch?v=-EA6GvKa0EA")</f>
        <v>https://www.youtube.com/watch?v=-EA6GvKa0EA</v>
      </c>
      <c r="X305" s="81" t="s">
        <v>2335</v>
      </c>
      <c r="Y305" s="81">
        <v>0</v>
      </c>
      <c r="Z305" s="81" t="s">
        <v>2437</v>
      </c>
      <c r="AA305" s="81" t="s">
        <v>2437</v>
      </c>
      <c r="AB305" s="81"/>
      <c r="AC305" s="81"/>
      <c r="AD305" s="84" t="s">
        <v>2782</v>
      </c>
      <c r="AE305" s="82">
        <v>1</v>
      </c>
      <c r="AF305" s="83" t="str">
        <f>REPLACE(INDEX(GroupVertices[Group],MATCH(Edges[[#This Row],[Vertex 1]],GroupVertices[Vertex],0)),1,1,"")</f>
        <v>1</v>
      </c>
      <c r="AG305" s="83" t="str">
        <f>REPLACE(INDEX(GroupVertices[Group],MATCH(Edges[[#This Row],[Vertex 2]],GroupVertices[Vertex],0)),1,1,"")</f>
        <v>1</v>
      </c>
      <c r="AH305" s="111">
        <v>0</v>
      </c>
      <c r="AI305" s="112">
        <v>0</v>
      </c>
      <c r="AJ305" s="111">
        <v>0</v>
      </c>
      <c r="AK305" s="112">
        <v>0</v>
      </c>
      <c r="AL305" s="111">
        <v>0</v>
      </c>
      <c r="AM305" s="112">
        <v>0</v>
      </c>
      <c r="AN305" s="111">
        <v>1</v>
      </c>
      <c r="AO305" s="112">
        <v>100</v>
      </c>
      <c r="AP305" s="111">
        <v>1</v>
      </c>
    </row>
    <row r="306" spans="1:42" ht="15">
      <c r="A306" s="65" t="s">
        <v>441</v>
      </c>
      <c r="B306" s="65" t="s">
        <v>287</v>
      </c>
      <c r="C306" s="66" t="s">
        <v>5345</v>
      </c>
      <c r="D306" s="67">
        <v>3</v>
      </c>
      <c r="E306" s="68"/>
      <c r="F306" s="69">
        <v>40</v>
      </c>
      <c r="G306" s="66"/>
      <c r="H306" s="70"/>
      <c r="I306" s="71"/>
      <c r="J306" s="71"/>
      <c r="K306" s="35" t="s">
        <v>65</v>
      </c>
      <c r="L306" s="79">
        <v>306</v>
      </c>
      <c r="M306" s="79"/>
      <c r="N306" s="73"/>
      <c r="O306" s="81" t="s">
        <v>760</v>
      </c>
      <c r="P306" s="81" t="s">
        <v>215</v>
      </c>
      <c r="Q306" s="84" t="s">
        <v>1051</v>
      </c>
      <c r="R306" s="81" t="s">
        <v>441</v>
      </c>
      <c r="S306" s="81" t="s">
        <v>1770</v>
      </c>
      <c r="T306" s="86" t="str">
        <f>HYPERLINK("http://www.youtube.com/channel/UC9YfOfWjjwGjFdtkEO_dDZA")</f>
        <v>http://www.youtube.com/channel/UC9YfOfWjjwGjFdtkEO_dDZA</v>
      </c>
      <c r="U306" s="81"/>
      <c r="V306" s="81" t="s">
        <v>2313</v>
      </c>
      <c r="W306" s="86" t="str">
        <f>HYPERLINK("https://www.youtube.com/watch?v=-EA6GvKa0EA")</f>
        <v>https://www.youtube.com/watch?v=-EA6GvKa0EA</v>
      </c>
      <c r="X306" s="81" t="s">
        <v>2335</v>
      </c>
      <c r="Y306" s="81">
        <v>0</v>
      </c>
      <c r="Z306" s="81" t="s">
        <v>2438</v>
      </c>
      <c r="AA306" s="81" t="s">
        <v>2438</v>
      </c>
      <c r="AB306" s="81"/>
      <c r="AC306" s="81"/>
      <c r="AD306" s="84" t="s">
        <v>2782</v>
      </c>
      <c r="AE306" s="82">
        <v>1</v>
      </c>
      <c r="AF306" s="83" t="str">
        <f>REPLACE(INDEX(GroupVertices[Group],MATCH(Edges[[#This Row],[Vertex 1]],GroupVertices[Vertex],0)),1,1,"")</f>
        <v>1</v>
      </c>
      <c r="AG306" s="83" t="str">
        <f>REPLACE(INDEX(GroupVertices[Group],MATCH(Edges[[#This Row],[Vertex 2]],GroupVertices[Vertex],0)),1,1,"")</f>
        <v>1</v>
      </c>
      <c r="AH306" s="111">
        <v>1</v>
      </c>
      <c r="AI306" s="112">
        <v>25</v>
      </c>
      <c r="AJ306" s="111">
        <v>0</v>
      </c>
      <c r="AK306" s="112">
        <v>0</v>
      </c>
      <c r="AL306" s="111">
        <v>0</v>
      </c>
      <c r="AM306" s="112">
        <v>0</v>
      </c>
      <c r="AN306" s="111">
        <v>3</v>
      </c>
      <c r="AO306" s="112">
        <v>75</v>
      </c>
      <c r="AP306" s="111">
        <v>4</v>
      </c>
    </row>
    <row r="307" spans="1:42" ht="15">
      <c r="A307" s="65" t="s">
        <v>287</v>
      </c>
      <c r="B307" s="65" t="s">
        <v>442</v>
      </c>
      <c r="C307" s="66" t="s">
        <v>5345</v>
      </c>
      <c r="D307" s="67">
        <v>3</v>
      </c>
      <c r="E307" s="68"/>
      <c r="F307" s="69">
        <v>40</v>
      </c>
      <c r="G307" s="66"/>
      <c r="H307" s="70"/>
      <c r="I307" s="71"/>
      <c r="J307" s="71"/>
      <c r="K307" s="35" t="s">
        <v>66</v>
      </c>
      <c r="L307" s="79">
        <v>307</v>
      </c>
      <c r="M307" s="79"/>
      <c r="N307" s="73"/>
      <c r="O307" s="81" t="s">
        <v>761</v>
      </c>
      <c r="P307" s="81" t="s">
        <v>763</v>
      </c>
      <c r="Q307" s="84" t="s">
        <v>1052</v>
      </c>
      <c r="R307" s="81" t="s">
        <v>287</v>
      </c>
      <c r="S307" s="81" t="s">
        <v>1616</v>
      </c>
      <c r="T307" s="86" t="str">
        <f>HYPERLINK("http://www.youtube.com/channel/UCbUhO-tut97b5IQhZ3i7TMA")</f>
        <v>http://www.youtube.com/channel/UCbUhO-tut97b5IQhZ3i7TMA</v>
      </c>
      <c r="U307" s="81" t="s">
        <v>2162</v>
      </c>
      <c r="V307" s="81" t="s">
        <v>2313</v>
      </c>
      <c r="W307" s="86" t="str">
        <f>HYPERLINK("https://www.youtube.com/watch?v=-EA6GvKa0EA")</f>
        <v>https://www.youtube.com/watch?v=-EA6GvKa0EA</v>
      </c>
      <c r="X307" s="81" t="s">
        <v>2335</v>
      </c>
      <c r="Y307" s="81">
        <v>0</v>
      </c>
      <c r="Z307" s="81" t="s">
        <v>2439</v>
      </c>
      <c r="AA307" s="81" t="s">
        <v>2439</v>
      </c>
      <c r="AB307" s="81"/>
      <c r="AC307" s="81"/>
      <c r="AD307" s="84" t="s">
        <v>2782</v>
      </c>
      <c r="AE307" s="82">
        <v>1</v>
      </c>
      <c r="AF307" s="83" t="str">
        <f>REPLACE(INDEX(GroupVertices[Group],MATCH(Edges[[#This Row],[Vertex 1]],GroupVertices[Vertex],0)),1,1,"")</f>
        <v>1</v>
      </c>
      <c r="AG307" s="83" t="str">
        <f>REPLACE(INDEX(GroupVertices[Group],MATCH(Edges[[#This Row],[Vertex 2]],GroupVertices[Vertex],0)),1,1,"")</f>
        <v>1</v>
      </c>
      <c r="AH307" s="111">
        <v>1</v>
      </c>
      <c r="AI307" s="112">
        <v>50</v>
      </c>
      <c r="AJ307" s="111">
        <v>0</v>
      </c>
      <c r="AK307" s="112">
        <v>0</v>
      </c>
      <c r="AL307" s="111">
        <v>0</v>
      </c>
      <c r="AM307" s="112">
        <v>0</v>
      </c>
      <c r="AN307" s="111">
        <v>1</v>
      </c>
      <c r="AO307" s="112">
        <v>50</v>
      </c>
      <c r="AP307" s="111">
        <v>2</v>
      </c>
    </row>
    <row r="308" spans="1:42" ht="15">
      <c r="A308" s="65" t="s">
        <v>442</v>
      </c>
      <c r="B308" s="65" t="s">
        <v>287</v>
      </c>
      <c r="C308" s="66" t="s">
        <v>5345</v>
      </c>
      <c r="D308" s="67">
        <v>3</v>
      </c>
      <c r="E308" s="68"/>
      <c r="F308" s="69">
        <v>40</v>
      </c>
      <c r="G308" s="66"/>
      <c r="H308" s="70"/>
      <c r="I308" s="71"/>
      <c r="J308" s="71"/>
      <c r="K308" s="35" t="s">
        <v>66</v>
      </c>
      <c r="L308" s="79">
        <v>308</v>
      </c>
      <c r="M308" s="79"/>
      <c r="N308" s="73"/>
      <c r="O308" s="81" t="s">
        <v>760</v>
      </c>
      <c r="P308" s="81" t="s">
        <v>215</v>
      </c>
      <c r="Q308" s="84" t="s">
        <v>1053</v>
      </c>
      <c r="R308" s="81" t="s">
        <v>442</v>
      </c>
      <c r="S308" s="81" t="s">
        <v>1771</v>
      </c>
      <c r="T308" s="86" t="str">
        <f>HYPERLINK("http://www.youtube.com/channel/UCie6mkyR-OwL_Dta8C8C4tA")</f>
        <v>http://www.youtube.com/channel/UCie6mkyR-OwL_Dta8C8C4tA</v>
      </c>
      <c r="U308" s="81"/>
      <c r="V308" s="81" t="s">
        <v>2313</v>
      </c>
      <c r="W308" s="86" t="str">
        <f>HYPERLINK("https://www.youtube.com/watch?v=-EA6GvKa0EA")</f>
        <v>https://www.youtube.com/watch?v=-EA6GvKa0EA</v>
      </c>
      <c r="X308" s="81" t="s">
        <v>2335</v>
      </c>
      <c r="Y308" s="81">
        <v>0</v>
      </c>
      <c r="Z308" s="81" t="s">
        <v>2440</v>
      </c>
      <c r="AA308" s="81" t="s">
        <v>2440</v>
      </c>
      <c r="AB308" s="81"/>
      <c r="AC308" s="81"/>
      <c r="AD308" s="84" t="s">
        <v>2782</v>
      </c>
      <c r="AE308" s="82">
        <v>1</v>
      </c>
      <c r="AF308" s="83" t="str">
        <f>REPLACE(INDEX(GroupVertices[Group],MATCH(Edges[[#This Row],[Vertex 1]],GroupVertices[Vertex],0)),1,1,"")</f>
        <v>1</v>
      </c>
      <c r="AG308" s="83" t="str">
        <f>REPLACE(INDEX(GroupVertices[Group],MATCH(Edges[[#This Row],[Vertex 2]],GroupVertices[Vertex],0)),1,1,"")</f>
        <v>1</v>
      </c>
      <c r="AH308" s="111">
        <v>1</v>
      </c>
      <c r="AI308" s="112">
        <v>12.5</v>
      </c>
      <c r="AJ308" s="111">
        <v>0</v>
      </c>
      <c r="AK308" s="112">
        <v>0</v>
      </c>
      <c r="AL308" s="111">
        <v>0</v>
      </c>
      <c r="AM308" s="112">
        <v>0</v>
      </c>
      <c r="AN308" s="111">
        <v>7</v>
      </c>
      <c r="AO308" s="112">
        <v>87.5</v>
      </c>
      <c r="AP308" s="111">
        <v>8</v>
      </c>
    </row>
    <row r="309" spans="1:42" ht="15">
      <c r="A309" s="65" t="s">
        <v>443</v>
      </c>
      <c r="B309" s="65" t="s">
        <v>287</v>
      </c>
      <c r="C309" s="66" t="s">
        <v>5345</v>
      </c>
      <c r="D309" s="67">
        <v>3</v>
      </c>
      <c r="E309" s="68"/>
      <c r="F309" s="69">
        <v>40</v>
      </c>
      <c r="G309" s="66"/>
      <c r="H309" s="70"/>
      <c r="I309" s="71"/>
      <c r="J309" s="71"/>
      <c r="K309" s="35" t="s">
        <v>65</v>
      </c>
      <c r="L309" s="79">
        <v>309</v>
      </c>
      <c r="M309" s="79"/>
      <c r="N309" s="73"/>
      <c r="O309" s="81" t="s">
        <v>760</v>
      </c>
      <c r="P309" s="81" t="s">
        <v>215</v>
      </c>
      <c r="Q309" s="84" t="s">
        <v>1054</v>
      </c>
      <c r="R309" s="81" t="s">
        <v>443</v>
      </c>
      <c r="S309" s="81" t="s">
        <v>1772</v>
      </c>
      <c r="T309" s="86" t="str">
        <f>HYPERLINK("http://www.youtube.com/channel/UCwbeXhIuQcw0x_2ciSHffvg")</f>
        <v>http://www.youtube.com/channel/UCwbeXhIuQcw0x_2ciSHffvg</v>
      </c>
      <c r="U309" s="81"/>
      <c r="V309" s="81" t="s">
        <v>2313</v>
      </c>
      <c r="W309" s="86" t="str">
        <f>HYPERLINK("https://www.youtube.com/watch?v=-EA6GvKa0EA")</f>
        <v>https://www.youtube.com/watch?v=-EA6GvKa0EA</v>
      </c>
      <c r="X309" s="81" t="s">
        <v>2335</v>
      </c>
      <c r="Y309" s="81">
        <v>0</v>
      </c>
      <c r="Z309" s="81" t="s">
        <v>2441</v>
      </c>
      <c r="AA309" s="81" t="s">
        <v>2441</v>
      </c>
      <c r="AB309" s="81"/>
      <c r="AC309" s="81"/>
      <c r="AD309" s="84" t="s">
        <v>2782</v>
      </c>
      <c r="AE309" s="82">
        <v>1</v>
      </c>
      <c r="AF309" s="83" t="str">
        <f>REPLACE(INDEX(GroupVertices[Group],MATCH(Edges[[#This Row],[Vertex 1]],GroupVertices[Vertex],0)),1,1,"")</f>
        <v>1</v>
      </c>
      <c r="AG309" s="83" t="str">
        <f>REPLACE(INDEX(GroupVertices[Group],MATCH(Edges[[#This Row],[Vertex 2]],GroupVertices[Vertex],0)),1,1,"")</f>
        <v>1</v>
      </c>
      <c r="AH309" s="111">
        <v>3</v>
      </c>
      <c r="AI309" s="112">
        <v>6.382978723404255</v>
      </c>
      <c r="AJ309" s="111">
        <v>0</v>
      </c>
      <c r="AK309" s="112">
        <v>0</v>
      </c>
      <c r="AL309" s="111">
        <v>0</v>
      </c>
      <c r="AM309" s="112">
        <v>0</v>
      </c>
      <c r="AN309" s="111">
        <v>44</v>
      </c>
      <c r="AO309" s="112">
        <v>93.61702127659575</v>
      </c>
      <c r="AP309" s="111">
        <v>47</v>
      </c>
    </row>
    <row r="310" spans="1:42" ht="15">
      <c r="A310" s="65" t="s">
        <v>444</v>
      </c>
      <c r="B310" s="65" t="s">
        <v>287</v>
      </c>
      <c r="C310" s="66" t="s">
        <v>5345</v>
      </c>
      <c r="D310" s="67">
        <v>3</v>
      </c>
      <c r="E310" s="68"/>
      <c r="F310" s="69">
        <v>40</v>
      </c>
      <c r="G310" s="66"/>
      <c r="H310" s="70"/>
      <c r="I310" s="71"/>
      <c r="J310" s="71"/>
      <c r="K310" s="35" t="s">
        <v>65</v>
      </c>
      <c r="L310" s="79">
        <v>310</v>
      </c>
      <c r="M310" s="79"/>
      <c r="N310" s="73"/>
      <c r="O310" s="81" t="s">
        <v>760</v>
      </c>
      <c r="P310" s="81" t="s">
        <v>215</v>
      </c>
      <c r="Q310" s="84" t="s">
        <v>1055</v>
      </c>
      <c r="R310" s="81" t="s">
        <v>444</v>
      </c>
      <c r="S310" s="81" t="s">
        <v>1773</v>
      </c>
      <c r="T310" s="86" t="str">
        <f>HYPERLINK("http://www.youtube.com/channel/UCKs0kpPRJzJN6-51UZIr99Q")</f>
        <v>http://www.youtube.com/channel/UCKs0kpPRJzJN6-51UZIr99Q</v>
      </c>
      <c r="U310" s="81"/>
      <c r="V310" s="81" t="s">
        <v>2313</v>
      </c>
      <c r="W310" s="86" t="str">
        <f>HYPERLINK("https://www.youtube.com/watch?v=-EA6GvKa0EA")</f>
        <v>https://www.youtube.com/watch?v=-EA6GvKa0EA</v>
      </c>
      <c r="X310" s="81" t="s">
        <v>2335</v>
      </c>
      <c r="Y310" s="81">
        <v>0</v>
      </c>
      <c r="Z310" s="88">
        <v>43617.29644675926</v>
      </c>
      <c r="AA310" s="88">
        <v>43617.29644675926</v>
      </c>
      <c r="AB310" s="81"/>
      <c r="AC310" s="81"/>
      <c r="AD310" s="84" t="s">
        <v>2782</v>
      </c>
      <c r="AE310" s="82">
        <v>1</v>
      </c>
      <c r="AF310" s="83" t="str">
        <f>REPLACE(INDEX(GroupVertices[Group],MATCH(Edges[[#This Row],[Vertex 1]],GroupVertices[Vertex],0)),1,1,"")</f>
        <v>1</v>
      </c>
      <c r="AG310" s="83" t="str">
        <f>REPLACE(INDEX(GroupVertices[Group],MATCH(Edges[[#This Row],[Vertex 2]],GroupVertices[Vertex],0)),1,1,"")</f>
        <v>1</v>
      </c>
      <c r="AH310" s="111">
        <v>7</v>
      </c>
      <c r="AI310" s="112">
        <v>11.290322580645162</v>
      </c>
      <c r="AJ310" s="111">
        <v>0</v>
      </c>
      <c r="AK310" s="112">
        <v>0</v>
      </c>
      <c r="AL310" s="111">
        <v>0</v>
      </c>
      <c r="AM310" s="112">
        <v>0</v>
      </c>
      <c r="AN310" s="111">
        <v>55</v>
      </c>
      <c r="AO310" s="112">
        <v>88.70967741935483</v>
      </c>
      <c r="AP310" s="111">
        <v>62</v>
      </c>
    </row>
    <row r="311" spans="1:42" ht="15">
      <c r="A311" s="65" t="s">
        <v>445</v>
      </c>
      <c r="B311" s="65" t="s">
        <v>287</v>
      </c>
      <c r="C311" s="66" t="s">
        <v>5345</v>
      </c>
      <c r="D311" s="67">
        <v>3</v>
      </c>
      <c r="E311" s="68"/>
      <c r="F311" s="69">
        <v>40</v>
      </c>
      <c r="G311" s="66"/>
      <c r="H311" s="70"/>
      <c r="I311" s="71"/>
      <c r="J311" s="71"/>
      <c r="K311" s="35" t="s">
        <v>65</v>
      </c>
      <c r="L311" s="79">
        <v>311</v>
      </c>
      <c r="M311" s="79"/>
      <c r="N311" s="73"/>
      <c r="O311" s="81" t="s">
        <v>760</v>
      </c>
      <c r="P311" s="81" t="s">
        <v>215</v>
      </c>
      <c r="Q311" s="84" t="s">
        <v>1056</v>
      </c>
      <c r="R311" s="81" t="s">
        <v>445</v>
      </c>
      <c r="S311" s="81" t="s">
        <v>1774</v>
      </c>
      <c r="T311" s="86" t="str">
        <f>HYPERLINK("http://www.youtube.com/channel/UCEHb8tvFjA0pUXCEDXuntvA")</f>
        <v>http://www.youtube.com/channel/UCEHb8tvFjA0pUXCEDXuntvA</v>
      </c>
      <c r="U311" s="81"/>
      <c r="V311" s="81" t="s">
        <v>2313</v>
      </c>
      <c r="W311" s="86" t="str">
        <f>HYPERLINK("https://www.youtube.com/watch?v=-EA6GvKa0EA")</f>
        <v>https://www.youtube.com/watch?v=-EA6GvKa0EA</v>
      </c>
      <c r="X311" s="81" t="s">
        <v>2335</v>
      </c>
      <c r="Y311" s="81">
        <v>2</v>
      </c>
      <c r="Z311" s="81" t="s">
        <v>2442</v>
      </c>
      <c r="AA311" s="81" t="s">
        <v>2442</v>
      </c>
      <c r="AB311" s="81"/>
      <c r="AC311" s="81"/>
      <c r="AD311" s="84" t="s">
        <v>2782</v>
      </c>
      <c r="AE311" s="82">
        <v>1</v>
      </c>
      <c r="AF311" s="83" t="str">
        <f>REPLACE(INDEX(GroupVertices[Group],MATCH(Edges[[#This Row],[Vertex 1]],GroupVertices[Vertex],0)),1,1,"")</f>
        <v>1</v>
      </c>
      <c r="AG311" s="83" t="str">
        <f>REPLACE(INDEX(GroupVertices[Group],MATCH(Edges[[#This Row],[Vertex 2]],GroupVertices[Vertex],0)),1,1,"")</f>
        <v>1</v>
      </c>
      <c r="AH311" s="111">
        <v>1</v>
      </c>
      <c r="AI311" s="112">
        <v>50</v>
      </c>
      <c r="AJ311" s="111">
        <v>0</v>
      </c>
      <c r="AK311" s="112">
        <v>0</v>
      </c>
      <c r="AL311" s="111">
        <v>0</v>
      </c>
      <c r="AM311" s="112">
        <v>0</v>
      </c>
      <c r="AN311" s="111">
        <v>1</v>
      </c>
      <c r="AO311" s="112">
        <v>50</v>
      </c>
      <c r="AP311" s="111">
        <v>2</v>
      </c>
    </row>
    <row r="312" spans="1:42" ht="15">
      <c r="A312" s="65" t="s">
        <v>287</v>
      </c>
      <c r="B312" s="65" t="s">
        <v>446</v>
      </c>
      <c r="C312" s="66" t="s">
        <v>5345</v>
      </c>
      <c r="D312" s="67">
        <v>3</v>
      </c>
      <c r="E312" s="68"/>
      <c r="F312" s="69">
        <v>40</v>
      </c>
      <c r="G312" s="66"/>
      <c r="H312" s="70"/>
      <c r="I312" s="71"/>
      <c r="J312" s="71"/>
      <c r="K312" s="35" t="s">
        <v>66</v>
      </c>
      <c r="L312" s="79">
        <v>312</v>
      </c>
      <c r="M312" s="79"/>
      <c r="N312" s="73"/>
      <c r="O312" s="81" t="s">
        <v>761</v>
      </c>
      <c r="P312" s="81" t="s">
        <v>763</v>
      </c>
      <c r="Q312" s="84" t="s">
        <v>1057</v>
      </c>
      <c r="R312" s="81" t="s">
        <v>287</v>
      </c>
      <c r="S312" s="81" t="s">
        <v>1616</v>
      </c>
      <c r="T312" s="86" t="str">
        <f>HYPERLINK("http://www.youtube.com/channel/UCbUhO-tut97b5IQhZ3i7TMA")</f>
        <v>http://www.youtube.com/channel/UCbUhO-tut97b5IQhZ3i7TMA</v>
      </c>
      <c r="U312" s="81" t="s">
        <v>2163</v>
      </c>
      <c r="V312" s="81" t="s">
        <v>2311</v>
      </c>
      <c r="W312" s="86" t="str">
        <f>HYPERLINK("https://www.youtube.com/watch?v=DrCnSoZUXAc")</f>
        <v>https://www.youtube.com/watch?v=DrCnSoZUXAc</v>
      </c>
      <c r="X312" s="81" t="s">
        <v>2335</v>
      </c>
      <c r="Y312" s="81">
        <v>0</v>
      </c>
      <c r="Z312" s="81" t="s">
        <v>2443</v>
      </c>
      <c r="AA312" s="81" t="s">
        <v>2443</v>
      </c>
      <c r="AB312" s="81"/>
      <c r="AC312" s="81"/>
      <c r="AD312" s="84" t="s">
        <v>2782</v>
      </c>
      <c r="AE312" s="82">
        <v>1</v>
      </c>
      <c r="AF312" s="83" t="str">
        <f>REPLACE(INDEX(GroupVertices[Group],MATCH(Edges[[#This Row],[Vertex 1]],GroupVertices[Vertex],0)),1,1,"")</f>
        <v>1</v>
      </c>
      <c r="AG312" s="83" t="str">
        <f>REPLACE(INDEX(GroupVertices[Group],MATCH(Edges[[#This Row],[Vertex 2]],GroupVertices[Vertex],0)),1,1,"")</f>
        <v>1</v>
      </c>
      <c r="AH312" s="111">
        <v>1</v>
      </c>
      <c r="AI312" s="112">
        <v>11.11111111111111</v>
      </c>
      <c r="AJ312" s="111">
        <v>0</v>
      </c>
      <c r="AK312" s="112">
        <v>0</v>
      </c>
      <c r="AL312" s="111">
        <v>0</v>
      </c>
      <c r="AM312" s="112">
        <v>0</v>
      </c>
      <c r="AN312" s="111">
        <v>8</v>
      </c>
      <c r="AO312" s="112">
        <v>88.88888888888889</v>
      </c>
      <c r="AP312" s="111">
        <v>9</v>
      </c>
    </row>
    <row r="313" spans="1:42" ht="15">
      <c r="A313" s="65" t="s">
        <v>446</v>
      </c>
      <c r="B313" s="65" t="s">
        <v>287</v>
      </c>
      <c r="C313" s="66" t="s">
        <v>5346</v>
      </c>
      <c r="D313" s="67">
        <v>10</v>
      </c>
      <c r="E313" s="68"/>
      <c r="F313" s="69">
        <v>15</v>
      </c>
      <c r="G313" s="66"/>
      <c r="H313" s="70"/>
      <c r="I313" s="71"/>
      <c r="J313" s="71"/>
      <c r="K313" s="35" t="s">
        <v>66</v>
      </c>
      <c r="L313" s="79">
        <v>313</v>
      </c>
      <c r="M313" s="79"/>
      <c r="N313" s="73"/>
      <c r="O313" s="81" t="s">
        <v>760</v>
      </c>
      <c r="P313" s="81" t="s">
        <v>215</v>
      </c>
      <c r="Q313" s="84" t="s">
        <v>1058</v>
      </c>
      <c r="R313" s="81" t="s">
        <v>446</v>
      </c>
      <c r="S313" s="81" t="s">
        <v>1775</v>
      </c>
      <c r="T313" s="86" t="str">
        <f>HYPERLINK("http://www.youtube.com/channel/UCCV1EKfwQz_fQxhdV24brOg")</f>
        <v>http://www.youtube.com/channel/UCCV1EKfwQz_fQxhdV24brOg</v>
      </c>
      <c r="U313" s="81"/>
      <c r="V313" s="81" t="s">
        <v>2311</v>
      </c>
      <c r="W313" s="86" t="str">
        <f>HYPERLINK("https://www.youtube.com/watch?v=DrCnSoZUXAc")</f>
        <v>https://www.youtube.com/watch?v=DrCnSoZUXAc</v>
      </c>
      <c r="X313" s="81" t="s">
        <v>2335</v>
      </c>
      <c r="Y313" s="81">
        <v>0</v>
      </c>
      <c r="Z313" s="81" t="s">
        <v>2444</v>
      </c>
      <c r="AA313" s="81" t="s">
        <v>2444</v>
      </c>
      <c r="AB313" s="81"/>
      <c r="AC313" s="81"/>
      <c r="AD313" s="84" t="s">
        <v>2782</v>
      </c>
      <c r="AE313" s="82">
        <v>2</v>
      </c>
      <c r="AF313" s="83" t="str">
        <f>REPLACE(INDEX(GroupVertices[Group],MATCH(Edges[[#This Row],[Vertex 1]],GroupVertices[Vertex],0)),1,1,"")</f>
        <v>1</v>
      </c>
      <c r="AG313" s="83" t="str">
        <f>REPLACE(INDEX(GroupVertices[Group],MATCH(Edges[[#This Row],[Vertex 2]],GroupVertices[Vertex],0)),1,1,"")</f>
        <v>1</v>
      </c>
      <c r="AH313" s="111">
        <v>1</v>
      </c>
      <c r="AI313" s="112">
        <v>5.882352941176471</v>
      </c>
      <c r="AJ313" s="111">
        <v>2</v>
      </c>
      <c r="AK313" s="112">
        <v>11.764705882352942</v>
      </c>
      <c r="AL313" s="111">
        <v>0</v>
      </c>
      <c r="AM313" s="112">
        <v>0</v>
      </c>
      <c r="AN313" s="111">
        <v>14</v>
      </c>
      <c r="AO313" s="112">
        <v>82.3529411764706</v>
      </c>
      <c r="AP313" s="111">
        <v>17</v>
      </c>
    </row>
    <row r="314" spans="1:42" ht="15">
      <c r="A314" s="65" t="s">
        <v>446</v>
      </c>
      <c r="B314" s="65" t="s">
        <v>287</v>
      </c>
      <c r="C314" s="66" t="s">
        <v>5346</v>
      </c>
      <c r="D314" s="67">
        <v>10</v>
      </c>
      <c r="E314" s="68"/>
      <c r="F314" s="69">
        <v>15</v>
      </c>
      <c r="G314" s="66"/>
      <c r="H314" s="70"/>
      <c r="I314" s="71"/>
      <c r="J314" s="71"/>
      <c r="K314" s="35" t="s">
        <v>66</v>
      </c>
      <c r="L314" s="79">
        <v>314</v>
      </c>
      <c r="M314" s="79"/>
      <c r="N314" s="73"/>
      <c r="O314" s="81" t="s">
        <v>760</v>
      </c>
      <c r="P314" s="81" t="s">
        <v>215</v>
      </c>
      <c r="Q314" s="84" t="s">
        <v>1059</v>
      </c>
      <c r="R314" s="81" t="s">
        <v>446</v>
      </c>
      <c r="S314" s="81" t="s">
        <v>1775</v>
      </c>
      <c r="T314" s="86" t="str">
        <f>HYPERLINK("http://www.youtube.com/channel/UCCV1EKfwQz_fQxhdV24brOg")</f>
        <v>http://www.youtube.com/channel/UCCV1EKfwQz_fQxhdV24brOg</v>
      </c>
      <c r="U314" s="81"/>
      <c r="V314" s="81" t="s">
        <v>2313</v>
      </c>
      <c r="W314" s="86" t="str">
        <f>HYPERLINK("https://www.youtube.com/watch?v=-EA6GvKa0EA")</f>
        <v>https://www.youtube.com/watch?v=-EA6GvKa0EA</v>
      </c>
      <c r="X314" s="81" t="s">
        <v>2335</v>
      </c>
      <c r="Y314" s="81">
        <v>0</v>
      </c>
      <c r="Z314" s="81" t="s">
        <v>2445</v>
      </c>
      <c r="AA314" s="81" t="s">
        <v>2445</v>
      </c>
      <c r="AB314" s="81"/>
      <c r="AC314" s="81"/>
      <c r="AD314" s="84" t="s">
        <v>2782</v>
      </c>
      <c r="AE314" s="82">
        <v>2</v>
      </c>
      <c r="AF314" s="83" t="str">
        <f>REPLACE(INDEX(GroupVertices[Group],MATCH(Edges[[#This Row],[Vertex 1]],GroupVertices[Vertex],0)),1,1,"")</f>
        <v>1</v>
      </c>
      <c r="AG314" s="83" t="str">
        <f>REPLACE(INDEX(GroupVertices[Group],MATCH(Edges[[#This Row],[Vertex 2]],GroupVertices[Vertex],0)),1,1,"")</f>
        <v>1</v>
      </c>
      <c r="AH314" s="111">
        <v>3</v>
      </c>
      <c r="AI314" s="112">
        <v>18.75</v>
      </c>
      <c r="AJ314" s="111">
        <v>1</v>
      </c>
      <c r="AK314" s="112">
        <v>6.25</v>
      </c>
      <c r="AL314" s="111">
        <v>0</v>
      </c>
      <c r="AM314" s="112">
        <v>0</v>
      </c>
      <c r="AN314" s="111">
        <v>12</v>
      </c>
      <c r="AO314" s="112">
        <v>75</v>
      </c>
      <c r="AP314" s="111">
        <v>16</v>
      </c>
    </row>
    <row r="315" spans="1:42" ht="15">
      <c r="A315" s="65" t="s">
        <v>447</v>
      </c>
      <c r="B315" s="65" t="s">
        <v>287</v>
      </c>
      <c r="C315" s="66" t="s">
        <v>5346</v>
      </c>
      <c r="D315" s="67">
        <v>10</v>
      </c>
      <c r="E315" s="68"/>
      <c r="F315" s="69">
        <v>15</v>
      </c>
      <c r="G315" s="66"/>
      <c r="H315" s="70"/>
      <c r="I315" s="71"/>
      <c r="J315" s="71"/>
      <c r="K315" s="35" t="s">
        <v>65</v>
      </c>
      <c r="L315" s="79">
        <v>315</v>
      </c>
      <c r="M315" s="79"/>
      <c r="N315" s="73"/>
      <c r="O315" s="81" t="s">
        <v>760</v>
      </c>
      <c r="P315" s="81" t="s">
        <v>215</v>
      </c>
      <c r="Q315" s="84" t="s">
        <v>1060</v>
      </c>
      <c r="R315" s="81" t="s">
        <v>447</v>
      </c>
      <c r="S315" s="81" t="s">
        <v>1776</v>
      </c>
      <c r="T315" s="86" t="str">
        <f>HYPERLINK("http://www.youtube.com/channel/UCKN54OahwwhsC4xBTsQ43nA")</f>
        <v>http://www.youtube.com/channel/UCKN54OahwwhsC4xBTsQ43nA</v>
      </c>
      <c r="U315" s="81"/>
      <c r="V315" s="81" t="s">
        <v>2311</v>
      </c>
      <c r="W315" s="86" t="str">
        <f>HYPERLINK("https://www.youtube.com/watch?v=DrCnSoZUXAc")</f>
        <v>https://www.youtube.com/watch?v=DrCnSoZUXAc</v>
      </c>
      <c r="X315" s="81" t="s">
        <v>2335</v>
      </c>
      <c r="Y315" s="81">
        <v>1</v>
      </c>
      <c r="Z315" s="88">
        <v>43526.03582175926</v>
      </c>
      <c r="AA315" s="88">
        <v>43526.03582175926</v>
      </c>
      <c r="AB315" s="81"/>
      <c r="AC315" s="81"/>
      <c r="AD315" s="84" t="s">
        <v>2782</v>
      </c>
      <c r="AE315" s="82">
        <v>2</v>
      </c>
      <c r="AF315" s="83" t="str">
        <f>REPLACE(INDEX(GroupVertices[Group],MATCH(Edges[[#This Row],[Vertex 1]],GroupVertices[Vertex],0)),1,1,"")</f>
        <v>1</v>
      </c>
      <c r="AG315" s="83" t="str">
        <f>REPLACE(INDEX(GroupVertices[Group],MATCH(Edges[[#This Row],[Vertex 2]],GroupVertices[Vertex],0)),1,1,"")</f>
        <v>1</v>
      </c>
      <c r="AH315" s="111">
        <v>2</v>
      </c>
      <c r="AI315" s="112">
        <v>7.142857142857143</v>
      </c>
      <c r="AJ315" s="111">
        <v>2</v>
      </c>
      <c r="AK315" s="112">
        <v>7.142857142857143</v>
      </c>
      <c r="AL315" s="111">
        <v>0</v>
      </c>
      <c r="AM315" s="112">
        <v>0</v>
      </c>
      <c r="AN315" s="111">
        <v>24</v>
      </c>
      <c r="AO315" s="112">
        <v>85.71428571428571</v>
      </c>
      <c r="AP315" s="111">
        <v>28</v>
      </c>
    </row>
    <row r="316" spans="1:42" ht="15">
      <c r="A316" s="65" t="s">
        <v>447</v>
      </c>
      <c r="B316" s="65" t="s">
        <v>287</v>
      </c>
      <c r="C316" s="66" t="s">
        <v>5346</v>
      </c>
      <c r="D316" s="67">
        <v>10</v>
      </c>
      <c r="E316" s="68"/>
      <c r="F316" s="69">
        <v>15</v>
      </c>
      <c r="G316" s="66"/>
      <c r="H316" s="70"/>
      <c r="I316" s="71"/>
      <c r="J316" s="71"/>
      <c r="K316" s="35" t="s">
        <v>65</v>
      </c>
      <c r="L316" s="79">
        <v>316</v>
      </c>
      <c r="M316" s="79"/>
      <c r="N316" s="73"/>
      <c r="O316" s="81" t="s">
        <v>760</v>
      </c>
      <c r="P316" s="81" t="s">
        <v>215</v>
      </c>
      <c r="Q316" s="84" t="s">
        <v>1061</v>
      </c>
      <c r="R316" s="81" t="s">
        <v>447</v>
      </c>
      <c r="S316" s="81" t="s">
        <v>1776</v>
      </c>
      <c r="T316" s="86" t="str">
        <f>HYPERLINK("http://www.youtube.com/channel/UCKN54OahwwhsC4xBTsQ43nA")</f>
        <v>http://www.youtube.com/channel/UCKN54OahwwhsC4xBTsQ43nA</v>
      </c>
      <c r="U316" s="81"/>
      <c r="V316" s="81" t="s">
        <v>2313</v>
      </c>
      <c r="W316" s="86" t="str">
        <f>HYPERLINK("https://www.youtube.com/watch?v=-EA6GvKa0EA")</f>
        <v>https://www.youtube.com/watch?v=-EA6GvKa0EA</v>
      </c>
      <c r="X316" s="81" t="s">
        <v>2335</v>
      </c>
      <c r="Y316" s="81">
        <v>0</v>
      </c>
      <c r="Z316" s="81" t="s">
        <v>2446</v>
      </c>
      <c r="AA316" s="81" t="s">
        <v>2446</v>
      </c>
      <c r="AB316" s="81"/>
      <c r="AC316" s="81"/>
      <c r="AD316" s="84" t="s">
        <v>2782</v>
      </c>
      <c r="AE316" s="82">
        <v>2</v>
      </c>
      <c r="AF316" s="83" t="str">
        <f>REPLACE(INDEX(GroupVertices[Group],MATCH(Edges[[#This Row],[Vertex 1]],GroupVertices[Vertex],0)),1,1,"")</f>
        <v>1</v>
      </c>
      <c r="AG316" s="83" t="str">
        <f>REPLACE(INDEX(GroupVertices[Group],MATCH(Edges[[#This Row],[Vertex 2]],GroupVertices[Vertex],0)),1,1,"")</f>
        <v>1</v>
      </c>
      <c r="AH316" s="111">
        <v>4</v>
      </c>
      <c r="AI316" s="112">
        <v>14.285714285714286</v>
      </c>
      <c r="AJ316" s="111">
        <v>0</v>
      </c>
      <c r="AK316" s="112">
        <v>0</v>
      </c>
      <c r="AL316" s="111">
        <v>0</v>
      </c>
      <c r="AM316" s="112">
        <v>0</v>
      </c>
      <c r="AN316" s="111">
        <v>24</v>
      </c>
      <c r="AO316" s="112">
        <v>85.71428571428571</v>
      </c>
      <c r="AP316" s="111">
        <v>28</v>
      </c>
    </row>
    <row r="317" spans="1:42" ht="15">
      <c r="A317" s="65" t="s">
        <v>448</v>
      </c>
      <c r="B317" s="65" t="s">
        <v>287</v>
      </c>
      <c r="C317" s="66" t="s">
        <v>5346</v>
      </c>
      <c r="D317" s="67">
        <v>10</v>
      </c>
      <c r="E317" s="68"/>
      <c r="F317" s="69">
        <v>15</v>
      </c>
      <c r="G317" s="66"/>
      <c r="H317" s="70"/>
      <c r="I317" s="71"/>
      <c r="J317" s="71"/>
      <c r="K317" s="35" t="s">
        <v>65</v>
      </c>
      <c r="L317" s="79">
        <v>317</v>
      </c>
      <c r="M317" s="79"/>
      <c r="N317" s="73"/>
      <c r="O317" s="81" t="s">
        <v>760</v>
      </c>
      <c r="P317" s="81" t="s">
        <v>215</v>
      </c>
      <c r="Q317" s="84" t="s">
        <v>1062</v>
      </c>
      <c r="R317" s="81" t="s">
        <v>448</v>
      </c>
      <c r="S317" s="81" t="s">
        <v>1777</v>
      </c>
      <c r="T317" s="86" t="str">
        <f>HYPERLINK("http://www.youtube.com/channel/UCeUT7kK3p2Hr5yF54feUmMQ")</f>
        <v>http://www.youtube.com/channel/UCeUT7kK3p2Hr5yF54feUmMQ</v>
      </c>
      <c r="U317" s="81"/>
      <c r="V317" s="81" t="s">
        <v>2311</v>
      </c>
      <c r="W317" s="86" t="str">
        <f>HYPERLINK("https://www.youtube.com/watch?v=DrCnSoZUXAc")</f>
        <v>https://www.youtube.com/watch?v=DrCnSoZUXAc</v>
      </c>
      <c r="X317" s="81" t="s">
        <v>2335</v>
      </c>
      <c r="Y317" s="81">
        <v>0</v>
      </c>
      <c r="Z317" s="81" t="s">
        <v>2447</v>
      </c>
      <c r="AA317" s="81" t="s">
        <v>2447</v>
      </c>
      <c r="AB317" s="81"/>
      <c r="AC317" s="81"/>
      <c r="AD317" s="84" t="s">
        <v>2782</v>
      </c>
      <c r="AE317" s="82">
        <v>2</v>
      </c>
      <c r="AF317" s="83" t="str">
        <f>REPLACE(INDEX(GroupVertices[Group],MATCH(Edges[[#This Row],[Vertex 1]],GroupVertices[Vertex],0)),1,1,"")</f>
        <v>1</v>
      </c>
      <c r="AG317" s="83" t="str">
        <f>REPLACE(INDEX(GroupVertices[Group],MATCH(Edges[[#This Row],[Vertex 2]],GroupVertices[Vertex],0)),1,1,"")</f>
        <v>1</v>
      </c>
      <c r="AH317" s="111">
        <v>2</v>
      </c>
      <c r="AI317" s="112">
        <v>11.764705882352942</v>
      </c>
      <c r="AJ317" s="111">
        <v>0</v>
      </c>
      <c r="AK317" s="112">
        <v>0</v>
      </c>
      <c r="AL317" s="111">
        <v>0</v>
      </c>
      <c r="AM317" s="112">
        <v>0</v>
      </c>
      <c r="AN317" s="111">
        <v>15</v>
      </c>
      <c r="AO317" s="112">
        <v>88.23529411764706</v>
      </c>
      <c r="AP317" s="111">
        <v>17</v>
      </c>
    </row>
    <row r="318" spans="1:42" ht="15">
      <c r="A318" s="65" t="s">
        <v>448</v>
      </c>
      <c r="B318" s="65" t="s">
        <v>287</v>
      </c>
      <c r="C318" s="66" t="s">
        <v>5346</v>
      </c>
      <c r="D318" s="67">
        <v>10</v>
      </c>
      <c r="E318" s="68"/>
      <c r="F318" s="69">
        <v>15</v>
      </c>
      <c r="G318" s="66"/>
      <c r="H318" s="70"/>
      <c r="I318" s="71"/>
      <c r="J318" s="71"/>
      <c r="K318" s="35" t="s">
        <v>65</v>
      </c>
      <c r="L318" s="79">
        <v>318</v>
      </c>
      <c r="M318" s="79"/>
      <c r="N318" s="73"/>
      <c r="O318" s="81" t="s">
        <v>760</v>
      </c>
      <c r="P318" s="81" t="s">
        <v>215</v>
      </c>
      <c r="Q318" s="84" t="s">
        <v>1063</v>
      </c>
      <c r="R318" s="81" t="s">
        <v>448</v>
      </c>
      <c r="S318" s="81" t="s">
        <v>1777</v>
      </c>
      <c r="T318" s="86" t="str">
        <f>HYPERLINK("http://www.youtube.com/channel/UCeUT7kK3p2Hr5yF54feUmMQ")</f>
        <v>http://www.youtube.com/channel/UCeUT7kK3p2Hr5yF54feUmMQ</v>
      </c>
      <c r="U318" s="81"/>
      <c r="V318" s="81" t="s">
        <v>2313</v>
      </c>
      <c r="W318" s="86" t="str">
        <f>HYPERLINK("https://www.youtube.com/watch?v=-EA6GvKa0EA")</f>
        <v>https://www.youtube.com/watch?v=-EA6GvKa0EA</v>
      </c>
      <c r="X318" s="81" t="s">
        <v>2335</v>
      </c>
      <c r="Y318" s="81">
        <v>3</v>
      </c>
      <c r="Z318" s="81" t="s">
        <v>2448</v>
      </c>
      <c r="AA318" s="81" t="s">
        <v>2448</v>
      </c>
      <c r="AB318" s="81"/>
      <c r="AC318" s="81"/>
      <c r="AD318" s="84" t="s">
        <v>2782</v>
      </c>
      <c r="AE318" s="82">
        <v>2</v>
      </c>
      <c r="AF318" s="83" t="str">
        <f>REPLACE(INDEX(GroupVertices[Group],MATCH(Edges[[#This Row],[Vertex 1]],GroupVertices[Vertex],0)),1,1,"")</f>
        <v>1</v>
      </c>
      <c r="AG318" s="83" t="str">
        <f>REPLACE(INDEX(GroupVertices[Group],MATCH(Edges[[#This Row],[Vertex 2]],GroupVertices[Vertex],0)),1,1,"")</f>
        <v>1</v>
      </c>
      <c r="AH318" s="111">
        <v>3</v>
      </c>
      <c r="AI318" s="112">
        <v>12</v>
      </c>
      <c r="AJ318" s="111">
        <v>0</v>
      </c>
      <c r="AK318" s="112">
        <v>0</v>
      </c>
      <c r="AL318" s="111">
        <v>0</v>
      </c>
      <c r="AM318" s="112">
        <v>0</v>
      </c>
      <c r="AN318" s="111">
        <v>22</v>
      </c>
      <c r="AO318" s="112">
        <v>88</v>
      </c>
      <c r="AP318" s="111">
        <v>25</v>
      </c>
    </row>
    <row r="319" spans="1:42" ht="15">
      <c r="A319" s="65" t="s">
        <v>449</v>
      </c>
      <c r="B319" s="65" t="s">
        <v>287</v>
      </c>
      <c r="C319" s="66" t="s">
        <v>5345</v>
      </c>
      <c r="D319" s="67">
        <v>3</v>
      </c>
      <c r="E319" s="68"/>
      <c r="F319" s="69">
        <v>40</v>
      </c>
      <c r="G319" s="66"/>
      <c r="H319" s="70"/>
      <c r="I319" s="71"/>
      <c r="J319" s="71"/>
      <c r="K319" s="35" t="s">
        <v>65</v>
      </c>
      <c r="L319" s="79">
        <v>319</v>
      </c>
      <c r="M319" s="79"/>
      <c r="N319" s="73"/>
      <c r="O319" s="81" t="s">
        <v>760</v>
      </c>
      <c r="P319" s="81" t="s">
        <v>215</v>
      </c>
      <c r="Q319" s="84" t="s">
        <v>1064</v>
      </c>
      <c r="R319" s="81" t="s">
        <v>449</v>
      </c>
      <c r="S319" s="81" t="s">
        <v>1778</v>
      </c>
      <c r="T319" s="86" t="str">
        <f>HYPERLINK("http://www.youtube.com/channel/UCgVOtYfjX191hZ_2brCXTqg")</f>
        <v>http://www.youtube.com/channel/UCgVOtYfjX191hZ_2brCXTqg</v>
      </c>
      <c r="U319" s="81"/>
      <c r="V319" s="81" t="s">
        <v>2313</v>
      </c>
      <c r="W319" s="86" t="str">
        <f>HYPERLINK("https://www.youtube.com/watch?v=-EA6GvKa0EA")</f>
        <v>https://www.youtube.com/watch?v=-EA6GvKa0EA</v>
      </c>
      <c r="X319" s="81" t="s">
        <v>2335</v>
      </c>
      <c r="Y319" s="81">
        <v>0</v>
      </c>
      <c r="Z319" s="81" t="s">
        <v>2449</v>
      </c>
      <c r="AA319" s="81" t="s">
        <v>2449</v>
      </c>
      <c r="AB319" s="81"/>
      <c r="AC319" s="81"/>
      <c r="AD319" s="84" t="s">
        <v>2782</v>
      </c>
      <c r="AE319" s="82">
        <v>1</v>
      </c>
      <c r="AF319" s="83" t="str">
        <f>REPLACE(INDEX(GroupVertices[Group],MATCH(Edges[[#This Row],[Vertex 1]],GroupVertices[Vertex],0)),1,1,"")</f>
        <v>1</v>
      </c>
      <c r="AG319" s="83" t="str">
        <f>REPLACE(INDEX(GroupVertices[Group],MATCH(Edges[[#This Row],[Vertex 2]],GroupVertices[Vertex],0)),1,1,"")</f>
        <v>1</v>
      </c>
      <c r="AH319" s="111">
        <v>3</v>
      </c>
      <c r="AI319" s="112">
        <v>7.6923076923076925</v>
      </c>
      <c r="AJ319" s="111">
        <v>0</v>
      </c>
      <c r="AK319" s="112">
        <v>0</v>
      </c>
      <c r="AL319" s="111">
        <v>0</v>
      </c>
      <c r="AM319" s="112">
        <v>0</v>
      </c>
      <c r="AN319" s="111">
        <v>36</v>
      </c>
      <c r="AO319" s="112">
        <v>92.3076923076923</v>
      </c>
      <c r="AP319" s="111">
        <v>39</v>
      </c>
    </row>
    <row r="320" spans="1:42" ht="15">
      <c r="A320" s="65" t="s">
        <v>450</v>
      </c>
      <c r="B320" s="65" t="s">
        <v>287</v>
      </c>
      <c r="C320" s="66" t="s">
        <v>5345</v>
      </c>
      <c r="D320" s="67">
        <v>3</v>
      </c>
      <c r="E320" s="68"/>
      <c r="F320" s="69">
        <v>40</v>
      </c>
      <c r="G320" s="66"/>
      <c r="H320" s="70"/>
      <c r="I320" s="71"/>
      <c r="J320" s="71"/>
      <c r="K320" s="35" t="s">
        <v>65</v>
      </c>
      <c r="L320" s="79">
        <v>320</v>
      </c>
      <c r="M320" s="79"/>
      <c r="N320" s="73"/>
      <c r="O320" s="81" t="s">
        <v>760</v>
      </c>
      <c r="P320" s="81" t="s">
        <v>215</v>
      </c>
      <c r="Q320" s="84" t="s">
        <v>1065</v>
      </c>
      <c r="R320" s="81" t="s">
        <v>450</v>
      </c>
      <c r="S320" s="81" t="s">
        <v>1779</v>
      </c>
      <c r="T320" s="86" t="str">
        <f>HYPERLINK("http://www.youtube.com/channel/UCobOGMv5B48aFldlU_DuKtw")</f>
        <v>http://www.youtube.com/channel/UCobOGMv5B48aFldlU_DuKtw</v>
      </c>
      <c r="U320" s="81"/>
      <c r="V320" s="81" t="s">
        <v>2313</v>
      </c>
      <c r="W320" s="86" t="str">
        <f>HYPERLINK("https://www.youtube.com/watch?v=-EA6GvKa0EA")</f>
        <v>https://www.youtube.com/watch?v=-EA6GvKa0EA</v>
      </c>
      <c r="X320" s="81" t="s">
        <v>2335</v>
      </c>
      <c r="Y320" s="81">
        <v>0</v>
      </c>
      <c r="Z320" s="81" t="s">
        <v>2450</v>
      </c>
      <c r="AA320" s="81" t="s">
        <v>2450</v>
      </c>
      <c r="AB320" s="81"/>
      <c r="AC320" s="81"/>
      <c r="AD320" s="84" t="s">
        <v>2782</v>
      </c>
      <c r="AE320" s="82">
        <v>1</v>
      </c>
      <c r="AF320" s="83" t="str">
        <f>REPLACE(INDEX(GroupVertices[Group],MATCH(Edges[[#This Row],[Vertex 1]],GroupVertices[Vertex],0)),1,1,"")</f>
        <v>1</v>
      </c>
      <c r="AG320" s="83" t="str">
        <f>REPLACE(INDEX(GroupVertices[Group],MATCH(Edges[[#This Row],[Vertex 2]],GroupVertices[Vertex],0)),1,1,"")</f>
        <v>1</v>
      </c>
      <c r="AH320" s="111">
        <v>1</v>
      </c>
      <c r="AI320" s="112">
        <v>25</v>
      </c>
      <c r="AJ320" s="111">
        <v>0</v>
      </c>
      <c r="AK320" s="112">
        <v>0</v>
      </c>
      <c r="AL320" s="111">
        <v>0</v>
      </c>
      <c r="AM320" s="112">
        <v>0</v>
      </c>
      <c r="AN320" s="111">
        <v>3</v>
      </c>
      <c r="AO320" s="112">
        <v>75</v>
      </c>
      <c r="AP320" s="111">
        <v>4</v>
      </c>
    </row>
    <row r="321" spans="1:42" ht="15">
      <c r="A321" s="65" t="s">
        <v>451</v>
      </c>
      <c r="B321" s="65" t="s">
        <v>287</v>
      </c>
      <c r="C321" s="66" t="s">
        <v>5345</v>
      </c>
      <c r="D321" s="67">
        <v>3</v>
      </c>
      <c r="E321" s="68"/>
      <c r="F321" s="69">
        <v>40</v>
      </c>
      <c r="G321" s="66"/>
      <c r="H321" s="70"/>
      <c r="I321" s="71"/>
      <c r="J321" s="71"/>
      <c r="K321" s="35" t="s">
        <v>65</v>
      </c>
      <c r="L321" s="79">
        <v>321</v>
      </c>
      <c r="M321" s="79"/>
      <c r="N321" s="73"/>
      <c r="O321" s="81" t="s">
        <v>760</v>
      </c>
      <c r="P321" s="81" t="s">
        <v>215</v>
      </c>
      <c r="Q321" s="84" t="s">
        <v>1066</v>
      </c>
      <c r="R321" s="81" t="s">
        <v>451</v>
      </c>
      <c r="S321" s="81" t="s">
        <v>1780</v>
      </c>
      <c r="T321" s="86" t="str">
        <f>HYPERLINK("http://www.youtube.com/channel/UClnyhAF3jx8wP1b4vUB1VKw")</f>
        <v>http://www.youtube.com/channel/UClnyhAF3jx8wP1b4vUB1VKw</v>
      </c>
      <c r="U321" s="81"/>
      <c r="V321" s="81" t="s">
        <v>2313</v>
      </c>
      <c r="W321" s="86" t="str">
        <f>HYPERLINK("https://www.youtube.com/watch?v=-EA6GvKa0EA")</f>
        <v>https://www.youtube.com/watch?v=-EA6GvKa0EA</v>
      </c>
      <c r="X321" s="81" t="s">
        <v>2335</v>
      </c>
      <c r="Y321" s="81">
        <v>0</v>
      </c>
      <c r="Z321" s="81" t="s">
        <v>2451</v>
      </c>
      <c r="AA321" s="81" t="s">
        <v>2451</v>
      </c>
      <c r="AB321" s="81"/>
      <c r="AC321" s="81"/>
      <c r="AD321" s="84" t="s">
        <v>2782</v>
      </c>
      <c r="AE321" s="82">
        <v>1</v>
      </c>
      <c r="AF321" s="83" t="str">
        <f>REPLACE(INDEX(GroupVertices[Group],MATCH(Edges[[#This Row],[Vertex 1]],GroupVertices[Vertex],0)),1,1,"")</f>
        <v>1</v>
      </c>
      <c r="AG321" s="83" t="str">
        <f>REPLACE(INDEX(GroupVertices[Group],MATCH(Edges[[#This Row],[Vertex 2]],GroupVertices[Vertex],0)),1,1,"")</f>
        <v>1</v>
      </c>
      <c r="AH321" s="111">
        <v>3</v>
      </c>
      <c r="AI321" s="112">
        <v>11.11111111111111</v>
      </c>
      <c r="AJ321" s="111">
        <v>0</v>
      </c>
      <c r="AK321" s="112">
        <v>0</v>
      </c>
      <c r="AL321" s="111">
        <v>0</v>
      </c>
      <c r="AM321" s="112">
        <v>0</v>
      </c>
      <c r="AN321" s="111">
        <v>24</v>
      </c>
      <c r="AO321" s="112">
        <v>88.88888888888889</v>
      </c>
      <c r="AP321" s="111">
        <v>27</v>
      </c>
    </row>
    <row r="322" spans="1:42" ht="15">
      <c r="A322" s="65" t="s">
        <v>452</v>
      </c>
      <c r="B322" s="65" t="s">
        <v>287</v>
      </c>
      <c r="C322" s="66" t="s">
        <v>5345</v>
      </c>
      <c r="D322" s="67">
        <v>3</v>
      </c>
      <c r="E322" s="68"/>
      <c r="F322" s="69">
        <v>40</v>
      </c>
      <c r="G322" s="66"/>
      <c r="H322" s="70"/>
      <c r="I322" s="71"/>
      <c r="J322" s="71"/>
      <c r="K322" s="35" t="s">
        <v>65</v>
      </c>
      <c r="L322" s="79">
        <v>322</v>
      </c>
      <c r="M322" s="79"/>
      <c r="N322" s="73"/>
      <c r="O322" s="81" t="s">
        <v>760</v>
      </c>
      <c r="P322" s="81" t="s">
        <v>215</v>
      </c>
      <c r="Q322" s="84" t="s">
        <v>1067</v>
      </c>
      <c r="R322" s="81" t="s">
        <v>452</v>
      </c>
      <c r="S322" s="81" t="s">
        <v>1781</v>
      </c>
      <c r="T322" s="86" t="str">
        <f>HYPERLINK("http://www.youtube.com/channel/UCOvlIAKZAkZiIcx_FH99u-g")</f>
        <v>http://www.youtube.com/channel/UCOvlIAKZAkZiIcx_FH99u-g</v>
      </c>
      <c r="U322" s="81"/>
      <c r="V322" s="81" t="s">
        <v>2313</v>
      </c>
      <c r="W322" s="86" t="str">
        <f>HYPERLINK("https://www.youtube.com/watch?v=-EA6GvKa0EA")</f>
        <v>https://www.youtube.com/watch?v=-EA6GvKa0EA</v>
      </c>
      <c r="X322" s="81" t="s">
        <v>2335</v>
      </c>
      <c r="Y322" s="81">
        <v>0</v>
      </c>
      <c r="Z322" s="81" t="s">
        <v>2452</v>
      </c>
      <c r="AA322" s="81" t="s">
        <v>2452</v>
      </c>
      <c r="AB322" s="81"/>
      <c r="AC322" s="81"/>
      <c r="AD322" s="84" t="s">
        <v>2782</v>
      </c>
      <c r="AE322" s="82">
        <v>1</v>
      </c>
      <c r="AF322" s="83" t="str">
        <f>REPLACE(INDEX(GroupVertices[Group],MATCH(Edges[[#This Row],[Vertex 1]],GroupVertices[Vertex],0)),1,1,"")</f>
        <v>1</v>
      </c>
      <c r="AG322" s="83" t="str">
        <f>REPLACE(INDEX(GroupVertices[Group],MATCH(Edges[[#This Row],[Vertex 2]],GroupVertices[Vertex],0)),1,1,"")</f>
        <v>1</v>
      </c>
      <c r="AH322" s="111">
        <v>1</v>
      </c>
      <c r="AI322" s="112">
        <v>50</v>
      </c>
      <c r="AJ322" s="111">
        <v>0</v>
      </c>
      <c r="AK322" s="112">
        <v>0</v>
      </c>
      <c r="AL322" s="111">
        <v>0</v>
      </c>
      <c r="AM322" s="112">
        <v>0</v>
      </c>
      <c r="AN322" s="111">
        <v>1</v>
      </c>
      <c r="AO322" s="112">
        <v>50</v>
      </c>
      <c r="AP322" s="111">
        <v>2</v>
      </c>
    </row>
    <row r="323" spans="1:42" ht="15">
      <c r="A323" s="65" t="s">
        <v>453</v>
      </c>
      <c r="B323" s="65" t="s">
        <v>287</v>
      </c>
      <c r="C323" s="66" t="s">
        <v>5345</v>
      </c>
      <c r="D323" s="67">
        <v>3</v>
      </c>
      <c r="E323" s="68"/>
      <c r="F323" s="69">
        <v>40</v>
      </c>
      <c r="G323" s="66"/>
      <c r="H323" s="70"/>
      <c r="I323" s="71"/>
      <c r="J323" s="71"/>
      <c r="K323" s="35" t="s">
        <v>65</v>
      </c>
      <c r="L323" s="79">
        <v>323</v>
      </c>
      <c r="M323" s="79"/>
      <c r="N323" s="73"/>
      <c r="O323" s="81" t="s">
        <v>760</v>
      </c>
      <c r="P323" s="81" t="s">
        <v>215</v>
      </c>
      <c r="Q323" s="84" t="s">
        <v>1068</v>
      </c>
      <c r="R323" s="81" t="s">
        <v>453</v>
      </c>
      <c r="S323" s="81" t="s">
        <v>1782</v>
      </c>
      <c r="T323" s="86" t="str">
        <f>HYPERLINK("http://www.youtube.com/channel/UCZwIyhTg6Rv6LpsAuLQsxEg")</f>
        <v>http://www.youtube.com/channel/UCZwIyhTg6Rv6LpsAuLQsxEg</v>
      </c>
      <c r="U323" s="81"/>
      <c r="V323" s="81" t="s">
        <v>2313</v>
      </c>
      <c r="W323" s="86" t="str">
        <f>HYPERLINK("https://www.youtube.com/watch?v=-EA6GvKa0EA")</f>
        <v>https://www.youtube.com/watch?v=-EA6GvKa0EA</v>
      </c>
      <c r="X323" s="81" t="s">
        <v>2335</v>
      </c>
      <c r="Y323" s="81">
        <v>0</v>
      </c>
      <c r="Z323" s="81" t="s">
        <v>2453</v>
      </c>
      <c r="AA323" s="81" t="s">
        <v>2453</v>
      </c>
      <c r="AB323" s="81"/>
      <c r="AC323" s="81"/>
      <c r="AD323" s="84" t="s">
        <v>2782</v>
      </c>
      <c r="AE323" s="82">
        <v>1</v>
      </c>
      <c r="AF323" s="83" t="str">
        <f>REPLACE(INDEX(GroupVertices[Group],MATCH(Edges[[#This Row],[Vertex 1]],GroupVertices[Vertex],0)),1,1,"")</f>
        <v>1</v>
      </c>
      <c r="AG323" s="83" t="str">
        <f>REPLACE(INDEX(GroupVertices[Group],MATCH(Edges[[#This Row],[Vertex 2]],GroupVertices[Vertex],0)),1,1,"")</f>
        <v>1</v>
      </c>
      <c r="AH323" s="111">
        <v>2</v>
      </c>
      <c r="AI323" s="112">
        <v>15.384615384615385</v>
      </c>
      <c r="AJ323" s="111">
        <v>0</v>
      </c>
      <c r="AK323" s="112">
        <v>0</v>
      </c>
      <c r="AL323" s="111">
        <v>0</v>
      </c>
      <c r="AM323" s="112">
        <v>0</v>
      </c>
      <c r="AN323" s="111">
        <v>11</v>
      </c>
      <c r="AO323" s="112">
        <v>84.61538461538461</v>
      </c>
      <c r="AP323" s="111">
        <v>13</v>
      </c>
    </row>
    <row r="324" spans="1:42" ht="15">
      <c r="A324" s="65" t="s">
        <v>454</v>
      </c>
      <c r="B324" s="65" t="s">
        <v>287</v>
      </c>
      <c r="C324" s="66" t="s">
        <v>5345</v>
      </c>
      <c r="D324" s="67">
        <v>3</v>
      </c>
      <c r="E324" s="68"/>
      <c r="F324" s="69">
        <v>40</v>
      </c>
      <c r="G324" s="66"/>
      <c r="H324" s="70"/>
      <c r="I324" s="71"/>
      <c r="J324" s="71"/>
      <c r="K324" s="35" t="s">
        <v>65</v>
      </c>
      <c r="L324" s="79">
        <v>324</v>
      </c>
      <c r="M324" s="79"/>
      <c r="N324" s="73"/>
      <c r="O324" s="81" t="s">
        <v>760</v>
      </c>
      <c r="P324" s="81" t="s">
        <v>215</v>
      </c>
      <c r="Q324" s="84" t="s">
        <v>1069</v>
      </c>
      <c r="R324" s="81" t="s">
        <v>454</v>
      </c>
      <c r="S324" s="81" t="s">
        <v>1783</v>
      </c>
      <c r="T324" s="86" t="str">
        <f>HYPERLINK("http://www.youtube.com/channel/UCGC0LRO29Pl3QgzQwkLqIIg")</f>
        <v>http://www.youtube.com/channel/UCGC0LRO29Pl3QgzQwkLqIIg</v>
      </c>
      <c r="U324" s="81"/>
      <c r="V324" s="81" t="s">
        <v>2313</v>
      </c>
      <c r="W324" s="86" t="str">
        <f>HYPERLINK("https://www.youtube.com/watch?v=-EA6GvKa0EA")</f>
        <v>https://www.youtube.com/watch?v=-EA6GvKa0EA</v>
      </c>
      <c r="X324" s="81" t="s">
        <v>2335</v>
      </c>
      <c r="Y324" s="81">
        <v>0</v>
      </c>
      <c r="Z324" s="88">
        <v>43686.157789351855</v>
      </c>
      <c r="AA324" s="88">
        <v>43686.157789351855</v>
      </c>
      <c r="AB324" s="81"/>
      <c r="AC324" s="81"/>
      <c r="AD324" s="84" t="s">
        <v>2782</v>
      </c>
      <c r="AE324" s="82">
        <v>1</v>
      </c>
      <c r="AF324" s="83" t="str">
        <f>REPLACE(INDEX(GroupVertices[Group],MATCH(Edges[[#This Row],[Vertex 1]],GroupVertices[Vertex],0)),1,1,"")</f>
        <v>1</v>
      </c>
      <c r="AG324" s="83" t="str">
        <f>REPLACE(INDEX(GroupVertices[Group],MATCH(Edges[[#This Row],[Vertex 2]],GroupVertices[Vertex],0)),1,1,"")</f>
        <v>1</v>
      </c>
      <c r="AH324" s="111">
        <v>2</v>
      </c>
      <c r="AI324" s="112">
        <v>25</v>
      </c>
      <c r="AJ324" s="111">
        <v>0</v>
      </c>
      <c r="AK324" s="112">
        <v>0</v>
      </c>
      <c r="AL324" s="111">
        <v>0</v>
      </c>
      <c r="AM324" s="112">
        <v>0</v>
      </c>
      <c r="AN324" s="111">
        <v>6</v>
      </c>
      <c r="AO324" s="112">
        <v>75</v>
      </c>
      <c r="AP324" s="111">
        <v>8</v>
      </c>
    </row>
    <row r="325" spans="1:42" ht="15">
      <c r="A325" s="65" t="s">
        <v>455</v>
      </c>
      <c r="B325" s="65" t="s">
        <v>287</v>
      </c>
      <c r="C325" s="66" t="s">
        <v>5345</v>
      </c>
      <c r="D325" s="67">
        <v>3</v>
      </c>
      <c r="E325" s="68"/>
      <c r="F325" s="69">
        <v>40</v>
      </c>
      <c r="G325" s="66"/>
      <c r="H325" s="70"/>
      <c r="I325" s="71"/>
      <c r="J325" s="71"/>
      <c r="K325" s="35" t="s">
        <v>65</v>
      </c>
      <c r="L325" s="79">
        <v>325</v>
      </c>
      <c r="M325" s="79"/>
      <c r="N325" s="73"/>
      <c r="O325" s="81" t="s">
        <v>760</v>
      </c>
      <c r="P325" s="81" t="s">
        <v>215</v>
      </c>
      <c r="Q325" s="84" t="s">
        <v>1070</v>
      </c>
      <c r="R325" s="81" t="s">
        <v>455</v>
      </c>
      <c r="S325" s="81" t="s">
        <v>1784</v>
      </c>
      <c r="T325" s="86" t="str">
        <f>HYPERLINK("http://www.youtube.com/channel/UCWgPxK9Ku1E8XMqrYJErutQ")</f>
        <v>http://www.youtube.com/channel/UCWgPxK9Ku1E8XMqrYJErutQ</v>
      </c>
      <c r="U325" s="81"/>
      <c r="V325" s="81" t="s">
        <v>2313</v>
      </c>
      <c r="W325" s="86" t="str">
        <f>HYPERLINK("https://www.youtube.com/watch?v=-EA6GvKa0EA")</f>
        <v>https://www.youtube.com/watch?v=-EA6GvKa0EA</v>
      </c>
      <c r="X325" s="81" t="s">
        <v>2335</v>
      </c>
      <c r="Y325" s="81">
        <v>0</v>
      </c>
      <c r="Z325" s="88">
        <v>43565.57300925926</v>
      </c>
      <c r="AA325" s="88">
        <v>43565.57300925926</v>
      </c>
      <c r="AB325" s="81"/>
      <c r="AC325" s="81"/>
      <c r="AD325" s="84" t="s">
        <v>2782</v>
      </c>
      <c r="AE325" s="82">
        <v>1</v>
      </c>
      <c r="AF325" s="83" t="str">
        <f>REPLACE(INDEX(GroupVertices[Group],MATCH(Edges[[#This Row],[Vertex 1]],GroupVertices[Vertex],0)),1,1,"")</f>
        <v>1</v>
      </c>
      <c r="AG325" s="83" t="str">
        <f>REPLACE(INDEX(GroupVertices[Group],MATCH(Edges[[#This Row],[Vertex 2]],GroupVertices[Vertex],0)),1,1,"")</f>
        <v>1</v>
      </c>
      <c r="AH325" s="111">
        <v>4</v>
      </c>
      <c r="AI325" s="112">
        <v>28.571428571428573</v>
      </c>
      <c r="AJ325" s="111">
        <v>0</v>
      </c>
      <c r="AK325" s="112">
        <v>0</v>
      </c>
      <c r="AL325" s="111">
        <v>0</v>
      </c>
      <c r="AM325" s="112">
        <v>0</v>
      </c>
      <c r="AN325" s="111">
        <v>10</v>
      </c>
      <c r="AO325" s="112">
        <v>71.42857142857143</v>
      </c>
      <c r="AP325" s="111">
        <v>14</v>
      </c>
    </row>
    <row r="326" spans="1:42" ht="15">
      <c r="A326" s="65" t="s">
        <v>456</v>
      </c>
      <c r="B326" s="65" t="s">
        <v>287</v>
      </c>
      <c r="C326" s="66" t="s">
        <v>5345</v>
      </c>
      <c r="D326" s="67">
        <v>3</v>
      </c>
      <c r="E326" s="68"/>
      <c r="F326" s="69">
        <v>40</v>
      </c>
      <c r="G326" s="66"/>
      <c r="H326" s="70"/>
      <c r="I326" s="71"/>
      <c r="J326" s="71"/>
      <c r="K326" s="35" t="s">
        <v>65</v>
      </c>
      <c r="L326" s="79">
        <v>326</v>
      </c>
      <c r="M326" s="79"/>
      <c r="N326" s="73"/>
      <c r="O326" s="81" t="s">
        <v>760</v>
      </c>
      <c r="P326" s="81" t="s">
        <v>215</v>
      </c>
      <c r="Q326" s="84" t="s">
        <v>1071</v>
      </c>
      <c r="R326" s="81" t="s">
        <v>456</v>
      </c>
      <c r="S326" s="81" t="s">
        <v>1785</v>
      </c>
      <c r="T326" s="86" t="str">
        <f>HYPERLINK("http://www.youtube.com/channel/UCjof3SIQuiUyMWY-J_sqdaQ")</f>
        <v>http://www.youtube.com/channel/UCjof3SIQuiUyMWY-J_sqdaQ</v>
      </c>
      <c r="U326" s="81"/>
      <c r="V326" s="81" t="s">
        <v>2313</v>
      </c>
      <c r="W326" s="86" t="str">
        <f>HYPERLINK("https://www.youtube.com/watch?v=-EA6GvKa0EA")</f>
        <v>https://www.youtube.com/watch?v=-EA6GvKa0EA</v>
      </c>
      <c r="X326" s="81" t="s">
        <v>2335</v>
      </c>
      <c r="Y326" s="81">
        <v>0</v>
      </c>
      <c r="Z326" s="88">
        <v>43779.50208333333</v>
      </c>
      <c r="AA326" s="88">
        <v>43779.50208333333</v>
      </c>
      <c r="AB326" s="81"/>
      <c r="AC326" s="81"/>
      <c r="AD326" s="84" t="s">
        <v>2782</v>
      </c>
      <c r="AE326" s="82">
        <v>1</v>
      </c>
      <c r="AF326" s="83" t="str">
        <f>REPLACE(INDEX(GroupVertices[Group],MATCH(Edges[[#This Row],[Vertex 1]],GroupVertices[Vertex],0)),1,1,"")</f>
        <v>1</v>
      </c>
      <c r="AG326" s="83" t="str">
        <f>REPLACE(INDEX(GroupVertices[Group],MATCH(Edges[[#This Row],[Vertex 2]],GroupVertices[Vertex],0)),1,1,"")</f>
        <v>1</v>
      </c>
      <c r="AH326" s="111">
        <v>10</v>
      </c>
      <c r="AI326" s="112">
        <v>8.264462809917354</v>
      </c>
      <c r="AJ326" s="111">
        <v>4</v>
      </c>
      <c r="AK326" s="112">
        <v>3.3057851239669422</v>
      </c>
      <c r="AL326" s="111">
        <v>0</v>
      </c>
      <c r="AM326" s="112">
        <v>0</v>
      </c>
      <c r="AN326" s="111">
        <v>107</v>
      </c>
      <c r="AO326" s="112">
        <v>88.4297520661157</v>
      </c>
      <c r="AP326" s="111">
        <v>121</v>
      </c>
    </row>
    <row r="327" spans="1:42" ht="15">
      <c r="A327" s="65" t="s">
        <v>457</v>
      </c>
      <c r="B327" s="65" t="s">
        <v>287</v>
      </c>
      <c r="C327" s="66" t="s">
        <v>5345</v>
      </c>
      <c r="D327" s="67">
        <v>3</v>
      </c>
      <c r="E327" s="68"/>
      <c r="F327" s="69">
        <v>40</v>
      </c>
      <c r="G327" s="66"/>
      <c r="H327" s="70"/>
      <c r="I327" s="71"/>
      <c r="J327" s="71"/>
      <c r="K327" s="35" t="s">
        <v>65</v>
      </c>
      <c r="L327" s="79">
        <v>327</v>
      </c>
      <c r="M327" s="79"/>
      <c r="N327" s="73"/>
      <c r="O327" s="81" t="s">
        <v>760</v>
      </c>
      <c r="P327" s="81" t="s">
        <v>215</v>
      </c>
      <c r="Q327" s="84" t="s">
        <v>1072</v>
      </c>
      <c r="R327" s="81" t="s">
        <v>457</v>
      </c>
      <c r="S327" s="81" t="s">
        <v>1786</v>
      </c>
      <c r="T327" s="86" t="str">
        <f>HYPERLINK("http://www.youtube.com/channel/UCdPAbvhCW7vHSvUtN9_Kd3g")</f>
        <v>http://www.youtube.com/channel/UCdPAbvhCW7vHSvUtN9_Kd3g</v>
      </c>
      <c r="U327" s="81"/>
      <c r="V327" s="81" t="s">
        <v>2313</v>
      </c>
      <c r="W327" s="86" t="str">
        <f>HYPERLINK("https://www.youtube.com/watch?v=-EA6GvKa0EA")</f>
        <v>https://www.youtube.com/watch?v=-EA6GvKa0EA</v>
      </c>
      <c r="X327" s="81" t="s">
        <v>2335</v>
      </c>
      <c r="Y327" s="81">
        <v>0</v>
      </c>
      <c r="Z327" s="81" t="s">
        <v>2454</v>
      </c>
      <c r="AA327" s="81" t="s">
        <v>2454</v>
      </c>
      <c r="AB327" s="81"/>
      <c r="AC327" s="81"/>
      <c r="AD327" s="84" t="s">
        <v>2782</v>
      </c>
      <c r="AE327" s="82">
        <v>1</v>
      </c>
      <c r="AF327" s="83" t="str">
        <f>REPLACE(INDEX(GroupVertices[Group],MATCH(Edges[[#This Row],[Vertex 1]],GroupVertices[Vertex],0)),1,1,"")</f>
        <v>1</v>
      </c>
      <c r="AG327" s="83" t="str">
        <f>REPLACE(INDEX(GroupVertices[Group],MATCH(Edges[[#This Row],[Vertex 2]],GroupVertices[Vertex],0)),1,1,"")</f>
        <v>1</v>
      </c>
      <c r="AH327" s="111">
        <v>1</v>
      </c>
      <c r="AI327" s="112">
        <v>5</v>
      </c>
      <c r="AJ327" s="111">
        <v>0</v>
      </c>
      <c r="AK327" s="112">
        <v>0</v>
      </c>
      <c r="AL327" s="111">
        <v>0</v>
      </c>
      <c r="AM327" s="112">
        <v>0</v>
      </c>
      <c r="AN327" s="111">
        <v>19</v>
      </c>
      <c r="AO327" s="112">
        <v>95</v>
      </c>
      <c r="AP327" s="111">
        <v>20</v>
      </c>
    </row>
    <row r="328" spans="1:42" ht="15">
      <c r="A328" s="65" t="s">
        <v>458</v>
      </c>
      <c r="B328" s="65" t="s">
        <v>287</v>
      </c>
      <c r="C328" s="66" t="s">
        <v>5345</v>
      </c>
      <c r="D328" s="67">
        <v>3</v>
      </c>
      <c r="E328" s="68"/>
      <c r="F328" s="69">
        <v>40</v>
      </c>
      <c r="G328" s="66"/>
      <c r="H328" s="70"/>
      <c r="I328" s="71"/>
      <c r="J328" s="71"/>
      <c r="K328" s="35" t="s">
        <v>65</v>
      </c>
      <c r="L328" s="79">
        <v>328</v>
      </c>
      <c r="M328" s="79"/>
      <c r="N328" s="73"/>
      <c r="O328" s="81" t="s">
        <v>760</v>
      </c>
      <c r="P328" s="81" t="s">
        <v>215</v>
      </c>
      <c r="Q328" s="84" t="s">
        <v>1073</v>
      </c>
      <c r="R328" s="81" t="s">
        <v>458</v>
      </c>
      <c r="S328" s="81" t="s">
        <v>1787</v>
      </c>
      <c r="T328" s="86" t="str">
        <f>HYPERLINK("http://www.youtube.com/channel/UCX9oRY8OjlzVjQfx98TvZ0g")</f>
        <v>http://www.youtube.com/channel/UCX9oRY8OjlzVjQfx98TvZ0g</v>
      </c>
      <c r="U328" s="81"/>
      <c r="V328" s="81" t="s">
        <v>2313</v>
      </c>
      <c r="W328" s="86" t="str">
        <f>HYPERLINK("https://www.youtube.com/watch?v=-EA6GvKa0EA")</f>
        <v>https://www.youtube.com/watch?v=-EA6GvKa0EA</v>
      </c>
      <c r="X328" s="81" t="s">
        <v>2335</v>
      </c>
      <c r="Y328" s="81">
        <v>0</v>
      </c>
      <c r="Z328" s="81" t="s">
        <v>2455</v>
      </c>
      <c r="AA328" s="81" t="s">
        <v>2750</v>
      </c>
      <c r="AB328" s="81"/>
      <c r="AC328" s="81"/>
      <c r="AD328" s="84" t="s">
        <v>2782</v>
      </c>
      <c r="AE328" s="82">
        <v>1</v>
      </c>
      <c r="AF328" s="83" t="str">
        <f>REPLACE(INDEX(GroupVertices[Group],MATCH(Edges[[#This Row],[Vertex 1]],GroupVertices[Vertex],0)),1,1,"")</f>
        <v>1</v>
      </c>
      <c r="AG328" s="83" t="str">
        <f>REPLACE(INDEX(GroupVertices[Group],MATCH(Edges[[#This Row],[Vertex 2]],GroupVertices[Vertex],0)),1,1,"")</f>
        <v>1</v>
      </c>
      <c r="AH328" s="111">
        <v>2</v>
      </c>
      <c r="AI328" s="112">
        <v>33.333333333333336</v>
      </c>
      <c r="AJ328" s="111">
        <v>0</v>
      </c>
      <c r="AK328" s="112">
        <v>0</v>
      </c>
      <c r="AL328" s="111">
        <v>0</v>
      </c>
      <c r="AM328" s="112">
        <v>0</v>
      </c>
      <c r="AN328" s="111">
        <v>4</v>
      </c>
      <c r="AO328" s="112">
        <v>66.66666666666667</v>
      </c>
      <c r="AP328" s="111">
        <v>6</v>
      </c>
    </row>
    <row r="329" spans="1:42" ht="15">
      <c r="A329" s="65" t="s">
        <v>459</v>
      </c>
      <c r="B329" s="65" t="s">
        <v>287</v>
      </c>
      <c r="C329" s="66" t="s">
        <v>5346</v>
      </c>
      <c r="D329" s="67">
        <v>10</v>
      </c>
      <c r="E329" s="68"/>
      <c r="F329" s="69">
        <v>15</v>
      </c>
      <c r="G329" s="66"/>
      <c r="H329" s="70"/>
      <c r="I329" s="71"/>
      <c r="J329" s="71"/>
      <c r="K329" s="35" t="s">
        <v>65</v>
      </c>
      <c r="L329" s="79">
        <v>329</v>
      </c>
      <c r="M329" s="79"/>
      <c r="N329" s="73"/>
      <c r="O329" s="81" t="s">
        <v>760</v>
      </c>
      <c r="P329" s="81" t="s">
        <v>215</v>
      </c>
      <c r="Q329" s="84" t="s">
        <v>1074</v>
      </c>
      <c r="R329" s="81" t="s">
        <v>459</v>
      </c>
      <c r="S329" s="81" t="s">
        <v>1788</v>
      </c>
      <c r="T329" s="86" t="str">
        <f>HYPERLINK("http://www.youtube.com/channel/UCrtIh-s_or9ND_qGxMA3uFA")</f>
        <v>http://www.youtube.com/channel/UCrtIh-s_or9ND_qGxMA3uFA</v>
      </c>
      <c r="U329" s="81"/>
      <c r="V329" s="81" t="s">
        <v>2308</v>
      </c>
      <c r="W329" s="86" t="str">
        <f>HYPERLINK("https://www.youtube.com/watch?v=xZPSNornzmk")</f>
        <v>https://www.youtube.com/watch?v=xZPSNornzmk</v>
      </c>
      <c r="X329" s="81" t="s">
        <v>2335</v>
      </c>
      <c r="Y329" s="81">
        <v>0</v>
      </c>
      <c r="Z329" s="81" t="s">
        <v>2456</v>
      </c>
      <c r="AA329" s="81" t="s">
        <v>2751</v>
      </c>
      <c r="AB329" s="81"/>
      <c r="AC329" s="81"/>
      <c r="AD329" s="84" t="s">
        <v>2782</v>
      </c>
      <c r="AE329" s="82">
        <v>2</v>
      </c>
      <c r="AF329" s="83" t="str">
        <f>REPLACE(INDEX(GroupVertices[Group],MATCH(Edges[[#This Row],[Vertex 1]],GroupVertices[Vertex],0)),1,1,"")</f>
        <v>1</v>
      </c>
      <c r="AG329" s="83" t="str">
        <f>REPLACE(INDEX(GroupVertices[Group],MATCH(Edges[[#This Row],[Vertex 2]],GroupVertices[Vertex],0)),1,1,"")</f>
        <v>1</v>
      </c>
      <c r="AH329" s="111">
        <v>4</v>
      </c>
      <c r="AI329" s="112">
        <v>5.633802816901408</v>
      </c>
      <c r="AJ329" s="111">
        <v>1</v>
      </c>
      <c r="AK329" s="112">
        <v>1.408450704225352</v>
      </c>
      <c r="AL329" s="111">
        <v>0</v>
      </c>
      <c r="AM329" s="112">
        <v>0</v>
      </c>
      <c r="AN329" s="111">
        <v>66</v>
      </c>
      <c r="AO329" s="112">
        <v>92.95774647887323</v>
      </c>
      <c r="AP329" s="111">
        <v>71</v>
      </c>
    </row>
    <row r="330" spans="1:42" ht="15">
      <c r="A330" s="65" t="s">
        <v>459</v>
      </c>
      <c r="B330" s="65" t="s">
        <v>287</v>
      </c>
      <c r="C330" s="66" t="s">
        <v>5346</v>
      </c>
      <c r="D330" s="67">
        <v>10</v>
      </c>
      <c r="E330" s="68"/>
      <c r="F330" s="69">
        <v>15</v>
      </c>
      <c r="G330" s="66"/>
      <c r="H330" s="70"/>
      <c r="I330" s="71"/>
      <c r="J330" s="71"/>
      <c r="K330" s="35" t="s">
        <v>65</v>
      </c>
      <c r="L330" s="79">
        <v>330</v>
      </c>
      <c r="M330" s="79"/>
      <c r="N330" s="73"/>
      <c r="O330" s="81" t="s">
        <v>760</v>
      </c>
      <c r="P330" s="81" t="s">
        <v>215</v>
      </c>
      <c r="Q330" s="84" t="s">
        <v>1075</v>
      </c>
      <c r="R330" s="81" t="s">
        <v>459</v>
      </c>
      <c r="S330" s="81" t="s">
        <v>1788</v>
      </c>
      <c r="T330" s="86" t="str">
        <f>HYPERLINK("http://www.youtube.com/channel/UCrtIh-s_or9ND_qGxMA3uFA")</f>
        <v>http://www.youtube.com/channel/UCrtIh-s_or9ND_qGxMA3uFA</v>
      </c>
      <c r="U330" s="81"/>
      <c r="V330" s="81" t="s">
        <v>2313</v>
      </c>
      <c r="W330" s="86" t="str">
        <f>HYPERLINK("https://www.youtube.com/watch?v=-EA6GvKa0EA")</f>
        <v>https://www.youtube.com/watch?v=-EA6GvKa0EA</v>
      </c>
      <c r="X330" s="81" t="s">
        <v>2335</v>
      </c>
      <c r="Y330" s="81">
        <v>0</v>
      </c>
      <c r="Z330" s="81" t="s">
        <v>2457</v>
      </c>
      <c r="AA330" s="81" t="s">
        <v>2457</v>
      </c>
      <c r="AB330" s="81"/>
      <c r="AC330" s="81"/>
      <c r="AD330" s="84" t="s">
        <v>2782</v>
      </c>
      <c r="AE330" s="82">
        <v>2</v>
      </c>
      <c r="AF330" s="83" t="str">
        <f>REPLACE(INDEX(GroupVertices[Group],MATCH(Edges[[#This Row],[Vertex 1]],GroupVertices[Vertex],0)),1,1,"")</f>
        <v>1</v>
      </c>
      <c r="AG330" s="83" t="str">
        <f>REPLACE(INDEX(GroupVertices[Group],MATCH(Edges[[#This Row],[Vertex 2]],GroupVertices[Vertex],0)),1,1,"")</f>
        <v>1</v>
      </c>
      <c r="AH330" s="111">
        <v>3</v>
      </c>
      <c r="AI330" s="112">
        <v>21.428571428571427</v>
      </c>
      <c r="AJ330" s="111">
        <v>1</v>
      </c>
      <c r="AK330" s="112">
        <v>7.142857142857143</v>
      </c>
      <c r="AL330" s="111">
        <v>0</v>
      </c>
      <c r="AM330" s="112">
        <v>0</v>
      </c>
      <c r="AN330" s="111">
        <v>10</v>
      </c>
      <c r="AO330" s="112">
        <v>71.42857142857143</v>
      </c>
      <c r="AP330" s="111">
        <v>14</v>
      </c>
    </row>
    <row r="331" spans="1:42" ht="15">
      <c r="A331" s="65" t="s">
        <v>460</v>
      </c>
      <c r="B331" s="65" t="s">
        <v>287</v>
      </c>
      <c r="C331" s="66" t="s">
        <v>5345</v>
      </c>
      <c r="D331" s="67">
        <v>3</v>
      </c>
      <c r="E331" s="68"/>
      <c r="F331" s="69">
        <v>40</v>
      </c>
      <c r="G331" s="66"/>
      <c r="H331" s="70"/>
      <c r="I331" s="71"/>
      <c r="J331" s="71"/>
      <c r="K331" s="35" t="s">
        <v>65</v>
      </c>
      <c r="L331" s="79">
        <v>331</v>
      </c>
      <c r="M331" s="79"/>
      <c r="N331" s="73"/>
      <c r="O331" s="81" t="s">
        <v>760</v>
      </c>
      <c r="P331" s="81" t="s">
        <v>215</v>
      </c>
      <c r="Q331" s="84" t="s">
        <v>1076</v>
      </c>
      <c r="R331" s="81" t="s">
        <v>460</v>
      </c>
      <c r="S331" s="81" t="s">
        <v>1789</v>
      </c>
      <c r="T331" s="86" t="str">
        <f>HYPERLINK("http://www.youtube.com/channel/UC1P9bd9bB4zhpXUnrdRNK8A")</f>
        <v>http://www.youtube.com/channel/UC1P9bd9bB4zhpXUnrdRNK8A</v>
      </c>
      <c r="U331" s="81"/>
      <c r="V331" s="81" t="s">
        <v>2313</v>
      </c>
      <c r="W331" s="86" t="str">
        <f>HYPERLINK("https://www.youtube.com/watch?v=-EA6GvKa0EA")</f>
        <v>https://www.youtube.com/watch?v=-EA6GvKa0EA</v>
      </c>
      <c r="X331" s="81" t="s">
        <v>2335</v>
      </c>
      <c r="Y331" s="81">
        <v>0</v>
      </c>
      <c r="Z331" s="81" t="s">
        <v>2458</v>
      </c>
      <c r="AA331" s="81" t="s">
        <v>2458</v>
      </c>
      <c r="AB331" s="81"/>
      <c r="AC331" s="81"/>
      <c r="AD331" s="84" t="s">
        <v>2782</v>
      </c>
      <c r="AE331" s="82">
        <v>1</v>
      </c>
      <c r="AF331" s="83" t="str">
        <f>REPLACE(INDEX(GroupVertices[Group],MATCH(Edges[[#This Row],[Vertex 1]],GroupVertices[Vertex],0)),1,1,"")</f>
        <v>1</v>
      </c>
      <c r="AG331" s="83" t="str">
        <f>REPLACE(INDEX(GroupVertices[Group],MATCH(Edges[[#This Row],[Vertex 2]],GroupVertices[Vertex],0)),1,1,"")</f>
        <v>1</v>
      </c>
      <c r="AH331" s="111">
        <v>1</v>
      </c>
      <c r="AI331" s="112">
        <v>25</v>
      </c>
      <c r="AJ331" s="111">
        <v>1</v>
      </c>
      <c r="AK331" s="112">
        <v>25</v>
      </c>
      <c r="AL331" s="111">
        <v>0</v>
      </c>
      <c r="AM331" s="112">
        <v>0</v>
      </c>
      <c r="AN331" s="111">
        <v>2</v>
      </c>
      <c r="AO331" s="112">
        <v>50</v>
      </c>
      <c r="AP331" s="111">
        <v>4</v>
      </c>
    </row>
    <row r="332" spans="1:42" ht="15">
      <c r="A332" s="65" t="s">
        <v>461</v>
      </c>
      <c r="B332" s="65" t="s">
        <v>287</v>
      </c>
      <c r="C332" s="66" t="s">
        <v>5345</v>
      </c>
      <c r="D332" s="67">
        <v>3</v>
      </c>
      <c r="E332" s="68"/>
      <c r="F332" s="69">
        <v>40</v>
      </c>
      <c r="G332" s="66"/>
      <c r="H332" s="70"/>
      <c r="I332" s="71"/>
      <c r="J332" s="71"/>
      <c r="K332" s="35" t="s">
        <v>65</v>
      </c>
      <c r="L332" s="79">
        <v>332</v>
      </c>
      <c r="M332" s="79"/>
      <c r="N332" s="73"/>
      <c r="O332" s="81" t="s">
        <v>760</v>
      </c>
      <c r="P332" s="81" t="s">
        <v>215</v>
      </c>
      <c r="Q332" s="84" t="s">
        <v>1077</v>
      </c>
      <c r="R332" s="81" t="s">
        <v>461</v>
      </c>
      <c r="S332" s="81" t="s">
        <v>1790</v>
      </c>
      <c r="T332" s="86" t="str">
        <f>HYPERLINK("http://www.youtube.com/channel/UCSz5lUKM8Jp96XOgK656krg")</f>
        <v>http://www.youtube.com/channel/UCSz5lUKM8Jp96XOgK656krg</v>
      </c>
      <c r="U332" s="81"/>
      <c r="V332" s="81" t="s">
        <v>2313</v>
      </c>
      <c r="W332" s="86" t="str">
        <f>HYPERLINK("https://www.youtube.com/watch?v=-EA6GvKa0EA")</f>
        <v>https://www.youtube.com/watch?v=-EA6GvKa0EA</v>
      </c>
      <c r="X332" s="81" t="s">
        <v>2335</v>
      </c>
      <c r="Y332" s="81">
        <v>0</v>
      </c>
      <c r="Z332" s="81" t="s">
        <v>2459</v>
      </c>
      <c r="AA332" s="81" t="s">
        <v>2459</v>
      </c>
      <c r="AB332" s="81"/>
      <c r="AC332" s="81"/>
      <c r="AD332" s="84" t="s">
        <v>2782</v>
      </c>
      <c r="AE332" s="82">
        <v>1</v>
      </c>
      <c r="AF332" s="83" t="str">
        <f>REPLACE(INDEX(GroupVertices[Group],MATCH(Edges[[#This Row],[Vertex 1]],GroupVertices[Vertex],0)),1,1,"")</f>
        <v>1</v>
      </c>
      <c r="AG332" s="83" t="str">
        <f>REPLACE(INDEX(GroupVertices[Group],MATCH(Edges[[#This Row],[Vertex 2]],GroupVertices[Vertex],0)),1,1,"")</f>
        <v>1</v>
      </c>
      <c r="AH332" s="111">
        <v>3</v>
      </c>
      <c r="AI332" s="112">
        <v>17.647058823529413</v>
      </c>
      <c r="AJ332" s="111">
        <v>0</v>
      </c>
      <c r="AK332" s="112">
        <v>0</v>
      </c>
      <c r="AL332" s="111">
        <v>0</v>
      </c>
      <c r="AM332" s="112">
        <v>0</v>
      </c>
      <c r="AN332" s="111">
        <v>14</v>
      </c>
      <c r="AO332" s="112">
        <v>82.3529411764706</v>
      </c>
      <c r="AP332" s="111">
        <v>17</v>
      </c>
    </row>
    <row r="333" spans="1:42" ht="15">
      <c r="A333" s="65" t="s">
        <v>462</v>
      </c>
      <c r="B333" s="65" t="s">
        <v>287</v>
      </c>
      <c r="C333" s="66" t="s">
        <v>5346</v>
      </c>
      <c r="D333" s="67">
        <v>10</v>
      </c>
      <c r="E333" s="68"/>
      <c r="F333" s="69">
        <v>15</v>
      </c>
      <c r="G333" s="66"/>
      <c r="H333" s="70"/>
      <c r="I333" s="71"/>
      <c r="J333" s="71"/>
      <c r="K333" s="35" t="s">
        <v>65</v>
      </c>
      <c r="L333" s="79">
        <v>333</v>
      </c>
      <c r="M333" s="79"/>
      <c r="N333" s="73"/>
      <c r="O333" s="81" t="s">
        <v>760</v>
      </c>
      <c r="P333" s="81" t="s">
        <v>215</v>
      </c>
      <c r="Q333" s="84" t="s">
        <v>1078</v>
      </c>
      <c r="R333" s="81" t="s">
        <v>462</v>
      </c>
      <c r="S333" s="81" t="s">
        <v>1791</v>
      </c>
      <c r="T333" s="86" t="str">
        <f>HYPERLINK("http://www.youtube.com/channel/UC85xVGPQ85WjcdYrihWL-Ig")</f>
        <v>http://www.youtube.com/channel/UC85xVGPQ85WjcdYrihWL-Ig</v>
      </c>
      <c r="U333" s="81"/>
      <c r="V333" s="81" t="s">
        <v>2311</v>
      </c>
      <c r="W333" s="86" t="str">
        <f>HYPERLINK("https://www.youtube.com/watch?v=DrCnSoZUXAc")</f>
        <v>https://www.youtube.com/watch?v=DrCnSoZUXAc</v>
      </c>
      <c r="X333" s="81" t="s">
        <v>2335</v>
      </c>
      <c r="Y333" s="81">
        <v>0</v>
      </c>
      <c r="Z333" s="81" t="s">
        <v>2460</v>
      </c>
      <c r="AA333" s="81" t="s">
        <v>2460</v>
      </c>
      <c r="AB333" s="81"/>
      <c r="AC333" s="81"/>
      <c r="AD333" s="84" t="s">
        <v>2782</v>
      </c>
      <c r="AE333" s="82">
        <v>2</v>
      </c>
      <c r="AF333" s="83" t="str">
        <f>REPLACE(INDEX(GroupVertices[Group],MATCH(Edges[[#This Row],[Vertex 1]],GroupVertices[Vertex],0)),1,1,"")</f>
        <v>1</v>
      </c>
      <c r="AG333" s="83" t="str">
        <f>REPLACE(INDEX(GroupVertices[Group],MATCH(Edges[[#This Row],[Vertex 2]],GroupVertices[Vertex],0)),1,1,"")</f>
        <v>1</v>
      </c>
      <c r="AH333" s="111">
        <v>1</v>
      </c>
      <c r="AI333" s="112">
        <v>14.285714285714286</v>
      </c>
      <c r="AJ333" s="111">
        <v>0</v>
      </c>
      <c r="AK333" s="112">
        <v>0</v>
      </c>
      <c r="AL333" s="111">
        <v>0</v>
      </c>
      <c r="AM333" s="112">
        <v>0</v>
      </c>
      <c r="AN333" s="111">
        <v>6</v>
      </c>
      <c r="AO333" s="112">
        <v>85.71428571428571</v>
      </c>
      <c r="AP333" s="111">
        <v>7</v>
      </c>
    </row>
    <row r="334" spans="1:42" ht="15">
      <c r="A334" s="65" t="s">
        <v>462</v>
      </c>
      <c r="B334" s="65" t="s">
        <v>287</v>
      </c>
      <c r="C334" s="66" t="s">
        <v>5346</v>
      </c>
      <c r="D334" s="67">
        <v>10</v>
      </c>
      <c r="E334" s="68"/>
      <c r="F334" s="69">
        <v>15</v>
      </c>
      <c r="G334" s="66"/>
      <c r="H334" s="70"/>
      <c r="I334" s="71"/>
      <c r="J334" s="71"/>
      <c r="K334" s="35" t="s">
        <v>65</v>
      </c>
      <c r="L334" s="79">
        <v>334</v>
      </c>
      <c r="M334" s="79"/>
      <c r="N334" s="73"/>
      <c r="O334" s="81" t="s">
        <v>760</v>
      </c>
      <c r="P334" s="81" t="s">
        <v>215</v>
      </c>
      <c r="Q334" s="84" t="s">
        <v>1079</v>
      </c>
      <c r="R334" s="81" t="s">
        <v>462</v>
      </c>
      <c r="S334" s="81" t="s">
        <v>1791</v>
      </c>
      <c r="T334" s="86" t="str">
        <f>HYPERLINK("http://www.youtube.com/channel/UC85xVGPQ85WjcdYrihWL-Ig")</f>
        <v>http://www.youtube.com/channel/UC85xVGPQ85WjcdYrihWL-Ig</v>
      </c>
      <c r="U334" s="81"/>
      <c r="V334" s="81" t="s">
        <v>2313</v>
      </c>
      <c r="W334" s="86" t="str">
        <f>HYPERLINK("https://www.youtube.com/watch?v=-EA6GvKa0EA")</f>
        <v>https://www.youtube.com/watch?v=-EA6GvKa0EA</v>
      </c>
      <c r="X334" s="81" t="s">
        <v>2335</v>
      </c>
      <c r="Y334" s="81">
        <v>0</v>
      </c>
      <c r="Z334" s="81" t="s">
        <v>2461</v>
      </c>
      <c r="AA334" s="81" t="s">
        <v>2461</v>
      </c>
      <c r="AB334" s="81"/>
      <c r="AC334" s="81"/>
      <c r="AD334" s="84" t="s">
        <v>2782</v>
      </c>
      <c r="AE334" s="82">
        <v>2</v>
      </c>
      <c r="AF334" s="83" t="str">
        <f>REPLACE(INDEX(GroupVertices[Group],MATCH(Edges[[#This Row],[Vertex 1]],GroupVertices[Vertex],0)),1,1,"")</f>
        <v>1</v>
      </c>
      <c r="AG334" s="83" t="str">
        <f>REPLACE(INDEX(GroupVertices[Group],MATCH(Edges[[#This Row],[Vertex 2]],GroupVertices[Vertex],0)),1,1,"")</f>
        <v>1</v>
      </c>
      <c r="AH334" s="111">
        <v>2</v>
      </c>
      <c r="AI334" s="112">
        <v>7.407407407407407</v>
      </c>
      <c r="AJ334" s="111">
        <v>1</v>
      </c>
      <c r="AK334" s="112">
        <v>3.7037037037037037</v>
      </c>
      <c r="AL334" s="111">
        <v>0</v>
      </c>
      <c r="AM334" s="112">
        <v>0</v>
      </c>
      <c r="AN334" s="111">
        <v>24</v>
      </c>
      <c r="AO334" s="112">
        <v>88.88888888888889</v>
      </c>
      <c r="AP334" s="111">
        <v>27</v>
      </c>
    </row>
    <row r="335" spans="1:42" ht="15">
      <c r="A335" s="65" t="s">
        <v>463</v>
      </c>
      <c r="B335" s="65" t="s">
        <v>287</v>
      </c>
      <c r="C335" s="66" t="s">
        <v>5345</v>
      </c>
      <c r="D335" s="67">
        <v>3</v>
      </c>
      <c r="E335" s="68"/>
      <c r="F335" s="69">
        <v>40</v>
      </c>
      <c r="G335" s="66"/>
      <c r="H335" s="70"/>
      <c r="I335" s="71"/>
      <c r="J335" s="71"/>
      <c r="K335" s="35" t="s">
        <v>65</v>
      </c>
      <c r="L335" s="79">
        <v>335</v>
      </c>
      <c r="M335" s="79"/>
      <c r="N335" s="73"/>
      <c r="O335" s="81" t="s">
        <v>760</v>
      </c>
      <c r="P335" s="81" t="s">
        <v>215</v>
      </c>
      <c r="Q335" s="84" t="s">
        <v>1080</v>
      </c>
      <c r="R335" s="81" t="s">
        <v>463</v>
      </c>
      <c r="S335" s="81" t="s">
        <v>1792</v>
      </c>
      <c r="T335" s="86" t="str">
        <f>HYPERLINK("http://www.youtube.com/channel/UCcE-JknRjqBO8qHhDoparhg")</f>
        <v>http://www.youtube.com/channel/UCcE-JknRjqBO8qHhDoparhg</v>
      </c>
      <c r="U335" s="81"/>
      <c r="V335" s="81" t="s">
        <v>2313</v>
      </c>
      <c r="W335" s="86" t="str">
        <f>HYPERLINK("https://www.youtube.com/watch?v=-EA6GvKa0EA")</f>
        <v>https://www.youtube.com/watch?v=-EA6GvKa0EA</v>
      </c>
      <c r="X335" s="81" t="s">
        <v>2335</v>
      </c>
      <c r="Y335" s="81">
        <v>1</v>
      </c>
      <c r="Z335" s="88">
        <v>43989.11863425926</v>
      </c>
      <c r="AA335" s="88">
        <v>43989.11863425926</v>
      </c>
      <c r="AB335" s="81"/>
      <c r="AC335" s="81"/>
      <c r="AD335" s="84" t="s">
        <v>2782</v>
      </c>
      <c r="AE335" s="82">
        <v>1</v>
      </c>
      <c r="AF335" s="83" t="str">
        <f>REPLACE(INDEX(GroupVertices[Group],MATCH(Edges[[#This Row],[Vertex 1]],GroupVertices[Vertex],0)),1,1,"")</f>
        <v>1</v>
      </c>
      <c r="AG335" s="83" t="str">
        <f>REPLACE(INDEX(GroupVertices[Group],MATCH(Edges[[#This Row],[Vertex 2]],GroupVertices[Vertex],0)),1,1,"")</f>
        <v>1</v>
      </c>
      <c r="AH335" s="111">
        <v>1</v>
      </c>
      <c r="AI335" s="112">
        <v>4.166666666666667</v>
      </c>
      <c r="AJ335" s="111">
        <v>0</v>
      </c>
      <c r="AK335" s="112">
        <v>0</v>
      </c>
      <c r="AL335" s="111">
        <v>0</v>
      </c>
      <c r="AM335" s="112">
        <v>0</v>
      </c>
      <c r="AN335" s="111">
        <v>23</v>
      </c>
      <c r="AO335" s="112">
        <v>95.83333333333333</v>
      </c>
      <c r="AP335" s="111">
        <v>24</v>
      </c>
    </row>
    <row r="336" spans="1:42" ht="15">
      <c r="A336" s="65" t="s">
        <v>464</v>
      </c>
      <c r="B336" s="65" t="s">
        <v>287</v>
      </c>
      <c r="C336" s="66" t="s">
        <v>5345</v>
      </c>
      <c r="D336" s="67">
        <v>3</v>
      </c>
      <c r="E336" s="68"/>
      <c r="F336" s="69">
        <v>40</v>
      </c>
      <c r="G336" s="66"/>
      <c r="H336" s="70"/>
      <c r="I336" s="71"/>
      <c r="J336" s="71"/>
      <c r="K336" s="35" t="s">
        <v>65</v>
      </c>
      <c r="L336" s="79">
        <v>336</v>
      </c>
      <c r="M336" s="79"/>
      <c r="N336" s="73"/>
      <c r="O336" s="81" t="s">
        <v>760</v>
      </c>
      <c r="P336" s="81" t="s">
        <v>215</v>
      </c>
      <c r="Q336" s="84" t="s">
        <v>1081</v>
      </c>
      <c r="R336" s="81" t="s">
        <v>464</v>
      </c>
      <c r="S336" s="81" t="s">
        <v>1793</v>
      </c>
      <c r="T336" s="86" t="str">
        <f>HYPERLINK("http://www.youtube.com/channel/UCxfWedwukITiorRl7cCz3lw")</f>
        <v>http://www.youtube.com/channel/UCxfWedwukITiorRl7cCz3lw</v>
      </c>
      <c r="U336" s="81"/>
      <c r="V336" s="81" t="s">
        <v>2313</v>
      </c>
      <c r="W336" s="86" t="str">
        <f>HYPERLINK("https://www.youtube.com/watch?v=-EA6GvKa0EA")</f>
        <v>https://www.youtube.com/watch?v=-EA6GvKa0EA</v>
      </c>
      <c r="X336" s="81" t="s">
        <v>2335</v>
      </c>
      <c r="Y336" s="81">
        <v>0</v>
      </c>
      <c r="Z336" s="88">
        <v>44536.92207175926</v>
      </c>
      <c r="AA336" s="88">
        <v>44536.92207175926</v>
      </c>
      <c r="AB336" s="81"/>
      <c r="AC336" s="81"/>
      <c r="AD336" s="84" t="s">
        <v>2782</v>
      </c>
      <c r="AE336" s="82">
        <v>1</v>
      </c>
      <c r="AF336" s="83" t="str">
        <f>REPLACE(INDEX(GroupVertices[Group],MATCH(Edges[[#This Row],[Vertex 1]],GroupVertices[Vertex],0)),1,1,"")</f>
        <v>1</v>
      </c>
      <c r="AG336" s="83" t="str">
        <f>REPLACE(INDEX(GroupVertices[Group],MATCH(Edges[[#This Row],[Vertex 2]],GroupVertices[Vertex],0)),1,1,"")</f>
        <v>1</v>
      </c>
      <c r="AH336" s="111">
        <v>5</v>
      </c>
      <c r="AI336" s="112">
        <v>8.19672131147541</v>
      </c>
      <c r="AJ336" s="111">
        <v>1</v>
      </c>
      <c r="AK336" s="112">
        <v>1.639344262295082</v>
      </c>
      <c r="AL336" s="111">
        <v>0</v>
      </c>
      <c r="AM336" s="112">
        <v>0</v>
      </c>
      <c r="AN336" s="111">
        <v>55</v>
      </c>
      <c r="AO336" s="112">
        <v>90.1639344262295</v>
      </c>
      <c r="AP336" s="111">
        <v>61</v>
      </c>
    </row>
    <row r="337" spans="1:42" ht="15">
      <c r="A337" s="65" t="s">
        <v>287</v>
      </c>
      <c r="B337" s="65" t="s">
        <v>465</v>
      </c>
      <c r="C337" s="66" t="s">
        <v>5345</v>
      </c>
      <c r="D337" s="67">
        <v>3</v>
      </c>
      <c r="E337" s="68"/>
      <c r="F337" s="69">
        <v>40</v>
      </c>
      <c r="G337" s="66"/>
      <c r="H337" s="70"/>
      <c r="I337" s="71"/>
      <c r="J337" s="71"/>
      <c r="K337" s="35" t="s">
        <v>66</v>
      </c>
      <c r="L337" s="79">
        <v>337</v>
      </c>
      <c r="M337" s="79"/>
      <c r="N337" s="73"/>
      <c r="O337" s="81" t="s">
        <v>761</v>
      </c>
      <c r="P337" s="81" t="s">
        <v>763</v>
      </c>
      <c r="Q337" s="84" t="s">
        <v>1082</v>
      </c>
      <c r="R337" s="81" t="s">
        <v>287</v>
      </c>
      <c r="S337" s="81" t="s">
        <v>1616</v>
      </c>
      <c r="T337" s="86" t="str">
        <f>HYPERLINK("http://www.youtube.com/channel/UCbUhO-tut97b5IQhZ3i7TMA")</f>
        <v>http://www.youtube.com/channel/UCbUhO-tut97b5IQhZ3i7TMA</v>
      </c>
      <c r="U337" s="81" t="s">
        <v>2164</v>
      </c>
      <c r="V337" s="81" t="s">
        <v>2313</v>
      </c>
      <c r="W337" s="86" t="str">
        <f>HYPERLINK("https://www.youtube.com/watch?v=-EA6GvKa0EA")</f>
        <v>https://www.youtube.com/watch?v=-EA6GvKa0EA</v>
      </c>
      <c r="X337" s="81" t="s">
        <v>2335</v>
      </c>
      <c r="Y337" s="81">
        <v>0</v>
      </c>
      <c r="Z337" s="81" t="s">
        <v>2462</v>
      </c>
      <c r="AA337" s="81" t="s">
        <v>2462</v>
      </c>
      <c r="AB337" s="81"/>
      <c r="AC337" s="81"/>
      <c r="AD337" s="84" t="s">
        <v>2782</v>
      </c>
      <c r="AE337" s="82">
        <v>1</v>
      </c>
      <c r="AF337" s="83" t="str">
        <f>REPLACE(INDEX(GroupVertices[Group],MATCH(Edges[[#This Row],[Vertex 1]],GroupVertices[Vertex],0)),1,1,"")</f>
        <v>1</v>
      </c>
      <c r="AG337" s="83" t="str">
        <f>REPLACE(INDEX(GroupVertices[Group],MATCH(Edges[[#This Row],[Vertex 2]],GroupVertices[Vertex],0)),1,1,"")</f>
        <v>1</v>
      </c>
      <c r="AH337" s="111">
        <v>0</v>
      </c>
      <c r="AI337" s="112">
        <v>0</v>
      </c>
      <c r="AJ337" s="111">
        <v>1</v>
      </c>
      <c r="AK337" s="112">
        <v>8.333333333333334</v>
      </c>
      <c r="AL337" s="111">
        <v>0</v>
      </c>
      <c r="AM337" s="112">
        <v>0</v>
      </c>
      <c r="AN337" s="111">
        <v>11</v>
      </c>
      <c r="AO337" s="112">
        <v>91.66666666666667</v>
      </c>
      <c r="AP337" s="111">
        <v>12</v>
      </c>
    </row>
    <row r="338" spans="1:42" ht="15">
      <c r="A338" s="65" t="s">
        <v>465</v>
      </c>
      <c r="B338" s="65" t="s">
        <v>465</v>
      </c>
      <c r="C338" s="66" t="s">
        <v>5345</v>
      </c>
      <c r="D338" s="67">
        <v>3</v>
      </c>
      <c r="E338" s="68"/>
      <c r="F338" s="69">
        <v>40</v>
      </c>
      <c r="G338" s="66"/>
      <c r="H338" s="70"/>
      <c r="I338" s="71"/>
      <c r="J338" s="71"/>
      <c r="K338" s="35" t="s">
        <v>65</v>
      </c>
      <c r="L338" s="79">
        <v>338</v>
      </c>
      <c r="M338" s="79"/>
      <c r="N338" s="73"/>
      <c r="O338" s="81" t="s">
        <v>761</v>
      </c>
      <c r="P338" s="81" t="s">
        <v>763</v>
      </c>
      <c r="Q338" s="84" t="s">
        <v>1083</v>
      </c>
      <c r="R338" s="81" t="s">
        <v>465</v>
      </c>
      <c r="S338" s="81" t="s">
        <v>1794</v>
      </c>
      <c r="T338" s="86" t="str">
        <f>HYPERLINK("http://www.youtube.com/channel/UCIDayX8LE21U6poqP1Ipf6Q")</f>
        <v>http://www.youtube.com/channel/UCIDayX8LE21U6poqP1Ipf6Q</v>
      </c>
      <c r="U338" s="81" t="s">
        <v>2164</v>
      </c>
      <c r="V338" s="81" t="s">
        <v>2313</v>
      </c>
      <c r="W338" s="86" t="str">
        <f>HYPERLINK("https://www.youtube.com/watch?v=-EA6GvKa0EA")</f>
        <v>https://www.youtube.com/watch?v=-EA6GvKa0EA</v>
      </c>
      <c r="X338" s="81" t="s">
        <v>2335</v>
      </c>
      <c r="Y338" s="81">
        <v>0</v>
      </c>
      <c r="Z338" s="81" t="s">
        <v>2463</v>
      </c>
      <c r="AA338" s="81" t="s">
        <v>2463</v>
      </c>
      <c r="AB338" s="81"/>
      <c r="AC338" s="81"/>
      <c r="AD338" s="84" t="s">
        <v>2782</v>
      </c>
      <c r="AE338" s="82">
        <v>1</v>
      </c>
      <c r="AF338" s="83" t="str">
        <f>REPLACE(INDEX(GroupVertices[Group],MATCH(Edges[[#This Row],[Vertex 1]],GroupVertices[Vertex],0)),1,1,"")</f>
        <v>1</v>
      </c>
      <c r="AG338" s="83" t="str">
        <f>REPLACE(INDEX(GroupVertices[Group],MATCH(Edges[[#This Row],[Vertex 2]],GroupVertices[Vertex],0)),1,1,"")</f>
        <v>1</v>
      </c>
      <c r="AH338" s="111">
        <v>1</v>
      </c>
      <c r="AI338" s="112">
        <v>3.125</v>
      </c>
      <c r="AJ338" s="111">
        <v>0</v>
      </c>
      <c r="AK338" s="112">
        <v>0</v>
      </c>
      <c r="AL338" s="111">
        <v>0</v>
      </c>
      <c r="AM338" s="112">
        <v>0</v>
      </c>
      <c r="AN338" s="111">
        <v>31</v>
      </c>
      <c r="AO338" s="112">
        <v>96.875</v>
      </c>
      <c r="AP338" s="111">
        <v>32</v>
      </c>
    </row>
    <row r="339" spans="1:42" ht="15">
      <c r="A339" s="65" t="s">
        <v>465</v>
      </c>
      <c r="B339" s="65" t="s">
        <v>287</v>
      </c>
      <c r="C339" s="66" t="s">
        <v>5345</v>
      </c>
      <c r="D339" s="67">
        <v>3</v>
      </c>
      <c r="E339" s="68"/>
      <c r="F339" s="69">
        <v>40</v>
      </c>
      <c r="G339" s="66"/>
      <c r="H339" s="70"/>
      <c r="I339" s="71"/>
      <c r="J339" s="71"/>
      <c r="K339" s="35" t="s">
        <v>66</v>
      </c>
      <c r="L339" s="79">
        <v>339</v>
      </c>
      <c r="M339" s="79"/>
      <c r="N339" s="73"/>
      <c r="O339" s="81" t="s">
        <v>760</v>
      </c>
      <c r="P339" s="81" t="s">
        <v>215</v>
      </c>
      <c r="Q339" s="84" t="s">
        <v>1084</v>
      </c>
      <c r="R339" s="81" t="s">
        <v>465</v>
      </c>
      <c r="S339" s="81" t="s">
        <v>1794</v>
      </c>
      <c r="T339" s="86" t="str">
        <f>HYPERLINK("http://www.youtube.com/channel/UCIDayX8LE21U6poqP1Ipf6Q")</f>
        <v>http://www.youtube.com/channel/UCIDayX8LE21U6poqP1Ipf6Q</v>
      </c>
      <c r="U339" s="81"/>
      <c r="V339" s="81" t="s">
        <v>2313</v>
      </c>
      <c r="W339" s="86" t="str">
        <f>HYPERLINK("https://www.youtube.com/watch?v=-EA6GvKa0EA")</f>
        <v>https://www.youtube.com/watch?v=-EA6GvKa0EA</v>
      </c>
      <c r="X339" s="81" t="s">
        <v>2335</v>
      </c>
      <c r="Y339" s="81">
        <v>0</v>
      </c>
      <c r="Z339" s="81" t="s">
        <v>2464</v>
      </c>
      <c r="AA339" s="81" t="s">
        <v>2464</v>
      </c>
      <c r="AB339" s="81"/>
      <c r="AC339" s="81"/>
      <c r="AD339" s="84" t="s">
        <v>2782</v>
      </c>
      <c r="AE339" s="82">
        <v>1</v>
      </c>
      <c r="AF339" s="83" t="str">
        <f>REPLACE(INDEX(GroupVertices[Group],MATCH(Edges[[#This Row],[Vertex 1]],GroupVertices[Vertex],0)),1,1,"")</f>
        <v>1</v>
      </c>
      <c r="AG339" s="83" t="str">
        <f>REPLACE(INDEX(GroupVertices[Group],MATCH(Edges[[#This Row],[Vertex 2]],GroupVertices[Vertex],0)),1,1,"")</f>
        <v>1</v>
      </c>
      <c r="AH339" s="111">
        <v>0</v>
      </c>
      <c r="AI339" s="112">
        <v>0</v>
      </c>
      <c r="AJ339" s="111">
        <v>0</v>
      </c>
      <c r="AK339" s="112">
        <v>0</v>
      </c>
      <c r="AL339" s="111">
        <v>0</v>
      </c>
      <c r="AM339" s="112">
        <v>0</v>
      </c>
      <c r="AN339" s="111">
        <v>30</v>
      </c>
      <c r="AO339" s="112">
        <v>100</v>
      </c>
      <c r="AP339" s="111">
        <v>30</v>
      </c>
    </row>
    <row r="340" spans="1:42" ht="15">
      <c r="A340" s="65" t="s">
        <v>466</v>
      </c>
      <c r="B340" s="65" t="s">
        <v>467</v>
      </c>
      <c r="C340" s="66" t="s">
        <v>5345</v>
      </c>
      <c r="D340" s="67">
        <v>3</v>
      </c>
      <c r="E340" s="68"/>
      <c r="F340" s="69">
        <v>40</v>
      </c>
      <c r="G340" s="66"/>
      <c r="H340" s="70"/>
      <c r="I340" s="71"/>
      <c r="J340" s="71"/>
      <c r="K340" s="35" t="s">
        <v>65</v>
      </c>
      <c r="L340" s="79">
        <v>340</v>
      </c>
      <c r="M340" s="79"/>
      <c r="N340" s="73"/>
      <c r="O340" s="81" t="s">
        <v>760</v>
      </c>
      <c r="P340" s="81" t="s">
        <v>215</v>
      </c>
      <c r="Q340" s="84" t="s">
        <v>1085</v>
      </c>
      <c r="R340" s="81" t="s">
        <v>466</v>
      </c>
      <c r="S340" s="81" t="s">
        <v>1795</v>
      </c>
      <c r="T340" s="86" t="str">
        <f>HYPERLINK("http://www.youtube.com/channel/UCUDWzsyamgNaQLBtCA8snUw")</f>
        <v>http://www.youtube.com/channel/UCUDWzsyamgNaQLBtCA8snUw</v>
      </c>
      <c r="U340" s="81"/>
      <c r="V340" s="81" t="s">
        <v>2314</v>
      </c>
      <c r="W340" s="86" t="str">
        <f>HYPERLINK("https://www.youtube.com/watch?v=z_W3kQxvRqY")</f>
        <v>https://www.youtube.com/watch?v=z_W3kQxvRqY</v>
      </c>
      <c r="X340" s="81" t="s">
        <v>2335</v>
      </c>
      <c r="Y340" s="81">
        <v>1</v>
      </c>
      <c r="Z340" s="81" t="s">
        <v>2465</v>
      </c>
      <c r="AA340" s="81" t="s">
        <v>2465</v>
      </c>
      <c r="AB340" s="81"/>
      <c r="AC340" s="81"/>
      <c r="AD340" s="84" t="s">
        <v>2782</v>
      </c>
      <c r="AE340" s="82">
        <v>1</v>
      </c>
      <c r="AF340" s="83" t="str">
        <f>REPLACE(INDEX(GroupVertices[Group],MATCH(Edges[[#This Row],[Vertex 1]],GroupVertices[Vertex],0)),1,1,"")</f>
        <v>9</v>
      </c>
      <c r="AG340" s="83" t="str">
        <f>REPLACE(INDEX(GroupVertices[Group],MATCH(Edges[[#This Row],[Vertex 2]],GroupVertices[Vertex],0)),1,1,"")</f>
        <v>9</v>
      </c>
      <c r="AH340" s="111">
        <v>0</v>
      </c>
      <c r="AI340" s="112">
        <v>0</v>
      </c>
      <c r="AJ340" s="111">
        <v>0</v>
      </c>
      <c r="AK340" s="112">
        <v>0</v>
      </c>
      <c r="AL340" s="111">
        <v>0</v>
      </c>
      <c r="AM340" s="112">
        <v>0</v>
      </c>
      <c r="AN340" s="111">
        <v>0</v>
      </c>
      <c r="AO340" s="112">
        <v>0</v>
      </c>
      <c r="AP340" s="111">
        <v>0</v>
      </c>
    </row>
    <row r="341" spans="1:42" ht="15">
      <c r="A341" s="65" t="s">
        <v>467</v>
      </c>
      <c r="B341" s="65" t="s">
        <v>468</v>
      </c>
      <c r="C341" s="66" t="s">
        <v>5345</v>
      </c>
      <c r="D341" s="67">
        <v>3</v>
      </c>
      <c r="E341" s="68"/>
      <c r="F341" s="69">
        <v>40</v>
      </c>
      <c r="G341" s="66"/>
      <c r="H341" s="70"/>
      <c r="I341" s="71"/>
      <c r="J341" s="71"/>
      <c r="K341" s="35" t="s">
        <v>66</v>
      </c>
      <c r="L341" s="79">
        <v>341</v>
      </c>
      <c r="M341" s="79"/>
      <c r="N341" s="73"/>
      <c r="O341" s="81" t="s">
        <v>761</v>
      </c>
      <c r="P341" s="81" t="s">
        <v>763</v>
      </c>
      <c r="Q341" s="84" t="s">
        <v>1086</v>
      </c>
      <c r="R341" s="81" t="s">
        <v>467</v>
      </c>
      <c r="S341" s="81" t="s">
        <v>1796</v>
      </c>
      <c r="T341" s="86" t="str">
        <f>HYPERLINK("http://www.youtube.com/channel/UCgnm8eOSP2muRSWY3JJqZ6Q")</f>
        <v>http://www.youtube.com/channel/UCgnm8eOSP2muRSWY3JJqZ6Q</v>
      </c>
      <c r="U341" s="81" t="s">
        <v>2165</v>
      </c>
      <c r="V341" s="81" t="s">
        <v>2314</v>
      </c>
      <c r="W341" s="86" t="str">
        <f>HYPERLINK("https://www.youtube.com/watch?v=z_W3kQxvRqY")</f>
        <v>https://www.youtube.com/watch?v=z_W3kQxvRqY</v>
      </c>
      <c r="X341" s="81" t="s">
        <v>2335</v>
      </c>
      <c r="Y341" s="81">
        <v>0</v>
      </c>
      <c r="Z341" s="81" t="s">
        <v>2466</v>
      </c>
      <c r="AA341" s="81" t="s">
        <v>2466</v>
      </c>
      <c r="AB341" s="81"/>
      <c r="AC341" s="81"/>
      <c r="AD341" s="84" t="s">
        <v>2782</v>
      </c>
      <c r="AE341" s="82">
        <v>1</v>
      </c>
      <c r="AF341" s="83" t="str">
        <f>REPLACE(INDEX(GroupVertices[Group],MATCH(Edges[[#This Row],[Vertex 1]],GroupVertices[Vertex],0)),1,1,"")</f>
        <v>9</v>
      </c>
      <c r="AG341" s="83" t="str">
        <f>REPLACE(INDEX(GroupVertices[Group],MATCH(Edges[[#This Row],[Vertex 2]],GroupVertices[Vertex],0)),1,1,"")</f>
        <v>9</v>
      </c>
      <c r="AH341" s="111">
        <v>1</v>
      </c>
      <c r="AI341" s="112">
        <v>11.11111111111111</v>
      </c>
      <c r="AJ341" s="111">
        <v>0</v>
      </c>
      <c r="AK341" s="112">
        <v>0</v>
      </c>
      <c r="AL341" s="111">
        <v>0</v>
      </c>
      <c r="AM341" s="112">
        <v>0</v>
      </c>
      <c r="AN341" s="111">
        <v>8</v>
      </c>
      <c r="AO341" s="112">
        <v>88.88888888888889</v>
      </c>
      <c r="AP341" s="111">
        <v>9</v>
      </c>
    </row>
    <row r="342" spans="1:42" ht="15">
      <c r="A342" s="65" t="s">
        <v>468</v>
      </c>
      <c r="B342" s="65" t="s">
        <v>467</v>
      </c>
      <c r="C342" s="66" t="s">
        <v>5345</v>
      </c>
      <c r="D342" s="67">
        <v>3</v>
      </c>
      <c r="E342" s="68"/>
      <c r="F342" s="69">
        <v>40</v>
      </c>
      <c r="G342" s="66"/>
      <c r="H342" s="70"/>
      <c r="I342" s="71"/>
      <c r="J342" s="71"/>
      <c r="K342" s="35" t="s">
        <v>66</v>
      </c>
      <c r="L342" s="79">
        <v>342</v>
      </c>
      <c r="M342" s="79"/>
      <c r="N342" s="73"/>
      <c r="O342" s="81" t="s">
        <v>760</v>
      </c>
      <c r="P342" s="81" t="s">
        <v>215</v>
      </c>
      <c r="Q342" s="84" t="s">
        <v>1087</v>
      </c>
      <c r="R342" s="81" t="s">
        <v>468</v>
      </c>
      <c r="S342" s="81" t="s">
        <v>1797</v>
      </c>
      <c r="T342" s="86" t="str">
        <f>HYPERLINK("http://www.youtube.com/channel/UC5BNlWKYh5VCnPNxK16NfTQ")</f>
        <v>http://www.youtube.com/channel/UC5BNlWKYh5VCnPNxK16NfTQ</v>
      </c>
      <c r="U342" s="81"/>
      <c r="V342" s="81" t="s">
        <v>2314</v>
      </c>
      <c r="W342" s="86" t="str">
        <f>HYPERLINK("https://www.youtube.com/watch?v=z_W3kQxvRqY")</f>
        <v>https://www.youtube.com/watch?v=z_W3kQxvRqY</v>
      </c>
      <c r="X342" s="81" t="s">
        <v>2335</v>
      </c>
      <c r="Y342" s="81">
        <v>1</v>
      </c>
      <c r="Z342" s="81" t="s">
        <v>2467</v>
      </c>
      <c r="AA342" s="81" t="s">
        <v>2467</v>
      </c>
      <c r="AB342" s="81"/>
      <c r="AC342" s="81"/>
      <c r="AD342" s="84" t="s">
        <v>2782</v>
      </c>
      <c r="AE342" s="82">
        <v>1</v>
      </c>
      <c r="AF342" s="83" t="str">
        <f>REPLACE(INDEX(GroupVertices[Group],MATCH(Edges[[#This Row],[Vertex 1]],GroupVertices[Vertex],0)),1,1,"")</f>
        <v>9</v>
      </c>
      <c r="AG342" s="83" t="str">
        <f>REPLACE(INDEX(GroupVertices[Group],MATCH(Edges[[#This Row],[Vertex 2]],GroupVertices[Vertex],0)),1,1,"")</f>
        <v>9</v>
      </c>
      <c r="AH342" s="111">
        <v>2</v>
      </c>
      <c r="AI342" s="112">
        <v>20</v>
      </c>
      <c r="AJ342" s="111">
        <v>0</v>
      </c>
      <c r="AK342" s="112">
        <v>0</v>
      </c>
      <c r="AL342" s="111">
        <v>0</v>
      </c>
      <c r="AM342" s="112">
        <v>0</v>
      </c>
      <c r="AN342" s="111">
        <v>8</v>
      </c>
      <c r="AO342" s="112">
        <v>80</v>
      </c>
      <c r="AP342" s="111">
        <v>10</v>
      </c>
    </row>
    <row r="343" spans="1:42" ht="15">
      <c r="A343" s="65" t="s">
        <v>469</v>
      </c>
      <c r="B343" s="65" t="s">
        <v>467</v>
      </c>
      <c r="C343" s="66" t="s">
        <v>5345</v>
      </c>
      <c r="D343" s="67">
        <v>3</v>
      </c>
      <c r="E343" s="68"/>
      <c r="F343" s="69">
        <v>40</v>
      </c>
      <c r="G343" s="66"/>
      <c r="H343" s="70"/>
      <c r="I343" s="71"/>
      <c r="J343" s="71"/>
      <c r="K343" s="35" t="s">
        <v>65</v>
      </c>
      <c r="L343" s="79">
        <v>343</v>
      </c>
      <c r="M343" s="79"/>
      <c r="N343" s="73"/>
      <c r="O343" s="81" t="s">
        <v>760</v>
      </c>
      <c r="P343" s="81" t="s">
        <v>215</v>
      </c>
      <c r="Q343" s="84" t="s">
        <v>1088</v>
      </c>
      <c r="R343" s="81" t="s">
        <v>469</v>
      </c>
      <c r="S343" s="81" t="s">
        <v>1798</v>
      </c>
      <c r="T343" s="86" t="str">
        <f>HYPERLINK("http://www.youtube.com/channel/UCjJC-AYgE01N7cgK18k2u4g")</f>
        <v>http://www.youtube.com/channel/UCjJC-AYgE01N7cgK18k2u4g</v>
      </c>
      <c r="U343" s="81"/>
      <c r="V343" s="81" t="s">
        <v>2314</v>
      </c>
      <c r="W343" s="86" t="str">
        <f>HYPERLINK("https://www.youtube.com/watch?v=z_W3kQxvRqY")</f>
        <v>https://www.youtube.com/watch?v=z_W3kQxvRqY</v>
      </c>
      <c r="X343" s="81" t="s">
        <v>2335</v>
      </c>
      <c r="Y343" s="81">
        <v>1</v>
      </c>
      <c r="Z343" s="88">
        <v>44323.751296296294</v>
      </c>
      <c r="AA343" s="88">
        <v>44323.751296296294</v>
      </c>
      <c r="AB343" s="81"/>
      <c r="AC343" s="81"/>
      <c r="AD343" s="84" t="s">
        <v>2782</v>
      </c>
      <c r="AE343" s="82">
        <v>1</v>
      </c>
      <c r="AF343" s="83" t="str">
        <f>REPLACE(INDEX(GroupVertices[Group],MATCH(Edges[[#This Row],[Vertex 1]],GroupVertices[Vertex],0)),1,1,"")</f>
        <v>9</v>
      </c>
      <c r="AG343" s="83" t="str">
        <f>REPLACE(INDEX(GroupVertices[Group],MATCH(Edges[[#This Row],[Vertex 2]],GroupVertices[Vertex],0)),1,1,"")</f>
        <v>9</v>
      </c>
      <c r="AH343" s="111">
        <v>2</v>
      </c>
      <c r="AI343" s="112">
        <v>9.090909090909092</v>
      </c>
      <c r="AJ343" s="111">
        <v>1</v>
      </c>
      <c r="AK343" s="112">
        <v>4.545454545454546</v>
      </c>
      <c r="AL343" s="111">
        <v>0</v>
      </c>
      <c r="AM343" s="112">
        <v>0</v>
      </c>
      <c r="AN343" s="111">
        <v>19</v>
      </c>
      <c r="AO343" s="112">
        <v>86.36363636363636</v>
      </c>
      <c r="AP343" s="111">
        <v>22</v>
      </c>
    </row>
    <row r="344" spans="1:42" ht="15">
      <c r="A344" s="65" t="s">
        <v>287</v>
      </c>
      <c r="B344" s="65" t="s">
        <v>470</v>
      </c>
      <c r="C344" s="66" t="s">
        <v>5345</v>
      </c>
      <c r="D344" s="67">
        <v>3</v>
      </c>
      <c r="E344" s="68"/>
      <c r="F344" s="69">
        <v>40</v>
      </c>
      <c r="G344" s="66"/>
      <c r="H344" s="70"/>
      <c r="I344" s="71"/>
      <c r="J344" s="71"/>
      <c r="K344" s="35" t="s">
        <v>66</v>
      </c>
      <c r="L344" s="79">
        <v>344</v>
      </c>
      <c r="M344" s="79"/>
      <c r="N344" s="73"/>
      <c r="O344" s="81" t="s">
        <v>761</v>
      </c>
      <c r="P344" s="81" t="s">
        <v>763</v>
      </c>
      <c r="Q344" s="84" t="s">
        <v>1089</v>
      </c>
      <c r="R344" s="81" t="s">
        <v>287</v>
      </c>
      <c r="S344" s="81" t="s">
        <v>1616</v>
      </c>
      <c r="T344" s="86" t="str">
        <f>HYPERLINK("http://www.youtube.com/channel/UCbUhO-tut97b5IQhZ3i7TMA")</f>
        <v>http://www.youtube.com/channel/UCbUhO-tut97b5IQhZ3i7TMA</v>
      </c>
      <c r="U344" s="81" t="s">
        <v>2166</v>
      </c>
      <c r="V344" s="81" t="s">
        <v>2315</v>
      </c>
      <c r="W344" s="86" t="str">
        <f>HYPERLINK("https://www.youtube.com/watch?v=JCTlws1bpAY")</f>
        <v>https://www.youtube.com/watch?v=JCTlws1bpAY</v>
      </c>
      <c r="X344" s="81" t="s">
        <v>2335</v>
      </c>
      <c r="Y344" s="81">
        <v>0</v>
      </c>
      <c r="Z344" s="88">
        <v>43290.83018518519</v>
      </c>
      <c r="AA344" s="88">
        <v>43290.83018518519</v>
      </c>
      <c r="AB344" s="81"/>
      <c r="AC344" s="81"/>
      <c r="AD344" s="84" t="s">
        <v>2782</v>
      </c>
      <c r="AE344" s="82">
        <v>1</v>
      </c>
      <c r="AF344" s="83" t="str">
        <f>REPLACE(INDEX(GroupVertices[Group],MATCH(Edges[[#This Row],[Vertex 1]],GroupVertices[Vertex],0)),1,1,"")</f>
        <v>1</v>
      </c>
      <c r="AG344" s="83" t="str">
        <f>REPLACE(INDEX(GroupVertices[Group],MATCH(Edges[[#This Row],[Vertex 2]],GroupVertices[Vertex],0)),1,1,"")</f>
        <v>1</v>
      </c>
      <c r="AH344" s="111">
        <v>1</v>
      </c>
      <c r="AI344" s="112">
        <v>25</v>
      </c>
      <c r="AJ344" s="111">
        <v>0</v>
      </c>
      <c r="AK344" s="112">
        <v>0</v>
      </c>
      <c r="AL344" s="111">
        <v>0</v>
      </c>
      <c r="AM344" s="112">
        <v>0</v>
      </c>
      <c r="AN344" s="111">
        <v>3</v>
      </c>
      <c r="AO344" s="112">
        <v>75</v>
      </c>
      <c r="AP344" s="111">
        <v>4</v>
      </c>
    </row>
    <row r="345" spans="1:42" ht="15">
      <c r="A345" s="65" t="s">
        <v>470</v>
      </c>
      <c r="B345" s="65" t="s">
        <v>287</v>
      </c>
      <c r="C345" s="66" t="s">
        <v>5345</v>
      </c>
      <c r="D345" s="67">
        <v>3</v>
      </c>
      <c r="E345" s="68"/>
      <c r="F345" s="69">
        <v>40</v>
      </c>
      <c r="G345" s="66"/>
      <c r="H345" s="70"/>
      <c r="I345" s="71"/>
      <c r="J345" s="71"/>
      <c r="K345" s="35" t="s">
        <v>66</v>
      </c>
      <c r="L345" s="79">
        <v>345</v>
      </c>
      <c r="M345" s="79"/>
      <c r="N345" s="73"/>
      <c r="O345" s="81" t="s">
        <v>760</v>
      </c>
      <c r="P345" s="81" t="s">
        <v>215</v>
      </c>
      <c r="Q345" s="84" t="s">
        <v>1090</v>
      </c>
      <c r="R345" s="81" t="s">
        <v>470</v>
      </c>
      <c r="S345" s="81" t="s">
        <v>1799</v>
      </c>
      <c r="T345" s="86" t="str">
        <f>HYPERLINK("http://www.youtube.com/channel/UCzXs1IS5XDX9HJHgP4Ru94A")</f>
        <v>http://www.youtube.com/channel/UCzXs1IS5XDX9HJHgP4Ru94A</v>
      </c>
      <c r="U345" s="81"/>
      <c r="V345" s="81" t="s">
        <v>2315</v>
      </c>
      <c r="W345" s="86" t="str">
        <f>HYPERLINK("https://www.youtube.com/watch?v=JCTlws1bpAY")</f>
        <v>https://www.youtube.com/watch?v=JCTlws1bpAY</v>
      </c>
      <c r="X345" s="81" t="s">
        <v>2335</v>
      </c>
      <c r="Y345" s="81">
        <v>0</v>
      </c>
      <c r="Z345" s="88">
        <v>43229.977222222224</v>
      </c>
      <c r="AA345" s="88">
        <v>43229.977222222224</v>
      </c>
      <c r="AB345" s="81"/>
      <c r="AC345" s="81"/>
      <c r="AD345" s="84" t="s">
        <v>2782</v>
      </c>
      <c r="AE345" s="82">
        <v>1</v>
      </c>
      <c r="AF345" s="83" t="str">
        <f>REPLACE(INDEX(GroupVertices[Group],MATCH(Edges[[#This Row],[Vertex 1]],GroupVertices[Vertex],0)),1,1,"")</f>
        <v>1</v>
      </c>
      <c r="AG345" s="83" t="str">
        <f>REPLACE(INDEX(GroupVertices[Group],MATCH(Edges[[#This Row],[Vertex 2]],GroupVertices[Vertex],0)),1,1,"")</f>
        <v>1</v>
      </c>
      <c r="AH345" s="111">
        <v>1</v>
      </c>
      <c r="AI345" s="112">
        <v>6.25</v>
      </c>
      <c r="AJ345" s="111">
        <v>0</v>
      </c>
      <c r="AK345" s="112">
        <v>0</v>
      </c>
      <c r="AL345" s="111">
        <v>0</v>
      </c>
      <c r="AM345" s="112">
        <v>0</v>
      </c>
      <c r="AN345" s="111">
        <v>15</v>
      </c>
      <c r="AO345" s="112">
        <v>93.75</v>
      </c>
      <c r="AP345" s="111">
        <v>16</v>
      </c>
    </row>
    <row r="346" spans="1:42" ht="15">
      <c r="A346" s="65" t="s">
        <v>471</v>
      </c>
      <c r="B346" s="65" t="s">
        <v>287</v>
      </c>
      <c r="C346" s="66" t="s">
        <v>5346</v>
      </c>
      <c r="D346" s="67">
        <v>10</v>
      </c>
      <c r="E346" s="68"/>
      <c r="F346" s="69">
        <v>15</v>
      </c>
      <c r="G346" s="66"/>
      <c r="H346" s="70"/>
      <c r="I346" s="71"/>
      <c r="J346" s="71"/>
      <c r="K346" s="35" t="s">
        <v>66</v>
      </c>
      <c r="L346" s="79">
        <v>346</v>
      </c>
      <c r="M346" s="79"/>
      <c r="N346" s="73"/>
      <c r="O346" s="81" t="s">
        <v>760</v>
      </c>
      <c r="P346" s="81" t="s">
        <v>215</v>
      </c>
      <c r="Q346" s="84" t="s">
        <v>1091</v>
      </c>
      <c r="R346" s="81" t="s">
        <v>471</v>
      </c>
      <c r="S346" s="81" t="s">
        <v>1800</v>
      </c>
      <c r="T346" s="86" t="str">
        <f>HYPERLINK("http://www.youtube.com/channel/UCkV9GnyBhEBzSoxH3eLKSjA")</f>
        <v>http://www.youtube.com/channel/UCkV9GnyBhEBzSoxH3eLKSjA</v>
      </c>
      <c r="U346" s="81"/>
      <c r="V346" s="81" t="s">
        <v>2308</v>
      </c>
      <c r="W346" s="86" t="str">
        <f>HYPERLINK("https://www.youtube.com/watch?v=xZPSNornzmk")</f>
        <v>https://www.youtube.com/watch?v=xZPSNornzmk</v>
      </c>
      <c r="X346" s="81" t="s">
        <v>2335</v>
      </c>
      <c r="Y346" s="81">
        <v>0</v>
      </c>
      <c r="Z346" s="81" t="s">
        <v>2468</v>
      </c>
      <c r="AA346" s="81" t="s">
        <v>2468</v>
      </c>
      <c r="AB346" s="81"/>
      <c r="AC346" s="81"/>
      <c r="AD346" s="84" t="s">
        <v>2782</v>
      </c>
      <c r="AE346" s="82">
        <v>2</v>
      </c>
      <c r="AF346" s="83" t="str">
        <f>REPLACE(INDEX(GroupVertices[Group],MATCH(Edges[[#This Row],[Vertex 1]],GroupVertices[Vertex],0)),1,1,"")</f>
        <v>1</v>
      </c>
      <c r="AG346" s="83" t="str">
        <f>REPLACE(INDEX(GroupVertices[Group],MATCH(Edges[[#This Row],[Vertex 2]],GroupVertices[Vertex],0)),1,1,"")</f>
        <v>1</v>
      </c>
      <c r="AH346" s="111">
        <v>5</v>
      </c>
      <c r="AI346" s="112">
        <v>5.154639175257732</v>
      </c>
      <c r="AJ346" s="111">
        <v>3</v>
      </c>
      <c r="AK346" s="112">
        <v>3.0927835051546393</v>
      </c>
      <c r="AL346" s="111">
        <v>0</v>
      </c>
      <c r="AM346" s="112">
        <v>0</v>
      </c>
      <c r="AN346" s="111">
        <v>89</v>
      </c>
      <c r="AO346" s="112">
        <v>91.75257731958763</v>
      </c>
      <c r="AP346" s="111">
        <v>97</v>
      </c>
    </row>
    <row r="347" spans="1:42" ht="15">
      <c r="A347" s="65" t="s">
        <v>287</v>
      </c>
      <c r="B347" s="65" t="s">
        <v>471</v>
      </c>
      <c r="C347" s="66" t="s">
        <v>5345</v>
      </c>
      <c r="D347" s="67">
        <v>3</v>
      </c>
      <c r="E347" s="68"/>
      <c r="F347" s="69">
        <v>40</v>
      </c>
      <c r="G347" s="66"/>
      <c r="H347" s="70"/>
      <c r="I347" s="71"/>
      <c r="J347" s="71"/>
      <c r="K347" s="35" t="s">
        <v>66</v>
      </c>
      <c r="L347" s="79">
        <v>347</v>
      </c>
      <c r="M347" s="79"/>
      <c r="N347" s="73"/>
      <c r="O347" s="81" t="s">
        <v>761</v>
      </c>
      <c r="P347" s="81" t="s">
        <v>763</v>
      </c>
      <c r="Q347" s="84" t="s">
        <v>1092</v>
      </c>
      <c r="R347" s="81" t="s">
        <v>287</v>
      </c>
      <c r="S347" s="81" t="s">
        <v>1616</v>
      </c>
      <c r="T347" s="86" t="str">
        <f>HYPERLINK("http://www.youtube.com/channel/UCbUhO-tut97b5IQhZ3i7TMA")</f>
        <v>http://www.youtube.com/channel/UCbUhO-tut97b5IQhZ3i7TMA</v>
      </c>
      <c r="U347" s="81" t="s">
        <v>2167</v>
      </c>
      <c r="V347" s="81" t="s">
        <v>2315</v>
      </c>
      <c r="W347" s="86" t="str">
        <f>HYPERLINK("https://www.youtube.com/watch?v=JCTlws1bpAY")</f>
        <v>https://www.youtube.com/watch?v=JCTlws1bpAY</v>
      </c>
      <c r="X347" s="81" t="s">
        <v>2335</v>
      </c>
      <c r="Y347" s="81">
        <v>1</v>
      </c>
      <c r="Z347" s="88">
        <v>43290.83027777778</v>
      </c>
      <c r="AA347" s="88">
        <v>43290.83027777778</v>
      </c>
      <c r="AB347" s="81"/>
      <c r="AC347" s="81"/>
      <c r="AD347" s="84" t="s">
        <v>2782</v>
      </c>
      <c r="AE347" s="82">
        <v>1</v>
      </c>
      <c r="AF347" s="83" t="str">
        <f>REPLACE(INDEX(GroupVertices[Group],MATCH(Edges[[#This Row],[Vertex 1]],GroupVertices[Vertex],0)),1,1,"")</f>
        <v>1</v>
      </c>
      <c r="AG347" s="83" t="str">
        <f>REPLACE(INDEX(GroupVertices[Group],MATCH(Edges[[#This Row],[Vertex 2]],GroupVertices[Vertex],0)),1,1,"")</f>
        <v>1</v>
      </c>
      <c r="AH347" s="111">
        <v>0</v>
      </c>
      <c r="AI347" s="112">
        <v>0</v>
      </c>
      <c r="AJ347" s="111">
        <v>0</v>
      </c>
      <c r="AK347" s="112">
        <v>0</v>
      </c>
      <c r="AL347" s="111">
        <v>0</v>
      </c>
      <c r="AM347" s="112">
        <v>0</v>
      </c>
      <c r="AN347" s="111">
        <v>1</v>
      </c>
      <c r="AO347" s="112">
        <v>100</v>
      </c>
      <c r="AP347" s="111">
        <v>1</v>
      </c>
    </row>
    <row r="348" spans="1:42" ht="15">
      <c r="A348" s="65" t="s">
        <v>471</v>
      </c>
      <c r="B348" s="65" t="s">
        <v>287</v>
      </c>
      <c r="C348" s="66" t="s">
        <v>5346</v>
      </c>
      <c r="D348" s="67">
        <v>10</v>
      </c>
      <c r="E348" s="68"/>
      <c r="F348" s="69">
        <v>15</v>
      </c>
      <c r="G348" s="66"/>
      <c r="H348" s="70"/>
      <c r="I348" s="71"/>
      <c r="J348" s="71"/>
      <c r="K348" s="35" t="s">
        <v>66</v>
      </c>
      <c r="L348" s="79">
        <v>348</v>
      </c>
      <c r="M348" s="79"/>
      <c r="N348" s="73"/>
      <c r="O348" s="81" t="s">
        <v>760</v>
      </c>
      <c r="P348" s="81" t="s">
        <v>215</v>
      </c>
      <c r="Q348" s="84" t="s">
        <v>1093</v>
      </c>
      <c r="R348" s="81" t="s">
        <v>471</v>
      </c>
      <c r="S348" s="81" t="s">
        <v>1800</v>
      </c>
      <c r="T348" s="86" t="str">
        <f>HYPERLINK("http://www.youtube.com/channel/UCkV9GnyBhEBzSoxH3eLKSjA")</f>
        <v>http://www.youtube.com/channel/UCkV9GnyBhEBzSoxH3eLKSjA</v>
      </c>
      <c r="U348" s="81"/>
      <c r="V348" s="81" t="s">
        <v>2315</v>
      </c>
      <c r="W348" s="86" t="str">
        <f>HYPERLINK("https://www.youtube.com/watch?v=JCTlws1bpAY")</f>
        <v>https://www.youtube.com/watch?v=JCTlws1bpAY</v>
      </c>
      <c r="X348" s="81" t="s">
        <v>2335</v>
      </c>
      <c r="Y348" s="81">
        <v>1</v>
      </c>
      <c r="Z348" s="88">
        <v>43229.99835648148</v>
      </c>
      <c r="AA348" s="88">
        <v>43229.99835648148</v>
      </c>
      <c r="AB348" s="81"/>
      <c r="AC348" s="81"/>
      <c r="AD348" s="84" t="s">
        <v>2782</v>
      </c>
      <c r="AE348" s="82">
        <v>2</v>
      </c>
      <c r="AF348" s="83" t="str">
        <f>REPLACE(INDEX(GroupVertices[Group],MATCH(Edges[[#This Row],[Vertex 1]],GroupVertices[Vertex],0)),1,1,"")</f>
        <v>1</v>
      </c>
      <c r="AG348" s="83" t="str">
        <f>REPLACE(INDEX(GroupVertices[Group],MATCH(Edges[[#This Row],[Vertex 2]],GroupVertices[Vertex],0)),1,1,"")</f>
        <v>1</v>
      </c>
      <c r="AH348" s="111">
        <v>1</v>
      </c>
      <c r="AI348" s="112">
        <v>1.7857142857142858</v>
      </c>
      <c r="AJ348" s="111">
        <v>4</v>
      </c>
      <c r="AK348" s="112">
        <v>7.142857142857143</v>
      </c>
      <c r="AL348" s="111">
        <v>0</v>
      </c>
      <c r="AM348" s="112">
        <v>0</v>
      </c>
      <c r="AN348" s="111">
        <v>51</v>
      </c>
      <c r="AO348" s="112">
        <v>91.07142857142857</v>
      </c>
      <c r="AP348" s="111">
        <v>56</v>
      </c>
    </row>
    <row r="349" spans="1:42" ht="15">
      <c r="A349" s="65" t="s">
        <v>472</v>
      </c>
      <c r="B349" s="65" t="s">
        <v>287</v>
      </c>
      <c r="C349" s="66" t="s">
        <v>5345</v>
      </c>
      <c r="D349" s="67">
        <v>3</v>
      </c>
      <c r="E349" s="68"/>
      <c r="F349" s="69">
        <v>40</v>
      </c>
      <c r="G349" s="66"/>
      <c r="H349" s="70"/>
      <c r="I349" s="71"/>
      <c r="J349" s="71"/>
      <c r="K349" s="35" t="s">
        <v>65</v>
      </c>
      <c r="L349" s="79">
        <v>349</v>
      </c>
      <c r="M349" s="79"/>
      <c r="N349" s="73"/>
      <c r="O349" s="81" t="s">
        <v>760</v>
      </c>
      <c r="P349" s="81" t="s">
        <v>215</v>
      </c>
      <c r="Q349" s="84" t="s">
        <v>1094</v>
      </c>
      <c r="R349" s="81" t="s">
        <v>472</v>
      </c>
      <c r="S349" s="81" t="s">
        <v>1801</v>
      </c>
      <c r="T349" s="86" t="str">
        <f>HYPERLINK("http://www.youtube.com/channel/UCvgU7w2LYXQAHxlgdEa9D6w")</f>
        <v>http://www.youtube.com/channel/UCvgU7w2LYXQAHxlgdEa9D6w</v>
      </c>
      <c r="U349" s="81"/>
      <c r="V349" s="81" t="s">
        <v>2315</v>
      </c>
      <c r="W349" s="86" t="str">
        <f>HYPERLINK("https://www.youtube.com/watch?v=JCTlws1bpAY")</f>
        <v>https://www.youtube.com/watch?v=JCTlws1bpAY</v>
      </c>
      <c r="X349" s="81" t="s">
        <v>2335</v>
      </c>
      <c r="Y349" s="81">
        <v>0</v>
      </c>
      <c r="Z349" s="88">
        <v>43260.037210648145</v>
      </c>
      <c r="AA349" s="88">
        <v>43260.037210648145</v>
      </c>
      <c r="AB349" s="81"/>
      <c r="AC349" s="81"/>
      <c r="AD349" s="84" t="s">
        <v>2782</v>
      </c>
      <c r="AE349" s="82">
        <v>1</v>
      </c>
      <c r="AF349" s="83" t="str">
        <f>REPLACE(INDEX(GroupVertices[Group],MATCH(Edges[[#This Row],[Vertex 1]],GroupVertices[Vertex],0)),1,1,"")</f>
        <v>1</v>
      </c>
      <c r="AG349" s="83" t="str">
        <f>REPLACE(INDEX(GroupVertices[Group],MATCH(Edges[[#This Row],[Vertex 2]],GroupVertices[Vertex],0)),1,1,"")</f>
        <v>1</v>
      </c>
      <c r="AH349" s="111">
        <v>1</v>
      </c>
      <c r="AI349" s="112">
        <v>14.285714285714286</v>
      </c>
      <c r="AJ349" s="111">
        <v>0</v>
      </c>
      <c r="AK349" s="112">
        <v>0</v>
      </c>
      <c r="AL349" s="111">
        <v>0</v>
      </c>
      <c r="AM349" s="112">
        <v>0</v>
      </c>
      <c r="AN349" s="111">
        <v>6</v>
      </c>
      <c r="AO349" s="112">
        <v>85.71428571428571</v>
      </c>
      <c r="AP349" s="111">
        <v>7</v>
      </c>
    </row>
    <row r="350" spans="1:42" ht="15">
      <c r="A350" s="65" t="s">
        <v>287</v>
      </c>
      <c r="B350" s="65" t="s">
        <v>473</v>
      </c>
      <c r="C350" s="66" t="s">
        <v>5345</v>
      </c>
      <c r="D350" s="67">
        <v>3</v>
      </c>
      <c r="E350" s="68"/>
      <c r="F350" s="69">
        <v>40</v>
      </c>
      <c r="G350" s="66"/>
      <c r="H350" s="70"/>
      <c r="I350" s="71"/>
      <c r="J350" s="71"/>
      <c r="K350" s="35" t="s">
        <v>66</v>
      </c>
      <c r="L350" s="79">
        <v>350</v>
      </c>
      <c r="M350" s="79"/>
      <c r="N350" s="73"/>
      <c r="O350" s="81" t="s">
        <v>761</v>
      </c>
      <c r="P350" s="81" t="s">
        <v>763</v>
      </c>
      <c r="Q350" s="84" t="s">
        <v>1095</v>
      </c>
      <c r="R350" s="81" t="s">
        <v>287</v>
      </c>
      <c r="S350" s="81" t="s">
        <v>1616</v>
      </c>
      <c r="T350" s="86" t="str">
        <f>HYPERLINK("http://www.youtube.com/channel/UCbUhO-tut97b5IQhZ3i7TMA")</f>
        <v>http://www.youtube.com/channel/UCbUhO-tut97b5IQhZ3i7TMA</v>
      </c>
      <c r="U350" s="81" t="s">
        <v>2168</v>
      </c>
      <c r="V350" s="81" t="s">
        <v>2315</v>
      </c>
      <c r="W350" s="86" t="str">
        <f>HYPERLINK("https://www.youtube.com/watch?v=JCTlws1bpAY")</f>
        <v>https://www.youtube.com/watch?v=JCTlws1bpAY</v>
      </c>
      <c r="X350" s="81" t="s">
        <v>2335</v>
      </c>
      <c r="Y350" s="81">
        <v>0</v>
      </c>
      <c r="Z350" s="88">
        <v>43290.83127314815</v>
      </c>
      <c r="AA350" s="88">
        <v>43290.83127314815</v>
      </c>
      <c r="AB350" s="81"/>
      <c r="AC350" s="81"/>
      <c r="AD350" s="84" t="s">
        <v>2782</v>
      </c>
      <c r="AE350" s="82">
        <v>1</v>
      </c>
      <c r="AF350" s="83" t="str">
        <f>REPLACE(INDEX(GroupVertices[Group],MATCH(Edges[[#This Row],[Vertex 1]],GroupVertices[Vertex],0)),1,1,"")</f>
        <v>1</v>
      </c>
      <c r="AG350" s="83" t="str">
        <f>REPLACE(INDEX(GroupVertices[Group],MATCH(Edges[[#This Row],[Vertex 2]],GroupVertices[Vertex],0)),1,1,"")</f>
        <v>1</v>
      </c>
      <c r="AH350" s="111">
        <v>2</v>
      </c>
      <c r="AI350" s="112">
        <v>40</v>
      </c>
      <c r="AJ350" s="111">
        <v>0</v>
      </c>
      <c r="AK350" s="112">
        <v>0</v>
      </c>
      <c r="AL350" s="111">
        <v>0</v>
      </c>
      <c r="AM350" s="112">
        <v>0</v>
      </c>
      <c r="AN350" s="111">
        <v>3</v>
      </c>
      <c r="AO350" s="112">
        <v>60</v>
      </c>
      <c r="AP350" s="111">
        <v>5</v>
      </c>
    </row>
    <row r="351" spans="1:42" ht="15">
      <c r="A351" s="65" t="s">
        <v>473</v>
      </c>
      <c r="B351" s="65" t="s">
        <v>287</v>
      </c>
      <c r="C351" s="66" t="s">
        <v>5345</v>
      </c>
      <c r="D351" s="67">
        <v>3</v>
      </c>
      <c r="E351" s="68"/>
      <c r="F351" s="69">
        <v>40</v>
      </c>
      <c r="G351" s="66"/>
      <c r="H351" s="70"/>
      <c r="I351" s="71"/>
      <c r="J351" s="71"/>
      <c r="K351" s="35" t="s">
        <v>66</v>
      </c>
      <c r="L351" s="79">
        <v>351</v>
      </c>
      <c r="M351" s="79"/>
      <c r="N351" s="73"/>
      <c r="O351" s="81" t="s">
        <v>760</v>
      </c>
      <c r="P351" s="81" t="s">
        <v>215</v>
      </c>
      <c r="Q351" s="84" t="s">
        <v>1096</v>
      </c>
      <c r="R351" s="81" t="s">
        <v>473</v>
      </c>
      <c r="S351" s="81" t="s">
        <v>1802</v>
      </c>
      <c r="T351" s="86" t="str">
        <f>HYPERLINK("http://www.youtube.com/channel/UC-QudR4SxVYXGzb1G4qupjA")</f>
        <v>http://www.youtube.com/channel/UC-QudR4SxVYXGzb1G4qupjA</v>
      </c>
      <c r="U351" s="81"/>
      <c r="V351" s="81" t="s">
        <v>2315</v>
      </c>
      <c r="W351" s="86" t="str">
        <f>HYPERLINK("https://www.youtube.com/watch?v=JCTlws1bpAY")</f>
        <v>https://www.youtube.com/watch?v=JCTlws1bpAY</v>
      </c>
      <c r="X351" s="81" t="s">
        <v>2335</v>
      </c>
      <c r="Y351" s="81">
        <v>0</v>
      </c>
      <c r="Z351" s="88">
        <v>43260.06476851852</v>
      </c>
      <c r="AA351" s="88">
        <v>43260.06476851852</v>
      </c>
      <c r="AB351" s="81"/>
      <c r="AC351" s="81"/>
      <c r="AD351" s="84" t="s">
        <v>2782</v>
      </c>
      <c r="AE351" s="82">
        <v>1</v>
      </c>
      <c r="AF351" s="83" t="str">
        <f>REPLACE(INDEX(GroupVertices[Group],MATCH(Edges[[#This Row],[Vertex 1]],GroupVertices[Vertex],0)),1,1,"")</f>
        <v>1</v>
      </c>
      <c r="AG351" s="83" t="str">
        <f>REPLACE(INDEX(GroupVertices[Group],MATCH(Edges[[#This Row],[Vertex 2]],GroupVertices[Vertex],0)),1,1,"")</f>
        <v>1</v>
      </c>
      <c r="AH351" s="111">
        <v>17</v>
      </c>
      <c r="AI351" s="112">
        <v>12.592592592592593</v>
      </c>
      <c r="AJ351" s="111">
        <v>2</v>
      </c>
      <c r="AK351" s="112">
        <v>1.4814814814814814</v>
      </c>
      <c r="AL351" s="111">
        <v>0</v>
      </c>
      <c r="AM351" s="112">
        <v>0</v>
      </c>
      <c r="AN351" s="111">
        <v>116</v>
      </c>
      <c r="AO351" s="112">
        <v>85.92592592592592</v>
      </c>
      <c r="AP351" s="111">
        <v>135</v>
      </c>
    </row>
    <row r="352" spans="1:42" ht="15">
      <c r="A352" s="65" t="s">
        <v>474</v>
      </c>
      <c r="B352" s="65" t="s">
        <v>287</v>
      </c>
      <c r="C352" s="66" t="s">
        <v>5345</v>
      </c>
      <c r="D352" s="67">
        <v>3</v>
      </c>
      <c r="E352" s="68"/>
      <c r="F352" s="69">
        <v>40</v>
      </c>
      <c r="G352" s="66"/>
      <c r="H352" s="70"/>
      <c r="I352" s="71"/>
      <c r="J352" s="71"/>
      <c r="K352" s="35" t="s">
        <v>65</v>
      </c>
      <c r="L352" s="79">
        <v>352</v>
      </c>
      <c r="M352" s="79"/>
      <c r="N352" s="73"/>
      <c r="O352" s="81" t="s">
        <v>760</v>
      </c>
      <c r="P352" s="81" t="s">
        <v>215</v>
      </c>
      <c r="Q352" s="84" t="s">
        <v>1097</v>
      </c>
      <c r="R352" s="81" t="s">
        <v>474</v>
      </c>
      <c r="S352" s="81" t="s">
        <v>1803</v>
      </c>
      <c r="T352" s="86" t="str">
        <f>HYPERLINK("http://www.youtube.com/channel/UCZDFCXZ8ou1HRP-tcn2ymcQ")</f>
        <v>http://www.youtube.com/channel/UCZDFCXZ8ou1HRP-tcn2ymcQ</v>
      </c>
      <c r="U352" s="81"/>
      <c r="V352" s="81" t="s">
        <v>2315</v>
      </c>
      <c r="W352" s="86" t="str">
        <f>HYPERLINK("https://www.youtube.com/watch?v=JCTlws1bpAY")</f>
        <v>https://www.youtube.com/watch?v=JCTlws1bpAY</v>
      </c>
      <c r="X352" s="81" t="s">
        <v>2335</v>
      </c>
      <c r="Y352" s="81">
        <v>0</v>
      </c>
      <c r="Z352" s="88">
        <v>43260.066099537034</v>
      </c>
      <c r="AA352" s="88">
        <v>43260.066099537034</v>
      </c>
      <c r="AB352" s="81" t="s">
        <v>2762</v>
      </c>
      <c r="AC352" s="81" t="s">
        <v>2772</v>
      </c>
      <c r="AD352" s="84" t="s">
        <v>2782</v>
      </c>
      <c r="AE352" s="82">
        <v>1</v>
      </c>
      <c r="AF352" s="83" t="str">
        <f>REPLACE(INDEX(GroupVertices[Group],MATCH(Edges[[#This Row],[Vertex 1]],GroupVertices[Vertex],0)),1,1,"")</f>
        <v>1</v>
      </c>
      <c r="AG352" s="83" t="str">
        <f>REPLACE(INDEX(GroupVertices[Group],MATCH(Edges[[#This Row],[Vertex 2]],GroupVertices[Vertex],0)),1,1,"")</f>
        <v>1</v>
      </c>
      <c r="AH352" s="111">
        <v>1</v>
      </c>
      <c r="AI352" s="112">
        <v>6.666666666666667</v>
      </c>
      <c r="AJ352" s="111">
        <v>0</v>
      </c>
      <c r="AK352" s="112">
        <v>0</v>
      </c>
      <c r="AL352" s="111">
        <v>0</v>
      </c>
      <c r="AM352" s="112">
        <v>0</v>
      </c>
      <c r="AN352" s="111">
        <v>14</v>
      </c>
      <c r="AO352" s="112">
        <v>93.33333333333333</v>
      </c>
      <c r="AP352" s="111">
        <v>15</v>
      </c>
    </row>
    <row r="353" spans="1:42" ht="15">
      <c r="A353" s="65" t="s">
        <v>475</v>
      </c>
      <c r="B353" s="65" t="s">
        <v>287</v>
      </c>
      <c r="C353" s="66" t="s">
        <v>5345</v>
      </c>
      <c r="D353" s="67">
        <v>3</v>
      </c>
      <c r="E353" s="68"/>
      <c r="F353" s="69">
        <v>40</v>
      </c>
      <c r="G353" s="66"/>
      <c r="H353" s="70"/>
      <c r="I353" s="71"/>
      <c r="J353" s="71"/>
      <c r="K353" s="35" t="s">
        <v>65</v>
      </c>
      <c r="L353" s="79">
        <v>353</v>
      </c>
      <c r="M353" s="79"/>
      <c r="N353" s="73"/>
      <c r="O353" s="81" t="s">
        <v>760</v>
      </c>
      <c r="P353" s="81" t="s">
        <v>215</v>
      </c>
      <c r="Q353" s="84" t="s">
        <v>1098</v>
      </c>
      <c r="R353" s="81" t="s">
        <v>475</v>
      </c>
      <c r="S353" s="81" t="s">
        <v>1804</v>
      </c>
      <c r="T353" s="86" t="str">
        <f>HYPERLINK("http://www.youtube.com/channel/UCItNUirJgbPLArlRlEisHqg")</f>
        <v>http://www.youtube.com/channel/UCItNUirJgbPLArlRlEisHqg</v>
      </c>
      <c r="U353" s="81"/>
      <c r="V353" s="81" t="s">
        <v>2315</v>
      </c>
      <c r="W353" s="86" t="str">
        <f>HYPERLINK("https://www.youtube.com/watch?v=JCTlws1bpAY")</f>
        <v>https://www.youtube.com/watch?v=JCTlws1bpAY</v>
      </c>
      <c r="X353" s="81" t="s">
        <v>2335</v>
      </c>
      <c r="Y353" s="81">
        <v>1</v>
      </c>
      <c r="Z353" s="88">
        <v>43260.19174768519</v>
      </c>
      <c r="AA353" s="88">
        <v>43260.19174768519</v>
      </c>
      <c r="AB353" s="81"/>
      <c r="AC353" s="81"/>
      <c r="AD353" s="84" t="s">
        <v>2782</v>
      </c>
      <c r="AE353" s="82">
        <v>1</v>
      </c>
      <c r="AF353" s="83" t="str">
        <f>REPLACE(INDEX(GroupVertices[Group],MATCH(Edges[[#This Row],[Vertex 1]],GroupVertices[Vertex],0)),1,1,"")</f>
        <v>1</v>
      </c>
      <c r="AG353" s="83" t="str">
        <f>REPLACE(INDEX(GroupVertices[Group],MATCH(Edges[[#This Row],[Vertex 2]],GroupVertices[Vertex],0)),1,1,"")</f>
        <v>1</v>
      </c>
      <c r="AH353" s="111">
        <v>0</v>
      </c>
      <c r="AI353" s="112">
        <v>0</v>
      </c>
      <c r="AJ353" s="111">
        <v>0</v>
      </c>
      <c r="AK353" s="112">
        <v>0</v>
      </c>
      <c r="AL353" s="111">
        <v>0</v>
      </c>
      <c r="AM353" s="112">
        <v>0</v>
      </c>
      <c r="AN353" s="111">
        <v>14</v>
      </c>
      <c r="AO353" s="112">
        <v>100</v>
      </c>
      <c r="AP353" s="111">
        <v>14</v>
      </c>
    </row>
    <row r="354" spans="1:42" ht="15">
      <c r="A354" s="65" t="s">
        <v>476</v>
      </c>
      <c r="B354" s="65" t="s">
        <v>287</v>
      </c>
      <c r="C354" s="66" t="s">
        <v>5345</v>
      </c>
      <c r="D354" s="67">
        <v>3</v>
      </c>
      <c r="E354" s="68"/>
      <c r="F354" s="69">
        <v>40</v>
      </c>
      <c r="G354" s="66"/>
      <c r="H354" s="70"/>
      <c r="I354" s="71"/>
      <c r="J354" s="71"/>
      <c r="K354" s="35" t="s">
        <v>65</v>
      </c>
      <c r="L354" s="79">
        <v>354</v>
      </c>
      <c r="M354" s="79"/>
      <c r="N354" s="73"/>
      <c r="O354" s="81" t="s">
        <v>760</v>
      </c>
      <c r="P354" s="81" t="s">
        <v>215</v>
      </c>
      <c r="Q354" s="84" t="s">
        <v>1099</v>
      </c>
      <c r="R354" s="81" t="s">
        <v>476</v>
      </c>
      <c r="S354" s="81" t="s">
        <v>1805</v>
      </c>
      <c r="T354" s="86" t="str">
        <f>HYPERLINK("http://www.youtube.com/channel/UCRALVaMU0mFkY-m_EmKWuoA")</f>
        <v>http://www.youtube.com/channel/UCRALVaMU0mFkY-m_EmKWuoA</v>
      </c>
      <c r="U354" s="81"/>
      <c r="V354" s="81" t="s">
        <v>2315</v>
      </c>
      <c r="W354" s="86" t="str">
        <f>HYPERLINK("https://www.youtube.com/watch?v=JCTlws1bpAY")</f>
        <v>https://www.youtube.com/watch?v=JCTlws1bpAY</v>
      </c>
      <c r="X354" s="81" t="s">
        <v>2335</v>
      </c>
      <c r="Y354" s="81">
        <v>0</v>
      </c>
      <c r="Z354" s="88">
        <v>43260.25310185185</v>
      </c>
      <c r="AA354" s="88">
        <v>43260.25310185185</v>
      </c>
      <c r="AB354" s="81"/>
      <c r="AC354" s="81"/>
      <c r="AD354" s="84" t="s">
        <v>2782</v>
      </c>
      <c r="AE354" s="82">
        <v>1</v>
      </c>
      <c r="AF354" s="83" t="str">
        <f>REPLACE(INDEX(GroupVertices[Group],MATCH(Edges[[#This Row],[Vertex 1]],GroupVertices[Vertex],0)),1,1,"")</f>
        <v>1</v>
      </c>
      <c r="AG354" s="83" t="str">
        <f>REPLACE(INDEX(GroupVertices[Group],MATCH(Edges[[#This Row],[Vertex 2]],GroupVertices[Vertex],0)),1,1,"")</f>
        <v>1</v>
      </c>
      <c r="AH354" s="111">
        <v>0</v>
      </c>
      <c r="AI354" s="112">
        <v>0</v>
      </c>
      <c r="AJ354" s="111">
        <v>0</v>
      </c>
      <c r="AK354" s="112">
        <v>0</v>
      </c>
      <c r="AL354" s="111">
        <v>0</v>
      </c>
      <c r="AM354" s="112">
        <v>0</v>
      </c>
      <c r="AN354" s="111">
        <v>0</v>
      </c>
      <c r="AO354" s="112">
        <v>0</v>
      </c>
      <c r="AP354" s="111">
        <v>0</v>
      </c>
    </row>
    <row r="355" spans="1:42" ht="15">
      <c r="A355" s="65" t="s">
        <v>287</v>
      </c>
      <c r="B355" s="65" t="s">
        <v>477</v>
      </c>
      <c r="C355" s="66" t="s">
        <v>5345</v>
      </c>
      <c r="D355" s="67">
        <v>3</v>
      </c>
      <c r="E355" s="68"/>
      <c r="F355" s="69">
        <v>40</v>
      </c>
      <c r="G355" s="66"/>
      <c r="H355" s="70"/>
      <c r="I355" s="71"/>
      <c r="J355" s="71"/>
      <c r="K355" s="35" t="s">
        <v>66</v>
      </c>
      <c r="L355" s="79">
        <v>355</v>
      </c>
      <c r="M355" s="79"/>
      <c r="N355" s="73"/>
      <c r="O355" s="81" t="s">
        <v>761</v>
      </c>
      <c r="P355" s="81" t="s">
        <v>763</v>
      </c>
      <c r="Q355" s="84" t="s">
        <v>1100</v>
      </c>
      <c r="R355" s="81" t="s">
        <v>287</v>
      </c>
      <c r="S355" s="81" t="s">
        <v>1616</v>
      </c>
      <c r="T355" s="86" t="str">
        <f>HYPERLINK("http://www.youtube.com/channel/UCbUhO-tut97b5IQhZ3i7TMA")</f>
        <v>http://www.youtube.com/channel/UCbUhO-tut97b5IQhZ3i7TMA</v>
      </c>
      <c r="U355" s="81" t="s">
        <v>2169</v>
      </c>
      <c r="V355" s="81" t="s">
        <v>2315</v>
      </c>
      <c r="W355" s="86" t="str">
        <f>HYPERLINK("https://www.youtube.com/watch?v=JCTlws1bpAY")</f>
        <v>https://www.youtube.com/watch?v=JCTlws1bpAY</v>
      </c>
      <c r="X355" s="81" t="s">
        <v>2335</v>
      </c>
      <c r="Y355" s="81">
        <v>1</v>
      </c>
      <c r="Z355" s="88">
        <v>43290.832662037035</v>
      </c>
      <c r="AA355" s="88">
        <v>43290.832662037035</v>
      </c>
      <c r="AB355" s="81"/>
      <c r="AC355" s="81"/>
      <c r="AD355" s="84" t="s">
        <v>2782</v>
      </c>
      <c r="AE355" s="82">
        <v>1</v>
      </c>
      <c r="AF355" s="83" t="str">
        <f>REPLACE(INDEX(GroupVertices[Group],MATCH(Edges[[#This Row],[Vertex 1]],GroupVertices[Vertex],0)),1,1,"")</f>
        <v>1</v>
      </c>
      <c r="AG355" s="83" t="str">
        <f>REPLACE(INDEX(GroupVertices[Group],MATCH(Edges[[#This Row],[Vertex 2]],GroupVertices[Vertex],0)),1,1,"")</f>
        <v>1</v>
      </c>
      <c r="AH355" s="111">
        <v>0</v>
      </c>
      <c r="AI355" s="112">
        <v>0</v>
      </c>
      <c r="AJ355" s="111">
        <v>0</v>
      </c>
      <c r="AK355" s="112">
        <v>0</v>
      </c>
      <c r="AL355" s="111">
        <v>0</v>
      </c>
      <c r="AM355" s="112">
        <v>0</v>
      </c>
      <c r="AN355" s="111">
        <v>14</v>
      </c>
      <c r="AO355" s="112">
        <v>100</v>
      </c>
      <c r="AP355" s="111">
        <v>14</v>
      </c>
    </row>
    <row r="356" spans="1:42" ht="15">
      <c r="A356" s="65" t="s">
        <v>477</v>
      </c>
      <c r="B356" s="65" t="s">
        <v>477</v>
      </c>
      <c r="C356" s="66" t="s">
        <v>5345</v>
      </c>
      <c r="D356" s="67">
        <v>3</v>
      </c>
      <c r="E356" s="68"/>
      <c r="F356" s="69">
        <v>40</v>
      </c>
      <c r="G356" s="66"/>
      <c r="H356" s="70"/>
      <c r="I356" s="71"/>
      <c r="J356" s="71"/>
      <c r="K356" s="35" t="s">
        <v>65</v>
      </c>
      <c r="L356" s="79">
        <v>356</v>
      </c>
      <c r="M356" s="79"/>
      <c r="N356" s="73"/>
      <c r="O356" s="81" t="s">
        <v>761</v>
      </c>
      <c r="P356" s="81" t="s">
        <v>763</v>
      </c>
      <c r="Q356" s="84" t="s">
        <v>1101</v>
      </c>
      <c r="R356" s="81" t="s">
        <v>477</v>
      </c>
      <c r="S356" s="81" t="s">
        <v>1806</v>
      </c>
      <c r="T356" s="86" t="str">
        <f>HYPERLINK("http://www.youtube.com/channel/UCnsvfe2AkgbxY9gNkfpGsBA")</f>
        <v>http://www.youtube.com/channel/UCnsvfe2AkgbxY9gNkfpGsBA</v>
      </c>
      <c r="U356" s="81" t="s">
        <v>2169</v>
      </c>
      <c r="V356" s="81" t="s">
        <v>2315</v>
      </c>
      <c r="W356" s="86" t="str">
        <f>HYPERLINK("https://www.youtube.com/watch?v=JCTlws1bpAY")</f>
        <v>https://www.youtube.com/watch?v=JCTlws1bpAY</v>
      </c>
      <c r="X356" s="81" t="s">
        <v>2335</v>
      </c>
      <c r="Y356" s="81">
        <v>0</v>
      </c>
      <c r="Z356" s="88">
        <v>43290.86614583333</v>
      </c>
      <c r="AA356" s="88">
        <v>43290.86614583333</v>
      </c>
      <c r="AB356" s="81"/>
      <c r="AC356" s="81"/>
      <c r="AD356" s="84" t="s">
        <v>2782</v>
      </c>
      <c r="AE356" s="82">
        <v>1</v>
      </c>
      <c r="AF356" s="83" t="str">
        <f>REPLACE(INDEX(GroupVertices[Group],MATCH(Edges[[#This Row],[Vertex 1]],GroupVertices[Vertex],0)),1,1,"")</f>
        <v>1</v>
      </c>
      <c r="AG356" s="83" t="str">
        <f>REPLACE(INDEX(GroupVertices[Group],MATCH(Edges[[#This Row],[Vertex 2]],GroupVertices[Vertex],0)),1,1,"")</f>
        <v>1</v>
      </c>
      <c r="AH356" s="111">
        <v>2</v>
      </c>
      <c r="AI356" s="112">
        <v>4.166666666666667</v>
      </c>
      <c r="AJ356" s="111">
        <v>1</v>
      </c>
      <c r="AK356" s="112">
        <v>2.0833333333333335</v>
      </c>
      <c r="AL356" s="111">
        <v>0</v>
      </c>
      <c r="AM356" s="112">
        <v>0</v>
      </c>
      <c r="AN356" s="111">
        <v>45</v>
      </c>
      <c r="AO356" s="112">
        <v>93.75</v>
      </c>
      <c r="AP356" s="111">
        <v>48</v>
      </c>
    </row>
    <row r="357" spans="1:42" ht="15">
      <c r="A357" s="65" t="s">
        <v>477</v>
      </c>
      <c r="B357" s="65" t="s">
        <v>287</v>
      </c>
      <c r="C357" s="66" t="s">
        <v>5345</v>
      </c>
      <c r="D357" s="67">
        <v>3</v>
      </c>
      <c r="E357" s="68"/>
      <c r="F357" s="69">
        <v>40</v>
      </c>
      <c r="G357" s="66"/>
      <c r="H357" s="70"/>
      <c r="I357" s="71"/>
      <c r="J357" s="71"/>
      <c r="K357" s="35" t="s">
        <v>66</v>
      </c>
      <c r="L357" s="79">
        <v>357</v>
      </c>
      <c r="M357" s="79"/>
      <c r="N357" s="73"/>
      <c r="O357" s="81" t="s">
        <v>760</v>
      </c>
      <c r="P357" s="81" t="s">
        <v>215</v>
      </c>
      <c r="Q357" s="84" t="s">
        <v>1102</v>
      </c>
      <c r="R357" s="81" t="s">
        <v>477</v>
      </c>
      <c r="S357" s="81" t="s">
        <v>1806</v>
      </c>
      <c r="T357" s="86" t="str">
        <f>HYPERLINK("http://www.youtube.com/channel/UCnsvfe2AkgbxY9gNkfpGsBA")</f>
        <v>http://www.youtube.com/channel/UCnsvfe2AkgbxY9gNkfpGsBA</v>
      </c>
      <c r="U357" s="81"/>
      <c r="V357" s="81" t="s">
        <v>2315</v>
      </c>
      <c r="W357" s="86" t="str">
        <f>HYPERLINK("https://www.youtube.com/watch?v=JCTlws1bpAY")</f>
        <v>https://www.youtube.com/watch?v=JCTlws1bpAY</v>
      </c>
      <c r="X357" s="81" t="s">
        <v>2335</v>
      </c>
      <c r="Y357" s="81">
        <v>0</v>
      </c>
      <c r="Z357" s="88">
        <v>43260.31930555555</v>
      </c>
      <c r="AA357" s="88">
        <v>43260.31930555555</v>
      </c>
      <c r="AB357" s="81"/>
      <c r="AC357" s="81"/>
      <c r="AD357" s="84" t="s">
        <v>2782</v>
      </c>
      <c r="AE357" s="82">
        <v>1</v>
      </c>
      <c r="AF357" s="83" t="str">
        <f>REPLACE(INDEX(GroupVertices[Group],MATCH(Edges[[#This Row],[Vertex 1]],GroupVertices[Vertex],0)),1,1,"")</f>
        <v>1</v>
      </c>
      <c r="AG357" s="83" t="str">
        <f>REPLACE(INDEX(GroupVertices[Group],MATCH(Edges[[#This Row],[Vertex 2]],GroupVertices[Vertex],0)),1,1,"")</f>
        <v>1</v>
      </c>
      <c r="AH357" s="111">
        <v>11</v>
      </c>
      <c r="AI357" s="112">
        <v>8.270676691729323</v>
      </c>
      <c r="AJ357" s="111">
        <v>3</v>
      </c>
      <c r="AK357" s="112">
        <v>2.255639097744361</v>
      </c>
      <c r="AL357" s="111">
        <v>0</v>
      </c>
      <c r="AM357" s="112">
        <v>0</v>
      </c>
      <c r="AN357" s="111">
        <v>119</v>
      </c>
      <c r="AO357" s="112">
        <v>89.47368421052632</v>
      </c>
      <c r="AP357" s="111">
        <v>133</v>
      </c>
    </row>
    <row r="358" spans="1:42" ht="15">
      <c r="A358" s="65" t="s">
        <v>287</v>
      </c>
      <c r="B358" s="65" t="s">
        <v>478</v>
      </c>
      <c r="C358" s="66" t="s">
        <v>5345</v>
      </c>
      <c r="D358" s="67">
        <v>3</v>
      </c>
      <c r="E358" s="68"/>
      <c r="F358" s="69">
        <v>40</v>
      </c>
      <c r="G358" s="66"/>
      <c r="H358" s="70"/>
      <c r="I358" s="71"/>
      <c r="J358" s="71"/>
      <c r="K358" s="35" t="s">
        <v>66</v>
      </c>
      <c r="L358" s="79">
        <v>358</v>
      </c>
      <c r="M358" s="79"/>
      <c r="N358" s="73"/>
      <c r="O358" s="81" t="s">
        <v>761</v>
      </c>
      <c r="P358" s="81" t="s">
        <v>763</v>
      </c>
      <c r="Q358" s="84" t="s">
        <v>1103</v>
      </c>
      <c r="R358" s="81" t="s">
        <v>287</v>
      </c>
      <c r="S358" s="81" t="s">
        <v>1616</v>
      </c>
      <c r="T358" s="86" t="str">
        <f>HYPERLINK("http://www.youtube.com/channel/UCbUhO-tut97b5IQhZ3i7TMA")</f>
        <v>http://www.youtube.com/channel/UCbUhO-tut97b5IQhZ3i7TMA</v>
      </c>
      <c r="U358" s="81" t="s">
        <v>2170</v>
      </c>
      <c r="V358" s="81" t="s">
        <v>2315</v>
      </c>
      <c r="W358" s="86" t="str">
        <f>HYPERLINK("https://www.youtube.com/watch?v=JCTlws1bpAY")</f>
        <v>https://www.youtube.com/watch?v=JCTlws1bpAY</v>
      </c>
      <c r="X358" s="81" t="s">
        <v>2335</v>
      </c>
      <c r="Y358" s="81">
        <v>0</v>
      </c>
      <c r="Z358" s="88">
        <v>43290.832766203705</v>
      </c>
      <c r="AA358" s="88">
        <v>43290.832766203705</v>
      </c>
      <c r="AB358" s="81"/>
      <c r="AC358" s="81"/>
      <c r="AD358" s="84" t="s">
        <v>2782</v>
      </c>
      <c r="AE358" s="82">
        <v>1</v>
      </c>
      <c r="AF358" s="83" t="str">
        <f>REPLACE(INDEX(GroupVertices[Group],MATCH(Edges[[#This Row],[Vertex 1]],GroupVertices[Vertex],0)),1,1,"")</f>
        <v>1</v>
      </c>
      <c r="AG358" s="83" t="str">
        <f>REPLACE(INDEX(GroupVertices[Group],MATCH(Edges[[#This Row],[Vertex 2]],GroupVertices[Vertex],0)),1,1,"")</f>
        <v>1</v>
      </c>
      <c r="AH358" s="111">
        <v>1</v>
      </c>
      <c r="AI358" s="112">
        <v>33.333333333333336</v>
      </c>
      <c r="AJ358" s="111">
        <v>0</v>
      </c>
      <c r="AK358" s="112">
        <v>0</v>
      </c>
      <c r="AL358" s="111">
        <v>0</v>
      </c>
      <c r="AM358" s="112">
        <v>0</v>
      </c>
      <c r="AN358" s="111">
        <v>2</v>
      </c>
      <c r="AO358" s="112">
        <v>66.66666666666667</v>
      </c>
      <c r="AP358" s="111">
        <v>3</v>
      </c>
    </row>
    <row r="359" spans="1:42" ht="15">
      <c r="A359" s="65" t="s">
        <v>478</v>
      </c>
      <c r="B359" s="65" t="s">
        <v>287</v>
      </c>
      <c r="C359" s="66" t="s">
        <v>5345</v>
      </c>
      <c r="D359" s="67">
        <v>3</v>
      </c>
      <c r="E359" s="68"/>
      <c r="F359" s="69">
        <v>40</v>
      </c>
      <c r="G359" s="66"/>
      <c r="H359" s="70"/>
      <c r="I359" s="71"/>
      <c r="J359" s="71"/>
      <c r="K359" s="35" t="s">
        <v>66</v>
      </c>
      <c r="L359" s="79">
        <v>359</v>
      </c>
      <c r="M359" s="79"/>
      <c r="N359" s="73"/>
      <c r="O359" s="81" t="s">
        <v>760</v>
      </c>
      <c r="P359" s="81" t="s">
        <v>215</v>
      </c>
      <c r="Q359" s="84" t="s">
        <v>1104</v>
      </c>
      <c r="R359" s="81" t="s">
        <v>478</v>
      </c>
      <c r="S359" s="81" t="s">
        <v>1807</v>
      </c>
      <c r="T359" s="86" t="str">
        <f>HYPERLINK("http://www.youtube.com/channel/UCRc6CAHsarCiye-2ckZ2Jzg")</f>
        <v>http://www.youtube.com/channel/UCRc6CAHsarCiye-2ckZ2Jzg</v>
      </c>
      <c r="U359" s="81"/>
      <c r="V359" s="81" t="s">
        <v>2315</v>
      </c>
      <c r="W359" s="86" t="str">
        <f>HYPERLINK("https://www.youtube.com/watch?v=JCTlws1bpAY")</f>
        <v>https://www.youtube.com/watch?v=JCTlws1bpAY</v>
      </c>
      <c r="X359" s="81" t="s">
        <v>2335</v>
      </c>
      <c r="Y359" s="81">
        <v>0</v>
      </c>
      <c r="Z359" s="88">
        <v>43260.372395833336</v>
      </c>
      <c r="AA359" s="88">
        <v>43260.37331018518</v>
      </c>
      <c r="AB359" s="81"/>
      <c r="AC359" s="81"/>
      <c r="AD359" s="84" t="s">
        <v>2782</v>
      </c>
      <c r="AE359" s="82">
        <v>1</v>
      </c>
      <c r="AF359" s="83" t="str">
        <f>REPLACE(INDEX(GroupVertices[Group],MATCH(Edges[[#This Row],[Vertex 1]],GroupVertices[Vertex],0)),1,1,"")</f>
        <v>1</v>
      </c>
      <c r="AG359" s="83" t="str">
        <f>REPLACE(INDEX(GroupVertices[Group],MATCH(Edges[[#This Row],[Vertex 2]],GroupVertices[Vertex],0)),1,1,"")</f>
        <v>1</v>
      </c>
      <c r="AH359" s="111">
        <v>1</v>
      </c>
      <c r="AI359" s="112">
        <v>7.6923076923076925</v>
      </c>
      <c r="AJ359" s="111">
        <v>0</v>
      </c>
      <c r="AK359" s="112">
        <v>0</v>
      </c>
      <c r="AL359" s="111">
        <v>0</v>
      </c>
      <c r="AM359" s="112">
        <v>0</v>
      </c>
      <c r="AN359" s="111">
        <v>12</v>
      </c>
      <c r="AO359" s="112">
        <v>92.3076923076923</v>
      </c>
      <c r="AP359" s="111">
        <v>13</v>
      </c>
    </row>
    <row r="360" spans="1:42" ht="15">
      <c r="A360" s="65" t="s">
        <v>287</v>
      </c>
      <c r="B360" s="65" t="s">
        <v>479</v>
      </c>
      <c r="C360" s="66" t="s">
        <v>5345</v>
      </c>
      <c r="D360" s="67">
        <v>3</v>
      </c>
      <c r="E360" s="68"/>
      <c r="F360" s="69">
        <v>40</v>
      </c>
      <c r="G360" s="66"/>
      <c r="H360" s="70"/>
      <c r="I360" s="71"/>
      <c r="J360" s="71"/>
      <c r="K360" s="35" t="s">
        <v>66</v>
      </c>
      <c r="L360" s="79">
        <v>360</v>
      </c>
      <c r="M360" s="79"/>
      <c r="N360" s="73"/>
      <c r="O360" s="81" t="s">
        <v>761</v>
      </c>
      <c r="P360" s="81" t="s">
        <v>763</v>
      </c>
      <c r="Q360" s="84" t="s">
        <v>1105</v>
      </c>
      <c r="R360" s="81" t="s">
        <v>287</v>
      </c>
      <c r="S360" s="81" t="s">
        <v>1616</v>
      </c>
      <c r="T360" s="86" t="str">
        <f>HYPERLINK("http://www.youtube.com/channel/UCbUhO-tut97b5IQhZ3i7TMA")</f>
        <v>http://www.youtube.com/channel/UCbUhO-tut97b5IQhZ3i7TMA</v>
      </c>
      <c r="U360" s="81" t="s">
        <v>2171</v>
      </c>
      <c r="V360" s="81" t="s">
        <v>2315</v>
      </c>
      <c r="W360" s="86" t="str">
        <f>HYPERLINK("https://www.youtube.com/watch?v=JCTlws1bpAY")</f>
        <v>https://www.youtube.com/watch?v=JCTlws1bpAY</v>
      </c>
      <c r="X360" s="81" t="s">
        <v>2335</v>
      </c>
      <c r="Y360" s="81">
        <v>0</v>
      </c>
      <c r="Z360" s="88">
        <v>43290.832916666666</v>
      </c>
      <c r="AA360" s="88">
        <v>43290.832916666666</v>
      </c>
      <c r="AB360" s="81"/>
      <c r="AC360" s="81"/>
      <c r="AD360" s="84" t="s">
        <v>2782</v>
      </c>
      <c r="AE360" s="82">
        <v>1</v>
      </c>
      <c r="AF360" s="83" t="str">
        <f>REPLACE(INDEX(GroupVertices[Group],MATCH(Edges[[#This Row],[Vertex 1]],GroupVertices[Vertex],0)),1,1,"")</f>
        <v>1</v>
      </c>
      <c r="AG360" s="83" t="str">
        <f>REPLACE(INDEX(GroupVertices[Group],MATCH(Edges[[#This Row],[Vertex 2]],GroupVertices[Vertex],0)),1,1,"")</f>
        <v>1</v>
      </c>
      <c r="AH360" s="111">
        <v>1</v>
      </c>
      <c r="AI360" s="112">
        <v>33.333333333333336</v>
      </c>
      <c r="AJ360" s="111">
        <v>0</v>
      </c>
      <c r="AK360" s="112">
        <v>0</v>
      </c>
      <c r="AL360" s="111">
        <v>0</v>
      </c>
      <c r="AM360" s="112">
        <v>0</v>
      </c>
      <c r="AN360" s="111">
        <v>2</v>
      </c>
      <c r="AO360" s="112">
        <v>66.66666666666667</v>
      </c>
      <c r="AP360" s="111">
        <v>3</v>
      </c>
    </row>
    <row r="361" spans="1:42" ht="15">
      <c r="A361" s="65" t="s">
        <v>479</v>
      </c>
      <c r="B361" s="65" t="s">
        <v>287</v>
      </c>
      <c r="C361" s="66" t="s">
        <v>5345</v>
      </c>
      <c r="D361" s="67">
        <v>3</v>
      </c>
      <c r="E361" s="68"/>
      <c r="F361" s="69">
        <v>40</v>
      </c>
      <c r="G361" s="66"/>
      <c r="H361" s="70"/>
      <c r="I361" s="71"/>
      <c r="J361" s="71"/>
      <c r="K361" s="35" t="s">
        <v>66</v>
      </c>
      <c r="L361" s="79">
        <v>361</v>
      </c>
      <c r="M361" s="79"/>
      <c r="N361" s="73"/>
      <c r="O361" s="81" t="s">
        <v>760</v>
      </c>
      <c r="P361" s="81" t="s">
        <v>215</v>
      </c>
      <c r="Q361" s="84" t="s">
        <v>1106</v>
      </c>
      <c r="R361" s="81" t="s">
        <v>479</v>
      </c>
      <c r="S361" s="81" t="s">
        <v>1808</v>
      </c>
      <c r="T361" s="86" t="str">
        <f>HYPERLINK("http://www.youtube.com/channel/UCqaw8Ft16rAr8OESBpF_4Dg")</f>
        <v>http://www.youtube.com/channel/UCqaw8Ft16rAr8OESBpF_4Dg</v>
      </c>
      <c r="U361" s="81"/>
      <c r="V361" s="81" t="s">
        <v>2315</v>
      </c>
      <c r="W361" s="86" t="str">
        <f>HYPERLINK("https://www.youtube.com/watch?v=JCTlws1bpAY")</f>
        <v>https://www.youtube.com/watch?v=JCTlws1bpAY</v>
      </c>
      <c r="X361" s="81" t="s">
        <v>2335</v>
      </c>
      <c r="Y361" s="81">
        <v>0</v>
      </c>
      <c r="Z361" s="88">
        <v>43260.39665509259</v>
      </c>
      <c r="AA361" s="88">
        <v>43260.39665509259</v>
      </c>
      <c r="AB361" s="81"/>
      <c r="AC361" s="81"/>
      <c r="AD361" s="84" t="s">
        <v>2782</v>
      </c>
      <c r="AE361" s="82">
        <v>1</v>
      </c>
      <c r="AF361" s="83" t="str">
        <f>REPLACE(INDEX(GroupVertices[Group],MATCH(Edges[[#This Row],[Vertex 1]],GroupVertices[Vertex],0)),1,1,"")</f>
        <v>1</v>
      </c>
      <c r="AG361" s="83" t="str">
        <f>REPLACE(INDEX(GroupVertices[Group],MATCH(Edges[[#This Row],[Vertex 2]],GroupVertices[Vertex],0)),1,1,"")</f>
        <v>1</v>
      </c>
      <c r="AH361" s="111">
        <v>1</v>
      </c>
      <c r="AI361" s="112">
        <v>3.7037037037037037</v>
      </c>
      <c r="AJ361" s="111">
        <v>1</v>
      </c>
      <c r="AK361" s="112">
        <v>3.7037037037037037</v>
      </c>
      <c r="AL361" s="111">
        <v>0</v>
      </c>
      <c r="AM361" s="112">
        <v>0</v>
      </c>
      <c r="AN361" s="111">
        <v>25</v>
      </c>
      <c r="AO361" s="112">
        <v>92.5925925925926</v>
      </c>
      <c r="AP361" s="111">
        <v>27</v>
      </c>
    </row>
    <row r="362" spans="1:42" ht="15">
      <c r="A362" s="65" t="s">
        <v>287</v>
      </c>
      <c r="B362" s="65" t="s">
        <v>480</v>
      </c>
      <c r="C362" s="66" t="s">
        <v>5345</v>
      </c>
      <c r="D362" s="67">
        <v>3</v>
      </c>
      <c r="E362" s="68"/>
      <c r="F362" s="69">
        <v>40</v>
      </c>
      <c r="G362" s="66"/>
      <c r="H362" s="70"/>
      <c r="I362" s="71"/>
      <c r="J362" s="71"/>
      <c r="K362" s="35" t="s">
        <v>66</v>
      </c>
      <c r="L362" s="79">
        <v>362</v>
      </c>
      <c r="M362" s="79"/>
      <c r="N362" s="73"/>
      <c r="O362" s="81" t="s">
        <v>761</v>
      </c>
      <c r="P362" s="81" t="s">
        <v>763</v>
      </c>
      <c r="Q362" s="84" t="s">
        <v>1107</v>
      </c>
      <c r="R362" s="81" t="s">
        <v>287</v>
      </c>
      <c r="S362" s="81" t="s">
        <v>1616</v>
      </c>
      <c r="T362" s="86" t="str">
        <f>HYPERLINK("http://www.youtube.com/channel/UCbUhO-tut97b5IQhZ3i7TMA")</f>
        <v>http://www.youtube.com/channel/UCbUhO-tut97b5IQhZ3i7TMA</v>
      </c>
      <c r="U362" s="81" t="s">
        <v>2172</v>
      </c>
      <c r="V362" s="81" t="s">
        <v>2315</v>
      </c>
      <c r="W362" s="86" t="str">
        <f>HYPERLINK("https://www.youtube.com/watch?v=JCTlws1bpAY")</f>
        <v>https://www.youtube.com/watch?v=JCTlws1bpAY</v>
      </c>
      <c r="X362" s="81" t="s">
        <v>2335</v>
      </c>
      <c r="Y362" s="81">
        <v>0</v>
      </c>
      <c r="Z362" s="88">
        <v>43290.833333333336</v>
      </c>
      <c r="AA362" s="88">
        <v>43290.833333333336</v>
      </c>
      <c r="AB362" s="81"/>
      <c r="AC362" s="81"/>
      <c r="AD362" s="84" t="s">
        <v>2782</v>
      </c>
      <c r="AE362" s="82">
        <v>1</v>
      </c>
      <c r="AF362" s="83" t="str">
        <f>REPLACE(INDEX(GroupVertices[Group],MATCH(Edges[[#This Row],[Vertex 1]],GroupVertices[Vertex],0)),1,1,"")</f>
        <v>1</v>
      </c>
      <c r="AG362" s="83" t="str">
        <f>REPLACE(INDEX(GroupVertices[Group],MATCH(Edges[[#This Row],[Vertex 2]],GroupVertices[Vertex],0)),1,1,"")</f>
        <v>1</v>
      </c>
      <c r="AH362" s="111">
        <v>1</v>
      </c>
      <c r="AI362" s="112">
        <v>33.333333333333336</v>
      </c>
      <c r="AJ362" s="111">
        <v>0</v>
      </c>
      <c r="AK362" s="112">
        <v>0</v>
      </c>
      <c r="AL362" s="111">
        <v>0</v>
      </c>
      <c r="AM362" s="112">
        <v>0</v>
      </c>
      <c r="AN362" s="111">
        <v>2</v>
      </c>
      <c r="AO362" s="112">
        <v>66.66666666666667</v>
      </c>
      <c r="AP362" s="111">
        <v>3</v>
      </c>
    </row>
    <row r="363" spans="1:42" ht="15">
      <c r="A363" s="65" t="s">
        <v>480</v>
      </c>
      <c r="B363" s="65" t="s">
        <v>287</v>
      </c>
      <c r="C363" s="66" t="s">
        <v>5345</v>
      </c>
      <c r="D363" s="67">
        <v>3</v>
      </c>
      <c r="E363" s="68"/>
      <c r="F363" s="69">
        <v>40</v>
      </c>
      <c r="G363" s="66"/>
      <c r="H363" s="70"/>
      <c r="I363" s="71"/>
      <c r="J363" s="71"/>
      <c r="K363" s="35" t="s">
        <v>66</v>
      </c>
      <c r="L363" s="79">
        <v>363</v>
      </c>
      <c r="M363" s="79"/>
      <c r="N363" s="73"/>
      <c r="O363" s="81" t="s">
        <v>760</v>
      </c>
      <c r="P363" s="81" t="s">
        <v>215</v>
      </c>
      <c r="Q363" s="84" t="s">
        <v>1108</v>
      </c>
      <c r="R363" s="81" t="s">
        <v>480</v>
      </c>
      <c r="S363" s="81" t="s">
        <v>1809</v>
      </c>
      <c r="T363" s="86" t="str">
        <f>HYPERLINK("http://www.youtube.com/channel/UCNJnrAsipP1-DQsCeO9U4SA")</f>
        <v>http://www.youtube.com/channel/UCNJnrAsipP1-DQsCeO9U4SA</v>
      </c>
      <c r="U363" s="81"/>
      <c r="V363" s="81" t="s">
        <v>2315</v>
      </c>
      <c r="W363" s="86" t="str">
        <f>HYPERLINK("https://www.youtube.com/watch?v=JCTlws1bpAY")</f>
        <v>https://www.youtube.com/watch?v=JCTlws1bpAY</v>
      </c>
      <c r="X363" s="81" t="s">
        <v>2335</v>
      </c>
      <c r="Y363" s="81">
        <v>0</v>
      </c>
      <c r="Z363" s="88">
        <v>43260.42857638889</v>
      </c>
      <c r="AA363" s="88">
        <v>43260.42857638889</v>
      </c>
      <c r="AB363" s="81"/>
      <c r="AC363" s="81"/>
      <c r="AD363" s="84" t="s">
        <v>2782</v>
      </c>
      <c r="AE363" s="82">
        <v>1</v>
      </c>
      <c r="AF363" s="83" t="str">
        <f>REPLACE(INDEX(GroupVertices[Group],MATCH(Edges[[#This Row],[Vertex 1]],GroupVertices[Vertex],0)),1,1,"")</f>
        <v>1</v>
      </c>
      <c r="AG363" s="83" t="str">
        <f>REPLACE(INDEX(GroupVertices[Group],MATCH(Edges[[#This Row],[Vertex 2]],GroupVertices[Vertex],0)),1,1,"")</f>
        <v>1</v>
      </c>
      <c r="AH363" s="111">
        <v>4</v>
      </c>
      <c r="AI363" s="112">
        <v>28.571428571428573</v>
      </c>
      <c r="AJ363" s="111">
        <v>0</v>
      </c>
      <c r="AK363" s="112">
        <v>0</v>
      </c>
      <c r="AL363" s="111">
        <v>0</v>
      </c>
      <c r="AM363" s="112">
        <v>0</v>
      </c>
      <c r="AN363" s="111">
        <v>10</v>
      </c>
      <c r="AO363" s="112">
        <v>71.42857142857143</v>
      </c>
      <c r="AP363" s="111">
        <v>14</v>
      </c>
    </row>
    <row r="364" spans="1:42" ht="15">
      <c r="A364" s="65" t="s">
        <v>287</v>
      </c>
      <c r="B364" s="65" t="s">
        <v>481</v>
      </c>
      <c r="C364" s="66" t="s">
        <v>5345</v>
      </c>
      <c r="D364" s="67">
        <v>3</v>
      </c>
      <c r="E364" s="68"/>
      <c r="F364" s="69">
        <v>40</v>
      </c>
      <c r="G364" s="66"/>
      <c r="H364" s="70"/>
      <c r="I364" s="71"/>
      <c r="J364" s="71"/>
      <c r="K364" s="35" t="s">
        <v>66</v>
      </c>
      <c r="L364" s="79">
        <v>364</v>
      </c>
      <c r="M364" s="79"/>
      <c r="N364" s="73"/>
      <c r="O364" s="81" t="s">
        <v>761</v>
      </c>
      <c r="P364" s="81" t="s">
        <v>763</v>
      </c>
      <c r="Q364" s="84" t="s">
        <v>1109</v>
      </c>
      <c r="R364" s="81" t="s">
        <v>287</v>
      </c>
      <c r="S364" s="81" t="s">
        <v>1616</v>
      </c>
      <c r="T364" s="86" t="str">
        <f>HYPERLINK("http://www.youtube.com/channel/UCbUhO-tut97b5IQhZ3i7TMA")</f>
        <v>http://www.youtube.com/channel/UCbUhO-tut97b5IQhZ3i7TMA</v>
      </c>
      <c r="U364" s="81" t="s">
        <v>2173</v>
      </c>
      <c r="V364" s="81" t="s">
        <v>2315</v>
      </c>
      <c r="W364" s="86" t="str">
        <f>HYPERLINK("https://www.youtube.com/watch?v=JCTlws1bpAY")</f>
        <v>https://www.youtube.com/watch?v=JCTlws1bpAY</v>
      </c>
      <c r="X364" s="81" t="s">
        <v>2335</v>
      </c>
      <c r="Y364" s="81">
        <v>0</v>
      </c>
      <c r="Z364" s="88">
        <v>43290.8337962963</v>
      </c>
      <c r="AA364" s="88">
        <v>43290.8337962963</v>
      </c>
      <c r="AB364" s="81"/>
      <c r="AC364" s="81"/>
      <c r="AD364" s="84" t="s">
        <v>2782</v>
      </c>
      <c r="AE364" s="82">
        <v>1</v>
      </c>
      <c r="AF364" s="83" t="str">
        <f>REPLACE(INDEX(GroupVertices[Group],MATCH(Edges[[#This Row],[Vertex 1]],GroupVertices[Vertex],0)),1,1,"")</f>
        <v>1</v>
      </c>
      <c r="AG364" s="83" t="str">
        <f>REPLACE(INDEX(GroupVertices[Group],MATCH(Edges[[#This Row],[Vertex 2]],GroupVertices[Vertex],0)),1,1,"")</f>
        <v>1</v>
      </c>
      <c r="AH364" s="111">
        <v>1</v>
      </c>
      <c r="AI364" s="112">
        <v>25</v>
      </c>
      <c r="AJ364" s="111">
        <v>0</v>
      </c>
      <c r="AK364" s="112">
        <v>0</v>
      </c>
      <c r="AL364" s="111">
        <v>0</v>
      </c>
      <c r="AM364" s="112">
        <v>0</v>
      </c>
      <c r="AN364" s="111">
        <v>3</v>
      </c>
      <c r="AO364" s="112">
        <v>75</v>
      </c>
      <c r="AP364" s="111">
        <v>4</v>
      </c>
    </row>
    <row r="365" spans="1:42" ht="15">
      <c r="A365" s="65" t="s">
        <v>481</v>
      </c>
      <c r="B365" s="65" t="s">
        <v>287</v>
      </c>
      <c r="C365" s="66" t="s">
        <v>5345</v>
      </c>
      <c r="D365" s="67">
        <v>3</v>
      </c>
      <c r="E365" s="68"/>
      <c r="F365" s="69">
        <v>40</v>
      </c>
      <c r="G365" s="66"/>
      <c r="H365" s="70"/>
      <c r="I365" s="71"/>
      <c r="J365" s="71"/>
      <c r="K365" s="35" t="s">
        <v>66</v>
      </c>
      <c r="L365" s="79">
        <v>365</v>
      </c>
      <c r="M365" s="79"/>
      <c r="N365" s="73"/>
      <c r="O365" s="81" t="s">
        <v>760</v>
      </c>
      <c r="P365" s="81" t="s">
        <v>215</v>
      </c>
      <c r="Q365" s="84" t="s">
        <v>1110</v>
      </c>
      <c r="R365" s="81" t="s">
        <v>481</v>
      </c>
      <c r="S365" s="81" t="s">
        <v>1810</v>
      </c>
      <c r="T365" s="86" t="str">
        <f>HYPERLINK("http://www.youtube.com/channel/UCGZJXZa-S_f5CZgkGMDpU6Q")</f>
        <v>http://www.youtube.com/channel/UCGZJXZa-S_f5CZgkGMDpU6Q</v>
      </c>
      <c r="U365" s="81"/>
      <c r="V365" s="81" t="s">
        <v>2315</v>
      </c>
      <c r="W365" s="86" t="str">
        <f>HYPERLINK("https://www.youtube.com/watch?v=JCTlws1bpAY")</f>
        <v>https://www.youtube.com/watch?v=JCTlws1bpAY</v>
      </c>
      <c r="X365" s="81" t="s">
        <v>2335</v>
      </c>
      <c r="Y365" s="81">
        <v>0</v>
      </c>
      <c r="Z365" s="88">
        <v>43260.50309027778</v>
      </c>
      <c r="AA365" s="88">
        <v>43260.50309027778</v>
      </c>
      <c r="AB365" s="81"/>
      <c r="AC365" s="81"/>
      <c r="AD365" s="84" t="s">
        <v>2782</v>
      </c>
      <c r="AE365" s="82">
        <v>1</v>
      </c>
      <c r="AF365" s="83" t="str">
        <f>REPLACE(INDEX(GroupVertices[Group],MATCH(Edges[[#This Row],[Vertex 1]],GroupVertices[Vertex],0)),1,1,"")</f>
        <v>1</v>
      </c>
      <c r="AG365" s="83" t="str">
        <f>REPLACE(INDEX(GroupVertices[Group],MATCH(Edges[[#This Row],[Vertex 2]],GroupVertices[Vertex],0)),1,1,"")</f>
        <v>1</v>
      </c>
      <c r="AH365" s="111">
        <v>4</v>
      </c>
      <c r="AI365" s="112">
        <v>11.428571428571429</v>
      </c>
      <c r="AJ365" s="111">
        <v>0</v>
      </c>
      <c r="AK365" s="112">
        <v>0</v>
      </c>
      <c r="AL365" s="111">
        <v>0</v>
      </c>
      <c r="AM365" s="112">
        <v>0</v>
      </c>
      <c r="AN365" s="111">
        <v>31</v>
      </c>
      <c r="AO365" s="112">
        <v>88.57142857142857</v>
      </c>
      <c r="AP365" s="111">
        <v>35</v>
      </c>
    </row>
    <row r="366" spans="1:42" ht="15">
      <c r="A366" s="65" t="s">
        <v>482</v>
      </c>
      <c r="B366" s="65" t="s">
        <v>287</v>
      </c>
      <c r="C366" s="66" t="s">
        <v>5345</v>
      </c>
      <c r="D366" s="67">
        <v>3</v>
      </c>
      <c r="E366" s="68"/>
      <c r="F366" s="69">
        <v>40</v>
      </c>
      <c r="G366" s="66"/>
      <c r="H366" s="70"/>
      <c r="I366" s="71"/>
      <c r="J366" s="71"/>
      <c r="K366" s="35" t="s">
        <v>65</v>
      </c>
      <c r="L366" s="79">
        <v>366</v>
      </c>
      <c r="M366" s="79"/>
      <c r="N366" s="73"/>
      <c r="O366" s="81" t="s">
        <v>760</v>
      </c>
      <c r="P366" s="81" t="s">
        <v>215</v>
      </c>
      <c r="Q366" s="84" t="s">
        <v>1111</v>
      </c>
      <c r="R366" s="81" t="s">
        <v>482</v>
      </c>
      <c r="S366" s="81" t="s">
        <v>1811</v>
      </c>
      <c r="T366" s="86" t="str">
        <f>HYPERLINK("http://www.youtube.com/channel/UCUg8hBVHY4N2X2f859AA-5Q")</f>
        <v>http://www.youtube.com/channel/UCUg8hBVHY4N2X2f859AA-5Q</v>
      </c>
      <c r="U366" s="81"/>
      <c r="V366" s="81" t="s">
        <v>2315</v>
      </c>
      <c r="W366" s="86" t="str">
        <f>HYPERLINK("https://www.youtube.com/watch?v=JCTlws1bpAY")</f>
        <v>https://www.youtube.com/watch?v=JCTlws1bpAY</v>
      </c>
      <c r="X366" s="81" t="s">
        <v>2335</v>
      </c>
      <c r="Y366" s="81">
        <v>0</v>
      </c>
      <c r="Z366" s="88">
        <v>43260.62184027778</v>
      </c>
      <c r="AA366" s="88">
        <v>43260.62184027778</v>
      </c>
      <c r="AB366" s="81"/>
      <c r="AC366" s="81"/>
      <c r="AD366" s="84" t="s">
        <v>2782</v>
      </c>
      <c r="AE366" s="82">
        <v>1</v>
      </c>
      <c r="AF366" s="83" t="str">
        <f>REPLACE(INDEX(GroupVertices[Group],MATCH(Edges[[#This Row],[Vertex 1]],GroupVertices[Vertex],0)),1,1,"")</f>
        <v>1</v>
      </c>
      <c r="AG366" s="83" t="str">
        <f>REPLACE(INDEX(GroupVertices[Group],MATCH(Edges[[#This Row],[Vertex 2]],GroupVertices[Vertex],0)),1,1,"")</f>
        <v>1</v>
      </c>
      <c r="AH366" s="111">
        <v>2</v>
      </c>
      <c r="AI366" s="112">
        <v>7.6923076923076925</v>
      </c>
      <c r="AJ366" s="111">
        <v>0</v>
      </c>
      <c r="AK366" s="112">
        <v>0</v>
      </c>
      <c r="AL366" s="111">
        <v>0</v>
      </c>
      <c r="AM366" s="112">
        <v>0</v>
      </c>
      <c r="AN366" s="111">
        <v>24</v>
      </c>
      <c r="AO366" s="112">
        <v>92.3076923076923</v>
      </c>
      <c r="AP366" s="111">
        <v>26</v>
      </c>
    </row>
    <row r="367" spans="1:42" ht="15">
      <c r="A367" s="65" t="s">
        <v>483</v>
      </c>
      <c r="B367" s="65" t="s">
        <v>287</v>
      </c>
      <c r="C367" s="66" t="s">
        <v>5345</v>
      </c>
      <c r="D367" s="67">
        <v>3</v>
      </c>
      <c r="E367" s="68"/>
      <c r="F367" s="69">
        <v>40</v>
      </c>
      <c r="G367" s="66"/>
      <c r="H367" s="70"/>
      <c r="I367" s="71"/>
      <c r="J367" s="71"/>
      <c r="K367" s="35" t="s">
        <v>65</v>
      </c>
      <c r="L367" s="79">
        <v>367</v>
      </c>
      <c r="M367" s="79"/>
      <c r="N367" s="73"/>
      <c r="O367" s="81" t="s">
        <v>760</v>
      </c>
      <c r="P367" s="81" t="s">
        <v>215</v>
      </c>
      <c r="Q367" s="84" t="s">
        <v>1112</v>
      </c>
      <c r="R367" s="81" t="s">
        <v>483</v>
      </c>
      <c r="S367" s="81" t="s">
        <v>1812</v>
      </c>
      <c r="T367" s="86" t="str">
        <f>HYPERLINK("http://www.youtube.com/channel/UCXFP5f4JprzOQrvzciTAuGw")</f>
        <v>http://www.youtube.com/channel/UCXFP5f4JprzOQrvzciTAuGw</v>
      </c>
      <c r="U367" s="81"/>
      <c r="V367" s="81" t="s">
        <v>2315</v>
      </c>
      <c r="W367" s="86" t="str">
        <f>HYPERLINK("https://www.youtube.com/watch?v=JCTlws1bpAY")</f>
        <v>https://www.youtube.com/watch?v=JCTlws1bpAY</v>
      </c>
      <c r="X367" s="81" t="s">
        <v>2335</v>
      </c>
      <c r="Y367" s="81">
        <v>0</v>
      </c>
      <c r="Z367" s="88">
        <v>43260.65980324074</v>
      </c>
      <c r="AA367" s="88">
        <v>43260.65980324074</v>
      </c>
      <c r="AB367" s="81"/>
      <c r="AC367" s="81"/>
      <c r="AD367" s="84" t="s">
        <v>2782</v>
      </c>
      <c r="AE367" s="82">
        <v>1</v>
      </c>
      <c r="AF367" s="83" t="str">
        <f>REPLACE(INDEX(GroupVertices[Group],MATCH(Edges[[#This Row],[Vertex 1]],GroupVertices[Vertex],0)),1,1,"")</f>
        <v>1</v>
      </c>
      <c r="AG367" s="83" t="str">
        <f>REPLACE(INDEX(GroupVertices[Group],MATCH(Edges[[#This Row],[Vertex 2]],GroupVertices[Vertex],0)),1,1,"")</f>
        <v>1</v>
      </c>
      <c r="AH367" s="111">
        <v>4</v>
      </c>
      <c r="AI367" s="112">
        <v>14.285714285714286</v>
      </c>
      <c r="AJ367" s="111">
        <v>0</v>
      </c>
      <c r="AK367" s="112">
        <v>0</v>
      </c>
      <c r="AL367" s="111">
        <v>0</v>
      </c>
      <c r="AM367" s="112">
        <v>0</v>
      </c>
      <c r="AN367" s="111">
        <v>24</v>
      </c>
      <c r="AO367" s="112">
        <v>85.71428571428571</v>
      </c>
      <c r="AP367" s="111">
        <v>28</v>
      </c>
    </row>
    <row r="368" spans="1:42" ht="15">
      <c r="A368" s="65" t="s">
        <v>484</v>
      </c>
      <c r="B368" s="65" t="s">
        <v>287</v>
      </c>
      <c r="C368" s="66" t="s">
        <v>5345</v>
      </c>
      <c r="D368" s="67">
        <v>3</v>
      </c>
      <c r="E368" s="68"/>
      <c r="F368" s="69">
        <v>40</v>
      </c>
      <c r="G368" s="66"/>
      <c r="H368" s="70"/>
      <c r="I368" s="71"/>
      <c r="J368" s="71"/>
      <c r="K368" s="35" t="s">
        <v>65</v>
      </c>
      <c r="L368" s="79">
        <v>368</v>
      </c>
      <c r="M368" s="79"/>
      <c r="N368" s="73"/>
      <c r="O368" s="81" t="s">
        <v>760</v>
      </c>
      <c r="P368" s="81" t="s">
        <v>215</v>
      </c>
      <c r="Q368" s="84" t="s">
        <v>1113</v>
      </c>
      <c r="R368" s="81" t="s">
        <v>484</v>
      </c>
      <c r="S368" s="81" t="s">
        <v>1813</v>
      </c>
      <c r="T368" s="86" t="str">
        <f>HYPERLINK("http://www.youtube.com/channel/UCZxOj1AIgTdqXkAESHgBxHQ")</f>
        <v>http://www.youtube.com/channel/UCZxOj1AIgTdqXkAESHgBxHQ</v>
      </c>
      <c r="U368" s="81"/>
      <c r="V368" s="81" t="s">
        <v>2315</v>
      </c>
      <c r="W368" s="86" t="str">
        <f>HYPERLINK("https://www.youtube.com/watch?v=JCTlws1bpAY")</f>
        <v>https://www.youtube.com/watch?v=JCTlws1bpAY</v>
      </c>
      <c r="X368" s="81" t="s">
        <v>2335</v>
      </c>
      <c r="Y368" s="81">
        <v>0</v>
      </c>
      <c r="Z368" s="88">
        <v>43260.857835648145</v>
      </c>
      <c r="AA368" s="88">
        <v>43260.857835648145</v>
      </c>
      <c r="AB368" s="81"/>
      <c r="AC368" s="81"/>
      <c r="AD368" s="84" t="s">
        <v>2782</v>
      </c>
      <c r="AE368" s="82">
        <v>1</v>
      </c>
      <c r="AF368" s="83" t="str">
        <f>REPLACE(INDEX(GroupVertices[Group],MATCH(Edges[[#This Row],[Vertex 1]],GroupVertices[Vertex],0)),1,1,"")</f>
        <v>1</v>
      </c>
      <c r="AG368" s="83" t="str">
        <f>REPLACE(INDEX(GroupVertices[Group],MATCH(Edges[[#This Row],[Vertex 2]],GroupVertices[Vertex],0)),1,1,"")</f>
        <v>1</v>
      </c>
      <c r="AH368" s="111">
        <v>2</v>
      </c>
      <c r="AI368" s="112">
        <v>28.571428571428573</v>
      </c>
      <c r="AJ368" s="111">
        <v>0</v>
      </c>
      <c r="AK368" s="112">
        <v>0</v>
      </c>
      <c r="AL368" s="111">
        <v>0</v>
      </c>
      <c r="AM368" s="112">
        <v>0</v>
      </c>
      <c r="AN368" s="111">
        <v>5</v>
      </c>
      <c r="AO368" s="112">
        <v>71.42857142857143</v>
      </c>
      <c r="AP368" s="111">
        <v>7</v>
      </c>
    </row>
    <row r="369" spans="1:42" ht="15">
      <c r="A369" s="65" t="s">
        <v>287</v>
      </c>
      <c r="B369" s="65" t="s">
        <v>485</v>
      </c>
      <c r="C369" s="66" t="s">
        <v>5345</v>
      </c>
      <c r="D369" s="67">
        <v>3</v>
      </c>
      <c r="E369" s="68"/>
      <c r="F369" s="69">
        <v>40</v>
      </c>
      <c r="G369" s="66"/>
      <c r="H369" s="70"/>
      <c r="I369" s="71"/>
      <c r="J369" s="71"/>
      <c r="K369" s="35" t="s">
        <v>66</v>
      </c>
      <c r="L369" s="79">
        <v>369</v>
      </c>
      <c r="M369" s="79"/>
      <c r="N369" s="73"/>
      <c r="O369" s="81" t="s">
        <v>761</v>
      </c>
      <c r="P369" s="81" t="s">
        <v>763</v>
      </c>
      <c r="Q369" s="84" t="s">
        <v>1114</v>
      </c>
      <c r="R369" s="81" t="s">
        <v>287</v>
      </c>
      <c r="S369" s="81" t="s">
        <v>1616</v>
      </c>
      <c r="T369" s="86" t="str">
        <f>HYPERLINK("http://www.youtube.com/channel/UCbUhO-tut97b5IQhZ3i7TMA")</f>
        <v>http://www.youtube.com/channel/UCbUhO-tut97b5IQhZ3i7TMA</v>
      </c>
      <c r="U369" s="81" t="s">
        <v>2174</v>
      </c>
      <c r="V369" s="81" t="s">
        <v>2315</v>
      </c>
      <c r="W369" s="86" t="str">
        <f>HYPERLINK("https://www.youtube.com/watch?v=JCTlws1bpAY")</f>
        <v>https://www.youtube.com/watch?v=JCTlws1bpAY</v>
      </c>
      <c r="X369" s="81" t="s">
        <v>2335</v>
      </c>
      <c r="Y369" s="81">
        <v>1</v>
      </c>
      <c r="Z369" s="88">
        <v>43290.834814814814</v>
      </c>
      <c r="AA369" s="88">
        <v>43290.834814814814</v>
      </c>
      <c r="AB369" s="81"/>
      <c r="AC369" s="81"/>
      <c r="AD369" s="84" t="s">
        <v>2782</v>
      </c>
      <c r="AE369" s="82">
        <v>1</v>
      </c>
      <c r="AF369" s="83" t="str">
        <f>REPLACE(INDEX(GroupVertices[Group],MATCH(Edges[[#This Row],[Vertex 1]],GroupVertices[Vertex],0)),1,1,"")</f>
        <v>1</v>
      </c>
      <c r="AG369" s="83" t="str">
        <f>REPLACE(INDEX(GroupVertices[Group],MATCH(Edges[[#This Row],[Vertex 2]],GroupVertices[Vertex],0)),1,1,"")</f>
        <v>1</v>
      </c>
      <c r="AH369" s="111">
        <v>0</v>
      </c>
      <c r="AI369" s="112">
        <v>0</v>
      </c>
      <c r="AJ369" s="111">
        <v>0</v>
      </c>
      <c r="AK369" s="112">
        <v>0</v>
      </c>
      <c r="AL369" s="111">
        <v>0</v>
      </c>
      <c r="AM369" s="112">
        <v>0</v>
      </c>
      <c r="AN369" s="111">
        <v>2</v>
      </c>
      <c r="AO369" s="112">
        <v>100</v>
      </c>
      <c r="AP369" s="111">
        <v>2</v>
      </c>
    </row>
    <row r="370" spans="1:42" ht="15">
      <c r="A370" s="65" t="s">
        <v>485</v>
      </c>
      <c r="B370" s="65" t="s">
        <v>287</v>
      </c>
      <c r="C370" s="66" t="s">
        <v>5345</v>
      </c>
      <c r="D370" s="67">
        <v>3</v>
      </c>
      <c r="E370" s="68"/>
      <c r="F370" s="69">
        <v>40</v>
      </c>
      <c r="G370" s="66"/>
      <c r="H370" s="70"/>
      <c r="I370" s="71"/>
      <c r="J370" s="71"/>
      <c r="K370" s="35" t="s">
        <v>66</v>
      </c>
      <c r="L370" s="79">
        <v>370</v>
      </c>
      <c r="M370" s="79"/>
      <c r="N370" s="73"/>
      <c r="O370" s="81" t="s">
        <v>760</v>
      </c>
      <c r="P370" s="81" t="s">
        <v>215</v>
      </c>
      <c r="Q370" s="84" t="s">
        <v>1115</v>
      </c>
      <c r="R370" s="81" t="s">
        <v>485</v>
      </c>
      <c r="S370" s="81" t="s">
        <v>1814</v>
      </c>
      <c r="T370" s="86" t="str">
        <f>HYPERLINK("http://www.youtube.com/channel/UCaIn892iPqdSFSzgkJR95sA")</f>
        <v>http://www.youtube.com/channel/UCaIn892iPqdSFSzgkJR95sA</v>
      </c>
      <c r="U370" s="81"/>
      <c r="V370" s="81" t="s">
        <v>2315</v>
      </c>
      <c r="W370" s="86" t="str">
        <f>HYPERLINK("https://www.youtube.com/watch?v=JCTlws1bpAY")</f>
        <v>https://www.youtube.com/watch?v=JCTlws1bpAY</v>
      </c>
      <c r="X370" s="81" t="s">
        <v>2335</v>
      </c>
      <c r="Y370" s="81">
        <v>0</v>
      </c>
      <c r="Z370" s="88">
        <v>43290.221284722225</v>
      </c>
      <c r="AA370" s="88">
        <v>43290.221284722225</v>
      </c>
      <c r="AB370" s="81"/>
      <c r="AC370" s="81"/>
      <c r="AD370" s="84" t="s">
        <v>2782</v>
      </c>
      <c r="AE370" s="82">
        <v>1</v>
      </c>
      <c r="AF370" s="83" t="str">
        <f>REPLACE(INDEX(GroupVertices[Group],MATCH(Edges[[#This Row],[Vertex 1]],GroupVertices[Vertex],0)),1,1,"")</f>
        <v>1</v>
      </c>
      <c r="AG370" s="83" t="str">
        <f>REPLACE(INDEX(GroupVertices[Group],MATCH(Edges[[#This Row],[Vertex 2]],GroupVertices[Vertex],0)),1,1,"")</f>
        <v>1</v>
      </c>
      <c r="AH370" s="111">
        <v>1</v>
      </c>
      <c r="AI370" s="112">
        <v>10</v>
      </c>
      <c r="AJ370" s="111">
        <v>0</v>
      </c>
      <c r="AK370" s="112">
        <v>0</v>
      </c>
      <c r="AL370" s="111">
        <v>0</v>
      </c>
      <c r="AM370" s="112">
        <v>0</v>
      </c>
      <c r="AN370" s="111">
        <v>9</v>
      </c>
      <c r="AO370" s="112">
        <v>90</v>
      </c>
      <c r="AP370" s="111">
        <v>10</v>
      </c>
    </row>
    <row r="371" spans="1:42" ht="15">
      <c r="A371" s="65" t="s">
        <v>287</v>
      </c>
      <c r="B371" s="65" t="s">
        <v>486</v>
      </c>
      <c r="C371" s="66" t="s">
        <v>5345</v>
      </c>
      <c r="D371" s="67">
        <v>3</v>
      </c>
      <c r="E371" s="68"/>
      <c r="F371" s="69">
        <v>40</v>
      </c>
      <c r="G371" s="66"/>
      <c r="H371" s="70"/>
      <c r="I371" s="71"/>
      <c r="J371" s="71"/>
      <c r="K371" s="35" t="s">
        <v>66</v>
      </c>
      <c r="L371" s="79">
        <v>371</v>
      </c>
      <c r="M371" s="79"/>
      <c r="N371" s="73"/>
      <c r="O371" s="81" t="s">
        <v>761</v>
      </c>
      <c r="P371" s="81" t="s">
        <v>763</v>
      </c>
      <c r="Q371" s="84" t="s">
        <v>1116</v>
      </c>
      <c r="R371" s="81" t="s">
        <v>287</v>
      </c>
      <c r="S371" s="81" t="s">
        <v>1616</v>
      </c>
      <c r="T371" s="86" t="str">
        <f>HYPERLINK("http://www.youtube.com/channel/UCbUhO-tut97b5IQhZ3i7TMA")</f>
        <v>http://www.youtube.com/channel/UCbUhO-tut97b5IQhZ3i7TMA</v>
      </c>
      <c r="U371" s="81" t="s">
        <v>2175</v>
      </c>
      <c r="V371" s="81" t="s">
        <v>2315</v>
      </c>
      <c r="W371" s="86" t="str">
        <f>HYPERLINK("https://www.youtube.com/watch?v=JCTlws1bpAY")</f>
        <v>https://www.youtube.com/watch?v=JCTlws1bpAY</v>
      </c>
      <c r="X371" s="81" t="s">
        <v>2335</v>
      </c>
      <c r="Y371" s="81">
        <v>1</v>
      </c>
      <c r="Z371" s="88">
        <v>43321.82434027778</v>
      </c>
      <c r="AA371" s="88">
        <v>43321.82434027778</v>
      </c>
      <c r="AB371" s="81"/>
      <c r="AC371" s="81"/>
      <c r="AD371" s="84" t="s">
        <v>2782</v>
      </c>
      <c r="AE371" s="82">
        <v>1</v>
      </c>
      <c r="AF371" s="83" t="str">
        <f>REPLACE(INDEX(GroupVertices[Group],MATCH(Edges[[#This Row],[Vertex 1]],GroupVertices[Vertex],0)),1,1,"")</f>
        <v>1</v>
      </c>
      <c r="AG371" s="83" t="str">
        <f>REPLACE(INDEX(GroupVertices[Group],MATCH(Edges[[#This Row],[Vertex 2]],GroupVertices[Vertex],0)),1,1,"")</f>
        <v>1</v>
      </c>
      <c r="AH371" s="111">
        <v>0</v>
      </c>
      <c r="AI371" s="112">
        <v>0</v>
      </c>
      <c r="AJ371" s="111">
        <v>0</v>
      </c>
      <c r="AK371" s="112">
        <v>0</v>
      </c>
      <c r="AL371" s="111">
        <v>0</v>
      </c>
      <c r="AM371" s="112">
        <v>0</v>
      </c>
      <c r="AN371" s="111">
        <v>3</v>
      </c>
      <c r="AO371" s="112">
        <v>100</v>
      </c>
      <c r="AP371" s="111">
        <v>3</v>
      </c>
    </row>
    <row r="372" spans="1:42" ht="15">
      <c r="A372" s="65" t="s">
        <v>486</v>
      </c>
      <c r="B372" s="65" t="s">
        <v>287</v>
      </c>
      <c r="C372" s="66" t="s">
        <v>5345</v>
      </c>
      <c r="D372" s="67">
        <v>3</v>
      </c>
      <c r="E372" s="68"/>
      <c r="F372" s="69">
        <v>40</v>
      </c>
      <c r="G372" s="66"/>
      <c r="H372" s="70"/>
      <c r="I372" s="71"/>
      <c r="J372" s="71"/>
      <c r="K372" s="35" t="s">
        <v>66</v>
      </c>
      <c r="L372" s="79">
        <v>372</v>
      </c>
      <c r="M372" s="79"/>
      <c r="N372" s="73"/>
      <c r="O372" s="81" t="s">
        <v>760</v>
      </c>
      <c r="P372" s="81" t="s">
        <v>215</v>
      </c>
      <c r="Q372" s="84" t="s">
        <v>1117</v>
      </c>
      <c r="R372" s="81" t="s">
        <v>486</v>
      </c>
      <c r="S372" s="81" t="s">
        <v>1815</v>
      </c>
      <c r="T372" s="86" t="str">
        <f>HYPERLINK("http://www.youtube.com/channel/UCIAvm6sRGrMs_VAleaUaAGA")</f>
        <v>http://www.youtube.com/channel/UCIAvm6sRGrMs_VAleaUaAGA</v>
      </c>
      <c r="U372" s="81"/>
      <c r="V372" s="81" t="s">
        <v>2315</v>
      </c>
      <c r="W372" s="86" t="str">
        <f>HYPERLINK("https://www.youtube.com/watch?v=JCTlws1bpAY")</f>
        <v>https://www.youtube.com/watch?v=JCTlws1bpAY</v>
      </c>
      <c r="X372" s="81" t="s">
        <v>2335</v>
      </c>
      <c r="Y372" s="81">
        <v>0</v>
      </c>
      <c r="Z372" s="88">
        <v>43321.34065972222</v>
      </c>
      <c r="AA372" s="88">
        <v>43321.34065972222</v>
      </c>
      <c r="AB372" s="81"/>
      <c r="AC372" s="81"/>
      <c r="AD372" s="84" t="s">
        <v>2782</v>
      </c>
      <c r="AE372" s="82">
        <v>1</v>
      </c>
      <c r="AF372" s="83" t="str">
        <f>REPLACE(INDEX(GroupVertices[Group],MATCH(Edges[[#This Row],[Vertex 1]],GroupVertices[Vertex],0)),1,1,"")</f>
        <v>1</v>
      </c>
      <c r="AG372" s="83" t="str">
        <f>REPLACE(INDEX(GroupVertices[Group],MATCH(Edges[[#This Row],[Vertex 2]],GroupVertices[Vertex],0)),1,1,"")</f>
        <v>1</v>
      </c>
      <c r="AH372" s="111">
        <v>4</v>
      </c>
      <c r="AI372" s="112">
        <v>14.814814814814815</v>
      </c>
      <c r="AJ372" s="111">
        <v>0</v>
      </c>
      <c r="AK372" s="112">
        <v>0</v>
      </c>
      <c r="AL372" s="111">
        <v>0</v>
      </c>
      <c r="AM372" s="112">
        <v>0</v>
      </c>
      <c r="AN372" s="111">
        <v>23</v>
      </c>
      <c r="AO372" s="112">
        <v>85.18518518518519</v>
      </c>
      <c r="AP372" s="111">
        <v>27</v>
      </c>
    </row>
    <row r="373" spans="1:42" ht="15">
      <c r="A373" s="65" t="s">
        <v>487</v>
      </c>
      <c r="B373" s="65" t="s">
        <v>287</v>
      </c>
      <c r="C373" s="66" t="s">
        <v>5345</v>
      </c>
      <c r="D373" s="67">
        <v>3</v>
      </c>
      <c r="E373" s="68"/>
      <c r="F373" s="69">
        <v>40</v>
      </c>
      <c r="G373" s="66"/>
      <c r="H373" s="70"/>
      <c r="I373" s="71"/>
      <c r="J373" s="71"/>
      <c r="K373" s="35" t="s">
        <v>65</v>
      </c>
      <c r="L373" s="79">
        <v>373</v>
      </c>
      <c r="M373" s="79"/>
      <c r="N373" s="73"/>
      <c r="O373" s="81" t="s">
        <v>760</v>
      </c>
      <c r="P373" s="81" t="s">
        <v>215</v>
      </c>
      <c r="Q373" s="84" t="s">
        <v>1118</v>
      </c>
      <c r="R373" s="81" t="s">
        <v>487</v>
      </c>
      <c r="S373" s="81" t="s">
        <v>1816</v>
      </c>
      <c r="T373" s="86" t="str">
        <f>HYPERLINK("http://www.youtube.com/channel/UCxh7z3TW1pLMmTZZDrhHIYg")</f>
        <v>http://www.youtube.com/channel/UCxh7z3TW1pLMmTZZDrhHIYg</v>
      </c>
      <c r="U373" s="81"/>
      <c r="V373" s="81" t="s">
        <v>2315</v>
      </c>
      <c r="W373" s="86" t="str">
        <f>HYPERLINK("https://www.youtube.com/watch?v=JCTlws1bpAY")</f>
        <v>https://www.youtube.com/watch?v=JCTlws1bpAY</v>
      </c>
      <c r="X373" s="81" t="s">
        <v>2335</v>
      </c>
      <c r="Y373" s="81">
        <v>0</v>
      </c>
      <c r="Z373" s="88">
        <v>43321.53815972222</v>
      </c>
      <c r="AA373" s="88">
        <v>43321.53815972222</v>
      </c>
      <c r="AB373" s="81"/>
      <c r="AC373" s="81"/>
      <c r="AD373" s="84" t="s">
        <v>2782</v>
      </c>
      <c r="AE373" s="82">
        <v>1</v>
      </c>
      <c r="AF373" s="83" t="str">
        <f>REPLACE(INDEX(GroupVertices[Group],MATCH(Edges[[#This Row],[Vertex 1]],GroupVertices[Vertex],0)),1,1,"")</f>
        <v>1</v>
      </c>
      <c r="AG373" s="83" t="str">
        <f>REPLACE(INDEX(GroupVertices[Group],MATCH(Edges[[#This Row],[Vertex 2]],GroupVertices[Vertex],0)),1,1,"")</f>
        <v>1</v>
      </c>
      <c r="AH373" s="111">
        <v>3</v>
      </c>
      <c r="AI373" s="112">
        <v>14.285714285714286</v>
      </c>
      <c r="AJ373" s="111">
        <v>0</v>
      </c>
      <c r="AK373" s="112">
        <v>0</v>
      </c>
      <c r="AL373" s="111">
        <v>0</v>
      </c>
      <c r="AM373" s="112">
        <v>0</v>
      </c>
      <c r="AN373" s="111">
        <v>18</v>
      </c>
      <c r="AO373" s="112">
        <v>85.71428571428571</v>
      </c>
      <c r="AP373" s="111">
        <v>21</v>
      </c>
    </row>
    <row r="374" spans="1:42" ht="15">
      <c r="A374" s="65" t="s">
        <v>488</v>
      </c>
      <c r="B374" s="65" t="s">
        <v>287</v>
      </c>
      <c r="C374" s="66" t="s">
        <v>5345</v>
      </c>
      <c r="D374" s="67">
        <v>3</v>
      </c>
      <c r="E374" s="68"/>
      <c r="F374" s="69">
        <v>40</v>
      </c>
      <c r="G374" s="66"/>
      <c r="H374" s="70"/>
      <c r="I374" s="71"/>
      <c r="J374" s="71"/>
      <c r="K374" s="35" t="s">
        <v>65</v>
      </c>
      <c r="L374" s="79">
        <v>374</v>
      </c>
      <c r="M374" s="79"/>
      <c r="N374" s="73"/>
      <c r="O374" s="81" t="s">
        <v>760</v>
      </c>
      <c r="P374" s="81" t="s">
        <v>215</v>
      </c>
      <c r="Q374" s="84" t="s">
        <v>1119</v>
      </c>
      <c r="R374" s="81" t="s">
        <v>488</v>
      </c>
      <c r="S374" s="81" t="s">
        <v>1817</v>
      </c>
      <c r="T374" s="86" t="str">
        <f>HYPERLINK("http://www.youtube.com/channel/UCYfvr_CkCmi4HwFkAAQU10w")</f>
        <v>http://www.youtube.com/channel/UCYfvr_CkCmi4HwFkAAQU10w</v>
      </c>
      <c r="U374" s="81"/>
      <c r="V374" s="81" t="s">
        <v>2315</v>
      </c>
      <c r="W374" s="86" t="str">
        <f>HYPERLINK("https://www.youtube.com/watch?v=JCTlws1bpAY")</f>
        <v>https://www.youtube.com/watch?v=JCTlws1bpAY</v>
      </c>
      <c r="X374" s="81" t="s">
        <v>2335</v>
      </c>
      <c r="Y374" s="81">
        <v>0</v>
      </c>
      <c r="Z374" s="88">
        <v>43352.367847222224</v>
      </c>
      <c r="AA374" s="88">
        <v>43352.367847222224</v>
      </c>
      <c r="AB374" s="81"/>
      <c r="AC374" s="81"/>
      <c r="AD374" s="84" t="s">
        <v>2782</v>
      </c>
      <c r="AE374" s="82">
        <v>1</v>
      </c>
      <c r="AF374" s="83" t="str">
        <f>REPLACE(INDEX(GroupVertices[Group],MATCH(Edges[[#This Row],[Vertex 1]],GroupVertices[Vertex],0)),1,1,"")</f>
        <v>1</v>
      </c>
      <c r="AG374" s="83" t="str">
        <f>REPLACE(INDEX(GroupVertices[Group],MATCH(Edges[[#This Row],[Vertex 2]],GroupVertices[Vertex],0)),1,1,"")</f>
        <v>1</v>
      </c>
      <c r="AH374" s="111">
        <v>1</v>
      </c>
      <c r="AI374" s="112">
        <v>50</v>
      </c>
      <c r="AJ374" s="111">
        <v>0</v>
      </c>
      <c r="AK374" s="112">
        <v>0</v>
      </c>
      <c r="AL374" s="111">
        <v>0</v>
      </c>
      <c r="AM374" s="112">
        <v>0</v>
      </c>
      <c r="AN374" s="111">
        <v>1</v>
      </c>
      <c r="AO374" s="112">
        <v>50</v>
      </c>
      <c r="AP374" s="111">
        <v>2</v>
      </c>
    </row>
    <row r="375" spans="1:42" ht="15">
      <c r="A375" s="65" t="s">
        <v>287</v>
      </c>
      <c r="B375" s="65" t="s">
        <v>489</v>
      </c>
      <c r="C375" s="66" t="s">
        <v>5345</v>
      </c>
      <c r="D375" s="67">
        <v>3</v>
      </c>
      <c r="E375" s="68"/>
      <c r="F375" s="69">
        <v>40</v>
      </c>
      <c r="G375" s="66"/>
      <c r="H375" s="70"/>
      <c r="I375" s="71"/>
      <c r="J375" s="71"/>
      <c r="K375" s="35" t="s">
        <v>66</v>
      </c>
      <c r="L375" s="79">
        <v>375</v>
      </c>
      <c r="M375" s="79"/>
      <c r="N375" s="73"/>
      <c r="O375" s="81" t="s">
        <v>761</v>
      </c>
      <c r="P375" s="81" t="s">
        <v>763</v>
      </c>
      <c r="Q375" s="84" t="s">
        <v>1120</v>
      </c>
      <c r="R375" s="81" t="s">
        <v>287</v>
      </c>
      <c r="S375" s="81" t="s">
        <v>1616</v>
      </c>
      <c r="T375" s="86" t="str">
        <f>HYPERLINK("http://www.youtube.com/channel/UCbUhO-tut97b5IQhZ3i7TMA")</f>
        <v>http://www.youtube.com/channel/UCbUhO-tut97b5IQhZ3i7TMA</v>
      </c>
      <c r="U375" s="81" t="s">
        <v>2176</v>
      </c>
      <c r="V375" s="81" t="s">
        <v>2315</v>
      </c>
      <c r="W375" s="86" t="str">
        <f>HYPERLINK("https://www.youtube.com/watch?v=JCTlws1bpAY")</f>
        <v>https://www.youtube.com/watch?v=JCTlws1bpAY</v>
      </c>
      <c r="X375" s="81" t="s">
        <v>2335</v>
      </c>
      <c r="Y375" s="81">
        <v>1</v>
      </c>
      <c r="Z375" s="88">
        <v>43352.6953125</v>
      </c>
      <c r="AA375" s="88">
        <v>43352.6953125</v>
      </c>
      <c r="AB375" s="81"/>
      <c r="AC375" s="81"/>
      <c r="AD375" s="84" t="s">
        <v>2782</v>
      </c>
      <c r="AE375" s="82">
        <v>1</v>
      </c>
      <c r="AF375" s="83" t="str">
        <f>REPLACE(INDEX(GroupVertices[Group],MATCH(Edges[[#This Row],[Vertex 1]],GroupVertices[Vertex],0)),1,1,"")</f>
        <v>1</v>
      </c>
      <c r="AG375" s="83" t="str">
        <f>REPLACE(INDEX(GroupVertices[Group],MATCH(Edges[[#This Row],[Vertex 2]],GroupVertices[Vertex],0)),1,1,"")</f>
        <v>1</v>
      </c>
      <c r="AH375" s="111">
        <v>1</v>
      </c>
      <c r="AI375" s="112">
        <v>25</v>
      </c>
      <c r="AJ375" s="111">
        <v>0</v>
      </c>
      <c r="AK375" s="112">
        <v>0</v>
      </c>
      <c r="AL375" s="111">
        <v>0</v>
      </c>
      <c r="AM375" s="112">
        <v>0</v>
      </c>
      <c r="AN375" s="111">
        <v>3</v>
      </c>
      <c r="AO375" s="112">
        <v>75</v>
      </c>
      <c r="AP375" s="111">
        <v>4</v>
      </c>
    </row>
    <row r="376" spans="1:42" ht="15">
      <c r="A376" s="65" t="s">
        <v>489</v>
      </c>
      <c r="B376" s="65" t="s">
        <v>287</v>
      </c>
      <c r="C376" s="66" t="s">
        <v>5345</v>
      </c>
      <c r="D376" s="67">
        <v>3</v>
      </c>
      <c r="E376" s="68"/>
      <c r="F376" s="69">
        <v>40</v>
      </c>
      <c r="G376" s="66"/>
      <c r="H376" s="70"/>
      <c r="I376" s="71"/>
      <c r="J376" s="71"/>
      <c r="K376" s="35" t="s">
        <v>66</v>
      </c>
      <c r="L376" s="79">
        <v>376</v>
      </c>
      <c r="M376" s="79"/>
      <c r="N376" s="73"/>
      <c r="O376" s="81" t="s">
        <v>760</v>
      </c>
      <c r="P376" s="81" t="s">
        <v>215</v>
      </c>
      <c r="Q376" s="84" t="s">
        <v>1121</v>
      </c>
      <c r="R376" s="81" t="s">
        <v>489</v>
      </c>
      <c r="S376" s="81" t="s">
        <v>1818</v>
      </c>
      <c r="T376" s="86" t="str">
        <f>HYPERLINK("http://www.youtube.com/channel/UCrisv1bev37OgRi0XO-F_rQ")</f>
        <v>http://www.youtube.com/channel/UCrisv1bev37OgRi0XO-F_rQ</v>
      </c>
      <c r="U376" s="81"/>
      <c r="V376" s="81" t="s">
        <v>2315</v>
      </c>
      <c r="W376" s="86" t="str">
        <f>HYPERLINK("https://www.youtube.com/watch?v=JCTlws1bpAY")</f>
        <v>https://www.youtube.com/watch?v=JCTlws1bpAY</v>
      </c>
      <c r="X376" s="81" t="s">
        <v>2335</v>
      </c>
      <c r="Y376" s="81">
        <v>0</v>
      </c>
      <c r="Z376" s="88">
        <v>43352.395891203705</v>
      </c>
      <c r="AA376" s="88">
        <v>43352.395891203705</v>
      </c>
      <c r="AB376" s="81"/>
      <c r="AC376" s="81"/>
      <c r="AD376" s="84" t="s">
        <v>2782</v>
      </c>
      <c r="AE376" s="82">
        <v>1</v>
      </c>
      <c r="AF376" s="83" t="str">
        <f>REPLACE(INDEX(GroupVertices[Group],MATCH(Edges[[#This Row],[Vertex 1]],GroupVertices[Vertex],0)),1,1,"")</f>
        <v>1</v>
      </c>
      <c r="AG376" s="83" t="str">
        <f>REPLACE(INDEX(GroupVertices[Group],MATCH(Edges[[#This Row],[Vertex 2]],GroupVertices[Vertex],0)),1,1,"")</f>
        <v>1</v>
      </c>
      <c r="AH376" s="111">
        <v>3</v>
      </c>
      <c r="AI376" s="112">
        <v>13.043478260869565</v>
      </c>
      <c r="AJ376" s="111">
        <v>0</v>
      </c>
      <c r="AK376" s="112">
        <v>0</v>
      </c>
      <c r="AL376" s="111">
        <v>0</v>
      </c>
      <c r="AM376" s="112">
        <v>0</v>
      </c>
      <c r="AN376" s="111">
        <v>20</v>
      </c>
      <c r="AO376" s="112">
        <v>86.95652173913044</v>
      </c>
      <c r="AP376" s="111">
        <v>23</v>
      </c>
    </row>
    <row r="377" spans="1:42" ht="15">
      <c r="A377" s="65" t="s">
        <v>287</v>
      </c>
      <c r="B377" s="65" t="s">
        <v>490</v>
      </c>
      <c r="C377" s="66" t="s">
        <v>5345</v>
      </c>
      <c r="D377" s="67">
        <v>3</v>
      </c>
      <c r="E377" s="68"/>
      <c r="F377" s="69">
        <v>40</v>
      </c>
      <c r="G377" s="66"/>
      <c r="H377" s="70"/>
      <c r="I377" s="71"/>
      <c r="J377" s="71"/>
      <c r="K377" s="35" t="s">
        <v>66</v>
      </c>
      <c r="L377" s="79">
        <v>377</v>
      </c>
      <c r="M377" s="79"/>
      <c r="N377" s="73"/>
      <c r="O377" s="81" t="s">
        <v>761</v>
      </c>
      <c r="P377" s="81" t="s">
        <v>763</v>
      </c>
      <c r="Q377" s="84" t="s">
        <v>1122</v>
      </c>
      <c r="R377" s="81" t="s">
        <v>287</v>
      </c>
      <c r="S377" s="81" t="s">
        <v>1616</v>
      </c>
      <c r="T377" s="86" t="str">
        <f>HYPERLINK("http://www.youtube.com/channel/UCbUhO-tut97b5IQhZ3i7TMA")</f>
        <v>http://www.youtube.com/channel/UCbUhO-tut97b5IQhZ3i7TMA</v>
      </c>
      <c r="U377" s="81" t="s">
        <v>2177</v>
      </c>
      <c r="V377" s="81" t="s">
        <v>2315</v>
      </c>
      <c r="W377" s="86" t="str">
        <f>HYPERLINK("https://www.youtube.com/watch?v=JCTlws1bpAY")</f>
        <v>https://www.youtube.com/watch?v=JCTlws1bpAY</v>
      </c>
      <c r="X377" s="81" t="s">
        <v>2335</v>
      </c>
      <c r="Y377" s="81">
        <v>0</v>
      </c>
      <c r="Z377" s="88">
        <v>43413.84532407407</v>
      </c>
      <c r="AA377" s="88">
        <v>43413.84532407407</v>
      </c>
      <c r="AB377" s="81"/>
      <c r="AC377" s="81"/>
      <c r="AD377" s="84" t="s">
        <v>2782</v>
      </c>
      <c r="AE377" s="82">
        <v>1</v>
      </c>
      <c r="AF377" s="83" t="str">
        <f>REPLACE(INDEX(GroupVertices[Group],MATCH(Edges[[#This Row],[Vertex 1]],GroupVertices[Vertex],0)),1,1,"")</f>
        <v>1</v>
      </c>
      <c r="AG377" s="83" t="str">
        <f>REPLACE(INDEX(GroupVertices[Group],MATCH(Edges[[#This Row],[Vertex 2]],GroupVertices[Vertex],0)),1,1,"")</f>
        <v>1</v>
      </c>
      <c r="AH377" s="111">
        <v>1</v>
      </c>
      <c r="AI377" s="112">
        <v>50</v>
      </c>
      <c r="AJ377" s="111">
        <v>0</v>
      </c>
      <c r="AK377" s="112">
        <v>0</v>
      </c>
      <c r="AL377" s="111">
        <v>0</v>
      </c>
      <c r="AM377" s="112">
        <v>0</v>
      </c>
      <c r="AN377" s="111">
        <v>1</v>
      </c>
      <c r="AO377" s="112">
        <v>50</v>
      </c>
      <c r="AP377" s="111">
        <v>2</v>
      </c>
    </row>
    <row r="378" spans="1:42" ht="15">
      <c r="A378" s="65" t="s">
        <v>490</v>
      </c>
      <c r="B378" s="65" t="s">
        <v>287</v>
      </c>
      <c r="C378" s="66" t="s">
        <v>5345</v>
      </c>
      <c r="D378" s="67">
        <v>3</v>
      </c>
      <c r="E378" s="68"/>
      <c r="F378" s="69">
        <v>40</v>
      </c>
      <c r="G378" s="66"/>
      <c r="H378" s="70"/>
      <c r="I378" s="71"/>
      <c r="J378" s="71"/>
      <c r="K378" s="35" t="s">
        <v>66</v>
      </c>
      <c r="L378" s="79">
        <v>378</v>
      </c>
      <c r="M378" s="79"/>
      <c r="N378" s="73"/>
      <c r="O378" s="81" t="s">
        <v>760</v>
      </c>
      <c r="P378" s="81" t="s">
        <v>215</v>
      </c>
      <c r="Q378" s="84" t="s">
        <v>1123</v>
      </c>
      <c r="R378" s="81" t="s">
        <v>490</v>
      </c>
      <c r="S378" s="81" t="s">
        <v>1819</v>
      </c>
      <c r="T378" s="86" t="str">
        <f>HYPERLINK("http://www.youtube.com/channel/UCP_MxwcX7WrV4KMPUk8E7RQ")</f>
        <v>http://www.youtube.com/channel/UCP_MxwcX7WrV4KMPUk8E7RQ</v>
      </c>
      <c r="U378" s="81"/>
      <c r="V378" s="81" t="s">
        <v>2315</v>
      </c>
      <c r="W378" s="86" t="str">
        <f>HYPERLINK("https://www.youtube.com/watch?v=JCTlws1bpAY")</f>
        <v>https://www.youtube.com/watch?v=JCTlws1bpAY</v>
      </c>
      <c r="X378" s="81" t="s">
        <v>2335</v>
      </c>
      <c r="Y378" s="81">
        <v>0</v>
      </c>
      <c r="Z378" s="88">
        <v>43352.91732638889</v>
      </c>
      <c r="AA378" s="88">
        <v>43352.91732638889</v>
      </c>
      <c r="AB378" s="81" t="s">
        <v>2763</v>
      </c>
      <c r="AC378" s="81" t="s">
        <v>2772</v>
      </c>
      <c r="AD378" s="84" t="s">
        <v>2782</v>
      </c>
      <c r="AE378" s="82">
        <v>1</v>
      </c>
      <c r="AF378" s="83" t="str">
        <f>REPLACE(INDEX(GroupVertices[Group],MATCH(Edges[[#This Row],[Vertex 1]],GroupVertices[Vertex],0)),1,1,"")</f>
        <v>1</v>
      </c>
      <c r="AG378" s="83" t="str">
        <f>REPLACE(INDEX(GroupVertices[Group],MATCH(Edges[[#This Row],[Vertex 2]],GroupVertices[Vertex],0)),1,1,"")</f>
        <v>1</v>
      </c>
      <c r="AH378" s="111">
        <v>2</v>
      </c>
      <c r="AI378" s="112">
        <v>7.142857142857143</v>
      </c>
      <c r="AJ378" s="111">
        <v>0</v>
      </c>
      <c r="AK378" s="112">
        <v>0</v>
      </c>
      <c r="AL378" s="111">
        <v>0</v>
      </c>
      <c r="AM378" s="112">
        <v>0</v>
      </c>
      <c r="AN378" s="111">
        <v>26</v>
      </c>
      <c r="AO378" s="112">
        <v>92.85714285714286</v>
      </c>
      <c r="AP378" s="111">
        <v>28</v>
      </c>
    </row>
    <row r="379" spans="1:42" ht="15">
      <c r="A379" s="65" t="s">
        <v>287</v>
      </c>
      <c r="B379" s="65" t="s">
        <v>491</v>
      </c>
      <c r="C379" s="66" t="s">
        <v>5345</v>
      </c>
      <c r="D379" s="67">
        <v>3</v>
      </c>
      <c r="E379" s="68"/>
      <c r="F379" s="69">
        <v>40</v>
      </c>
      <c r="G379" s="66"/>
      <c r="H379" s="70"/>
      <c r="I379" s="71"/>
      <c r="J379" s="71"/>
      <c r="K379" s="35" t="s">
        <v>66</v>
      </c>
      <c r="L379" s="79">
        <v>379</v>
      </c>
      <c r="M379" s="79"/>
      <c r="N379" s="73"/>
      <c r="O379" s="81" t="s">
        <v>761</v>
      </c>
      <c r="P379" s="81" t="s">
        <v>763</v>
      </c>
      <c r="Q379" s="84" t="s">
        <v>1124</v>
      </c>
      <c r="R379" s="81" t="s">
        <v>287</v>
      </c>
      <c r="S379" s="81" t="s">
        <v>1616</v>
      </c>
      <c r="T379" s="86" t="str">
        <f>HYPERLINK("http://www.youtube.com/channel/UCbUhO-tut97b5IQhZ3i7TMA")</f>
        <v>http://www.youtube.com/channel/UCbUhO-tut97b5IQhZ3i7TMA</v>
      </c>
      <c r="U379" s="81" t="s">
        <v>2178</v>
      </c>
      <c r="V379" s="81" t="s">
        <v>2315</v>
      </c>
      <c r="W379" s="86" t="str">
        <f>HYPERLINK("https://www.youtube.com/watch?v=JCTlws1bpAY")</f>
        <v>https://www.youtube.com/watch?v=JCTlws1bpAY</v>
      </c>
      <c r="X379" s="81" t="s">
        <v>2335</v>
      </c>
      <c r="Y379" s="81">
        <v>0</v>
      </c>
      <c r="Z379" s="88">
        <v>43413.854780092595</v>
      </c>
      <c r="AA379" s="88">
        <v>43413.854780092595</v>
      </c>
      <c r="AB379" s="81"/>
      <c r="AC379" s="81"/>
      <c r="AD379" s="84" t="s">
        <v>2782</v>
      </c>
      <c r="AE379" s="82">
        <v>1</v>
      </c>
      <c r="AF379" s="83" t="str">
        <f>REPLACE(INDEX(GroupVertices[Group],MATCH(Edges[[#This Row],[Vertex 1]],GroupVertices[Vertex],0)),1,1,"")</f>
        <v>1</v>
      </c>
      <c r="AG379" s="83" t="str">
        <f>REPLACE(INDEX(GroupVertices[Group],MATCH(Edges[[#This Row],[Vertex 2]],GroupVertices[Vertex],0)),1,1,"")</f>
        <v>1</v>
      </c>
      <c r="AH379" s="111">
        <v>1</v>
      </c>
      <c r="AI379" s="112">
        <v>11.11111111111111</v>
      </c>
      <c r="AJ379" s="111">
        <v>0</v>
      </c>
      <c r="AK379" s="112">
        <v>0</v>
      </c>
      <c r="AL379" s="111">
        <v>0</v>
      </c>
      <c r="AM379" s="112">
        <v>0</v>
      </c>
      <c r="AN379" s="111">
        <v>8</v>
      </c>
      <c r="AO379" s="112">
        <v>88.88888888888889</v>
      </c>
      <c r="AP379" s="111">
        <v>9</v>
      </c>
    </row>
    <row r="380" spans="1:42" ht="15">
      <c r="A380" s="65" t="s">
        <v>491</v>
      </c>
      <c r="B380" s="65" t="s">
        <v>287</v>
      </c>
      <c r="C380" s="66" t="s">
        <v>5345</v>
      </c>
      <c r="D380" s="67">
        <v>3</v>
      </c>
      <c r="E380" s="68"/>
      <c r="F380" s="69">
        <v>40</v>
      </c>
      <c r="G380" s="66"/>
      <c r="H380" s="70"/>
      <c r="I380" s="71"/>
      <c r="J380" s="71"/>
      <c r="K380" s="35" t="s">
        <v>66</v>
      </c>
      <c r="L380" s="79">
        <v>380</v>
      </c>
      <c r="M380" s="79"/>
      <c r="N380" s="73"/>
      <c r="O380" s="81" t="s">
        <v>760</v>
      </c>
      <c r="P380" s="81" t="s">
        <v>215</v>
      </c>
      <c r="Q380" s="84" t="s">
        <v>1125</v>
      </c>
      <c r="R380" s="81" t="s">
        <v>491</v>
      </c>
      <c r="S380" s="81" t="s">
        <v>1820</v>
      </c>
      <c r="T380" s="86" t="str">
        <f>HYPERLINK("http://www.youtube.com/channel/UCA0hntGYUqnUbs8CsyYiu2Q")</f>
        <v>http://www.youtube.com/channel/UCA0hntGYUqnUbs8CsyYiu2Q</v>
      </c>
      <c r="U380" s="81"/>
      <c r="V380" s="81" t="s">
        <v>2315</v>
      </c>
      <c r="W380" s="86" t="str">
        <f>HYPERLINK("https://www.youtube.com/watch?v=JCTlws1bpAY")</f>
        <v>https://www.youtube.com/watch?v=JCTlws1bpAY</v>
      </c>
      <c r="X380" s="81" t="s">
        <v>2335</v>
      </c>
      <c r="Y380" s="81">
        <v>1</v>
      </c>
      <c r="Z380" s="88">
        <v>43413.3765162037</v>
      </c>
      <c r="AA380" s="88">
        <v>43413.3765162037</v>
      </c>
      <c r="AB380" s="81"/>
      <c r="AC380" s="81"/>
      <c r="AD380" s="84" t="s">
        <v>2782</v>
      </c>
      <c r="AE380" s="82">
        <v>1</v>
      </c>
      <c r="AF380" s="83" t="str">
        <f>REPLACE(INDEX(GroupVertices[Group],MATCH(Edges[[#This Row],[Vertex 1]],GroupVertices[Vertex],0)),1,1,"")</f>
        <v>1</v>
      </c>
      <c r="AG380" s="83" t="str">
        <f>REPLACE(INDEX(GroupVertices[Group],MATCH(Edges[[#This Row],[Vertex 2]],GroupVertices[Vertex],0)),1,1,"")</f>
        <v>1</v>
      </c>
      <c r="AH380" s="111">
        <v>8</v>
      </c>
      <c r="AI380" s="112">
        <v>6.666666666666667</v>
      </c>
      <c r="AJ380" s="111">
        <v>3</v>
      </c>
      <c r="AK380" s="112">
        <v>2.5</v>
      </c>
      <c r="AL380" s="111">
        <v>0</v>
      </c>
      <c r="AM380" s="112">
        <v>0</v>
      </c>
      <c r="AN380" s="111">
        <v>109</v>
      </c>
      <c r="AO380" s="112">
        <v>90.83333333333333</v>
      </c>
      <c r="AP380" s="111">
        <v>120</v>
      </c>
    </row>
    <row r="381" spans="1:42" ht="15">
      <c r="A381" s="65" t="s">
        <v>287</v>
      </c>
      <c r="B381" s="65" t="s">
        <v>492</v>
      </c>
      <c r="C381" s="66" t="s">
        <v>5346</v>
      </c>
      <c r="D381" s="67">
        <v>10</v>
      </c>
      <c r="E381" s="68"/>
      <c r="F381" s="69">
        <v>15</v>
      </c>
      <c r="G381" s="66"/>
      <c r="H381" s="70"/>
      <c r="I381" s="71"/>
      <c r="J381" s="71"/>
      <c r="K381" s="35" t="s">
        <v>66</v>
      </c>
      <c r="L381" s="79">
        <v>381</v>
      </c>
      <c r="M381" s="79"/>
      <c r="N381" s="73"/>
      <c r="O381" s="81" t="s">
        <v>761</v>
      </c>
      <c r="P381" s="81" t="s">
        <v>763</v>
      </c>
      <c r="Q381" s="84" t="s">
        <v>1126</v>
      </c>
      <c r="R381" s="81" t="s">
        <v>287</v>
      </c>
      <c r="S381" s="81" t="s">
        <v>1616</v>
      </c>
      <c r="T381" s="86" t="str">
        <f>HYPERLINK("http://www.youtube.com/channel/UCbUhO-tut97b5IQhZ3i7TMA")</f>
        <v>http://www.youtube.com/channel/UCbUhO-tut97b5IQhZ3i7TMA</v>
      </c>
      <c r="U381" s="81" t="s">
        <v>2179</v>
      </c>
      <c r="V381" s="81" t="s">
        <v>2311</v>
      </c>
      <c r="W381" s="86" t="str">
        <f>HYPERLINK("https://www.youtube.com/watch?v=DrCnSoZUXAc")</f>
        <v>https://www.youtube.com/watch?v=DrCnSoZUXAc</v>
      </c>
      <c r="X381" s="81" t="s">
        <v>2335</v>
      </c>
      <c r="Y381" s="81">
        <v>1</v>
      </c>
      <c r="Z381" s="88">
        <v>43440.47483796296</v>
      </c>
      <c r="AA381" s="88">
        <v>43440.47483796296</v>
      </c>
      <c r="AB381" s="81"/>
      <c r="AC381" s="81"/>
      <c r="AD381" s="84" t="s">
        <v>2782</v>
      </c>
      <c r="AE381" s="82">
        <v>2</v>
      </c>
      <c r="AF381" s="83" t="str">
        <f>REPLACE(INDEX(GroupVertices[Group],MATCH(Edges[[#This Row],[Vertex 1]],GroupVertices[Vertex],0)),1,1,"")</f>
        <v>1</v>
      </c>
      <c r="AG381" s="83" t="str">
        <f>REPLACE(INDEX(GroupVertices[Group],MATCH(Edges[[#This Row],[Vertex 2]],GroupVertices[Vertex],0)),1,1,"")</f>
        <v>1</v>
      </c>
      <c r="AH381" s="111">
        <v>1</v>
      </c>
      <c r="AI381" s="112">
        <v>25</v>
      </c>
      <c r="AJ381" s="111">
        <v>0</v>
      </c>
      <c r="AK381" s="112">
        <v>0</v>
      </c>
      <c r="AL381" s="111">
        <v>0</v>
      </c>
      <c r="AM381" s="112">
        <v>0</v>
      </c>
      <c r="AN381" s="111">
        <v>3</v>
      </c>
      <c r="AO381" s="112">
        <v>75</v>
      </c>
      <c r="AP381" s="111">
        <v>4</v>
      </c>
    </row>
    <row r="382" spans="1:42" ht="15">
      <c r="A382" s="65" t="s">
        <v>492</v>
      </c>
      <c r="B382" s="65" t="s">
        <v>287</v>
      </c>
      <c r="C382" s="66" t="s">
        <v>5347</v>
      </c>
      <c r="D382" s="67">
        <v>10</v>
      </c>
      <c r="E382" s="68"/>
      <c r="F382" s="69">
        <v>15</v>
      </c>
      <c r="G382" s="66"/>
      <c r="H382" s="70"/>
      <c r="I382" s="71"/>
      <c r="J382" s="71"/>
      <c r="K382" s="35" t="s">
        <v>66</v>
      </c>
      <c r="L382" s="79">
        <v>382</v>
      </c>
      <c r="M382" s="79"/>
      <c r="N382" s="73"/>
      <c r="O382" s="81" t="s">
        <v>760</v>
      </c>
      <c r="P382" s="81" t="s">
        <v>215</v>
      </c>
      <c r="Q382" s="84" t="s">
        <v>1127</v>
      </c>
      <c r="R382" s="81" t="s">
        <v>492</v>
      </c>
      <c r="S382" s="81" t="s">
        <v>1821</v>
      </c>
      <c r="T382" s="86" t="str">
        <f>HYPERLINK("http://www.youtube.com/channel/UCenSUdXxawgdpTksQvH5d4A")</f>
        <v>http://www.youtube.com/channel/UCenSUdXxawgdpTksQvH5d4A</v>
      </c>
      <c r="U382" s="81"/>
      <c r="V382" s="81" t="s">
        <v>2311</v>
      </c>
      <c r="W382" s="86" t="str">
        <f>HYPERLINK("https://www.youtube.com/watch?v=DrCnSoZUXAc")</f>
        <v>https://www.youtube.com/watch?v=DrCnSoZUXAc</v>
      </c>
      <c r="X382" s="81" t="s">
        <v>2335</v>
      </c>
      <c r="Y382" s="81">
        <v>0</v>
      </c>
      <c r="Z382" s="88">
        <v>43440.19280092593</v>
      </c>
      <c r="AA382" s="88">
        <v>43440.19280092593</v>
      </c>
      <c r="AB382" s="81"/>
      <c r="AC382" s="81"/>
      <c r="AD382" s="84" t="s">
        <v>2782</v>
      </c>
      <c r="AE382" s="82">
        <v>3</v>
      </c>
      <c r="AF382" s="83" t="str">
        <f>REPLACE(INDEX(GroupVertices[Group],MATCH(Edges[[#This Row],[Vertex 1]],GroupVertices[Vertex],0)),1,1,"")</f>
        <v>1</v>
      </c>
      <c r="AG382" s="83" t="str">
        <f>REPLACE(INDEX(GroupVertices[Group],MATCH(Edges[[#This Row],[Vertex 2]],GroupVertices[Vertex],0)),1,1,"")</f>
        <v>1</v>
      </c>
      <c r="AH382" s="111">
        <v>1</v>
      </c>
      <c r="AI382" s="112">
        <v>100</v>
      </c>
      <c r="AJ382" s="111">
        <v>0</v>
      </c>
      <c r="AK382" s="112">
        <v>0</v>
      </c>
      <c r="AL382" s="111">
        <v>0</v>
      </c>
      <c r="AM382" s="112">
        <v>0</v>
      </c>
      <c r="AN382" s="111">
        <v>0</v>
      </c>
      <c r="AO382" s="112">
        <v>0</v>
      </c>
      <c r="AP382" s="111">
        <v>1</v>
      </c>
    </row>
    <row r="383" spans="1:42" ht="15">
      <c r="A383" s="65" t="s">
        <v>492</v>
      </c>
      <c r="B383" s="65" t="s">
        <v>287</v>
      </c>
      <c r="C383" s="66" t="s">
        <v>5347</v>
      </c>
      <c r="D383" s="67">
        <v>10</v>
      </c>
      <c r="E383" s="68"/>
      <c r="F383" s="69">
        <v>15</v>
      </c>
      <c r="G383" s="66"/>
      <c r="H383" s="70"/>
      <c r="I383" s="71"/>
      <c r="J383" s="71"/>
      <c r="K383" s="35" t="s">
        <v>66</v>
      </c>
      <c r="L383" s="79">
        <v>383</v>
      </c>
      <c r="M383" s="79"/>
      <c r="N383" s="73"/>
      <c r="O383" s="81" t="s">
        <v>760</v>
      </c>
      <c r="P383" s="81" t="s">
        <v>215</v>
      </c>
      <c r="Q383" s="84" t="s">
        <v>1128</v>
      </c>
      <c r="R383" s="81" t="s">
        <v>492</v>
      </c>
      <c r="S383" s="81" t="s">
        <v>1821</v>
      </c>
      <c r="T383" s="86" t="str">
        <f>HYPERLINK("http://www.youtube.com/channel/UCenSUdXxawgdpTksQvH5d4A")</f>
        <v>http://www.youtube.com/channel/UCenSUdXxawgdpTksQvH5d4A</v>
      </c>
      <c r="U383" s="81"/>
      <c r="V383" s="81" t="s">
        <v>2313</v>
      </c>
      <c r="W383" s="86" t="str">
        <f>HYPERLINK("https://www.youtube.com/watch?v=-EA6GvKa0EA")</f>
        <v>https://www.youtube.com/watch?v=-EA6GvKa0EA</v>
      </c>
      <c r="X383" s="81" t="s">
        <v>2335</v>
      </c>
      <c r="Y383" s="81">
        <v>0</v>
      </c>
      <c r="Z383" s="88">
        <v>43199.33059027778</v>
      </c>
      <c r="AA383" s="88">
        <v>43199.33059027778</v>
      </c>
      <c r="AB383" s="81"/>
      <c r="AC383" s="81"/>
      <c r="AD383" s="84" t="s">
        <v>2782</v>
      </c>
      <c r="AE383" s="82">
        <v>3</v>
      </c>
      <c r="AF383" s="83" t="str">
        <f>REPLACE(INDEX(GroupVertices[Group],MATCH(Edges[[#This Row],[Vertex 1]],GroupVertices[Vertex],0)),1,1,"")</f>
        <v>1</v>
      </c>
      <c r="AG383" s="83" t="str">
        <f>REPLACE(INDEX(GroupVertices[Group],MATCH(Edges[[#This Row],[Vertex 2]],GroupVertices[Vertex],0)),1,1,"")</f>
        <v>1</v>
      </c>
      <c r="AH383" s="111">
        <v>1</v>
      </c>
      <c r="AI383" s="112">
        <v>5.555555555555555</v>
      </c>
      <c r="AJ383" s="111">
        <v>0</v>
      </c>
      <c r="AK383" s="112">
        <v>0</v>
      </c>
      <c r="AL383" s="111">
        <v>0</v>
      </c>
      <c r="AM383" s="112">
        <v>0</v>
      </c>
      <c r="AN383" s="111">
        <v>17</v>
      </c>
      <c r="AO383" s="112">
        <v>94.44444444444444</v>
      </c>
      <c r="AP383" s="111">
        <v>18</v>
      </c>
    </row>
    <row r="384" spans="1:42" ht="15">
      <c r="A384" s="65" t="s">
        <v>287</v>
      </c>
      <c r="B384" s="65" t="s">
        <v>492</v>
      </c>
      <c r="C384" s="66" t="s">
        <v>5346</v>
      </c>
      <c r="D384" s="67">
        <v>10</v>
      </c>
      <c r="E384" s="68"/>
      <c r="F384" s="69">
        <v>15</v>
      </c>
      <c r="G384" s="66"/>
      <c r="H384" s="70"/>
      <c r="I384" s="71"/>
      <c r="J384" s="71"/>
      <c r="K384" s="35" t="s">
        <v>66</v>
      </c>
      <c r="L384" s="79">
        <v>384</v>
      </c>
      <c r="M384" s="79"/>
      <c r="N384" s="73"/>
      <c r="O384" s="81" t="s">
        <v>761</v>
      </c>
      <c r="P384" s="81" t="s">
        <v>763</v>
      </c>
      <c r="Q384" s="84" t="s">
        <v>1120</v>
      </c>
      <c r="R384" s="81" t="s">
        <v>287</v>
      </c>
      <c r="S384" s="81" t="s">
        <v>1616</v>
      </c>
      <c r="T384" s="86" t="str">
        <f>HYPERLINK("http://www.youtube.com/channel/UCbUhO-tut97b5IQhZ3i7TMA")</f>
        <v>http://www.youtube.com/channel/UCbUhO-tut97b5IQhZ3i7TMA</v>
      </c>
      <c r="U384" s="81" t="s">
        <v>2180</v>
      </c>
      <c r="V384" s="81" t="s">
        <v>2315</v>
      </c>
      <c r="W384" s="86" t="str">
        <f>HYPERLINK("https://www.youtube.com/watch?v=JCTlws1bpAY")</f>
        <v>https://www.youtube.com/watch?v=JCTlws1bpAY</v>
      </c>
      <c r="X384" s="81" t="s">
        <v>2335</v>
      </c>
      <c r="Y384" s="81">
        <v>1</v>
      </c>
      <c r="Z384" s="88">
        <v>43443.895520833335</v>
      </c>
      <c r="AA384" s="88">
        <v>43443.895520833335</v>
      </c>
      <c r="AB384" s="81"/>
      <c r="AC384" s="81"/>
      <c r="AD384" s="84" t="s">
        <v>2782</v>
      </c>
      <c r="AE384" s="82">
        <v>2</v>
      </c>
      <c r="AF384" s="83" t="str">
        <f>REPLACE(INDEX(GroupVertices[Group],MATCH(Edges[[#This Row],[Vertex 1]],GroupVertices[Vertex],0)),1,1,"")</f>
        <v>1</v>
      </c>
      <c r="AG384" s="83" t="str">
        <f>REPLACE(INDEX(GroupVertices[Group],MATCH(Edges[[#This Row],[Vertex 2]],GroupVertices[Vertex],0)),1,1,"")</f>
        <v>1</v>
      </c>
      <c r="AH384" s="111">
        <v>1</v>
      </c>
      <c r="AI384" s="112">
        <v>25</v>
      </c>
      <c r="AJ384" s="111">
        <v>0</v>
      </c>
      <c r="AK384" s="112">
        <v>0</v>
      </c>
      <c r="AL384" s="111">
        <v>0</v>
      </c>
      <c r="AM384" s="112">
        <v>0</v>
      </c>
      <c r="AN384" s="111">
        <v>3</v>
      </c>
      <c r="AO384" s="112">
        <v>75</v>
      </c>
      <c r="AP384" s="111">
        <v>4</v>
      </c>
    </row>
    <row r="385" spans="1:42" ht="15">
      <c r="A385" s="65" t="s">
        <v>492</v>
      </c>
      <c r="B385" s="65" t="s">
        <v>287</v>
      </c>
      <c r="C385" s="66" t="s">
        <v>5347</v>
      </c>
      <c r="D385" s="67">
        <v>10</v>
      </c>
      <c r="E385" s="68"/>
      <c r="F385" s="69">
        <v>15</v>
      </c>
      <c r="G385" s="66"/>
      <c r="H385" s="70"/>
      <c r="I385" s="71"/>
      <c r="J385" s="71"/>
      <c r="K385" s="35" t="s">
        <v>66</v>
      </c>
      <c r="L385" s="79">
        <v>385</v>
      </c>
      <c r="M385" s="79"/>
      <c r="N385" s="73"/>
      <c r="O385" s="81" t="s">
        <v>760</v>
      </c>
      <c r="P385" s="81" t="s">
        <v>215</v>
      </c>
      <c r="Q385" s="84" t="s">
        <v>1129</v>
      </c>
      <c r="R385" s="81" t="s">
        <v>492</v>
      </c>
      <c r="S385" s="81" t="s">
        <v>1821</v>
      </c>
      <c r="T385" s="86" t="str">
        <f>HYPERLINK("http://www.youtube.com/channel/UCenSUdXxawgdpTksQvH5d4A")</f>
        <v>http://www.youtube.com/channel/UCenSUdXxawgdpTksQvH5d4A</v>
      </c>
      <c r="U385" s="81"/>
      <c r="V385" s="81" t="s">
        <v>2315</v>
      </c>
      <c r="W385" s="86" t="str">
        <f>HYPERLINK("https://www.youtube.com/watch?v=JCTlws1bpAY")</f>
        <v>https://www.youtube.com/watch?v=JCTlws1bpAY</v>
      </c>
      <c r="X385" s="81" t="s">
        <v>2335</v>
      </c>
      <c r="Y385" s="81">
        <v>0</v>
      </c>
      <c r="Z385" s="88">
        <v>43443.19337962963</v>
      </c>
      <c r="AA385" s="88">
        <v>43443.19337962963</v>
      </c>
      <c r="AB385" s="81"/>
      <c r="AC385" s="81"/>
      <c r="AD385" s="84" t="s">
        <v>2782</v>
      </c>
      <c r="AE385" s="82">
        <v>3</v>
      </c>
      <c r="AF385" s="83" t="str">
        <f>REPLACE(INDEX(GroupVertices[Group],MATCH(Edges[[#This Row],[Vertex 1]],GroupVertices[Vertex],0)),1,1,"")</f>
        <v>1</v>
      </c>
      <c r="AG385" s="83" t="str">
        <f>REPLACE(INDEX(GroupVertices[Group],MATCH(Edges[[#This Row],[Vertex 2]],GroupVertices[Vertex],0)),1,1,"")</f>
        <v>1</v>
      </c>
      <c r="AH385" s="111">
        <v>2</v>
      </c>
      <c r="AI385" s="112">
        <v>16.666666666666668</v>
      </c>
      <c r="AJ385" s="111">
        <v>0</v>
      </c>
      <c r="AK385" s="112">
        <v>0</v>
      </c>
      <c r="AL385" s="111">
        <v>0</v>
      </c>
      <c r="AM385" s="112">
        <v>0</v>
      </c>
      <c r="AN385" s="111">
        <v>10</v>
      </c>
      <c r="AO385" s="112">
        <v>83.33333333333333</v>
      </c>
      <c r="AP385" s="111">
        <v>12</v>
      </c>
    </row>
    <row r="386" spans="1:42" ht="15">
      <c r="A386" s="65" t="s">
        <v>493</v>
      </c>
      <c r="B386" s="65" t="s">
        <v>287</v>
      </c>
      <c r="C386" s="66" t="s">
        <v>5345</v>
      </c>
      <c r="D386" s="67">
        <v>3</v>
      </c>
      <c r="E386" s="68"/>
      <c r="F386" s="69">
        <v>40</v>
      </c>
      <c r="G386" s="66"/>
      <c r="H386" s="70"/>
      <c r="I386" s="71"/>
      <c r="J386" s="71"/>
      <c r="K386" s="35" t="s">
        <v>65</v>
      </c>
      <c r="L386" s="79">
        <v>386</v>
      </c>
      <c r="M386" s="79"/>
      <c r="N386" s="73"/>
      <c r="O386" s="81" t="s">
        <v>760</v>
      </c>
      <c r="P386" s="81" t="s">
        <v>215</v>
      </c>
      <c r="Q386" s="84" t="s">
        <v>1130</v>
      </c>
      <c r="R386" s="81" t="s">
        <v>493</v>
      </c>
      <c r="S386" s="81" t="s">
        <v>1822</v>
      </c>
      <c r="T386" s="86" t="str">
        <f>HYPERLINK("http://www.youtube.com/channel/UCmTHNck_QjDOp-u4jxohPmQ")</f>
        <v>http://www.youtube.com/channel/UCmTHNck_QjDOp-u4jxohPmQ</v>
      </c>
      <c r="U386" s="81"/>
      <c r="V386" s="81" t="s">
        <v>2315</v>
      </c>
      <c r="W386" s="86" t="str">
        <f>HYPERLINK("https://www.youtube.com/watch?v=JCTlws1bpAY")</f>
        <v>https://www.youtube.com/watch?v=JCTlws1bpAY</v>
      </c>
      <c r="X386" s="81" t="s">
        <v>2335</v>
      </c>
      <c r="Y386" s="81">
        <v>1</v>
      </c>
      <c r="Z386" s="81" t="s">
        <v>2469</v>
      </c>
      <c r="AA386" s="81" t="s">
        <v>2469</v>
      </c>
      <c r="AB386" s="81"/>
      <c r="AC386" s="81"/>
      <c r="AD386" s="84" t="s">
        <v>2782</v>
      </c>
      <c r="AE386" s="82">
        <v>1</v>
      </c>
      <c r="AF386" s="83" t="str">
        <f>REPLACE(INDEX(GroupVertices[Group],MATCH(Edges[[#This Row],[Vertex 1]],GroupVertices[Vertex],0)),1,1,"")</f>
        <v>1</v>
      </c>
      <c r="AG386" s="83" t="str">
        <f>REPLACE(INDEX(GroupVertices[Group],MATCH(Edges[[#This Row],[Vertex 2]],GroupVertices[Vertex],0)),1,1,"")</f>
        <v>1</v>
      </c>
      <c r="AH386" s="111">
        <v>6</v>
      </c>
      <c r="AI386" s="112">
        <v>12.244897959183673</v>
      </c>
      <c r="AJ386" s="111">
        <v>0</v>
      </c>
      <c r="AK386" s="112">
        <v>0</v>
      </c>
      <c r="AL386" s="111">
        <v>0</v>
      </c>
      <c r="AM386" s="112">
        <v>0</v>
      </c>
      <c r="AN386" s="111">
        <v>43</v>
      </c>
      <c r="AO386" s="112">
        <v>87.75510204081633</v>
      </c>
      <c r="AP386" s="111">
        <v>49</v>
      </c>
    </row>
    <row r="387" spans="1:42" ht="15">
      <c r="A387" s="65" t="s">
        <v>494</v>
      </c>
      <c r="B387" s="65" t="s">
        <v>287</v>
      </c>
      <c r="C387" s="66" t="s">
        <v>5345</v>
      </c>
      <c r="D387" s="67">
        <v>3</v>
      </c>
      <c r="E387" s="68"/>
      <c r="F387" s="69">
        <v>40</v>
      </c>
      <c r="G387" s="66"/>
      <c r="H387" s="70"/>
      <c r="I387" s="71"/>
      <c r="J387" s="71"/>
      <c r="K387" s="35" t="s">
        <v>65</v>
      </c>
      <c r="L387" s="79">
        <v>387</v>
      </c>
      <c r="M387" s="79"/>
      <c r="N387" s="73"/>
      <c r="O387" s="81" t="s">
        <v>760</v>
      </c>
      <c r="P387" s="81" t="s">
        <v>215</v>
      </c>
      <c r="Q387" s="84" t="s">
        <v>1131</v>
      </c>
      <c r="R387" s="81" t="s">
        <v>494</v>
      </c>
      <c r="S387" s="81" t="s">
        <v>1823</v>
      </c>
      <c r="T387" s="86" t="str">
        <f>HYPERLINK("http://www.youtube.com/channel/UCXUUZx5-qkFC7FT1HY57vVA")</f>
        <v>http://www.youtube.com/channel/UCXUUZx5-qkFC7FT1HY57vVA</v>
      </c>
      <c r="U387" s="81"/>
      <c r="V387" s="81" t="s">
        <v>2315</v>
      </c>
      <c r="W387" s="86" t="str">
        <f>HYPERLINK("https://www.youtube.com/watch?v=JCTlws1bpAY")</f>
        <v>https://www.youtube.com/watch?v=JCTlws1bpAY</v>
      </c>
      <c r="X387" s="81" t="s">
        <v>2335</v>
      </c>
      <c r="Y387" s="81">
        <v>0</v>
      </c>
      <c r="Z387" s="81" t="s">
        <v>2470</v>
      </c>
      <c r="AA387" s="81" t="s">
        <v>2470</v>
      </c>
      <c r="AB387" s="81"/>
      <c r="AC387" s="81"/>
      <c r="AD387" s="84" t="s">
        <v>2782</v>
      </c>
      <c r="AE387" s="82">
        <v>1</v>
      </c>
      <c r="AF387" s="83" t="str">
        <f>REPLACE(INDEX(GroupVertices[Group],MATCH(Edges[[#This Row],[Vertex 1]],GroupVertices[Vertex],0)),1,1,"")</f>
        <v>1</v>
      </c>
      <c r="AG387" s="83" t="str">
        <f>REPLACE(INDEX(GroupVertices[Group],MATCH(Edges[[#This Row],[Vertex 2]],GroupVertices[Vertex],0)),1,1,"")</f>
        <v>1</v>
      </c>
      <c r="AH387" s="111">
        <v>1</v>
      </c>
      <c r="AI387" s="112">
        <v>20</v>
      </c>
      <c r="AJ387" s="111">
        <v>0</v>
      </c>
      <c r="AK387" s="112">
        <v>0</v>
      </c>
      <c r="AL387" s="111">
        <v>0</v>
      </c>
      <c r="AM387" s="112">
        <v>0</v>
      </c>
      <c r="AN387" s="111">
        <v>4</v>
      </c>
      <c r="AO387" s="112">
        <v>80</v>
      </c>
      <c r="AP387" s="111">
        <v>5</v>
      </c>
    </row>
    <row r="388" spans="1:42" ht="15">
      <c r="A388" s="65" t="s">
        <v>287</v>
      </c>
      <c r="B388" s="65" t="s">
        <v>495</v>
      </c>
      <c r="C388" s="66" t="s">
        <v>5345</v>
      </c>
      <c r="D388" s="67">
        <v>3</v>
      </c>
      <c r="E388" s="68"/>
      <c r="F388" s="69">
        <v>40</v>
      </c>
      <c r="G388" s="66"/>
      <c r="H388" s="70"/>
      <c r="I388" s="71"/>
      <c r="J388" s="71"/>
      <c r="K388" s="35" t="s">
        <v>66</v>
      </c>
      <c r="L388" s="79">
        <v>388</v>
      </c>
      <c r="M388" s="79"/>
      <c r="N388" s="73"/>
      <c r="O388" s="81" t="s">
        <v>761</v>
      </c>
      <c r="P388" s="81" t="s">
        <v>763</v>
      </c>
      <c r="Q388" s="84" t="s">
        <v>1132</v>
      </c>
      <c r="R388" s="81" t="s">
        <v>287</v>
      </c>
      <c r="S388" s="81" t="s">
        <v>1616</v>
      </c>
      <c r="T388" s="86" t="str">
        <f>HYPERLINK("http://www.youtube.com/channel/UCbUhO-tut97b5IQhZ3i7TMA")</f>
        <v>http://www.youtube.com/channel/UCbUhO-tut97b5IQhZ3i7TMA</v>
      </c>
      <c r="U388" s="81" t="s">
        <v>2181</v>
      </c>
      <c r="V388" s="81" t="s">
        <v>2315</v>
      </c>
      <c r="W388" s="86" t="str">
        <f>HYPERLINK("https://www.youtube.com/watch?v=JCTlws1bpAY")</f>
        <v>https://www.youtube.com/watch?v=JCTlws1bpAY</v>
      </c>
      <c r="X388" s="81" t="s">
        <v>2335</v>
      </c>
      <c r="Y388" s="81">
        <v>0</v>
      </c>
      <c r="Z388" s="81" t="s">
        <v>2471</v>
      </c>
      <c r="AA388" s="81" t="s">
        <v>2471</v>
      </c>
      <c r="AB388" s="81"/>
      <c r="AC388" s="81"/>
      <c r="AD388" s="84" t="s">
        <v>2782</v>
      </c>
      <c r="AE388" s="82">
        <v>1</v>
      </c>
      <c r="AF388" s="83" t="str">
        <f>REPLACE(INDEX(GroupVertices[Group],MATCH(Edges[[#This Row],[Vertex 1]],GroupVertices[Vertex],0)),1,1,"")</f>
        <v>1</v>
      </c>
      <c r="AG388" s="83" t="str">
        <f>REPLACE(INDEX(GroupVertices[Group],MATCH(Edges[[#This Row],[Vertex 2]],GroupVertices[Vertex],0)),1,1,"")</f>
        <v>1</v>
      </c>
      <c r="AH388" s="111">
        <v>1</v>
      </c>
      <c r="AI388" s="112">
        <v>33.333333333333336</v>
      </c>
      <c r="AJ388" s="111">
        <v>0</v>
      </c>
      <c r="AK388" s="112">
        <v>0</v>
      </c>
      <c r="AL388" s="111">
        <v>0</v>
      </c>
      <c r="AM388" s="112">
        <v>0</v>
      </c>
      <c r="AN388" s="111">
        <v>2</v>
      </c>
      <c r="AO388" s="112">
        <v>66.66666666666667</v>
      </c>
      <c r="AP388" s="111">
        <v>3</v>
      </c>
    </row>
    <row r="389" spans="1:42" ht="15">
      <c r="A389" s="65" t="s">
        <v>495</v>
      </c>
      <c r="B389" s="65" t="s">
        <v>287</v>
      </c>
      <c r="C389" s="66" t="s">
        <v>5345</v>
      </c>
      <c r="D389" s="67">
        <v>3</v>
      </c>
      <c r="E389" s="68"/>
      <c r="F389" s="69">
        <v>40</v>
      </c>
      <c r="G389" s="66"/>
      <c r="H389" s="70"/>
      <c r="I389" s="71"/>
      <c r="J389" s="71"/>
      <c r="K389" s="35" t="s">
        <v>66</v>
      </c>
      <c r="L389" s="79">
        <v>389</v>
      </c>
      <c r="M389" s="79"/>
      <c r="N389" s="73"/>
      <c r="O389" s="81" t="s">
        <v>760</v>
      </c>
      <c r="P389" s="81" t="s">
        <v>215</v>
      </c>
      <c r="Q389" s="84" t="s">
        <v>1133</v>
      </c>
      <c r="R389" s="81" t="s">
        <v>495</v>
      </c>
      <c r="S389" s="81" t="s">
        <v>1824</v>
      </c>
      <c r="T389" s="86" t="str">
        <f>HYPERLINK("http://www.youtube.com/channel/UCEgTYCufJRBb3RUzQG8kzcQ")</f>
        <v>http://www.youtube.com/channel/UCEgTYCufJRBb3RUzQG8kzcQ</v>
      </c>
      <c r="U389" s="81"/>
      <c r="V389" s="81" t="s">
        <v>2315</v>
      </c>
      <c r="W389" s="86" t="str">
        <f>HYPERLINK("https://www.youtube.com/watch?v=JCTlws1bpAY")</f>
        <v>https://www.youtube.com/watch?v=JCTlws1bpAY</v>
      </c>
      <c r="X389" s="81" t="s">
        <v>2335</v>
      </c>
      <c r="Y389" s="81">
        <v>1</v>
      </c>
      <c r="Z389" s="81" t="s">
        <v>2472</v>
      </c>
      <c r="AA389" s="81" t="s">
        <v>2472</v>
      </c>
      <c r="AB389" s="81"/>
      <c r="AC389" s="81"/>
      <c r="AD389" s="84" t="s">
        <v>2782</v>
      </c>
      <c r="AE389" s="82">
        <v>1</v>
      </c>
      <c r="AF389" s="83" t="str">
        <f>REPLACE(INDEX(GroupVertices[Group],MATCH(Edges[[#This Row],[Vertex 1]],GroupVertices[Vertex],0)),1,1,"")</f>
        <v>1</v>
      </c>
      <c r="AG389" s="83" t="str">
        <f>REPLACE(INDEX(GroupVertices[Group],MATCH(Edges[[#This Row],[Vertex 2]],GroupVertices[Vertex],0)),1,1,"")</f>
        <v>1</v>
      </c>
      <c r="AH389" s="111">
        <v>2</v>
      </c>
      <c r="AI389" s="112">
        <v>25</v>
      </c>
      <c r="AJ389" s="111">
        <v>0</v>
      </c>
      <c r="AK389" s="112">
        <v>0</v>
      </c>
      <c r="AL389" s="111">
        <v>0</v>
      </c>
      <c r="AM389" s="112">
        <v>0</v>
      </c>
      <c r="AN389" s="111">
        <v>6</v>
      </c>
      <c r="AO389" s="112">
        <v>75</v>
      </c>
      <c r="AP389" s="111">
        <v>8</v>
      </c>
    </row>
    <row r="390" spans="1:42" ht="15">
      <c r="A390" s="65" t="s">
        <v>496</v>
      </c>
      <c r="B390" s="65" t="s">
        <v>287</v>
      </c>
      <c r="C390" s="66" t="s">
        <v>5346</v>
      </c>
      <c r="D390" s="67">
        <v>10</v>
      </c>
      <c r="E390" s="68"/>
      <c r="F390" s="69">
        <v>15</v>
      </c>
      <c r="G390" s="66"/>
      <c r="H390" s="70"/>
      <c r="I390" s="71"/>
      <c r="J390" s="71"/>
      <c r="K390" s="35" t="s">
        <v>66</v>
      </c>
      <c r="L390" s="79">
        <v>390</v>
      </c>
      <c r="M390" s="79"/>
      <c r="N390" s="73"/>
      <c r="O390" s="81" t="s">
        <v>760</v>
      </c>
      <c r="P390" s="81" t="s">
        <v>215</v>
      </c>
      <c r="Q390" s="84" t="s">
        <v>1134</v>
      </c>
      <c r="R390" s="81" t="s">
        <v>496</v>
      </c>
      <c r="S390" s="81" t="s">
        <v>1825</v>
      </c>
      <c r="T390" s="86" t="str">
        <f>HYPERLINK("http://www.youtube.com/channel/UCYapclnqWCYdJ9UA0MBCXeQ")</f>
        <v>http://www.youtube.com/channel/UCYapclnqWCYdJ9UA0MBCXeQ</v>
      </c>
      <c r="U390" s="81"/>
      <c r="V390" s="81" t="s">
        <v>2313</v>
      </c>
      <c r="W390" s="86" t="str">
        <f>HYPERLINK("https://www.youtube.com/watch?v=-EA6GvKa0EA")</f>
        <v>https://www.youtube.com/watch?v=-EA6GvKa0EA</v>
      </c>
      <c r="X390" s="81" t="s">
        <v>2335</v>
      </c>
      <c r="Y390" s="81">
        <v>1</v>
      </c>
      <c r="Z390" s="81" t="s">
        <v>2473</v>
      </c>
      <c r="AA390" s="81" t="s">
        <v>2473</v>
      </c>
      <c r="AB390" s="81"/>
      <c r="AC390" s="81"/>
      <c r="AD390" s="84" t="s">
        <v>2782</v>
      </c>
      <c r="AE390" s="82">
        <v>2</v>
      </c>
      <c r="AF390" s="83" t="str">
        <f>REPLACE(INDEX(GroupVertices[Group],MATCH(Edges[[#This Row],[Vertex 1]],GroupVertices[Vertex],0)),1,1,"")</f>
        <v>1</v>
      </c>
      <c r="AG390" s="83" t="str">
        <f>REPLACE(INDEX(GroupVertices[Group],MATCH(Edges[[#This Row],[Vertex 2]],GroupVertices[Vertex],0)),1,1,"")</f>
        <v>1</v>
      </c>
      <c r="AH390" s="111">
        <v>1</v>
      </c>
      <c r="AI390" s="112">
        <v>2.127659574468085</v>
      </c>
      <c r="AJ390" s="111">
        <v>0</v>
      </c>
      <c r="AK390" s="112">
        <v>0</v>
      </c>
      <c r="AL390" s="111">
        <v>0</v>
      </c>
      <c r="AM390" s="112">
        <v>0</v>
      </c>
      <c r="AN390" s="111">
        <v>46</v>
      </c>
      <c r="AO390" s="112">
        <v>97.87234042553192</v>
      </c>
      <c r="AP390" s="111">
        <v>47</v>
      </c>
    </row>
    <row r="391" spans="1:42" ht="15">
      <c r="A391" s="65" t="s">
        <v>287</v>
      </c>
      <c r="B391" s="65" t="s">
        <v>496</v>
      </c>
      <c r="C391" s="66" t="s">
        <v>5345</v>
      </c>
      <c r="D391" s="67">
        <v>3</v>
      </c>
      <c r="E391" s="68"/>
      <c r="F391" s="69">
        <v>40</v>
      </c>
      <c r="G391" s="66"/>
      <c r="H391" s="70"/>
      <c r="I391" s="71"/>
      <c r="J391" s="71"/>
      <c r="K391" s="35" t="s">
        <v>66</v>
      </c>
      <c r="L391" s="79">
        <v>391</v>
      </c>
      <c r="M391" s="79"/>
      <c r="N391" s="73"/>
      <c r="O391" s="81" t="s">
        <v>761</v>
      </c>
      <c r="P391" s="81" t="s">
        <v>763</v>
      </c>
      <c r="Q391" s="84" t="s">
        <v>1135</v>
      </c>
      <c r="R391" s="81" t="s">
        <v>287</v>
      </c>
      <c r="S391" s="81" t="s">
        <v>1616</v>
      </c>
      <c r="T391" s="86" t="str">
        <f>HYPERLINK("http://www.youtube.com/channel/UCbUhO-tut97b5IQhZ3i7TMA")</f>
        <v>http://www.youtube.com/channel/UCbUhO-tut97b5IQhZ3i7TMA</v>
      </c>
      <c r="U391" s="81" t="s">
        <v>2182</v>
      </c>
      <c r="V391" s="81" t="s">
        <v>2315</v>
      </c>
      <c r="W391" s="86" t="str">
        <f>HYPERLINK("https://www.youtube.com/watch?v=JCTlws1bpAY")</f>
        <v>https://www.youtube.com/watch?v=JCTlws1bpAY</v>
      </c>
      <c r="X391" s="81" t="s">
        <v>2335</v>
      </c>
      <c r="Y391" s="81">
        <v>0</v>
      </c>
      <c r="Z391" s="81" t="s">
        <v>2474</v>
      </c>
      <c r="AA391" s="81" t="s">
        <v>2474</v>
      </c>
      <c r="AB391" s="81"/>
      <c r="AC391" s="81"/>
      <c r="AD391" s="84" t="s">
        <v>2782</v>
      </c>
      <c r="AE391" s="82">
        <v>1</v>
      </c>
      <c r="AF391" s="83" t="str">
        <f>REPLACE(INDEX(GroupVertices[Group],MATCH(Edges[[#This Row],[Vertex 1]],GroupVertices[Vertex],0)),1,1,"")</f>
        <v>1</v>
      </c>
      <c r="AG391" s="83" t="str">
        <f>REPLACE(INDEX(GroupVertices[Group],MATCH(Edges[[#This Row],[Vertex 2]],GroupVertices[Vertex],0)),1,1,"")</f>
        <v>1</v>
      </c>
      <c r="AH391" s="111">
        <v>1</v>
      </c>
      <c r="AI391" s="112">
        <v>5.882352941176471</v>
      </c>
      <c r="AJ391" s="111">
        <v>0</v>
      </c>
      <c r="AK391" s="112">
        <v>0</v>
      </c>
      <c r="AL391" s="111">
        <v>0</v>
      </c>
      <c r="AM391" s="112">
        <v>0</v>
      </c>
      <c r="AN391" s="111">
        <v>16</v>
      </c>
      <c r="AO391" s="112">
        <v>94.11764705882354</v>
      </c>
      <c r="AP391" s="111">
        <v>17</v>
      </c>
    </row>
    <row r="392" spans="1:42" ht="15">
      <c r="A392" s="65" t="s">
        <v>496</v>
      </c>
      <c r="B392" s="65" t="s">
        <v>287</v>
      </c>
      <c r="C392" s="66" t="s">
        <v>5346</v>
      </c>
      <c r="D392" s="67">
        <v>10</v>
      </c>
      <c r="E392" s="68"/>
      <c r="F392" s="69">
        <v>15</v>
      </c>
      <c r="G392" s="66"/>
      <c r="H392" s="70"/>
      <c r="I392" s="71"/>
      <c r="J392" s="71"/>
      <c r="K392" s="35" t="s">
        <v>66</v>
      </c>
      <c r="L392" s="79">
        <v>392</v>
      </c>
      <c r="M392" s="79"/>
      <c r="N392" s="73"/>
      <c r="O392" s="81" t="s">
        <v>760</v>
      </c>
      <c r="P392" s="81" t="s">
        <v>215</v>
      </c>
      <c r="Q392" s="84" t="s">
        <v>1134</v>
      </c>
      <c r="R392" s="81" t="s">
        <v>496</v>
      </c>
      <c r="S392" s="81" t="s">
        <v>1825</v>
      </c>
      <c r="T392" s="86" t="str">
        <f>HYPERLINK("http://www.youtube.com/channel/UCYapclnqWCYdJ9UA0MBCXeQ")</f>
        <v>http://www.youtube.com/channel/UCYapclnqWCYdJ9UA0MBCXeQ</v>
      </c>
      <c r="U392" s="81"/>
      <c r="V392" s="81" t="s">
        <v>2315</v>
      </c>
      <c r="W392" s="86" t="str">
        <f>HYPERLINK("https://www.youtube.com/watch?v=JCTlws1bpAY")</f>
        <v>https://www.youtube.com/watch?v=JCTlws1bpAY</v>
      </c>
      <c r="X392" s="81" t="s">
        <v>2335</v>
      </c>
      <c r="Y392" s="81">
        <v>0</v>
      </c>
      <c r="Z392" s="81" t="s">
        <v>2475</v>
      </c>
      <c r="AA392" s="81" t="s">
        <v>2475</v>
      </c>
      <c r="AB392" s="81"/>
      <c r="AC392" s="81"/>
      <c r="AD392" s="84" t="s">
        <v>2782</v>
      </c>
      <c r="AE392" s="82">
        <v>2</v>
      </c>
      <c r="AF392" s="83" t="str">
        <f>REPLACE(INDEX(GroupVertices[Group],MATCH(Edges[[#This Row],[Vertex 1]],GroupVertices[Vertex],0)),1,1,"")</f>
        <v>1</v>
      </c>
      <c r="AG392" s="83" t="str">
        <f>REPLACE(INDEX(GroupVertices[Group],MATCH(Edges[[#This Row],[Vertex 2]],GroupVertices[Vertex],0)),1,1,"")</f>
        <v>1</v>
      </c>
      <c r="AH392" s="111">
        <v>1</v>
      </c>
      <c r="AI392" s="112">
        <v>2.127659574468085</v>
      </c>
      <c r="AJ392" s="111">
        <v>0</v>
      </c>
      <c r="AK392" s="112">
        <v>0</v>
      </c>
      <c r="AL392" s="111">
        <v>0</v>
      </c>
      <c r="AM392" s="112">
        <v>0</v>
      </c>
      <c r="AN392" s="111">
        <v>46</v>
      </c>
      <c r="AO392" s="112">
        <v>97.87234042553192</v>
      </c>
      <c r="AP392" s="111">
        <v>47</v>
      </c>
    </row>
    <row r="393" spans="1:42" ht="15">
      <c r="A393" s="65" t="s">
        <v>287</v>
      </c>
      <c r="B393" s="65" t="s">
        <v>497</v>
      </c>
      <c r="C393" s="66" t="s">
        <v>5345</v>
      </c>
      <c r="D393" s="67">
        <v>3</v>
      </c>
      <c r="E393" s="68"/>
      <c r="F393" s="69">
        <v>40</v>
      </c>
      <c r="G393" s="66"/>
      <c r="H393" s="70"/>
      <c r="I393" s="71"/>
      <c r="J393" s="71"/>
      <c r="K393" s="35" t="s">
        <v>66</v>
      </c>
      <c r="L393" s="79">
        <v>393</v>
      </c>
      <c r="M393" s="79"/>
      <c r="N393" s="73"/>
      <c r="O393" s="81" t="s">
        <v>761</v>
      </c>
      <c r="P393" s="81" t="s">
        <v>763</v>
      </c>
      <c r="Q393" s="84" t="s">
        <v>1052</v>
      </c>
      <c r="R393" s="81" t="s">
        <v>287</v>
      </c>
      <c r="S393" s="81" t="s">
        <v>1616</v>
      </c>
      <c r="T393" s="86" t="str">
        <f>HYPERLINK("http://www.youtube.com/channel/UCbUhO-tut97b5IQhZ3i7TMA")</f>
        <v>http://www.youtube.com/channel/UCbUhO-tut97b5IQhZ3i7TMA</v>
      </c>
      <c r="U393" s="81" t="s">
        <v>2183</v>
      </c>
      <c r="V393" s="81" t="s">
        <v>2315</v>
      </c>
      <c r="W393" s="86" t="str">
        <f>HYPERLINK("https://www.youtube.com/watch?v=JCTlws1bpAY")</f>
        <v>https://www.youtube.com/watch?v=JCTlws1bpAY</v>
      </c>
      <c r="X393" s="81" t="s">
        <v>2335</v>
      </c>
      <c r="Y393" s="81">
        <v>0</v>
      </c>
      <c r="Z393" s="81" t="s">
        <v>2476</v>
      </c>
      <c r="AA393" s="81" t="s">
        <v>2476</v>
      </c>
      <c r="AB393" s="81"/>
      <c r="AC393" s="81"/>
      <c r="AD393" s="84" t="s">
        <v>2782</v>
      </c>
      <c r="AE393" s="82">
        <v>1</v>
      </c>
      <c r="AF393" s="83" t="str">
        <f>REPLACE(INDEX(GroupVertices[Group],MATCH(Edges[[#This Row],[Vertex 1]],GroupVertices[Vertex],0)),1,1,"")</f>
        <v>1</v>
      </c>
      <c r="AG393" s="83" t="str">
        <f>REPLACE(INDEX(GroupVertices[Group],MATCH(Edges[[#This Row],[Vertex 2]],GroupVertices[Vertex],0)),1,1,"")</f>
        <v>1</v>
      </c>
      <c r="AH393" s="111">
        <v>1</v>
      </c>
      <c r="AI393" s="112">
        <v>50</v>
      </c>
      <c r="AJ393" s="111">
        <v>0</v>
      </c>
      <c r="AK393" s="112">
        <v>0</v>
      </c>
      <c r="AL393" s="111">
        <v>0</v>
      </c>
      <c r="AM393" s="112">
        <v>0</v>
      </c>
      <c r="AN393" s="111">
        <v>1</v>
      </c>
      <c r="AO393" s="112">
        <v>50</v>
      </c>
      <c r="AP393" s="111">
        <v>2</v>
      </c>
    </row>
    <row r="394" spans="1:42" ht="15">
      <c r="A394" s="65" t="s">
        <v>497</v>
      </c>
      <c r="B394" s="65" t="s">
        <v>287</v>
      </c>
      <c r="C394" s="66" t="s">
        <v>5345</v>
      </c>
      <c r="D394" s="67">
        <v>3</v>
      </c>
      <c r="E394" s="68"/>
      <c r="F394" s="69">
        <v>40</v>
      </c>
      <c r="G394" s="66"/>
      <c r="H394" s="70"/>
      <c r="I394" s="71"/>
      <c r="J394" s="71"/>
      <c r="K394" s="35" t="s">
        <v>66</v>
      </c>
      <c r="L394" s="79">
        <v>394</v>
      </c>
      <c r="M394" s="79"/>
      <c r="N394" s="73"/>
      <c r="O394" s="81" t="s">
        <v>760</v>
      </c>
      <c r="P394" s="81" t="s">
        <v>215</v>
      </c>
      <c r="Q394" s="84" t="s">
        <v>1136</v>
      </c>
      <c r="R394" s="81" t="s">
        <v>497</v>
      </c>
      <c r="S394" s="81" t="s">
        <v>1826</v>
      </c>
      <c r="T394" s="86" t="str">
        <f>HYPERLINK("http://www.youtube.com/channel/UCoY9fSo-VCbx-X5IALS-KRg")</f>
        <v>http://www.youtube.com/channel/UCoY9fSo-VCbx-X5IALS-KRg</v>
      </c>
      <c r="U394" s="81"/>
      <c r="V394" s="81" t="s">
        <v>2315</v>
      </c>
      <c r="W394" s="86" t="str">
        <f>HYPERLINK("https://www.youtube.com/watch?v=JCTlws1bpAY")</f>
        <v>https://www.youtube.com/watch?v=JCTlws1bpAY</v>
      </c>
      <c r="X394" s="81" t="s">
        <v>2335</v>
      </c>
      <c r="Y394" s="81">
        <v>0</v>
      </c>
      <c r="Z394" s="81" t="s">
        <v>2477</v>
      </c>
      <c r="AA394" s="81" t="s">
        <v>2477</v>
      </c>
      <c r="AB394" s="81"/>
      <c r="AC394" s="81"/>
      <c r="AD394" s="84" t="s">
        <v>2782</v>
      </c>
      <c r="AE394" s="82">
        <v>1</v>
      </c>
      <c r="AF394" s="83" t="str">
        <f>REPLACE(INDEX(GroupVertices[Group],MATCH(Edges[[#This Row],[Vertex 1]],GroupVertices[Vertex],0)),1,1,"")</f>
        <v>1</v>
      </c>
      <c r="AG394" s="83" t="str">
        <f>REPLACE(INDEX(GroupVertices[Group],MATCH(Edges[[#This Row],[Vertex 2]],GroupVertices[Vertex],0)),1,1,"")</f>
        <v>1</v>
      </c>
      <c r="AH394" s="111">
        <v>1</v>
      </c>
      <c r="AI394" s="112">
        <v>100</v>
      </c>
      <c r="AJ394" s="111">
        <v>0</v>
      </c>
      <c r="AK394" s="112">
        <v>0</v>
      </c>
      <c r="AL394" s="111">
        <v>0</v>
      </c>
      <c r="AM394" s="112">
        <v>0</v>
      </c>
      <c r="AN394" s="111">
        <v>0</v>
      </c>
      <c r="AO394" s="112">
        <v>0</v>
      </c>
      <c r="AP394" s="111">
        <v>1</v>
      </c>
    </row>
    <row r="395" spans="1:42" ht="15">
      <c r="A395" s="65" t="s">
        <v>498</v>
      </c>
      <c r="B395" s="65" t="s">
        <v>287</v>
      </c>
      <c r="C395" s="66" t="s">
        <v>5345</v>
      </c>
      <c r="D395" s="67">
        <v>3</v>
      </c>
      <c r="E395" s="68"/>
      <c r="F395" s="69">
        <v>40</v>
      </c>
      <c r="G395" s="66"/>
      <c r="H395" s="70"/>
      <c r="I395" s="71"/>
      <c r="J395" s="71"/>
      <c r="K395" s="35" t="s">
        <v>65</v>
      </c>
      <c r="L395" s="79">
        <v>395</v>
      </c>
      <c r="M395" s="79"/>
      <c r="N395" s="73"/>
      <c r="O395" s="81" t="s">
        <v>760</v>
      </c>
      <c r="P395" s="81" t="s">
        <v>215</v>
      </c>
      <c r="Q395" s="84" t="s">
        <v>1137</v>
      </c>
      <c r="R395" s="81" t="s">
        <v>498</v>
      </c>
      <c r="S395" s="81" t="s">
        <v>1827</v>
      </c>
      <c r="T395" s="86" t="str">
        <f>HYPERLINK("http://www.youtube.com/channel/UCUGYNSGc5NL6y1g8jvaZ8Ig")</f>
        <v>http://www.youtube.com/channel/UCUGYNSGc5NL6y1g8jvaZ8Ig</v>
      </c>
      <c r="U395" s="81"/>
      <c r="V395" s="81" t="s">
        <v>2315</v>
      </c>
      <c r="W395" s="86" t="str">
        <f>HYPERLINK("https://www.youtube.com/watch?v=JCTlws1bpAY")</f>
        <v>https://www.youtube.com/watch?v=JCTlws1bpAY</v>
      </c>
      <c r="X395" s="81" t="s">
        <v>2335</v>
      </c>
      <c r="Y395" s="81">
        <v>0</v>
      </c>
      <c r="Z395" s="81" t="s">
        <v>2478</v>
      </c>
      <c r="AA395" s="81" t="s">
        <v>2478</v>
      </c>
      <c r="AB395" s="81"/>
      <c r="AC395" s="81"/>
      <c r="AD395" s="84" t="s">
        <v>2782</v>
      </c>
      <c r="AE395" s="82">
        <v>1</v>
      </c>
      <c r="AF395" s="83" t="str">
        <f>REPLACE(INDEX(GroupVertices[Group],MATCH(Edges[[#This Row],[Vertex 1]],GroupVertices[Vertex],0)),1,1,"")</f>
        <v>1</v>
      </c>
      <c r="AG395" s="83" t="str">
        <f>REPLACE(INDEX(GroupVertices[Group],MATCH(Edges[[#This Row],[Vertex 2]],GroupVertices[Vertex],0)),1,1,"")</f>
        <v>1</v>
      </c>
      <c r="AH395" s="111">
        <v>2</v>
      </c>
      <c r="AI395" s="112">
        <v>9.523809523809524</v>
      </c>
      <c r="AJ395" s="111">
        <v>0</v>
      </c>
      <c r="AK395" s="112">
        <v>0</v>
      </c>
      <c r="AL395" s="111">
        <v>0</v>
      </c>
      <c r="AM395" s="112">
        <v>0</v>
      </c>
      <c r="AN395" s="111">
        <v>19</v>
      </c>
      <c r="AO395" s="112">
        <v>90.47619047619048</v>
      </c>
      <c r="AP395" s="111">
        <v>21</v>
      </c>
    </row>
    <row r="396" spans="1:42" ht="15">
      <c r="A396" s="65" t="s">
        <v>499</v>
      </c>
      <c r="B396" s="65" t="s">
        <v>287</v>
      </c>
      <c r="C396" s="66" t="s">
        <v>5345</v>
      </c>
      <c r="D396" s="67">
        <v>3</v>
      </c>
      <c r="E396" s="68"/>
      <c r="F396" s="69">
        <v>40</v>
      </c>
      <c r="G396" s="66"/>
      <c r="H396" s="70"/>
      <c r="I396" s="71"/>
      <c r="J396" s="71"/>
      <c r="K396" s="35" t="s">
        <v>65</v>
      </c>
      <c r="L396" s="79">
        <v>396</v>
      </c>
      <c r="M396" s="79"/>
      <c r="N396" s="73"/>
      <c r="O396" s="81" t="s">
        <v>760</v>
      </c>
      <c r="P396" s="81" t="s">
        <v>215</v>
      </c>
      <c r="Q396" s="84" t="s">
        <v>1138</v>
      </c>
      <c r="R396" s="81" t="s">
        <v>499</v>
      </c>
      <c r="S396" s="81" t="s">
        <v>1828</v>
      </c>
      <c r="T396" s="86" t="str">
        <f>HYPERLINK("http://www.youtube.com/channel/UCb1CDQZ1SMWhRdNPBpjqk_A")</f>
        <v>http://www.youtube.com/channel/UCb1CDQZ1SMWhRdNPBpjqk_A</v>
      </c>
      <c r="U396" s="81"/>
      <c r="V396" s="81" t="s">
        <v>2315</v>
      </c>
      <c r="W396" s="86" t="str">
        <f>HYPERLINK("https://www.youtube.com/watch?v=JCTlws1bpAY")</f>
        <v>https://www.youtube.com/watch?v=JCTlws1bpAY</v>
      </c>
      <c r="X396" s="81" t="s">
        <v>2335</v>
      </c>
      <c r="Y396" s="81">
        <v>0</v>
      </c>
      <c r="Z396" s="81" t="s">
        <v>2479</v>
      </c>
      <c r="AA396" s="81" t="s">
        <v>2479</v>
      </c>
      <c r="AB396" s="81"/>
      <c r="AC396" s="81"/>
      <c r="AD396" s="84" t="s">
        <v>2782</v>
      </c>
      <c r="AE396" s="82">
        <v>1</v>
      </c>
      <c r="AF396" s="83" t="str">
        <f>REPLACE(INDEX(GroupVertices[Group],MATCH(Edges[[#This Row],[Vertex 1]],GroupVertices[Vertex],0)),1,1,"")</f>
        <v>1</v>
      </c>
      <c r="AG396" s="83" t="str">
        <f>REPLACE(INDEX(GroupVertices[Group],MATCH(Edges[[#This Row],[Vertex 2]],GroupVertices[Vertex],0)),1,1,"")</f>
        <v>1</v>
      </c>
      <c r="AH396" s="111">
        <v>1</v>
      </c>
      <c r="AI396" s="112">
        <v>2.272727272727273</v>
      </c>
      <c r="AJ396" s="111">
        <v>3</v>
      </c>
      <c r="AK396" s="112">
        <v>6.818181818181818</v>
      </c>
      <c r="AL396" s="111">
        <v>0</v>
      </c>
      <c r="AM396" s="112">
        <v>0</v>
      </c>
      <c r="AN396" s="111">
        <v>40</v>
      </c>
      <c r="AO396" s="112">
        <v>90.9090909090909</v>
      </c>
      <c r="AP396" s="111">
        <v>44</v>
      </c>
    </row>
    <row r="397" spans="1:42" ht="15">
      <c r="A397" s="65" t="s">
        <v>500</v>
      </c>
      <c r="B397" s="65" t="s">
        <v>287</v>
      </c>
      <c r="C397" s="66" t="s">
        <v>5345</v>
      </c>
      <c r="D397" s="67">
        <v>3</v>
      </c>
      <c r="E397" s="68"/>
      <c r="F397" s="69">
        <v>40</v>
      </c>
      <c r="G397" s="66"/>
      <c r="H397" s="70"/>
      <c r="I397" s="71"/>
      <c r="J397" s="71"/>
      <c r="K397" s="35" t="s">
        <v>65</v>
      </c>
      <c r="L397" s="79">
        <v>397</v>
      </c>
      <c r="M397" s="79"/>
      <c r="N397" s="73"/>
      <c r="O397" s="81" t="s">
        <v>760</v>
      </c>
      <c r="P397" s="81" t="s">
        <v>215</v>
      </c>
      <c r="Q397" s="84" t="s">
        <v>1139</v>
      </c>
      <c r="R397" s="81" t="s">
        <v>500</v>
      </c>
      <c r="S397" s="81" t="s">
        <v>1829</v>
      </c>
      <c r="T397" s="86" t="str">
        <f>HYPERLINK("http://www.youtube.com/channel/UCC7sJIpRIAYS5Ve_iqzMwHA")</f>
        <v>http://www.youtube.com/channel/UCC7sJIpRIAYS5Ve_iqzMwHA</v>
      </c>
      <c r="U397" s="81"/>
      <c r="V397" s="81" t="s">
        <v>2315</v>
      </c>
      <c r="W397" s="86" t="str">
        <f>HYPERLINK("https://www.youtube.com/watch?v=JCTlws1bpAY")</f>
        <v>https://www.youtube.com/watch?v=JCTlws1bpAY</v>
      </c>
      <c r="X397" s="81" t="s">
        <v>2335</v>
      </c>
      <c r="Y397" s="81">
        <v>1</v>
      </c>
      <c r="Z397" s="81" t="s">
        <v>2480</v>
      </c>
      <c r="AA397" s="81" t="s">
        <v>2480</v>
      </c>
      <c r="AB397" s="81"/>
      <c r="AC397" s="81"/>
      <c r="AD397" s="84" t="s">
        <v>2782</v>
      </c>
      <c r="AE397" s="82">
        <v>1</v>
      </c>
      <c r="AF397" s="83" t="str">
        <f>REPLACE(INDEX(GroupVertices[Group],MATCH(Edges[[#This Row],[Vertex 1]],GroupVertices[Vertex],0)),1,1,"")</f>
        <v>1</v>
      </c>
      <c r="AG397" s="83" t="str">
        <f>REPLACE(INDEX(GroupVertices[Group],MATCH(Edges[[#This Row],[Vertex 2]],GroupVertices[Vertex],0)),1,1,"")</f>
        <v>1</v>
      </c>
      <c r="AH397" s="111">
        <v>3</v>
      </c>
      <c r="AI397" s="112">
        <v>9.090909090909092</v>
      </c>
      <c r="AJ397" s="111">
        <v>1</v>
      </c>
      <c r="AK397" s="112">
        <v>3.0303030303030303</v>
      </c>
      <c r="AL397" s="111">
        <v>0</v>
      </c>
      <c r="AM397" s="112">
        <v>0</v>
      </c>
      <c r="AN397" s="111">
        <v>29</v>
      </c>
      <c r="AO397" s="112">
        <v>87.87878787878788</v>
      </c>
      <c r="AP397" s="111">
        <v>33</v>
      </c>
    </row>
    <row r="398" spans="1:42" ht="15">
      <c r="A398" s="65" t="s">
        <v>501</v>
      </c>
      <c r="B398" s="65" t="s">
        <v>287</v>
      </c>
      <c r="C398" s="66" t="s">
        <v>5346</v>
      </c>
      <c r="D398" s="67">
        <v>10</v>
      </c>
      <c r="E398" s="68"/>
      <c r="F398" s="69">
        <v>15</v>
      </c>
      <c r="G398" s="66"/>
      <c r="H398" s="70"/>
      <c r="I398" s="71"/>
      <c r="J398" s="71"/>
      <c r="K398" s="35" t="s">
        <v>65</v>
      </c>
      <c r="L398" s="79">
        <v>398</v>
      </c>
      <c r="M398" s="79"/>
      <c r="N398" s="73"/>
      <c r="O398" s="81" t="s">
        <v>760</v>
      </c>
      <c r="P398" s="81" t="s">
        <v>215</v>
      </c>
      <c r="Q398" s="84" t="s">
        <v>1140</v>
      </c>
      <c r="R398" s="81" t="s">
        <v>501</v>
      </c>
      <c r="S398" s="81" t="s">
        <v>1830</v>
      </c>
      <c r="T398" s="86" t="str">
        <f>HYPERLINK("http://www.youtube.com/channel/UC4V_OcROgwAITFs46GdU0Hw")</f>
        <v>http://www.youtube.com/channel/UC4V_OcROgwAITFs46GdU0Hw</v>
      </c>
      <c r="U398" s="81"/>
      <c r="V398" s="81" t="s">
        <v>2313</v>
      </c>
      <c r="W398" s="86" t="str">
        <f>HYPERLINK("https://www.youtube.com/watch?v=-EA6GvKa0EA")</f>
        <v>https://www.youtube.com/watch?v=-EA6GvKa0EA</v>
      </c>
      <c r="X398" s="81" t="s">
        <v>2335</v>
      </c>
      <c r="Y398" s="81">
        <v>0</v>
      </c>
      <c r="Z398" s="81" t="s">
        <v>2481</v>
      </c>
      <c r="AA398" s="81" t="s">
        <v>2481</v>
      </c>
      <c r="AB398" s="81"/>
      <c r="AC398" s="81"/>
      <c r="AD398" s="84" t="s">
        <v>2782</v>
      </c>
      <c r="AE398" s="82">
        <v>2</v>
      </c>
      <c r="AF398" s="83" t="str">
        <f>REPLACE(INDEX(GroupVertices[Group],MATCH(Edges[[#This Row],[Vertex 1]],GroupVertices[Vertex],0)),1,1,"")</f>
        <v>1</v>
      </c>
      <c r="AG398" s="83" t="str">
        <f>REPLACE(INDEX(GroupVertices[Group],MATCH(Edges[[#This Row],[Vertex 2]],GroupVertices[Vertex],0)),1,1,"")</f>
        <v>1</v>
      </c>
      <c r="AH398" s="111">
        <v>2</v>
      </c>
      <c r="AI398" s="112">
        <v>66.66666666666667</v>
      </c>
      <c r="AJ398" s="111">
        <v>0</v>
      </c>
      <c r="AK398" s="112">
        <v>0</v>
      </c>
      <c r="AL398" s="111">
        <v>0</v>
      </c>
      <c r="AM398" s="112">
        <v>0</v>
      </c>
      <c r="AN398" s="111">
        <v>1</v>
      </c>
      <c r="AO398" s="112">
        <v>33.333333333333336</v>
      </c>
      <c r="AP398" s="111">
        <v>3</v>
      </c>
    </row>
    <row r="399" spans="1:42" ht="15">
      <c r="A399" s="65" t="s">
        <v>501</v>
      </c>
      <c r="B399" s="65" t="s">
        <v>287</v>
      </c>
      <c r="C399" s="66" t="s">
        <v>5346</v>
      </c>
      <c r="D399" s="67">
        <v>10</v>
      </c>
      <c r="E399" s="68"/>
      <c r="F399" s="69">
        <v>15</v>
      </c>
      <c r="G399" s="66"/>
      <c r="H399" s="70"/>
      <c r="I399" s="71"/>
      <c r="J399" s="71"/>
      <c r="K399" s="35" t="s">
        <v>65</v>
      </c>
      <c r="L399" s="79">
        <v>399</v>
      </c>
      <c r="M399" s="79"/>
      <c r="N399" s="73"/>
      <c r="O399" s="81" t="s">
        <v>760</v>
      </c>
      <c r="P399" s="81" t="s">
        <v>215</v>
      </c>
      <c r="Q399" s="84" t="s">
        <v>1141</v>
      </c>
      <c r="R399" s="81" t="s">
        <v>501</v>
      </c>
      <c r="S399" s="81" t="s">
        <v>1830</v>
      </c>
      <c r="T399" s="86" t="str">
        <f>HYPERLINK("http://www.youtube.com/channel/UC4V_OcROgwAITFs46GdU0Hw")</f>
        <v>http://www.youtube.com/channel/UC4V_OcROgwAITFs46GdU0Hw</v>
      </c>
      <c r="U399" s="81"/>
      <c r="V399" s="81" t="s">
        <v>2315</v>
      </c>
      <c r="W399" s="86" t="str">
        <f>HYPERLINK("https://www.youtube.com/watch?v=JCTlws1bpAY")</f>
        <v>https://www.youtube.com/watch?v=JCTlws1bpAY</v>
      </c>
      <c r="X399" s="81" t="s">
        <v>2335</v>
      </c>
      <c r="Y399" s="81">
        <v>0</v>
      </c>
      <c r="Z399" s="81" t="s">
        <v>2482</v>
      </c>
      <c r="AA399" s="81" t="s">
        <v>2482</v>
      </c>
      <c r="AB399" s="81"/>
      <c r="AC399" s="81"/>
      <c r="AD399" s="84" t="s">
        <v>2782</v>
      </c>
      <c r="AE399" s="82">
        <v>2</v>
      </c>
      <c r="AF399" s="83" t="str">
        <f>REPLACE(INDEX(GroupVertices[Group],MATCH(Edges[[#This Row],[Vertex 1]],GroupVertices[Vertex],0)),1,1,"")</f>
        <v>1</v>
      </c>
      <c r="AG399" s="83" t="str">
        <f>REPLACE(INDEX(GroupVertices[Group],MATCH(Edges[[#This Row],[Vertex 2]],GroupVertices[Vertex],0)),1,1,"")</f>
        <v>1</v>
      </c>
      <c r="AH399" s="111">
        <v>2</v>
      </c>
      <c r="AI399" s="112">
        <v>28.571428571428573</v>
      </c>
      <c r="AJ399" s="111">
        <v>0</v>
      </c>
      <c r="AK399" s="112">
        <v>0</v>
      </c>
      <c r="AL399" s="111">
        <v>0</v>
      </c>
      <c r="AM399" s="112">
        <v>0</v>
      </c>
      <c r="AN399" s="111">
        <v>5</v>
      </c>
      <c r="AO399" s="112">
        <v>71.42857142857143</v>
      </c>
      <c r="AP399" s="111">
        <v>7</v>
      </c>
    </row>
    <row r="400" spans="1:42" ht="15">
      <c r="A400" s="65" t="s">
        <v>502</v>
      </c>
      <c r="B400" s="65" t="s">
        <v>287</v>
      </c>
      <c r="C400" s="66" t="s">
        <v>5345</v>
      </c>
      <c r="D400" s="67">
        <v>3</v>
      </c>
      <c r="E400" s="68"/>
      <c r="F400" s="69">
        <v>40</v>
      </c>
      <c r="G400" s="66"/>
      <c r="H400" s="70"/>
      <c r="I400" s="71"/>
      <c r="J400" s="71"/>
      <c r="K400" s="35" t="s">
        <v>65</v>
      </c>
      <c r="L400" s="79">
        <v>400</v>
      </c>
      <c r="M400" s="79"/>
      <c r="N400" s="73"/>
      <c r="O400" s="81" t="s">
        <v>760</v>
      </c>
      <c r="P400" s="81" t="s">
        <v>215</v>
      </c>
      <c r="Q400" s="84" t="s">
        <v>1142</v>
      </c>
      <c r="R400" s="81" t="s">
        <v>502</v>
      </c>
      <c r="S400" s="81" t="s">
        <v>1831</v>
      </c>
      <c r="T400" s="86" t="str">
        <f>HYPERLINK("http://www.youtube.com/channel/UCJKBWpRL_vVj9nNbVGa9t7g")</f>
        <v>http://www.youtube.com/channel/UCJKBWpRL_vVj9nNbVGa9t7g</v>
      </c>
      <c r="U400" s="81"/>
      <c r="V400" s="81" t="s">
        <v>2315</v>
      </c>
      <c r="W400" s="86" t="str">
        <f>HYPERLINK("https://www.youtube.com/watch?v=JCTlws1bpAY")</f>
        <v>https://www.youtube.com/watch?v=JCTlws1bpAY</v>
      </c>
      <c r="X400" s="81" t="s">
        <v>2335</v>
      </c>
      <c r="Y400" s="81">
        <v>1</v>
      </c>
      <c r="Z400" s="88">
        <v>43556.85083333333</v>
      </c>
      <c r="AA400" s="88">
        <v>43556.85083333333</v>
      </c>
      <c r="AB400" s="81"/>
      <c r="AC400" s="81"/>
      <c r="AD400" s="84" t="s">
        <v>2782</v>
      </c>
      <c r="AE400" s="82">
        <v>1</v>
      </c>
      <c r="AF400" s="83" t="str">
        <f>REPLACE(INDEX(GroupVertices[Group],MATCH(Edges[[#This Row],[Vertex 1]],GroupVertices[Vertex],0)),1,1,"")</f>
        <v>1</v>
      </c>
      <c r="AG400" s="83" t="str">
        <f>REPLACE(INDEX(GroupVertices[Group],MATCH(Edges[[#This Row],[Vertex 2]],GroupVertices[Vertex],0)),1,1,"")</f>
        <v>1</v>
      </c>
      <c r="AH400" s="111">
        <v>1</v>
      </c>
      <c r="AI400" s="112">
        <v>7.6923076923076925</v>
      </c>
      <c r="AJ400" s="111">
        <v>0</v>
      </c>
      <c r="AK400" s="112">
        <v>0</v>
      </c>
      <c r="AL400" s="111">
        <v>0</v>
      </c>
      <c r="AM400" s="112">
        <v>0</v>
      </c>
      <c r="AN400" s="111">
        <v>12</v>
      </c>
      <c r="AO400" s="112">
        <v>92.3076923076923</v>
      </c>
      <c r="AP400" s="111">
        <v>13</v>
      </c>
    </row>
    <row r="401" spans="1:42" ht="15">
      <c r="A401" s="65" t="s">
        <v>287</v>
      </c>
      <c r="B401" s="65" t="s">
        <v>503</v>
      </c>
      <c r="C401" s="66" t="s">
        <v>5345</v>
      </c>
      <c r="D401" s="67">
        <v>3</v>
      </c>
      <c r="E401" s="68"/>
      <c r="F401" s="69">
        <v>40</v>
      </c>
      <c r="G401" s="66"/>
      <c r="H401" s="70"/>
      <c r="I401" s="71"/>
      <c r="J401" s="71"/>
      <c r="K401" s="35" t="s">
        <v>66</v>
      </c>
      <c r="L401" s="79">
        <v>401</v>
      </c>
      <c r="M401" s="79"/>
      <c r="N401" s="73"/>
      <c r="O401" s="81" t="s">
        <v>761</v>
      </c>
      <c r="P401" s="81" t="s">
        <v>763</v>
      </c>
      <c r="Q401" s="84" t="s">
        <v>1143</v>
      </c>
      <c r="R401" s="81" t="s">
        <v>287</v>
      </c>
      <c r="S401" s="81" t="s">
        <v>1616</v>
      </c>
      <c r="T401" s="86" t="str">
        <f>HYPERLINK("http://www.youtube.com/channel/UCbUhO-tut97b5IQhZ3i7TMA")</f>
        <v>http://www.youtube.com/channel/UCbUhO-tut97b5IQhZ3i7TMA</v>
      </c>
      <c r="U401" s="81" t="s">
        <v>2184</v>
      </c>
      <c r="V401" s="81" t="s">
        <v>2315</v>
      </c>
      <c r="W401" s="86" t="str">
        <f>HYPERLINK("https://www.youtube.com/watch?v=JCTlws1bpAY")</f>
        <v>https://www.youtube.com/watch?v=JCTlws1bpAY</v>
      </c>
      <c r="X401" s="81" t="s">
        <v>2335</v>
      </c>
      <c r="Y401" s="81">
        <v>0</v>
      </c>
      <c r="Z401" s="81" t="s">
        <v>2483</v>
      </c>
      <c r="AA401" s="81" t="s">
        <v>2483</v>
      </c>
      <c r="AB401" s="81"/>
      <c r="AC401" s="81"/>
      <c r="AD401" s="84" t="s">
        <v>2782</v>
      </c>
      <c r="AE401" s="82">
        <v>1</v>
      </c>
      <c r="AF401" s="83" t="str">
        <f>REPLACE(INDEX(GroupVertices[Group],MATCH(Edges[[#This Row],[Vertex 1]],GroupVertices[Vertex],0)),1,1,"")</f>
        <v>1</v>
      </c>
      <c r="AG401" s="83" t="str">
        <f>REPLACE(INDEX(GroupVertices[Group],MATCH(Edges[[#This Row],[Vertex 2]],GroupVertices[Vertex],0)),1,1,"")</f>
        <v>1</v>
      </c>
      <c r="AH401" s="111">
        <v>1</v>
      </c>
      <c r="AI401" s="112">
        <v>16.666666666666668</v>
      </c>
      <c r="AJ401" s="111">
        <v>0</v>
      </c>
      <c r="AK401" s="112">
        <v>0</v>
      </c>
      <c r="AL401" s="111">
        <v>0</v>
      </c>
      <c r="AM401" s="112">
        <v>0</v>
      </c>
      <c r="AN401" s="111">
        <v>5</v>
      </c>
      <c r="AO401" s="112">
        <v>83.33333333333333</v>
      </c>
      <c r="AP401" s="111">
        <v>6</v>
      </c>
    </row>
    <row r="402" spans="1:42" ht="15">
      <c r="A402" s="65" t="s">
        <v>503</v>
      </c>
      <c r="B402" s="65" t="s">
        <v>287</v>
      </c>
      <c r="C402" s="66" t="s">
        <v>5345</v>
      </c>
      <c r="D402" s="67">
        <v>3</v>
      </c>
      <c r="E402" s="68"/>
      <c r="F402" s="69">
        <v>40</v>
      </c>
      <c r="G402" s="66"/>
      <c r="H402" s="70"/>
      <c r="I402" s="71"/>
      <c r="J402" s="71"/>
      <c r="K402" s="35" t="s">
        <v>66</v>
      </c>
      <c r="L402" s="79">
        <v>402</v>
      </c>
      <c r="M402" s="79"/>
      <c r="N402" s="73"/>
      <c r="O402" s="81" t="s">
        <v>760</v>
      </c>
      <c r="P402" s="81" t="s">
        <v>215</v>
      </c>
      <c r="Q402" s="84" t="s">
        <v>1144</v>
      </c>
      <c r="R402" s="81" t="s">
        <v>503</v>
      </c>
      <c r="S402" s="81" t="s">
        <v>1832</v>
      </c>
      <c r="T402" s="86" t="str">
        <f>HYPERLINK("http://www.youtube.com/channel/UCibEJyV5uJFMXGFqdk3sV2w")</f>
        <v>http://www.youtube.com/channel/UCibEJyV5uJFMXGFqdk3sV2w</v>
      </c>
      <c r="U402" s="81"/>
      <c r="V402" s="81" t="s">
        <v>2315</v>
      </c>
      <c r="W402" s="86" t="str">
        <f>HYPERLINK("https://www.youtube.com/watch?v=JCTlws1bpAY")</f>
        <v>https://www.youtube.com/watch?v=JCTlws1bpAY</v>
      </c>
      <c r="X402" s="81" t="s">
        <v>2335</v>
      </c>
      <c r="Y402" s="81">
        <v>0</v>
      </c>
      <c r="Z402" s="81" t="s">
        <v>2484</v>
      </c>
      <c r="AA402" s="81" t="s">
        <v>2484</v>
      </c>
      <c r="AB402" s="81"/>
      <c r="AC402" s="81"/>
      <c r="AD402" s="84" t="s">
        <v>2782</v>
      </c>
      <c r="AE402" s="82">
        <v>1</v>
      </c>
      <c r="AF402" s="83" t="str">
        <f>REPLACE(INDEX(GroupVertices[Group],MATCH(Edges[[#This Row],[Vertex 1]],GroupVertices[Vertex],0)),1,1,"")</f>
        <v>1</v>
      </c>
      <c r="AG402" s="83" t="str">
        <f>REPLACE(INDEX(GroupVertices[Group],MATCH(Edges[[#This Row],[Vertex 2]],GroupVertices[Vertex],0)),1,1,"")</f>
        <v>1</v>
      </c>
      <c r="AH402" s="111">
        <v>5</v>
      </c>
      <c r="AI402" s="112">
        <v>8.771929824561404</v>
      </c>
      <c r="AJ402" s="111">
        <v>0</v>
      </c>
      <c r="AK402" s="112">
        <v>0</v>
      </c>
      <c r="AL402" s="111">
        <v>0</v>
      </c>
      <c r="AM402" s="112">
        <v>0</v>
      </c>
      <c r="AN402" s="111">
        <v>52</v>
      </c>
      <c r="AO402" s="112">
        <v>91.2280701754386</v>
      </c>
      <c r="AP402" s="111">
        <v>57</v>
      </c>
    </row>
    <row r="403" spans="1:42" ht="15">
      <c r="A403" s="65" t="s">
        <v>504</v>
      </c>
      <c r="B403" s="65" t="s">
        <v>505</v>
      </c>
      <c r="C403" s="66" t="s">
        <v>5345</v>
      </c>
      <c r="D403" s="67">
        <v>3</v>
      </c>
      <c r="E403" s="68"/>
      <c r="F403" s="69">
        <v>40</v>
      </c>
      <c r="G403" s="66"/>
      <c r="H403" s="70"/>
      <c r="I403" s="71"/>
      <c r="J403" s="71"/>
      <c r="K403" s="35" t="s">
        <v>65</v>
      </c>
      <c r="L403" s="79">
        <v>403</v>
      </c>
      <c r="M403" s="79"/>
      <c r="N403" s="73"/>
      <c r="O403" s="81" t="s">
        <v>761</v>
      </c>
      <c r="P403" s="81" t="s">
        <v>763</v>
      </c>
      <c r="Q403" s="84" t="s">
        <v>1145</v>
      </c>
      <c r="R403" s="81" t="s">
        <v>504</v>
      </c>
      <c r="S403" s="81" t="s">
        <v>1833</v>
      </c>
      <c r="T403" s="86" t="str">
        <f>HYPERLINK("http://www.youtube.com/channel/UCzI_ZR5-_HfCNwfMC7YQnsw")</f>
        <v>http://www.youtube.com/channel/UCzI_ZR5-_HfCNwfMC7YQnsw</v>
      </c>
      <c r="U403" s="81" t="s">
        <v>2185</v>
      </c>
      <c r="V403" s="81" t="s">
        <v>2315</v>
      </c>
      <c r="W403" s="86" t="str">
        <f>HYPERLINK("https://www.youtube.com/watch?v=JCTlws1bpAY")</f>
        <v>https://www.youtube.com/watch?v=JCTlws1bpAY</v>
      </c>
      <c r="X403" s="81" t="s">
        <v>2335</v>
      </c>
      <c r="Y403" s="81">
        <v>0</v>
      </c>
      <c r="Z403" s="81" t="s">
        <v>2485</v>
      </c>
      <c r="AA403" s="81" t="s">
        <v>2485</v>
      </c>
      <c r="AB403" s="81"/>
      <c r="AC403" s="81"/>
      <c r="AD403" s="84" t="s">
        <v>2782</v>
      </c>
      <c r="AE403" s="82">
        <v>1</v>
      </c>
      <c r="AF403" s="83" t="str">
        <f>REPLACE(INDEX(GroupVertices[Group],MATCH(Edges[[#This Row],[Vertex 1]],GroupVertices[Vertex],0)),1,1,"")</f>
        <v>1</v>
      </c>
      <c r="AG403" s="83" t="str">
        <f>REPLACE(INDEX(GroupVertices[Group],MATCH(Edges[[#This Row],[Vertex 2]],GroupVertices[Vertex],0)),1,1,"")</f>
        <v>1</v>
      </c>
      <c r="AH403" s="111">
        <v>1</v>
      </c>
      <c r="AI403" s="112">
        <v>50</v>
      </c>
      <c r="AJ403" s="111">
        <v>0</v>
      </c>
      <c r="AK403" s="112">
        <v>0</v>
      </c>
      <c r="AL403" s="111">
        <v>0</v>
      </c>
      <c r="AM403" s="112">
        <v>0</v>
      </c>
      <c r="AN403" s="111">
        <v>1</v>
      </c>
      <c r="AO403" s="112">
        <v>50</v>
      </c>
      <c r="AP403" s="111">
        <v>2</v>
      </c>
    </row>
    <row r="404" spans="1:42" ht="15">
      <c r="A404" s="65" t="s">
        <v>505</v>
      </c>
      <c r="B404" s="65" t="s">
        <v>287</v>
      </c>
      <c r="C404" s="66" t="s">
        <v>5345</v>
      </c>
      <c r="D404" s="67">
        <v>3</v>
      </c>
      <c r="E404" s="68"/>
      <c r="F404" s="69">
        <v>40</v>
      </c>
      <c r="G404" s="66"/>
      <c r="H404" s="70"/>
      <c r="I404" s="71"/>
      <c r="J404" s="71"/>
      <c r="K404" s="35" t="s">
        <v>65</v>
      </c>
      <c r="L404" s="79">
        <v>404</v>
      </c>
      <c r="M404" s="79"/>
      <c r="N404" s="73"/>
      <c r="O404" s="81" t="s">
        <v>760</v>
      </c>
      <c r="P404" s="81" t="s">
        <v>215</v>
      </c>
      <c r="Q404" s="84" t="s">
        <v>1146</v>
      </c>
      <c r="R404" s="81" t="s">
        <v>505</v>
      </c>
      <c r="S404" s="81" t="s">
        <v>1834</v>
      </c>
      <c r="T404" s="86" t="str">
        <f>HYPERLINK("http://www.youtube.com/channel/UCKxZWXwLzbbcdYQCEiDEgjg")</f>
        <v>http://www.youtube.com/channel/UCKxZWXwLzbbcdYQCEiDEgjg</v>
      </c>
      <c r="U404" s="81"/>
      <c r="V404" s="81" t="s">
        <v>2315</v>
      </c>
      <c r="W404" s="86" t="str">
        <f>HYPERLINK("https://www.youtube.com/watch?v=JCTlws1bpAY")</f>
        <v>https://www.youtube.com/watch?v=JCTlws1bpAY</v>
      </c>
      <c r="X404" s="81" t="s">
        <v>2335</v>
      </c>
      <c r="Y404" s="81">
        <v>1</v>
      </c>
      <c r="Z404" s="81" t="s">
        <v>2486</v>
      </c>
      <c r="AA404" s="81" t="s">
        <v>2486</v>
      </c>
      <c r="AB404" s="81"/>
      <c r="AC404" s="81"/>
      <c r="AD404" s="84" t="s">
        <v>2782</v>
      </c>
      <c r="AE404" s="82">
        <v>1</v>
      </c>
      <c r="AF404" s="83" t="str">
        <f>REPLACE(INDEX(GroupVertices[Group],MATCH(Edges[[#This Row],[Vertex 1]],GroupVertices[Vertex],0)),1,1,"")</f>
        <v>1</v>
      </c>
      <c r="AG404" s="83" t="str">
        <f>REPLACE(INDEX(GroupVertices[Group],MATCH(Edges[[#This Row],[Vertex 2]],GroupVertices[Vertex],0)),1,1,"")</f>
        <v>1</v>
      </c>
      <c r="AH404" s="111">
        <v>3</v>
      </c>
      <c r="AI404" s="112">
        <v>30</v>
      </c>
      <c r="AJ404" s="111">
        <v>0</v>
      </c>
      <c r="AK404" s="112">
        <v>0</v>
      </c>
      <c r="AL404" s="111">
        <v>0</v>
      </c>
      <c r="AM404" s="112">
        <v>0</v>
      </c>
      <c r="AN404" s="111">
        <v>7</v>
      </c>
      <c r="AO404" s="112">
        <v>70</v>
      </c>
      <c r="AP404" s="111">
        <v>10</v>
      </c>
    </row>
    <row r="405" spans="1:42" ht="15">
      <c r="A405" s="65" t="s">
        <v>504</v>
      </c>
      <c r="B405" s="65" t="s">
        <v>287</v>
      </c>
      <c r="C405" s="66" t="s">
        <v>5345</v>
      </c>
      <c r="D405" s="67">
        <v>3</v>
      </c>
      <c r="E405" s="68"/>
      <c r="F405" s="69">
        <v>40</v>
      </c>
      <c r="G405" s="66"/>
      <c r="H405" s="70"/>
      <c r="I405" s="71"/>
      <c r="J405" s="71"/>
      <c r="K405" s="35" t="s">
        <v>65</v>
      </c>
      <c r="L405" s="79">
        <v>405</v>
      </c>
      <c r="M405" s="79"/>
      <c r="N405" s="73"/>
      <c r="O405" s="81" t="s">
        <v>760</v>
      </c>
      <c r="P405" s="81" t="s">
        <v>215</v>
      </c>
      <c r="Q405" s="84" t="s">
        <v>1147</v>
      </c>
      <c r="R405" s="81" t="s">
        <v>504</v>
      </c>
      <c r="S405" s="81" t="s">
        <v>1833</v>
      </c>
      <c r="T405" s="86" t="str">
        <f>HYPERLINK("http://www.youtube.com/channel/UCzI_ZR5-_HfCNwfMC7YQnsw")</f>
        <v>http://www.youtube.com/channel/UCzI_ZR5-_HfCNwfMC7YQnsw</v>
      </c>
      <c r="U405" s="81"/>
      <c r="V405" s="81" t="s">
        <v>2315</v>
      </c>
      <c r="W405" s="86" t="str">
        <f>HYPERLINK("https://www.youtube.com/watch?v=JCTlws1bpAY")</f>
        <v>https://www.youtube.com/watch?v=JCTlws1bpAY</v>
      </c>
      <c r="X405" s="81" t="s">
        <v>2335</v>
      </c>
      <c r="Y405" s="81">
        <v>0</v>
      </c>
      <c r="Z405" s="81" t="s">
        <v>2487</v>
      </c>
      <c r="AA405" s="81" t="s">
        <v>2487</v>
      </c>
      <c r="AB405" s="81"/>
      <c r="AC405" s="81"/>
      <c r="AD405" s="84" t="s">
        <v>2782</v>
      </c>
      <c r="AE405" s="82">
        <v>1</v>
      </c>
      <c r="AF405" s="83" t="str">
        <f>REPLACE(INDEX(GroupVertices[Group],MATCH(Edges[[#This Row],[Vertex 1]],GroupVertices[Vertex],0)),1,1,"")</f>
        <v>1</v>
      </c>
      <c r="AG405" s="83" t="str">
        <f>REPLACE(INDEX(GroupVertices[Group],MATCH(Edges[[#This Row],[Vertex 2]],GroupVertices[Vertex],0)),1,1,"")</f>
        <v>1</v>
      </c>
      <c r="AH405" s="111">
        <v>3</v>
      </c>
      <c r="AI405" s="112">
        <v>50</v>
      </c>
      <c r="AJ405" s="111">
        <v>0</v>
      </c>
      <c r="AK405" s="112">
        <v>0</v>
      </c>
      <c r="AL405" s="111">
        <v>0</v>
      </c>
      <c r="AM405" s="112">
        <v>0</v>
      </c>
      <c r="AN405" s="111">
        <v>3</v>
      </c>
      <c r="AO405" s="112">
        <v>50</v>
      </c>
      <c r="AP405" s="111">
        <v>6</v>
      </c>
    </row>
    <row r="406" spans="1:42" ht="15">
      <c r="A406" s="65" t="s">
        <v>506</v>
      </c>
      <c r="B406" s="65" t="s">
        <v>287</v>
      </c>
      <c r="C406" s="66" t="s">
        <v>5345</v>
      </c>
      <c r="D406" s="67">
        <v>3</v>
      </c>
      <c r="E406" s="68"/>
      <c r="F406" s="69">
        <v>40</v>
      </c>
      <c r="G406" s="66"/>
      <c r="H406" s="70"/>
      <c r="I406" s="71"/>
      <c r="J406" s="71"/>
      <c r="K406" s="35" t="s">
        <v>65</v>
      </c>
      <c r="L406" s="79">
        <v>406</v>
      </c>
      <c r="M406" s="79"/>
      <c r="N406" s="73"/>
      <c r="O406" s="81" t="s">
        <v>760</v>
      </c>
      <c r="P406" s="81" t="s">
        <v>215</v>
      </c>
      <c r="Q406" s="84" t="s">
        <v>1148</v>
      </c>
      <c r="R406" s="81" t="s">
        <v>506</v>
      </c>
      <c r="S406" s="81" t="s">
        <v>1835</v>
      </c>
      <c r="T406" s="86" t="str">
        <f>HYPERLINK("http://www.youtube.com/channel/UCAYthKrlL2P6lIbcFwm4a-g")</f>
        <v>http://www.youtube.com/channel/UCAYthKrlL2P6lIbcFwm4a-g</v>
      </c>
      <c r="U406" s="81"/>
      <c r="V406" s="81" t="s">
        <v>2315</v>
      </c>
      <c r="W406" s="86" t="str">
        <f>HYPERLINK("https://www.youtube.com/watch?v=JCTlws1bpAY")</f>
        <v>https://www.youtube.com/watch?v=JCTlws1bpAY</v>
      </c>
      <c r="X406" s="81" t="s">
        <v>2335</v>
      </c>
      <c r="Y406" s="81">
        <v>0</v>
      </c>
      <c r="Z406" s="81" t="s">
        <v>2488</v>
      </c>
      <c r="AA406" s="81" t="s">
        <v>2488</v>
      </c>
      <c r="AB406" s="81"/>
      <c r="AC406" s="81"/>
      <c r="AD406" s="84" t="s">
        <v>2782</v>
      </c>
      <c r="AE406" s="82">
        <v>1</v>
      </c>
      <c r="AF406" s="83" t="str">
        <f>REPLACE(INDEX(GroupVertices[Group],MATCH(Edges[[#This Row],[Vertex 1]],GroupVertices[Vertex],0)),1,1,"")</f>
        <v>1</v>
      </c>
      <c r="AG406" s="83" t="str">
        <f>REPLACE(INDEX(GroupVertices[Group],MATCH(Edges[[#This Row],[Vertex 2]],GroupVertices[Vertex],0)),1,1,"")</f>
        <v>1</v>
      </c>
      <c r="AH406" s="111">
        <v>2</v>
      </c>
      <c r="AI406" s="112">
        <v>18.181818181818183</v>
      </c>
      <c r="AJ406" s="111">
        <v>0</v>
      </c>
      <c r="AK406" s="112">
        <v>0</v>
      </c>
      <c r="AL406" s="111">
        <v>0</v>
      </c>
      <c r="AM406" s="112">
        <v>0</v>
      </c>
      <c r="AN406" s="111">
        <v>9</v>
      </c>
      <c r="AO406" s="112">
        <v>81.81818181818181</v>
      </c>
      <c r="AP406" s="111">
        <v>11</v>
      </c>
    </row>
    <row r="407" spans="1:42" ht="15">
      <c r="A407" s="65" t="s">
        <v>507</v>
      </c>
      <c r="B407" s="65" t="s">
        <v>287</v>
      </c>
      <c r="C407" s="66" t="s">
        <v>5345</v>
      </c>
      <c r="D407" s="67">
        <v>3</v>
      </c>
      <c r="E407" s="68"/>
      <c r="F407" s="69">
        <v>40</v>
      </c>
      <c r="G407" s="66"/>
      <c r="H407" s="70"/>
      <c r="I407" s="71"/>
      <c r="J407" s="71"/>
      <c r="K407" s="35" t="s">
        <v>65</v>
      </c>
      <c r="L407" s="79">
        <v>407</v>
      </c>
      <c r="M407" s="79"/>
      <c r="N407" s="73"/>
      <c r="O407" s="81" t="s">
        <v>760</v>
      </c>
      <c r="P407" s="81" t="s">
        <v>215</v>
      </c>
      <c r="Q407" s="84" t="s">
        <v>1149</v>
      </c>
      <c r="R407" s="81" t="s">
        <v>507</v>
      </c>
      <c r="S407" s="81" t="s">
        <v>1836</v>
      </c>
      <c r="T407" s="86" t="str">
        <f>HYPERLINK("http://www.youtube.com/channel/UCB17WVp6uTPzs45LXvQb2qQ")</f>
        <v>http://www.youtube.com/channel/UCB17WVp6uTPzs45LXvQb2qQ</v>
      </c>
      <c r="U407" s="81"/>
      <c r="V407" s="81" t="s">
        <v>2315</v>
      </c>
      <c r="W407" s="86" t="str">
        <f>HYPERLINK("https://www.youtube.com/watch?v=JCTlws1bpAY")</f>
        <v>https://www.youtube.com/watch?v=JCTlws1bpAY</v>
      </c>
      <c r="X407" s="81" t="s">
        <v>2335</v>
      </c>
      <c r="Y407" s="81">
        <v>0</v>
      </c>
      <c r="Z407" s="81" t="s">
        <v>2489</v>
      </c>
      <c r="AA407" s="81" t="s">
        <v>2489</v>
      </c>
      <c r="AB407" s="81"/>
      <c r="AC407" s="81"/>
      <c r="AD407" s="84" t="s">
        <v>2782</v>
      </c>
      <c r="AE407" s="82">
        <v>1</v>
      </c>
      <c r="AF407" s="83" t="str">
        <f>REPLACE(INDEX(GroupVertices[Group],MATCH(Edges[[#This Row],[Vertex 1]],GroupVertices[Vertex],0)),1,1,"")</f>
        <v>1</v>
      </c>
      <c r="AG407" s="83" t="str">
        <f>REPLACE(INDEX(GroupVertices[Group],MATCH(Edges[[#This Row],[Vertex 2]],GroupVertices[Vertex],0)),1,1,"")</f>
        <v>1</v>
      </c>
      <c r="AH407" s="111">
        <v>4</v>
      </c>
      <c r="AI407" s="112">
        <v>17.391304347826086</v>
      </c>
      <c r="AJ407" s="111">
        <v>0</v>
      </c>
      <c r="AK407" s="112">
        <v>0</v>
      </c>
      <c r="AL407" s="111">
        <v>0</v>
      </c>
      <c r="AM407" s="112">
        <v>0</v>
      </c>
      <c r="AN407" s="111">
        <v>19</v>
      </c>
      <c r="AO407" s="112">
        <v>82.6086956521739</v>
      </c>
      <c r="AP407" s="111">
        <v>23</v>
      </c>
    </row>
    <row r="408" spans="1:42" ht="15">
      <c r="A408" s="65" t="s">
        <v>508</v>
      </c>
      <c r="B408" s="65" t="s">
        <v>287</v>
      </c>
      <c r="C408" s="66" t="s">
        <v>5345</v>
      </c>
      <c r="D408" s="67">
        <v>3</v>
      </c>
      <c r="E408" s="68"/>
      <c r="F408" s="69">
        <v>40</v>
      </c>
      <c r="G408" s="66"/>
      <c r="H408" s="70"/>
      <c r="I408" s="71"/>
      <c r="J408" s="71"/>
      <c r="K408" s="35" t="s">
        <v>65</v>
      </c>
      <c r="L408" s="79">
        <v>408</v>
      </c>
      <c r="M408" s="79"/>
      <c r="N408" s="73"/>
      <c r="O408" s="81" t="s">
        <v>760</v>
      </c>
      <c r="P408" s="81" t="s">
        <v>215</v>
      </c>
      <c r="Q408" s="84" t="s">
        <v>1150</v>
      </c>
      <c r="R408" s="81" t="s">
        <v>508</v>
      </c>
      <c r="S408" s="81" t="s">
        <v>1837</v>
      </c>
      <c r="T408" s="86" t="str">
        <f>HYPERLINK("http://www.youtube.com/channel/UCzyr4fDlXYgfKzLSmfpOwiw")</f>
        <v>http://www.youtube.com/channel/UCzyr4fDlXYgfKzLSmfpOwiw</v>
      </c>
      <c r="U408" s="81"/>
      <c r="V408" s="81" t="s">
        <v>2315</v>
      </c>
      <c r="W408" s="86" t="str">
        <f>HYPERLINK("https://www.youtube.com/watch?v=JCTlws1bpAY")</f>
        <v>https://www.youtube.com/watch?v=JCTlws1bpAY</v>
      </c>
      <c r="X408" s="81" t="s">
        <v>2335</v>
      </c>
      <c r="Y408" s="81">
        <v>0</v>
      </c>
      <c r="Z408" s="81" t="s">
        <v>2490</v>
      </c>
      <c r="AA408" s="81" t="s">
        <v>2490</v>
      </c>
      <c r="AB408" s="81"/>
      <c r="AC408" s="81"/>
      <c r="AD408" s="84" t="s">
        <v>2782</v>
      </c>
      <c r="AE408" s="82">
        <v>1</v>
      </c>
      <c r="AF408" s="83" t="str">
        <f>REPLACE(INDEX(GroupVertices[Group],MATCH(Edges[[#This Row],[Vertex 1]],GroupVertices[Vertex],0)),1,1,"")</f>
        <v>1</v>
      </c>
      <c r="AG408" s="83" t="str">
        <f>REPLACE(INDEX(GroupVertices[Group],MATCH(Edges[[#This Row],[Vertex 2]],GroupVertices[Vertex],0)),1,1,"")</f>
        <v>1</v>
      </c>
      <c r="AH408" s="111">
        <v>5</v>
      </c>
      <c r="AI408" s="112">
        <v>16.666666666666668</v>
      </c>
      <c r="AJ408" s="111">
        <v>0</v>
      </c>
      <c r="AK408" s="112">
        <v>0</v>
      </c>
      <c r="AL408" s="111">
        <v>0</v>
      </c>
      <c r="AM408" s="112">
        <v>0</v>
      </c>
      <c r="AN408" s="111">
        <v>25</v>
      </c>
      <c r="AO408" s="112">
        <v>83.33333333333333</v>
      </c>
      <c r="AP408" s="111">
        <v>30</v>
      </c>
    </row>
    <row r="409" spans="1:42" ht="15">
      <c r="A409" s="65" t="s">
        <v>509</v>
      </c>
      <c r="B409" s="65" t="s">
        <v>287</v>
      </c>
      <c r="C409" s="66" t="s">
        <v>5345</v>
      </c>
      <c r="D409" s="67">
        <v>3</v>
      </c>
      <c r="E409" s="68"/>
      <c r="F409" s="69">
        <v>40</v>
      </c>
      <c r="G409" s="66"/>
      <c r="H409" s="70"/>
      <c r="I409" s="71"/>
      <c r="J409" s="71"/>
      <c r="K409" s="35" t="s">
        <v>65</v>
      </c>
      <c r="L409" s="79">
        <v>409</v>
      </c>
      <c r="M409" s="79"/>
      <c r="N409" s="73"/>
      <c r="O409" s="81" t="s">
        <v>760</v>
      </c>
      <c r="P409" s="81" t="s">
        <v>215</v>
      </c>
      <c r="Q409" s="84" t="s">
        <v>1151</v>
      </c>
      <c r="R409" s="81" t="s">
        <v>509</v>
      </c>
      <c r="S409" s="81" t="s">
        <v>1838</v>
      </c>
      <c r="T409" s="86" t="str">
        <f>HYPERLINK("http://www.youtube.com/channel/UCgRYrZYHz9U_iYHnKVpN6Gw")</f>
        <v>http://www.youtube.com/channel/UCgRYrZYHz9U_iYHnKVpN6Gw</v>
      </c>
      <c r="U409" s="81"/>
      <c r="V409" s="81" t="s">
        <v>2315</v>
      </c>
      <c r="W409" s="86" t="str">
        <f>HYPERLINK("https://www.youtube.com/watch?v=JCTlws1bpAY")</f>
        <v>https://www.youtube.com/watch?v=JCTlws1bpAY</v>
      </c>
      <c r="X409" s="81" t="s">
        <v>2335</v>
      </c>
      <c r="Y409" s="81">
        <v>0</v>
      </c>
      <c r="Z409" s="81" t="s">
        <v>2491</v>
      </c>
      <c r="AA409" s="81" t="s">
        <v>2491</v>
      </c>
      <c r="AB409" s="81"/>
      <c r="AC409" s="81"/>
      <c r="AD409" s="84" t="s">
        <v>2782</v>
      </c>
      <c r="AE409" s="82">
        <v>1</v>
      </c>
      <c r="AF409" s="83" t="str">
        <f>REPLACE(INDEX(GroupVertices[Group],MATCH(Edges[[#This Row],[Vertex 1]],GroupVertices[Vertex],0)),1,1,"")</f>
        <v>1</v>
      </c>
      <c r="AG409" s="83" t="str">
        <f>REPLACE(INDEX(GroupVertices[Group],MATCH(Edges[[#This Row],[Vertex 2]],GroupVertices[Vertex],0)),1,1,"")</f>
        <v>1</v>
      </c>
      <c r="AH409" s="111">
        <v>1</v>
      </c>
      <c r="AI409" s="112">
        <v>50</v>
      </c>
      <c r="AJ409" s="111">
        <v>0</v>
      </c>
      <c r="AK409" s="112">
        <v>0</v>
      </c>
      <c r="AL409" s="111">
        <v>0</v>
      </c>
      <c r="AM409" s="112">
        <v>0</v>
      </c>
      <c r="AN409" s="111">
        <v>1</v>
      </c>
      <c r="AO409" s="112">
        <v>50</v>
      </c>
      <c r="AP409" s="111">
        <v>2</v>
      </c>
    </row>
    <row r="410" spans="1:42" ht="15">
      <c r="A410" s="65" t="s">
        <v>510</v>
      </c>
      <c r="B410" s="65" t="s">
        <v>287</v>
      </c>
      <c r="C410" s="66" t="s">
        <v>5345</v>
      </c>
      <c r="D410" s="67">
        <v>3</v>
      </c>
      <c r="E410" s="68"/>
      <c r="F410" s="69">
        <v>40</v>
      </c>
      <c r="G410" s="66"/>
      <c r="H410" s="70"/>
      <c r="I410" s="71"/>
      <c r="J410" s="71"/>
      <c r="K410" s="35" t="s">
        <v>65</v>
      </c>
      <c r="L410" s="79">
        <v>410</v>
      </c>
      <c r="M410" s="79"/>
      <c r="N410" s="73"/>
      <c r="O410" s="81" t="s">
        <v>760</v>
      </c>
      <c r="P410" s="81" t="s">
        <v>215</v>
      </c>
      <c r="Q410" s="84" t="s">
        <v>1152</v>
      </c>
      <c r="R410" s="81" t="s">
        <v>510</v>
      </c>
      <c r="S410" s="81" t="s">
        <v>1839</v>
      </c>
      <c r="T410" s="86" t="str">
        <f>HYPERLINK("http://www.youtube.com/channel/UCjJ5-gw41air_5B1eap2l4g")</f>
        <v>http://www.youtube.com/channel/UCjJ5-gw41air_5B1eap2l4g</v>
      </c>
      <c r="U410" s="81"/>
      <c r="V410" s="81" t="s">
        <v>2315</v>
      </c>
      <c r="W410" s="86" t="str">
        <f>HYPERLINK("https://www.youtube.com/watch?v=JCTlws1bpAY")</f>
        <v>https://www.youtube.com/watch?v=JCTlws1bpAY</v>
      </c>
      <c r="X410" s="81" t="s">
        <v>2335</v>
      </c>
      <c r="Y410" s="81">
        <v>0</v>
      </c>
      <c r="Z410" s="81" t="s">
        <v>2492</v>
      </c>
      <c r="AA410" s="81" t="s">
        <v>2492</v>
      </c>
      <c r="AB410" s="81"/>
      <c r="AC410" s="81"/>
      <c r="AD410" s="84" t="s">
        <v>2782</v>
      </c>
      <c r="AE410" s="82">
        <v>1</v>
      </c>
      <c r="AF410" s="83" t="str">
        <f>REPLACE(INDEX(GroupVertices[Group],MATCH(Edges[[#This Row],[Vertex 1]],GroupVertices[Vertex],0)),1,1,"")</f>
        <v>1</v>
      </c>
      <c r="AG410" s="83" t="str">
        <f>REPLACE(INDEX(GroupVertices[Group],MATCH(Edges[[#This Row],[Vertex 2]],GroupVertices[Vertex],0)),1,1,"")</f>
        <v>1</v>
      </c>
      <c r="AH410" s="111">
        <v>1</v>
      </c>
      <c r="AI410" s="112">
        <v>100</v>
      </c>
      <c r="AJ410" s="111">
        <v>0</v>
      </c>
      <c r="AK410" s="112">
        <v>0</v>
      </c>
      <c r="AL410" s="111">
        <v>0</v>
      </c>
      <c r="AM410" s="112">
        <v>0</v>
      </c>
      <c r="AN410" s="111">
        <v>0</v>
      </c>
      <c r="AO410" s="112">
        <v>0</v>
      </c>
      <c r="AP410" s="111">
        <v>1</v>
      </c>
    </row>
    <row r="411" spans="1:42" ht="15">
      <c r="A411" s="65" t="s">
        <v>511</v>
      </c>
      <c r="B411" s="65" t="s">
        <v>287</v>
      </c>
      <c r="C411" s="66" t="s">
        <v>5346</v>
      </c>
      <c r="D411" s="67">
        <v>10</v>
      </c>
      <c r="E411" s="68"/>
      <c r="F411" s="69">
        <v>15</v>
      </c>
      <c r="G411" s="66"/>
      <c r="H411" s="70"/>
      <c r="I411" s="71"/>
      <c r="J411" s="71"/>
      <c r="K411" s="35" t="s">
        <v>65</v>
      </c>
      <c r="L411" s="79">
        <v>411</v>
      </c>
      <c r="M411" s="79"/>
      <c r="N411" s="73"/>
      <c r="O411" s="81" t="s">
        <v>760</v>
      </c>
      <c r="P411" s="81" t="s">
        <v>215</v>
      </c>
      <c r="Q411" s="84" t="s">
        <v>1153</v>
      </c>
      <c r="R411" s="81" t="s">
        <v>511</v>
      </c>
      <c r="S411" s="81" t="s">
        <v>1840</v>
      </c>
      <c r="T411" s="86" t="str">
        <f>HYPERLINK("http://www.youtube.com/channel/UCvH-bUIk7u6SoBYf7TnPkmQ")</f>
        <v>http://www.youtube.com/channel/UCvH-bUIk7u6SoBYf7TnPkmQ</v>
      </c>
      <c r="U411" s="81"/>
      <c r="V411" s="81" t="s">
        <v>2313</v>
      </c>
      <c r="W411" s="86" t="str">
        <f>HYPERLINK("https://www.youtube.com/watch?v=-EA6GvKa0EA")</f>
        <v>https://www.youtube.com/watch?v=-EA6GvKa0EA</v>
      </c>
      <c r="X411" s="81" t="s">
        <v>2335</v>
      </c>
      <c r="Y411" s="81">
        <v>0</v>
      </c>
      <c r="Z411" s="81" t="s">
        <v>2493</v>
      </c>
      <c r="AA411" s="81" t="s">
        <v>2493</v>
      </c>
      <c r="AB411" s="81"/>
      <c r="AC411" s="81"/>
      <c r="AD411" s="84" t="s">
        <v>2782</v>
      </c>
      <c r="AE411" s="82">
        <v>2</v>
      </c>
      <c r="AF411" s="83" t="str">
        <f>REPLACE(INDEX(GroupVertices[Group],MATCH(Edges[[#This Row],[Vertex 1]],GroupVertices[Vertex],0)),1,1,"")</f>
        <v>1</v>
      </c>
      <c r="AG411" s="83" t="str">
        <f>REPLACE(INDEX(GroupVertices[Group],MATCH(Edges[[#This Row],[Vertex 2]],GroupVertices[Vertex],0)),1,1,"")</f>
        <v>1</v>
      </c>
      <c r="AH411" s="111">
        <v>1</v>
      </c>
      <c r="AI411" s="112">
        <v>10</v>
      </c>
      <c r="AJ411" s="111">
        <v>0</v>
      </c>
      <c r="AK411" s="112">
        <v>0</v>
      </c>
      <c r="AL411" s="111">
        <v>0</v>
      </c>
      <c r="AM411" s="112">
        <v>0</v>
      </c>
      <c r="AN411" s="111">
        <v>9</v>
      </c>
      <c r="AO411" s="112">
        <v>90</v>
      </c>
      <c r="AP411" s="111">
        <v>10</v>
      </c>
    </row>
    <row r="412" spans="1:42" ht="15">
      <c r="A412" s="65" t="s">
        <v>511</v>
      </c>
      <c r="B412" s="65" t="s">
        <v>287</v>
      </c>
      <c r="C412" s="66" t="s">
        <v>5346</v>
      </c>
      <c r="D412" s="67">
        <v>10</v>
      </c>
      <c r="E412" s="68"/>
      <c r="F412" s="69">
        <v>15</v>
      </c>
      <c r="G412" s="66"/>
      <c r="H412" s="70"/>
      <c r="I412" s="71"/>
      <c r="J412" s="71"/>
      <c r="K412" s="35" t="s">
        <v>65</v>
      </c>
      <c r="L412" s="79">
        <v>412</v>
      </c>
      <c r="M412" s="79"/>
      <c r="N412" s="73"/>
      <c r="O412" s="81" t="s">
        <v>760</v>
      </c>
      <c r="P412" s="81" t="s">
        <v>215</v>
      </c>
      <c r="Q412" s="84" t="s">
        <v>1154</v>
      </c>
      <c r="R412" s="81" t="s">
        <v>511</v>
      </c>
      <c r="S412" s="81" t="s">
        <v>1840</v>
      </c>
      <c r="T412" s="86" t="str">
        <f>HYPERLINK("http://www.youtube.com/channel/UCvH-bUIk7u6SoBYf7TnPkmQ")</f>
        <v>http://www.youtube.com/channel/UCvH-bUIk7u6SoBYf7TnPkmQ</v>
      </c>
      <c r="U412" s="81"/>
      <c r="V412" s="81" t="s">
        <v>2315</v>
      </c>
      <c r="W412" s="86" t="str">
        <f>HYPERLINK("https://www.youtube.com/watch?v=JCTlws1bpAY")</f>
        <v>https://www.youtube.com/watch?v=JCTlws1bpAY</v>
      </c>
      <c r="X412" s="81" t="s">
        <v>2335</v>
      </c>
      <c r="Y412" s="81">
        <v>0</v>
      </c>
      <c r="Z412" s="81" t="s">
        <v>2494</v>
      </c>
      <c r="AA412" s="81" t="s">
        <v>2494</v>
      </c>
      <c r="AB412" s="81"/>
      <c r="AC412" s="81"/>
      <c r="AD412" s="84" t="s">
        <v>2782</v>
      </c>
      <c r="AE412" s="82">
        <v>2</v>
      </c>
      <c r="AF412" s="83" t="str">
        <f>REPLACE(INDEX(GroupVertices[Group],MATCH(Edges[[#This Row],[Vertex 1]],GroupVertices[Vertex],0)),1,1,"")</f>
        <v>1</v>
      </c>
      <c r="AG412" s="83" t="str">
        <f>REPLACE(INDEX(GroupVertices[Group],MATCH(Edges[[#This Row],[Vertex 2]],GroupVertices[Vertex],0)),1,1,"")</f>
        <v>1</v>
      </c>
      <c r="AH412" s="111">
        <v>1</v>
      </c>
      <c r="AI412" s="112">
        <v>100</v>
      </c>
      <c r="AJ412" s="111">
        <v>0</v>
      </c>
      <c r="AK412" s="112">
        <v>0</v>
      </c>
      <c r="AL412" s="111">
        <v>0</v>
      </c>
      <c r="AM412" s="112">
        <v>0</v>
      </c>
      <c r="AN412" s="111">
        <v>0</v>
      </c>
      <c r="AO412" s="112">
        <v>0</v>
      </c>
      <c r="AP412" s="111">
        <v>1</v>
      </c>
    </row>
    <row r="413" spans="1:42" ht="15">
      <c r="A413" s="65" t="s">
        <v>512</v>
      </c>
      <c r="B413" s="65" t="s">
        <v>287</v>
      </c>
      <c r="C413" s="66" t="s">
        <v>5345</v>
      </c>
      <c r="D413" s="67">
        <v>3</v>
      </c>
      <c r="E413" s="68"/>
      <c r="F413" s="69">
        <v>40</v>
      </c>
      <c r="G413" s="66"/>
      <c r="H413" s="70"/>
      <c r="I413" s="71"/>
      <c r="J413" s="71"/>
      <c r="K413" s="35" t="s">
        <v>65</v>
      </c>
      <c r="L413" s="79">
        <v>413</v>
      </c>
      <c r="M413" s="79"/>
      <c r="N413" s="73"/>
      <c r="O413" s="81" t="s">
        <v>760</v>
      </c>
      <c r="P413" s="81" t="s">
        <v>215</v>
      </c>
      <c r="Q413" s="84" t="s">
        <v>1155</v>
      </c>
      <c r="R413" s="81" t="s">
        <v>512</v>
      </c>
      <c r="S413" s="81" t="s">
        <v>1841</v>
      </c>
      <c r="T413" s="86" t="str">
        <f>HYPERLINK("http://www.youtube.com/channel/UCirfi9jAYhqMpCrr_Kv_6Yg")</f>
        <v>http://www.youtube.com/channel/UCirfi9jAYhqMpCrr_Kv_6Yg</v>
      </c>
      <c r="U413" s="81"/>
      <c r="V413" s="81" t="s">
        <v>2315</v>
      </c>
      <c r="W413" s="86" t="str">
        <f>HYPERLINK("https://www.youtube.com/watch?v=JCTlws1bpAY")</f>
        <v>https://www.youtube.com/watch?v=JCTlws1bpAY</v>
      </c>
      <c r="X413" s="81" t="s">
        <v>2335</v>
      </c>
      <c r="Y413" s="81">
        <v>0</v>
      </c>
      <c r="Z413" s="81" t="s">
        <v>2495</v>
      </c>
      <c r="AA413" s="81" t="s">
        <v>2495</v>
      </c>
      <c r="AB413" s="81"/>
      <c r="AC413" s="81"/>
      <c r="AD413" s="84" t="s">
        <v>2782</v>
      </c>
      <c r="AE413" s="82">
        <v>1</v>
      </c>
      <c r="AF413" s="83" t="str">
        <f>REPLACE(INDEX(GroupVertices[Group],MATCH(Edges[[#This Row],[Vertex 1]],GroupVertices[Vertex],0)),1,1,"")</f>
        <v>1</v>
      </c>
      <c r="AG413" s="83" t="str">
        <f>REPLACE(INDEX(GroupVertices[Group],MATCH(Edges[[#This Row],[Vertex 2]],GroupVertices[Vertex],0)),1,1,"")</f>
        <v>1</v>
      </c>
      <c r="AH413" s="111">
        <v>2</v>
      </c>
      <c r="AI413" s="112">
        <v>8.333333333333334</v>
      </c>
      <c r="AJ413" s="111">
        <v>1</v>
      </c>
      <c r="AK413" s="112">
        <v>4.166666666666667</v>
      </c>
      <c r="AL413" s="111">
        <v>0</v>
      </c>
      <c r="AM413" s="112">
        <v>0</v>
      </c>
      <c r="AN413" s="111">
        <v>21</v>
      </c>
      <c r="AO413" s="112">
        <v>87.5</v>
      </c>
      <c r="AP413" s="111">
        <v>24</v>
      </c>
    </row>
    <row r="414" spans="1:42" ht="15">
      <c r="A414" s="65" t="s">
        <v>513</v>
      </c>
      <c r="B414" s="65" t="s">
        <v>287</v>
      </c>
      <c r="C414" s="66" t="s">
        <v>5345</v>
      </c>
      <c r="D414" s="67">
        <v>3</v>
      </c>
      <c r="E414" s="68"/>
      <c r="F414" s="69">
        <v>40</v>
      </c>
      <c r="G414" s="66"/>
      <c r="H414" s="70"/>
      <c r="I414" s="71"/>
      <c r="J414" s="71"/>
      <c r="K414" s="35" t="s">
        <v>65</v>
      </c>
      <c r="L414" s="79">
        <v>414</v>
      </c>
      <c r="M414" s="79"/>
      <c r="N414" s="73"/>
      <c r="O414" s="81" t="s">
        <v>760</v>
      </c>
      <c r="P414" s="81" t="s">
        <v>215</v>
      </c>
      <c r="Q414" s="84" t="s">
        <v>1156</v>
      </c>
      <c r="R414" s="81" t="s">
        <v>513</v>
      </c>
      <c r="S414" s="81" t="s">
        <v>1842</v>
      </c>
      <c r="T414" s="86" t="str">
        <f>HYPERLINK("http://www.youtube.com/channel/UCMIqkaTTTpG9oAj7Qhhviiw")</f>
        <v>http://www.youtube.com/channel/UCMIqkaTTTpG9oAj7Qhhviiw</v>
      </c>
      <c r="U414" s="81"/>
      <c r="V414" s="81" t="s">
        <v>2315</v>
      </c>
      <c r="W414" s="86" t="str">
        <f>HYPERLINK("https://www.youtube.com/watch?v=JCTlws1bpAY")</f>
        <v>https://www.youtube.com/watch?v=JCTlws1bpAY</v>
      </c>
      <c r="X414" s="81" t="s">
        <v>2335</v>
      </c>
      <c r="Y414" s="81">
        <v>0</v>
      </c>
      <c r="Z414" s="81" t="s">
        <v>2496</v>
      </c>
      <c r="AA414" s="81" t="s">
        <v>2496</v>
      </c>
      <c r="AB414" s="81"/>
      <c r="AC414" s="81"/>
      <c r="AD414" s="84" t="s">
        <v>2782</v>
      </c>
      <c r="AE414" s="82">
        <v>1</v>
      </c>
      <c r="AF414" s="83" t="str">
        <f>REPLACE(INDEX(GroupVertices[Group],MATCH(Edges[[#This Row],[Vertex 1]],GroupVertices[Vertex],0)),1,1,"")</f>
        <v>1</v>
      </c>
      <c r="AG414" s="83" t="str">
        <f>REPLACE(INDEX(GroupVertices[Group],MATCH(Edges[[#This Row],[Vertex 2]],GroupVertices[Vertex],0)),1,1,"")</f>
        <v>1</v>
      </c>
      <c r="AH414" s="111">
        <v>1</v>
      </c>
      <c r="AI414" s="112">
        <v>25</v>
      </c>
      <c r="AJ414" s="111">
        <v>0</v>
      </c>
      <c r="AK414" s="112">
        <v>0</v>
      </c>
      <c r="AL414" s="111">
        <v>0</v>
      </c>
      <c r="AM414" s="112">
        <v>0</v>
      </c>
      <c r="AN414" s="111">
        <v>3</v>
      </c>
      <c r="AO414" s="112">
        <v>75</v>
      </c>
      <c r="AP414" s="111">
        <v>4</v>
      </c>
    </row>
    <row r="415" spans="1:42" ht="15">
      <c r="A415" s="65" t="s">
        <v>514</v>
      </c>
      <c r="B415" s="65" t="s">
        <v>515</v>
      </c>
      <c r="C415" s="66" t="s">
        <v>5345</v>
      </c>
      <c r="D415" s="67">
        <v>3</v>
      </c>
      <c r="E415" s="68"/>
      <c r="F415" s="69">
        <v>40</v>
      </c>
      <c r="G415" s="66"/>
      <c r="H415" s="70"/>
      <c r="I415" s="71"/>
      <c r="J415" s="71"/>
      <c r="K415" s="35" t="s">
        <v>66</v>
      </c>
      <c r="L415" s="79">
        <v>415</v>
      </c>
      <c r="M415" s="79"/>
      <c r="N415" s="73"/>
      <c r="O415" s="81" t="s">
        <v>761</v>
      </c>
      <c r="P415" s="81" t="s">
        <v>763</v>
      </c>
      <c r="Q415" s="84" t="s">
        <v>1157</v>
      </c>
      <c r="R415" s="81" t="s">
        <v>514</v>
      </c>
      <c r="S415" s="81" t="s">
        <v>1843</v>
      </c>
      <c r="T415" s="86" t="str">
        <f>HYPERLINK("http://www.youtube.com/channel/UCgCxFRbrO7_02dw8AYIhDLA")</f>
        <v>http://www.youtube.com/channel/UCgCxFRbrO7_02dw8AYIhDLA</v>
      </c>
      <c r="U415" s="81" t="s">
        <v>2186</v>
      </c>
      <c r="V415" s="81" t="s">
        <v>2316</v>
      </c>
      <c r="W415" s="86" t="str">
        <f>HYPERLINK("https://www.youtube.com/watch?v=-X8Nj_r5zGE")</f>
        <v>https://www.youtube.com/watch?v=-X8Nj_r5zGE</v>
      </c>
      <c r="X415" s="81" t="s">
        <v>2335</v>
      </c>
      <c r="Y415" s="81">
        <v>0</v>
      </c>
      <c r="Z415" s="81" t="s">
        <v>2497</v>
      </c>
      <c r="AA415" s="81" t="s">
        <v>2497</v>
      </c>
      <c r="AB415" s="81"/>
      <c r="AC415" s="81"/>
      <c r="AD415" s="84" t="s">
        <v>2782</v>
      </c>
      <c r="AE415" s="82">
        <v>1</v>
      </c>
      <c r="AF415" s="83" t="str">
        <f>REPLACE(INDEX(GroupVertices[Group],MATCH(Edges[[#This Row],[Vertex 1]],GroupVertices[Vertex],0)),1,1,"")</f>
        <v>16</v>
      </c>
      <c r="AG415" s="83" t="str">
        <f>REPLACE(INDEX(GroupVertices[Group],MATCH(Edges[[#This Row],[Vertex 2]],GroupVertices[Vertex],0)),1,1,"")</f>
        <v>16</v>
      </c>
      <c r="AH415" s="111">
        <v>0</v>
      </c>
      <c r="AI415" s="112">
        <v>0</v>
      </c>
      <c r="AJ415" s="111">
        <v>0</v>
      </c>
      <c r="AK415" s="112">
        <v>0</v>
      </c>
      <c r="AL415" s="111">
        <v>0</v>
      </c>
      <c r="AM415" s="112">
        <v>0</v>
      </c>
      <c r="AN415" s="111">
        <v>7</v>
      </c>
      <c r="AO415" s="112">
        <v>100</v>
      </c>
      <c r="AP415" s="111">
        <v>7</v>
      </c>
    </row>
    <row r="416" spans="1:42" ht="15">
      <c r="A416" s="65" t="s">
        <v>515</v>
      </c>
      <c r="B416" s="65" t="s">
        <v>514</v>
      </c>
      <c r="C416" s="66" t="s">
        <v>5345</v>
      </c>
      <c r="D416" s="67">
        <v>3</v>
      </c>
      <c r="E416" s="68"/>
      <c r="F416" s="69">
        <v>40</v>
      </c>
      <c r="G416" s="66"/>
      <c r="H416" s="70"/>
      <c r="I416" s="71"/>
      <c r="J416" s="71"/>
      <c r="K416" s="35" t="s">
        <v>66</v>
      </c>
      <c r="L416" s="79">
        <v>416</v>
      </c>
      <c r="M416" s="79"/>
      <c r="N416" s="73"/>
      <c r="O416" s="81" t="s">
        <v>760</v>
      </c>
      <c r="P416" s="81" t="s">
        <v>215</v>
      </c>
      <c r="Q416" s="84" t="s">
        <v>1158</v>
      </c>
      <c r="R416" s="81" t="s">
        <v>515</v>
      </c>
      <c r="S416" s="81" t="s">
        <v>1844</v>
      </c>
      <c r="T416" s="86" t="str">
        <f>HYPERLINK("http://www.youtube.com/channel/UCTOvm9hk4-V6VQz6yjz_FwQ")</f>
        <v>http://www.youtube.com/channel/UCTOvm9hk4-V6VQz6yjz_FwQ</v>
      </c>
      <c r="U416" s="81"/>
      <c r="V416" s="81" t="s">
        <v>2316</v>
      </c>
      <c r="W416" s="86" t="str">
        <f>HYPERLINK("https://www.youtube.com/watch?v=-X8Nj_r5zGE")</f>
        <v>https://www.youtube.com/watch?v=-X8Nj_r5zGE</v>
      </c>
      <c r="X416" s="81" t="s">
        <v>2335</v>
      </c>
      <c r="Y416" s="81">
        <v>1</v>
      </c>
      <c r="Z416" s="81" t="s">
        <v>2498</v>
      </c>
      <c r="AA416" s="81" t="s">
        <v>2498</v>
      </c>
      <c r="AB416" s="81"/>
      <c r="AC416" s="81"/>
      <c r="AD416" s="84" t="s">
        <v>2782</v>
      </c>
      <c r="AE416" s="82">
        <v>1</v>
      </c>
      <c r="AF416" s="83" t="str">
        <f>REPLACE(INDEX(GroupVertices[Group],MATCH(Edges[[#This Row],[Vertex 1]],GroupVertices[Vertex],0)),1,1,"")</f>
        <v>16</v>
      </c>
      <c r="AG416" s="83" t="str">
        <f>REPLACE(INDEX(GroupVertices[Group],MATCH(Edges[[#This Row],[Vertex 2]],GroupVertices[Vertex],0)),1,1,"")</f>
        <v>16</v>
      </c>
      <c r="AH416" s="111">
        <v>0</v>
      </c>
      <c r="AI416" s="112">
        <v>0</v>
      </c>
      <c r="AJ416" s="111">
        <v>0</v>
      </c>
      <c r="AK416" s="112">
        <v>0</v>
      </c>
      <c r="AL416" s="111">
        <v>0</v>
      </c>
      <c r="AM416" s="112">
        <v>0</v>
      </c>
      <c r="AN416" s="111">
        <v>4</v>
      </c>
      <c r="AO416" s="112">
        <v>100</v>
      </c>
      <c r="AP416" s="111">
        <v>4</v>
      </c>
    </row>
    <row r="417" spans="1:42" ht="15">
      <c r="A417" s="65" t="s">
        <v>514</v>
      </c>
      <c r="B417" s="65" t="s">
        <v>516</v>
      </c>
      <c r="C417" s="66" t="s">
        <v>5345</v>
      </c>
      <c r="D417" s="67">
        <v>3</v>
      </c>
      <c r="E417" s="68"/>
      <c r="F417" s="69">
        <v>40</v>
      </c>
      <c r="G417" s="66"/>
      <c r="H417" s="70"/>
      <c r="I417" s="71"/>
      <c r="J417" s="71"/>
      <c r="K417" s="35" t="s">
        <v>66</v>
      </c>
      <c r="L417" s="79">
        <v>417</v>
      </c>
      <c r="M417" s="79"/>
      <c r="N417" s="73"/>
      <c r="O417" s="81" t="s">
        <v>761</v>
      </c>
      <c r="P417" s="81" t="s">
        <v>763</v>
      </c>
      <c r="Q417" s="84" t="s">
        <v>1159</v>
      </c>
      <c r="R417" s="81" t="s">
        <v>514</v>
      </c>
      <c r="S417" s="81" t="s">
        <v>1843</v>
      </c>
      <c r="T417" s="86" t="str">
        <f>HYPERLINK("http://www.youtube.com/channel/UCgCxFRbrO7_02dw8AYIhDLA")</f>
        <v>http://www.youtube.com/channel/UCgCxFRbrO7_02dw8AYIhDLA</v>
      </c>
      <c r="U417" s="81" t="s">
        <v>2187</v>
      </c>
      <c r="V417" s="81" t="s">
        <v>2316</v>
      </c>
      <c r="W417" s="86" t="str">
        <f>HYPERLINK("https://www.youtube.com/watch?v=-X8Nj_r5zGE")</f>
        <v>https://www.youtube.com/watch?v=-X8Nj_r5zGE</v>
      </c>
      <c r="X417" s="81" t="s">
        <v>2335</v>
      </c>
      <c r="Y417" s="81">
        <v>1</v>
      </c>
      <c r="Z417" s="81" t="s">
        <v>2499</v>
      </c>
      <c r="AA417" s="81" t="s">
        <v>2499</v>
      </c>
      <c r="AB417" s="81"/>
      <c r="AC417" s="81"/>
      <c r="AD417" s="84" t="s">
        <v>2782</v>
      </c>
      <c r="AE417" s="82">
        <v>1</v>
      </c>
      <c r="AF417" s="83" t="str">
        <f>REPLACE(INDEX(GroupVertices[Group],MATCH(Edges[[#This Row],[Vertex 1]],GroupVertices[Vertex],0)),1,1,"")</f>
        <v>16</v>
      </c>
      <c r="AG417" s="83" t="str">
        <f>REPLACE(INDEX(GroupVertices[Group],MATCH(Edges[[#This Row],[Vertex 2]],GroupVertices[Vertex],0)),1,1,"")</f>
        <v>16</v>
      </c>
      <c r="AH417" s="111">
        <v>0</v>
      </c>
      <c r="AI417" s="112">
        <v>0</v>
      </c>
      <c r="AJ417" s="111">
        <v>1</v>
      </c>
      <c r="AK417" s="112">
        <v>12.5</v>
      </c>
      <c r="AL417" s="111">
        <v>0</v>
      </c>
      <c r="AM417" s="112">
        <v>0</v>
      </c>
      <c r="AN417" s="111">
        <v>7</v>
      </c>
      <c r="AO417" s="112">
        <v>87.5</v>
      </c>
      <c r="AP417" s="111">
        <v>8</v>
      </c>
    </row>
    <row r="418" spans="1:42" ht="15">
      <c r="A418" s="65" t="s">
        <v>516</v>
      </c>
      <c r="B418" s="65" t="s">
        <v>516</v>
      </c>
      <c r="C418" s="66" t="s">
        <v>5345</v>
      </c>
      <c r="D418" s="67">
        <v>3</v>
      </c>
      <c r="E418" s="68"/>
      <c r="F418" s="69">
        <v>40</v>
      </c>
      <c r="G418" s="66"/>
      <c r="H418" s="70"/>
      <c r="I418" s="71"/>
      <c r="J418" s="71"/>
      <c r="K418" s="35" t="s">
        <v>65</v>
      </c>
      <c r="L418" s="79">
        <v>418</v>
      </c>
      <c r="M418" s="79"/>
      <c r="N418" s="73"/>
      <c r="O418" s="81" t="s">
        <v>761</v>
      </c>
      <c r="P418" s="81" t="s">
        <v>763</v>
      </c>
      <c r="Q418" s="84" t="s">
        <v>1160</v>
      </c>
      <c r="R418" s="81" t="s">
        <v>516</v>
      </c>
      <c r="S418" s="81" t="s">
        <v>1845</v>
      </c>
      <c r="T418" s="86" t="str">
        <f>HYPERLINK("http://www.youtube.com/channel/UCndW331cxijeCaLHlD6VK-A")</f>
        <v>http://www.youtube.com/channel/UCndW331cxijeCaLHlD6VK-A</v>
      </c>
      <c r="U418" s="81" t="s">
        <v>2187</v>
      </c>
      <c r="V418" s="81" t="s">
        <v>2316</v>
      </c>
      <c r="W418" s="86" t="str">
        <f>HYPERLINK("https://www.youtube.com/watch?v=-X8Nj_r5zGE")</f>
        <v>https://www.youtube.com/watch?v=-X8Nj_r5zGE</v>
      </c>
      <c r="X418" s="81" t="s">
        <v>2335</v>
      </c>
      <c r="Y418" s="81">
        <v>0</v>
      </c>
      <c r="Z418" s="81" t="s">
        <v>2500</v>
      </c>
      <c r="AA418" s="81" t="s">
        <v>2500</v>
      </c>
      <c r="AB418" s="81"/>
      <c r="AC418" s="81"/>
      <c r="AD418" s="84" t="s">
        <v>2782</v>
      </c>
      <c r="AE418" s="82">
        <v>1</v>
      </c>
      <c r="AF418" s="83" t="str">
        <f>REPLACE(INDEX(GroupVertices[Group],MATCH(Edges[[#This Row],[Vertex 1]],GroupVertices[Vertex],0)),1,1,"")</f>
        <v>16</v>
      </c>
      <c r="AG418" s="83" t="str">
        <f>REPLACE(INDEX(GroupVertices[Group],MATCH(Edges[[#This Row],[Vertex 2]],GroupVertices[Vertex],0)),1,1,"")</f>
        <v>16</v>
      </c>
      <c r="AH418" s="111">
        <v>1</v>
      </c>
      <c r="AI418" s="112">
        <v>25</v>
      </c>
      <c r="AJ418" s="111">
        <v>1</v>
      </c>
      <c r="AK418" s="112">
        <v>25</v>
      </c>
      <c r="AL418" s="111">
        <v>0</v>
      </c>
      <c r="AM418" s="112">
        <v>0</v>
      </c>
      <c r="AN418" s="111">
        <v>2</v>
      </c>
      <c r="AO418" s="112">
        <v>50</v>
      </c>
      <c r="AP418" s="111">
        <v>4</v>
      </c>
    </row>
    <row r="419" spans="1:42" ht="15">
      <c r="A419" s="65" t="s">
        <v>516</v>
      </c>
      <c r="B419" s="65" t="s">
        <v>514</v>
      </c>
      <c r="C419" s="66" t="s">
        <v>5345</v>
      </c>
      <c r="D419" s="67">
        <v>3</v>
      </c>
      <c r="E419" s="68"/>
      <c r="F419" s="69">
        <v>40</v>
      </c>
      <c r="G419" s="66"/>
      <c r="H419" s="70"/>
      <c r="I419" s="71"/>
      <c r="J419" s="71"/>
      <c r="K419" s="35" t="s">
        <v>66</v>
      </c>
      <c r="L419" s="79">
        <v>419</v>
      </c>
      <c r="M419" s="79"/>
      <c r="N419" s="73"/>
      <c r="O419" s="81" t="s">
        <v>760</v>
      </c>
      <c r="P419" s="81" t="s">
        <v>215</v>
      </c>
      <c r="Q419" s="84" t="s">
        <v>1161</v>
      </c>
      <c r="R419" s="81" t="s">
        <v>516</v>
      </c>
      <c r="S419" s="81" t="s">
        <v>1845</v>
      </c>
      <c r="T419" s="86" t="str">
        <f>HYPERLINK("http://www.youtube.com/channel/UCndW331cxijeCaLHlD6VK-A")</f>
        <v>http://www.youtube.com/channel/UCndW331cxijeCaLHlD6VK-A</v>
      </c>
      <c r="U419" s="81"/>
      <c r="V419" s="81" t="s">
        <v>2316</v>
      </c>
      <c r="W419" s="86" t="str">
        <f>HYPERLINK("https://www.youtube.com/watch?v=-X8Nj_r5zGE")</f>
        <v>https://www.youtube.com/watch?v=-X8Nj_r5zGE</v>
      </c>
      <c r="X419" s="81" t="s">
        <v>2335</v>
      </c>
      <c r="Y419" s="81">
        <v>0</v>
      </c>
      <c r="Z419" s="81" t="s">
        <v>2501</v>
      </c>
      <c r="AA419" s="81" t="s">
        <v>2501</v>
      </c>
      <c r="AB419" s="81"/>
      <c r="AC419" s="81"/>
      <c r="AD419" s="84" t="s">
        <v>2782</v>
      </c>
      <c r="AE419" s="82">
        <v>1</v>
      </c>
      <c r="AF419" s="83" t="str">
        <f>REPLACE(INDEX(GroupVertices[Group],MATCH(Edges[[#This Row],[Vertex 1]],GroupVertices[Vertex],0)),1,1,"")</f>
        <v>16</v>
      </c>
      <c r="AG419" s="83" t="str">
        <f>REPLACE(INDEX(GroupVertices[Group],MATCH(Edges[[#This Row],[Vertex 2]],GroupVertices[Vertex],0)),1,1,"")</f>
        <v>16</v>
      </c>
      <c r="AH419" s="111">
        <v>0</v>
      </c>
      <c r="AI419" s="112">
        <v>0</v>
      </c>
      <c r="AJ419" s="111">
        <v>0</v>
      </c>
      <c r="AK419" s="112">
        <v>0</v>
      </c>
      <c r="AL419" s="111">
        <v>0</v>
      </c>
      <c r="AM419" s="112">
        <v>0</v>
      </c>
      <c r="AN419" s="111">
        <v>12</v>
      </c>
      <c r="AO419" s="112">
        <v>100</v>
      </c>
      <c r="AP419" s="111">
        <v>12</v>
      </c>
    </row>
    <row r="420" spans="1:42" ht="15">
      <c r="A420" s="65" t="s">
        <v>517</v>
      </c>
      <c r="B420" s="65" t="s">
        <v>753</v>
      </c>
      <c r="C420" s="66" t="s">
        <v>5345</v>
      </c>
      <c r="D420" s="67">
        <v>3</v>
      </c>
      <c r="E420" s="68"/>
      <c r="F420" s="69">
        <v>40</v>
      </c>
      <c r="G420" s="66"/>
      <c r="H420" s="70"/>
      <c r="I420" s="71"/>
      <c r="J420" s="71"/>
      <c r="K420" s="35" t="s">
        <v>65</v>
      </c>
      <c r="L420" s="79">
        <v>420</v>
      </c>
      <c r="M420" s="79"/>
      <c r="N420" s="73"/>
      <c r="O420" s="81" t="s">
        <v>760</v>
      </c>
      <c r="P420" s="81" t="s">
        <v>215</v>
      </c>
      <c r="Q420" s="84" t="s">
        <v>1162</v>
      </c>
      <c r="R420" s="81" t="s">
        <v>517</v>
      </c>
      <c r="S420" s="81" t="s">
        <v>1846</v>
      </c>
      <c r="T420" s="86" t="str">
        <f>HYPERLINK("http://www.youtube.com/channel/UCJZTjBlrnDHYmf0F-eYXA3Q")</f>
        <v>http://www.youtube.com/channel/UCJZTjBlrnDHYmf0F-eYXA3Q</v>
      </c>
      <c r="U420" s="81"/>
      <c r="V420" s="81" t="s">
        <v>2317</v>
      </c>
      <c r="W420" s="86" t="str">
        <f>HYPERLINK("https://www.youtube.com/watch?v=Id2c6MkIsQM")</f>
        <v>https://www.youtube.com/watch?v=Id2c6MkIsQM</v>
      </c>
      <c r="X420" s="81" t="s">
        <v>2335</v>
      </c>
      <c r="Y420" s="81">
        <v>5</v>
      </c>
      <c r="Z420" s="81" t="s">
        <v>2502</v>
      </c>
      <c r="AA420" s="81" t="s">
        <v>2502</v>
      </c>
      <c r="AB420" s="81"/>
      <c r="AC420" s="81"/>
      <c r="AD420" s="84" t="s">
        <v>2782</v>
      </c>
      <c r="AE420" s="82">
        <v>1</v>
      </c>
      <c r="AF420" s="83" t="str">
        <f>REPLACE(INDEX(GroupVertices[Group],MATCH(Edges[[#This Row],[Vertex 1]],GroupVertices[Vertex],0)),1,1,"")</f>
        <v>7</v>
      </c>
      <c r="AG420" s="83" t="str">
        <f>REPLACE(INDEX(GroupVertices[Group],MATCH(Edges[[#This Row],[Vertex 2]],GroupVertices[Vertex],0)),1,1,"")</f>
        <v>7</v>
      </c>
      <c r="AH420" s="111">
        <v>4</v>
      </c>
      <c r="AI420" s="112">
        <v>8.16326530612245</v>
      </c>
      <c r="AJ420" s="111">
        <v>0</v>
      </c>
      <c r="AK420" s="112">
        <v>0</v>
      </c>
      <c r="AL420" s="111">
        <v>0</v>
      </c>
      <c r="AM420" s="112">
        <v>0</v>
      </c>
      <c r="AN420" s="111">
        <v>45</v>
      </c>
      <c r="AO420" s="112">
        <v>91.83673469387755</v>
      </c>
      <c r="AP420" s="111">
        <v>49</v>
      </c>
    </row>
    <row r="421" spans="1:42" ht="15">
      <c r="A421" s="65" t="s">
        <v>518</v>
      </c>
      <c r="B421" s="65" t="s">
        <v>753</v>
      </c>
      <c r="C421" s="66" t="s">
        <v>5345</v>
      </c>
      <c r="D421" s="67">
        <v>3</v>
      </c>
      <c r="E421" s="68"/>
      <c r="F421" s="69">
        <v>40</v>
      </c>
      <c r="G421" s="66"/>
      <c r="H421" s="70"/>
      <c r="I421" s="71"/>
      <c r="J421" s="71"/>
      <c r="K421" s="35" t="s">
        <v>65</v>
      </c>
      <c r="L421" s="79">
        <v>421</v>
      </c>
      <c r="M421" s="79"/>
      <c r="N421" s="73"/>
      <c r="O421" s="81" t="s">
        <v>760</v>
      </c>
      <c r="P421" s="81" t="s">
        <v>215</v>
      </c>
      <c r="Q421" s="84" t="s">
        <v>1163</v>
      </c>
      <c r="R421" s="81" t="s">
        <v>518</v>
      </c>
      <c r="S421" s="81" t="s">
        <v>1847</v>
      </c>
      <c r="T421" s="86" t="str">
        <f>HYPERLINK("http://www.youtube.com/channel/UCe0Ty-ARgAtRKadl946iuag")</f>
        <v>http://www.youtube.com/channel/UCe0Ty-ARgAtRKadl946iuag</v>
      </c>
      <c r="U421" s="81"/>
      <c r="V421" s="81" t="s">
        <v>2317</v>
      </c>
      <c r="W421" s="86" t="str">
        <f>HYPERLINK("https://www.youtube.com/watch?v=Id2c6MkIsQM")</f>
        <v>https://www.youtube.com/watch?v=Id2c6MkIsQM</v>
      </c>
      <c r="X421" s="81" t="s">
        <v>2335</v>
      </c>
      <c r="Y421" s="81">
        <v>0</v>
      </c>
      <c r="Z421" s="81" t="s">
        <v>2503</v>
      </c>
      <c r="AA421" s="81" t="s">
        <v>2503</v>
      </c>
      <c r="AB421" s="81"/>
      <c r="AC421" s="81"/>
      <c r="AD421" s="84" t="s">
        <v>2782</v>
      </c>
      <c r="AE421" s="82">
        <v>1</v>
      </c>
      <c r="AF421" s="83" t="str">
        <f>REPLACE(INDEX(GroupVertices[Group],MATCH(Edges[[#This Row],[Vertex 1]],GroupVertices[Vertex],0)),1,1,"")</f>
        <v>7</v>
      </c>
      <c r="AG421" s="83" t="str">
        <f>REPLACE(INDEX(GroupVertices[Group],MATCH(Edges[[#This Row],[Vertex 2]],GroupVertices[Vertex],0)),1,1,"")</f>
        <v>7</v>
      </c>
      <c r="AH421" s="111">
        <v>4</v>
      </c>
      <c r="AI421" s="112">
        <v>28.571428571428573</v>
      </c>
      <c r="AJ421" s="111">
        <v>0</v>
      </c>
      <c r="AK421" s="112">
        <v>0</v>
      </c>
      <c r="AL421" s="111">
        <v>0</v>
      </c>
      <c r="AM421" s="112">
        <v>0</v>
      </c>
      <c r="AN421" s="111">
        <v>10</v>
      </c>
      <c r="AO421" s="112">
        <v>71.42857142857143</v>
      </c>
      <c r="AP421" s="111">
        <v>14</v>
      </c>
    </row>
    <row r="422" spans="1:42" ht="15">
      <c r="A422" s="65" t="s">
        <v>519</v>
      </c>
      <c r="B422" s="65" t="s">
        <v>753</v>
      </c>
      <c r="C422" s="66" t="s">
        <v>5345</v>
      </c>
      <c r="D422" s="67">
        <v>3</v>
      </c>
      <c r="E422" s="68"/>
      <c r="F422" s="69">
        <v>40</v>
      </c>
      <c r="G422" s="66"/>
      <c r="H422" s="70"/>
      <c r="I422" s="71"/>
      <c r="J422" s="71"/>
      <c r="K422" s="35" t="s">
        <v>65</v>
      </c>
      <c r="L422" s="79">
        <v>422</v>
      </c>
      <c r="M422" s="79"/>
      <c r="N422" s="73"/>
      <c r="O422" s="81" t="s">
        <v>760</v>
      </c>
      <c r="P422" s="81" t="s">
        <v>215</v>
      </c>
      <c r="Q422" s="84" t="s">
        <v>1164</v>
      </c>
      <c r="R422" s="81" t="s">
        <v>519</v>
      </c>
      <c r="S422" s="81" t="s">
        <v>1848</v>
      </c>
      <c r="T422" s="86" t="str">
        <f>HYPERLINK("http://www.youtube.com/channel/UCzYiZ_5SKTQ7VXZEk0QMqaQ")</f>
        <v>http://www.youtube.com/channel/UCzYiZ_5SKTQ7VXZEk0QMqaQ</v>
      </c>
      <c r="U422" s="81"/>
      <c r="V422" s="81" t="s">
        <v>2317</v>
      </c>
      <c r="W422" s="86" t="str">
        <f>HYPERLINK("https://www.youtube.com/watch?v=Id2c6MkIsQM")</f>
        <v>https://www.youtube.com/watch?v=Id2c6MkIsQM</v>
      </c>
      <c r="X422" s="81" t="s">
        <v>2335</v>
      </c>
      <c r="Y422" s="81">
        <v>0</v>
      </c>
      <c r="Z422" s="81" t="s">
        <v>2504</v>
      </c>
      <c r="AA422" s="81" t="s">
        <v>2504</v>
      </c>
      <c r="AB422" s="81"/>
      <c r="AC422" s="81"/>
      <c r="AD422" s="84" t="s">
        <v>2782</v>
      </c>
      <c r="AE422" s="82">
        <v>1</v>
      </c>
      <c r="AF422" s="83" t="str">
        <f>REPLACE(INDEX(GroupVertices[Group],MATCH(Edges[[#This Row],[Vertex 1]],GroupVertices[Vertex],0)),1,1,"")</f>
        <v>7</v>
      </c>
      <c r="AG422" s="83" t="str">
        <f>REPLACE(INDEX(GroupVertices[Group],MATCH(Edges[[#This Row],[Vertex 2]],GroupVertices[Vertex],0)),1,1,"")</f>
        <v>7</v>
      </c>
      <c r="AH422" s="111">
        <v>1</v>
      </c>
      <c r="AI422" s="112">
        <v>9.090909090909092</v>
      </c>
      <c r="AJ422" s="111">
        <v>0</v>
      </c>
      <c r="AK422" s="112">
        <v>0</v>
      </c>
      <c r="AL422" s="111">
        <v>0</v>
      </c>
      <c r="AM422" s="112">
        <v>0</v>
      </c>
      <c r="AN422" s="111">
        <v>10</v>
      </c>
      <c r="AO422" s="112">
        <v>90.9090909090909</v>
      </c>
      <c r="AP422" s="111">
        <v>11</v>
      </c>
    </row>
    <row r="423" spans="1:42" ht="15">
      <c r="A423" s="65" t="s">
        <v>520</v>
      </c>
      <c r="B423" s="65" t="s">
        <v>753</v>
      </c>
      <c r="C423" s="66" t="s">
        <v>5345</v>
      </c>
      <c r="D423" s="67">
        <v>3</v>
      </c>
      <c r="E423" s="68"/>
      <c r="F423" s="69">
        <v>40</v>
      </c>
      <c r="G423" s="66"/>
      <c r="H423" s="70"/>
      <c r="I423" s="71"/>
      <c r="J423" s="71"/>
      <c r="K423" s="35" t="s">
        <v>65</v>
      </c>
      <c r="L423" s="79">
        <v>423</v>
      </c>
      <c r="M423" s="79"/>
      <c r="N423" s="73"/>
      <c r="O423" s="81" t="s">
        <v>760</v>
      </c>
      <c r="P423" s="81" t="s">
        <v>215</v>
      </c>
      <c r="Q423" s="84" t="s">
        <v>1165</v>
      </c>
      <c r="R423" s="81" t="s">
        <v>520</v>
      </c>
      <c r="S423" s="81" t="s">
        <v>1849</v>
      </c>
      <c r="T423" s="86" t="str">
        <f>HYPERLINK("http://www.youtube.com/channel/UC-8wnkkf2mXWP8yGB7QZn6A")</f>
        <v>http://www.youtube.com/channel/UC-8wnkkf2mXWP8yGB7QZn6A</v>
      </c>
      <c r="U423" s="81"/>
      <c r="V423" s="81" t="s">
        <v>2317</v>
      </c>
      <c r="W423" s="86" t="str">
        <f>HYPERLINK("https://www.youtube.com/watch?v=Id2c6MkIsQM")</f>
        <v>https://www.youtube.com/watch?v=Id2c6MkIsQM</v>
      </c>
      <c r="X423" s="81" t="s">
        <v>2335</v>
      </c>
      <c r="Y423" s="81">
        <v>0</v>
      </c>
      <c r="Z423" s="81" t="s">
        <v>2505</v>
      </c>
      <c r="AA423" s="81" t="s">
        <v>2505</v>
      </c>
      <c r="AB423" s="81"/>
      <c r="AC423" s="81"/>
      <c r="AD423" s="84" t="s">
        <v>2782</v>
      </c>
      <c r="AE423" s="82">
        <v>1</v>
      </c>
      <c r="AF423" s="83" t="str">
        <f>REPLACE(INDEX(GroupVertices[Group],MATCH(Edges[[#This Row],[Vertex 1]],GroupVertices[Vertex],0)),1,1,"")</f>
        <v>7</v>
      </c>
      <c r="AG423" s="83" t="str">
        <f>REPLACE(INDEX(GroupVertices[Group],MATCH(Edges[[#This Row],[Vertex 2]],GroupVertices[Vertex],0)),1,1,"")</f>
        <v>7</v>
      </c>
      <c r="AH423" s="111">
        <v>1</v>
      </c>
      <c r="AI423" s="112">
        <v>11.11111111111111</v>
      </c>
      <c r="AJ423" s="111">
        <v>0</v>
      </c>
      <c r="AK423" s="112">
        <v>0</v>
      </c>
      <c r="AL423" s="111">
        <v>0</v>
      </c>
      <c r="AM423" s="112">
        <v>0</v>
      </c>
      <c r="AN423" s="111">
        <v>8</v>
      </c>
      <c r="AO423" s="112">
        <v>88.88888888888889</v>
      </c>
      <c r="AP423" s="111">
        <v>9</v>
      </c>
    </row>
    <row r="424" spans="1:42" ht="15">
      <c r="A424" s="65" t="s">
        <v>521</v>
      </c>
      <c r="B424" s="65" t="s">
        <v>753</v>
      </c>
      <c r="C424" s="66" t="s">
        <v>5345</v>
      </c>
      <c r="D424" s="67">
        <v>3</v>
      </c>
      <c r="E424" s="68"/>
      <c r="F424" s="69">
        <v>40</v>
      </c>
      <c r="G424" s="66"/>
      <c r="H424" s="70"/>
      <c r="I424" s="71"/>
      <c r="J424" s="71"/>
      <c r="K424" s="35" t="s">
        <v>65</v>
      </c>
      <c r="L424" s="79">
        <v>424</v>
      </c>
      <c r="M424" s="79"/>
      <c r="N424" s="73"/>
      <c r="O424" s="81" t="s">
        <v>760</v>
      </c>
      <c r="P424" s="81" t="s">
        <v>215</v>
      </c>
      <c r="Q424" s="84" t="s">
        <v>1166</v>
      </c>
      <c r="R424" s="81" t="s">
        <v>521</v>
      </c>
      <c r="S424" s="81" t="s">
        <v>1850</v>
      </c>
      <c r="T424" s="86" t="str">
        <f>HYPERLINK("http://www.youtube.com/channel/UCjwpjQ7SQwHjFPJrUWxke8g")</f>
        <v>http://www.youtube.com/channel/UCjwpjQ7SQwHjFPJrUWxke8g</v>
      </c>
      <c r="U424" s="81"/>
      <c r="V424" s="81" t="s">
        <v>2317</v>
      </c>
      <c r="W424" s="86" t="str">
        <f>HYPERLINK("https://www.youtube.com/watch?v=Id2c6MkIsQM")</f>
        <v>https://www.youtube.com/watch?v=Id2c6MkIsQM</v>
      </c>
      <c r="X424" s="81" t="s">
        <v>2335</v>
      </c>
      <c r="Y424" s="81">
        <v>0</v>
      </c>
      <c r="Z424" s="81" t="s">
        <v>2506</v>
      </c>
      <c r="AA424" s="81" t="s">
        <v>2506</v>
      </c>
      <c r="AB424" s="81"/>
      <c r="AC424" s="81"/>
      <c r="AD424" s="84" t="s">
        <v>2782</v>
      </c>
      <c r="AE424" s="82">
        <v>1</v>
      </c>
      <c r="AF424" s="83" t="str">
        <f>REPLACE(INDEX(GroupVertices[Group],MATCH(Edges[[#This Row],[Vertex 1]],GroupVertices[Vertex],0)),1,1,"")</f>
        <v>7</v>
      </c>
      <c r="AG424" s="83" t="str">
        <f>REPLACE(INDEX(GroupVertices[Group],MATCH(Edges[[#This Row],[Vertex 2]],GroupVertices[Vertex],0)),1,1,"")</f>
        <v>7</v>
      </c>
      <c r="AH424" s="111">
        <v>1</v>
      </c>
      <c r="AI424" s="112">
        <v>7.6923076923076925</v>
      </c>
      <c r="AJ424" s="111">
        <v>0</v>
      </c>
      <c r="AK424" s="112">
        <v>0</v>
      </c>
      <c r="AL424" s="111">
        <v>0</v>
      </c>
      <c r="AM424" s="112">
        <v>0</v>
      </c>
      <c r="AN424" s="111">
        <v>12</v>
      </c>
      <c r="AO424" s="112">
        <v>92.3076923076923</v>
      </c>
      <c r="AP424" s="111">
        <v>13</v>
      </c>
    </row>
    <row r="425" spans="1:42" ht="15">
      <c r="A425" s="65" t="s">
        <v>522</v>
      </c>
      <c r="B425" s="65" t="s">
        <v>753</v>
      </c>
      <c r="C425" s="66" t="s">
        <v>5345</v>
      </c>
      <c r="D425" s="67">
        <v>3</v>
      </c>
      <c r="E425" s="68"/>
      <c r="F425" s="69">
        <v>40</v>
      </c>
      <c r="G425" s="66"/>
      <c r="H425" s="70"/>
      <c r="I425" s="71"/>
      <c r="J425" s="71"/>
      <c r="K425" s="35" t="s">
        <v>65</v>
      </c>
      <c r="L425" s="79">
        <v>425</v>
      </c>
      <c r="M425" s="79"/>
      <c r="N425" s="73"/>
      <c r="O425" s="81" t="s">
        <v>760</v>
      </c>
      <c r="P425" s="81" t="s">
        <v>215</v>
      </c>
      <c r="Q425" s="84" t="s">
        <v>1167</v>
      </c>
      <c r="R425" s="81" t="s">
        <v>522</v>
      </c>
      <c r="S425" s="81" t="s">
        <v>1851</v>
      </c>
      <c r="T425" s="86" t="str">
        <f>HYPERLINK("http://www.youtube.com/channel/UCuDR6nNA17-9XDUzNi_eKbQ")</f>
        <v>http://www.youtube.com/channel/UCuDR6nNA17-9XDUzNi_eKbQ</v>
      </c>
      <c r="U425" s="81"/>
      <c r="V425" s="81" t="s">
        <v>2317</v>
      </c>
      <c r="W425" s="86" t="str">
        <f>HYPERLINK("https://www.youtube.com/watch?v=Id2c6MkIsQM")</f>
        <v>https://www.youtube.com/watch?v=Id2c6MkIsQM</v>
      </c>
      <c r="X425" s="81" t="s">
        <v>2335</v>
      </c>
      <c r="Y425" s="81">
        <v>0</v>
      </c>
      <c r="Z425" s="81" t="s">
        <v>2507</v>
      </c>
      <c r="AA425" s="81" t="s">
        <v>2507</v>
      </c>
      <c r="AB425" s="81"/>
      <c r="AC425" s="81"/>
      <c r="AD425" s="84" t="s">
        <v>2782</v>
      </c>
      <c r="AE425" s="82">
        <v>1</v>
      </c>
      <c r="AF425" s="83" t="str">
        <f>REPLACE(INDEX(GroupVertices[Group],MATCH(Edges[[#This Row],[Vertex 1]],GroupVertices[Vertex],0)),1,1,"")</f>
        <v>7</v>
      </c>
      <c r="AG425" s="83" t="str">
        <f>REPLACE(INDEX(GroupVertices[Group],MATCH(Edges[[#This Row],[Vertex 2]],GroupVertices[Vertex],0)),1,1,"")</f>
        <v>7</v>
      </c>
      <c r="AH425" s="111">
        <v>1</v>
      </c>
      <c r="AI425" s="112">
        <v>5</v>
      </c>
      <c r="AJ425" s="111">
        <v>1</v>
      </c>
      <c r="AK425" s="112">
        <v>5</v>
      </c>
      <c r="AL425" s="111">
        <v>0</v>
      </c>
      <c r="AM425" s="112">
        <v>0</v>
      </c>
      <c r="AN425" s="111">
        <v>18</v>
      </c>
      <c r="AO425" s="112">
        <v>90</v>
      </c>
      <c r="AP425" s="111">
        <v>20</v>
      </c>
    </row>
    <row r="426" spans="1:42" ht="15">
      <c r="A426" s="65" t="s">
        <v>523</v>
      </c>
      <c r="B426" s="65" t="s">
        <v>753</v>
      </c>
      <c r="C426" s="66" t="s">
        <v>5345</v>
      </c>
      <c r="D426" s="67">
        <v>3</v>
      </c>
      <c r="E426" s="68"/>
      <c r="F426" s="69">
        <v>40</v>
      </c>
      <c r="G426" s="66"/>
      <c r="H426" s="70"/>
      <c r="I426" s="71"/>
      <c r="J426" s="71"/>
      <c r="K426" s="35" t="s">
        <v>65</v>
      </c>
      <c r="L426" s="79">
        <v>426</v>
      </c>
      <c r="M426" s="79"/>
      <c r="N426" s="73"/>
      <c r="O426" s="81" t="s">
        <v>760</v>
      </c>
      <c r="P426" s="81" t="s">
        <v>215</v>
      </c>
      <c r="Q426" s="84" t="s">
        <v>1168</v>
      </c>
      <c r="R426" s="81" t="s">
        <v>523</v>
      </c>
      <c r="S426" s="81" t="s">
        <v>1852</v>
      </c>
      <c r="T426" s="86" t="str">
        <f>HYPERLINK("http://www.youtube.com/channel/UCW1pskv_gh6_dklLSDOjZ2Q")</f>
        <v>http://www.youtube.com/channel/UCW1pskv_gh6_dklLSDOjZ2Q</v>
      </c>
      <c r="U426" s="81"/>
      <c r="V426" s="81" t="s">
        <v>2317</v>
      </c>
      <c r="W426" s="86" t="str">
        <f>HYPERLINK("https://www.youtube.com/watch?v=Id2c6MkIsQM")</f>
        <v>https://www.youtube.com/watch?v=Id2c6MkIsQM</v>
      </c>
      <c r="X426" s="81" t="s">
        <v>2335</v>
      </c>
      <c r="Y426" s="81">
        <v>0</v>
      </c>
      <c r="Z426" s="81" t="s">
        <v>2508</v>
      </c>
      <c r="AA426" s="81" t="s">
        <v>2508</v>
      </c>
      <c r="AB426" s="81"/>
      <c r="AC426" s="81"/>
      <c r="AD426" s="84" t="s">
        <v>2782</v>
      </c>
      <c r="AE426" s="82">
        <v>1</v>
      </c>
      <c r="AF426" s="83" t="str">
        <f>REPLACE(INDEX(GroupVertices[Group],MATCH(Edges[[#This Row],[Vertex 1]],GroupVertices[Vertex],0)),1,1,"")</f>
        <v>7</v>
      </c>
      <c r="AG426" s="83" t="str">
        <f>REPLACE(INDEX(GroupVertices[Group],MATCH(Edges[[#This Row],[Vertex 2]],GroupVertices[Vertex],0)),1,1,"")</f>
        <v>7</v>
      </c>
      <c r="AH426" s="111">
        <v>7</v>
      </c>
      <c r="AI426" s="112">
        <v>14</v>
      </c>
      <c r="AJ426" s="111">
        <v>0</v>
      </c>
      <c r="AK426" s="112">
        <v>0</v>
      </c>
      <c r="AL426" s="111">
        <v>0</v>
      </c>
      <c r="AM426" s="112">
        <v>0</v>
      </c>
      <c r="AN426" s="111">
        <v>43</v>
      </c>
      <c r="AO426" s="112">
        <v>86</v>
      </c>
      <c r="AP426" s="111">
        <v>50</v>
      </c>
    </row>
    <row r="427" spans="1:42" ht="15">
      <c r="A427" s="65" t="s">
        <v>524</v>
      </c>
      <c r="B427" s="65" t="s">
        <v>524</v>
      </c>
      <c r="C427" s="66" t="s">
        <v>5345</v>
      </c>
      <c r="D427" s="67">
        <v>3</v>
      </c>
      <c r="E427" s="68"/>
      <c r="F427" s="69">
        <v>40</v>
      </c>
      <c r="G427" s="66"/>
      <c r="H427" s="70"/>
      <c r="I427" s="71"/>
      <c r="J427" s="71"/>
      <c r="K427" s="35" t="s">
        <v>65</v>
      </c>
      <c r="L427" s="79">
        <v>427</v>
      </c>
      <c r="M427" s="79"/>
      <c r="N427" s="73"/>
      <c r="O427" s="81" t="s">
        <v>761</v>
      </c>
      <c r="P427" s="81" t="s">
        <v>763</v>
      </c>
      <c r="Q427" s="84" t="s">
        <v>1169</v>
      </c>
      <c r="R427" s="81" t="s">
        <v>524</v>
      </c>
      <c r="S427" s="81" t="s">
        <v>1853</v>
      </c>
      <c r="T427" s="86" t="str">
        <f>HYPERLINK("http://www.youtube.com/channel/UCh5UsiQKf33b7BuvGekeV7g")</f>
        <v>http://www.youtube.com/channel/UCh5UsiQKf33b7BuvGekeV7g</v>
      </c>
      <c r="U427" s="81" t="s">
        <v>2188</v>
      </c>
      <c r="V427" s="81" t="s">
        <v>2317</v>
      </c>
      <c r="W427" s="86" t="str">
        <f>HYPERLINK("https://www.youtube.com/watch?v=Id2c6MkIsQM")</f>
        <v>https://www.youtube.com/watch?v=Id2c6MkIsQM</v>
      </c>
      <c r="X427" s="81" t="s">
        <v>2335</v>
      </c>
      <c r="Y427" s="81">
        <v>0</v>
      </c>
      <c r="Z427" s="81" t="s">
        <v>2509</v>
      </c>
      <c r="AA427" s="81" t="s">
        <v>2509</v>
      </c>
      <c r="AB427" s="81"/>
      <c r="AC427" s="81"/>
      <c r="AD427" s="84" t="s">
        <v>2782</v>
      </c>
      <c r="AE427" s="82">
        <v>1</v>
      </c>
      <c r="AF427" s="83" t="str">
        <f>REPLACE(INDEX(GroupVertices[Group],MATCH(Edges[[#This Row],[Vertex 1]],GroupVertices[Vertex],0)),1,1,"")</f>
        <v>7</v>
      </c>
      <c r="AG427" s="83" t="str">
        <f>REPLACE(INDEX(GroupVertices[Group],MATCH(Edges[[#This Row],[Vertex 2]],GroupVertices[Vertex],0)),1,1,"")</f>
        <v>7</v>
      </c>
      <c r="AH427" s="111">
        <v>0</v>
      </c>
      <c r="AI427" s="112">
        <v>0</v>
      </c>
      <c r="AJ427" s="111">
        <v>0</v>
      </c>
      <c r="AK427" s="112">
        <v>0</v>
      </c>
      <c r="AL427" s="111">
        <v>0</v>
      </c>
      <c r="AM427" s="112">
        <v>0</v>
      </c>
      <c r="AN427" s="111">
        <v>12</v>
      </c>
      <c r="AO427" s="112">
        <v>100</v>
      </c>
      <c r="AP427" s="111">
        <v>12</v>
      </c>
    </row>
    <row r="428" spans="1:42" ht="15">
      <c r="A428" s="65" t="s">
        <v>524</v>
      </c>
      <c r="B428" s="65" t="s">
        <v>753</v>
      </c>
      <c r="C428" s="66" t="s">
        <v>5345</v>
      </c>
      <c r="D428" s="67">
        <v>3</v>
      </c>
      <c r="E428" s="68"/>
      <c r="F428" s="69">
        <v>40</v>
      </c>
      <c r="G428" s="66"/>
      <c r="H428" s="70"/>
      <c r="I428" s="71"/>
      <c r="J428" s="71"/>
      <c r="K428" s="35" t="s">
        <v>65</v>
      </c>
      <c r="L428" s="79">
        <v>428</v>
      </c>
      <c r="M428" s="79"/>
      <c r="N428" s="73"/>
      <c r="O428" s="81" t="s">
        <v>760</v>
      </c>
      <c r="P428" s="81" t="s">
        <v>215</v>
      </c>
      <c r="Q428" s="84" t="s">
        <v>1170</v>
      </c>
      <c r="R428" s="81" t="s">
        <v>524</v>
      </c>
      <c r="S428" s="81" t="s">
        <v>1853</v>
      </c>
      <c r="T428" s="86" t="str">
        <f>HYPERLINK("http://www.youtube.com/channel/UCh5UsiQKf33b7BuvGekeV7g")</f>
        <v>http://www.youtube.com/channel/UCh5UsiQKf33b7BuvGekeV7g</v>
      </c>
      <c r="U428" s="81"/>
      <c r="V428" s="81" t="s">
        <v>2317</v>
      </c>
      <c r="W428" s="86" t="str">
        <f>HYPERLINK("https://www.youtube.com/watch?v=Id2c6MkIsQM")</f>
        <v>https://www.youtube.com/watch?v=Id2c6MkIsQM</v>
      </c>
      <c r="X428" s="81" t="s">
        <v>2335</v>
      </c>
      <c r="Y428" s="81">
        <v>0</v>
      </c>
      <c r="Z428" s="81" t="s">
        <v>2510</v>
      </c>
      <c r="AA428" s="81" t="s">
        <v>2510</v>
      </c>
      <c r="AB428" s="81"/>
      <c r="AC428" s="81"/>
      <c r="AD428" s="84" t="s">
        <v>2782</v>
      </c>
      <c r="AE428" s="82">
        <v>1</v>
      </c>
      <c r="AF428" s="83" t="str">
        <f>REPLACE(INDEX(GroupVertices[Group],MATCH(Edges[[#This Row],[Vertex 1]],GroupVertices[Vertex],0)),1,1,"")</f>
        <v>7</v>
      </c>
      <c r="AG428" s="83" t="str">
        <f>REPLACE(INDEX(GroupVertices[Group],MATCH(Edges[[#This Row],[Vertex 2]],GroupVertices[Vertex],0)),1,1,"")</f>
        <v>7</v>
      </c>
      <c r="AH428" s="111">
        <v>3</v>
      </c>
      <c r="AI428" s="112">
        <v>5.769230769230769</v>
      </c>
      <c r="AJ428" s="111">
        <v>0</v>
      </c>
      <c r="AK428" s="112">
        <v>0</v>
      </c>
      <c r="AL428" s="111">
        <v>0</v>
      </c>
      <c r="AM428" s="112">
        <v>0</v>
      </c>
      <c r="AN428" s="111">
        <v>49</v>
      </c>
      <c r="AO428" s="112">
        <v>94.23076923076923</v>
      </c>
      <c r="AP428" s="111">
        <v>52</v>
      </c>
    </row>
    <row r="429" spans="1:42" ht="15">
      <c r="A429" s="65" t="s">
        <v>525</v>
      </c>
      <c r="B429" s="65" t="s">
        <v>753</v>
      </c>
      <c r="C429" s="66" t="s">
        <v>5345</v>
      </c>
      <c r="D429" s="67">
        <v>3</v>
      </c>
      <c r="E429" s="68"/>
      <c r="F429" s="69">
        <v>40</v>
      </c>
      <c r="G429" s="66"/>
      <c r="H429" s="70"/>
      <c r="I429" s="71"/>
      <c r="J429" s="71"/>
      <c r="K429" s="35" t="s">
        <v>65</v>
      </c>
      <c r="L429" s="79">
        <v>429</v>
      </c>
      <c r="M429" s="79"/>
      <c r="N429" s="73"/>
      <c r="O429" s="81" t="s">
        <v>760</v>
      </c>
      <c r="P429" s="81" t="s">
        <v>215</v>
      </c>
      <c r="Q429" s="84" t="s">
        <v>1171</v>
      </c>
      <c r="R429" s="81" t="s">
        <v>525</v>
      </c>
      <c r="S429" s="81" t="s">
        <v>1854</v>
      </c>
      <c r="T429" s="86" t="str">
        <f>HYPERLINK("http://www.youtube.com/channel/UCsNKpmWElGQ0BCSsprqifPg")</f>
        <v>http://www.youtube.com/channel/UCsNKpmWElGQ0BCSsprqifPg</v>
      </c>
      <c r="U429" s="81"/>
      <c r="V429" s="81" t="s">
        <v>2317</v>
      </c>
      <c r="W429" s="86" t="str">
        <f>HYPERLINK("https://www.youtube.com/watch?v=Id2c6MkIsQM")</f>
        <v>https://www.youtube.com/watch?v=Id2c6MkIsQM</v>
      </c>
      <c r="X429" s="81" t="s">
        <v>2335</v>
      </c>
      <c r="Y429" s="81">
        <v>0</v>
      </c>
      <c r="Z429" s="81" t="s">
        <v>2511</v>
      </c>
      <c r="AA429" s="81" t="s">
        <v>2511</v>
      </c>
      <c r="AB429" s="81"/>
      <c r="AC429" s="81"/>
      <c r="AD429" s="84" t="s">
        <v>2782</v>
      </c>
      <c r="AE429" s="82">
        <v>1</v>
      </c>
      <c r="AF429" s="83" t="str">
        <f>REPLACE(INDEX(GroupVertices[Group],MATCH(Edges[[#This Row],[Vertex 1]],GroupVertices[Vertex],0)),1,1,"")</f>
        <v>7</v>
      </c>
      <c r="AG429" s="83" t="str">
        <f>REPLACE(INDEX(GroupVertices[Group],MATCH(Edges[[#This Row],[Vertex 2]],GroupVertices[Vertex],0)),1,1,"")</f>
        <v>7</v>
      </c>
      <c r="AH429" s="111">
        <v>2</v>
      </c>
      <c r="AI429" s="112">
        <v>7.6923076923076925</v>
      </c>
      <c r="AJ429" s="111">
        <v>0</v>
      </c>
      <c r="AK429" s="112">
        <v>0</v>
      </c>
      <c r="AL429" s="111">
        <v>0</v>
      </c>
      <c r="AM429" s="112">
        <v>0</v>
      </c>
      <c r="AN429" s="111">
        <v>24</v>
      </c>
      <c r="AO429" s="112">
        <v>92.3076923076923</v>
      </c>
      <c r="AP429" s="111">
        <v>26</v>
      </c>
    </row>
    <row r="430" spans="1:42" ht="15">
      <c r="A430" s="65" t="s">
        <v>526</v>
      </c>
      <c r="B430" s="65" t="s">
        <v>753</v>
      </c>
      <c r="C430" s="66" t="s">
        <v>5345</v>
      </c>
      <c r="D430" s="67">
        <v>3</v>
      </c>
      <c r="E430" s="68"/>
      <c r="F430" s="69">
        <v>40</v>
      </c>
      <c r="G430" s="66"/>
      <c r="H430" s="70"/>
      <c r="I430" s="71"/>
      <c r="J430" s="71"/>
      <c r="K430" s="35" t="s">
        <v>65</v>
      </c>
      <c r="L430" s="79">
        <v>430</v>
      </c>
      <c r="M430" s="79"/>
      <c r="N430" s="73"/>
      <c r="O430" s="81" t="s">
        <v>760</v>
      </c>
      <c r="P430" s="81" t="s">
        <v>215</v>
      </c>
      <c r="Q430" s="84" t="s">
        <v>1172</v>
      </c>
      <c r="R430" s="81" t="s">
        <v>526</v>
      </c>
      <c r="S430" s="81" t="s">
        <v>1855</v>
      </c>
      <c r="T430" s="86" t="str">
        <f>HYPERLINK("http://www.youtube.com/channel/UCTm2yZtoKoWY2pmWLIQvYYw")</f>
        <v>http://www.youtube.com/channel/UCTm2yZtoKoWY2pmWLIQvYYw</v>
      </c>
      <c r="U430" s="81"/>
      <c r="V430" s="81" t="s">
        <v>2317</v>
      </c>
      <c r="W430" s="86" t="str">
        <f>HYPERLINK("https://www.youtube.com/watch?v=Id2c6MkIsQM")</f>
        <v>https://www.youtube.com/watch?v=Id2c6MkIsQM</v>
      </c>
      <c r="X430" s="81" t="s">
        <v>2335</v>
      </c>
      <c r="Y430" s="81">
        <v>0</v>
      </c>
      <c r="Z430" s="81" t="s">
        <v>2512</v>
      </c>
      <c r="AA430" s="81" t="s">
        <v>2512</v>
      </c>
      <c r="AB430" s="81"/>
      <c r="AC430" s="81"/>
      <c r="AD430" s="84" t="s">
        <v>2782</v>
      </c>
      <c r="AE430" s="82">
        <v>1</v>
      </c>
      <c r="AF430" s="83" t="str">
        <f>REPLACE(INDEX(GroupVertices[Group],MATCH(Edges[[#This Row],[Vertex 1]],GroupVertices[Vertex],0)),1,1,"")</f>
        <v>7</v>
      </c>
      <c r="AG430" s="83" t="str">
        <f>REPLACE(INDEX(GroupVertices[Group],MATCH(Edges[[#This Row],[Vertex 2]],GroupVertices[Vertex],0)),1,1,"")</f>
        <v>7</v>
      </c>
      <c r="AH430" s="111">
        <v>4</v>
      </c>
      <c r="AI430" s="112">
        <v>26.666666666666668</v>
      </c>
      <c r="AJ430" s="111">
        <v>0</v>
      </c>
      <c r="AK430" s="112">
        <v>0</v>
      </c>
      <c r="AL430" s="111">
        <v>0</v>
      </c>
      <c r="AM430" s="112">
        <v>0</v>
      </c>
      <c r="AN430" s="111">
        <v>11</v>
      </c>
      <c r="AO430" s="112">
        <v>73.33333333333333</v>
      </c>
      <c r="AP430" s="111">
        <v>15</v>
      </c>
    </row>
    <row r="431" spans="1:42" ht="15">
      <c r="A431" s="65" t="s">
        <v>527</v>
      </c>
      <c r="B431" s="65" t="s">
        <v>753</v>
      </c>
      <c r="C431" s="66" t="s">
        <v>5345</v>
      </c>
      <c r="D431" s="67">
        <v>3</v>
      </c>
      <c r="E431" s="68"/>
      <c r="F431" s="69">
        <v>40</v>
      </c>
      <c r="G431" s="66"/>
      <c r="H431" s="70"/>
      <c r="I431" s="71"/>
      <c r="J431" s="71"/>
      <c r="K431" s="35" t="s">
        <v>65</v>
      </c>
      <c r="L431" s="79">
        <v>431</v>
      </c>
      <c r="M431" s="79"/>
      <c r="N431" s="73"/>
      <c r="O431" s="81" t="s">
        <v>760</v>
      </c>
      <c r="P431" s="81" t="s">
        <v>215</v>
      </c>
      <c r="Q431" s="84" t="s">
        <v>1173</v>
      </c>
      <c r="R431" s="81" t="s">
        <v>527</v>
      </c>
      <c r="S431" s="81" t="s">
        <v>1856</v>
      </c>
      <c r="T431" s="86" t="str">
        <f>HYPERLINK("http://www.youtube.com/channel/UCRBuEfQGWPw3WcZQCAx9pYg")</f>
        <v>http://www.youtube.com/channel/UCRBuEfQGWPw3WcZQCAx9pYg</v>
      </c>
      <c r="U431" s="81"/>
      <c r="V431" s="81" t="s">
        <v>2317</v>
      </c>
      <c r="W431" s="86" t="str">
        <f>HYPERLINK("https://www.youtube.com/watch?v=Id2c6MkIsQM")</f>
        <v>https://www.youtube.com/watch?v=Id2c6MkIsQM</v>
      </c>
      <c r="X431" s="81" t="s">
        <v>2335</v>
      </c>
      <c r="Y431" s="81">
        <v>0</v>
      </c>
      <c r="Z431" s="81" t="s">
        <v>2513</v>
      </c>
      <c r="AA431" s="81" t="s">
        <v>2513</v>
      </c>
      <c r="AB431" s="81"/>
      <c r="AC431" s="81"/>
      <c r="AD431" s="84" t="s">
        <v>2782</v>
      </c>
      <c r="AE431" s="82">
        <v>1</v>
      </c>
      <c r="AF431" s="83" t="str">
        <f>REPLACE(INDEX(GroupVertices[Group],MATCH(Edges[[#This Row],[Vertex 1]],GroupVertices[Vertex],0)),1,1,"")</f>
        <v>7</v>
      </c>
      <c r="AG431" s="83" t="str">
        <f>REPLACE(INDEX(GroupVertices[Group],MATCH(Edges[[#This Row],[Vertex 2]],GroupVertices[Vertex],0)),1,1,"")</f>
        <v>7</v>
      </c>
      <c r="AH431" s="111">
        <v>2</v>
      </c>
      <c r="AI431" s="112">
        <v>12.5</v>
      </c>
      <c r="AJ431" s="111">
        <v>0</v>
      </c>
      <c r="AK431" s="112">
        <v>0</v>
      </c>
      <c r="AL431" s="111">
        <v>0</v>
      </c>
      <c r="AM431" s="112">
        <v>0</v>
      </c>
      <c r="AN431" s="111">
        <v>14</v>
      </c>
      <c r="AO431" s="112">
        <v>87.5</v>
      </c>
      <c r="AP431" s="111">
        <v>16</v>
      </c>
    </row>
    <row r="432" spans="1:42" ht="15">
      <c r="A432" s="65" t="s">
        <v>528</v>
      </c>
      <c r="B432" s="65" t="s">
        <v>753</v>
      </c>
      <c r="C432" s="66" t="s">
        <v>5345</v>
      </c>
      <c r="D432" s="67">
        <v>3</v>
      </c>
      <c r="E432" s="68"/>
      <c r="F432" s="69">
        <v>40</v>
      </c>
      <c r="G432" s="66"/>
      <c r="H432" s="70"/>
      <c r="I432" s="71"/>
      <c r="J432" s="71"/>
      <c r="K432" s="35" t="s">
        <v>65</v>
      </c>
      <c r="L432" s="79">
        <v>432</v>
      </c>
      <c r="M432" s="79"/>
      <c r="N432" s="73"/>
      <c r="O432" s="81" t="s">
        <v>760</v>
      </c>
      <c r="P432" s="81" t="s">
        <v>215</v>
      </c>
      <c r="Q432" s="84" t="s">
        <v>1174</v>
      </c>
      <c r="R432" s="81" t="s">
        <v>528</v>
      </c>
      <c r="S432" s="81" t="s">
        <v>1857</v>
      </c>
      <c r="T432" s="86" t="str">
        <f>HYPERLINK("http://www.youtube.com/channel/UCWjwxCbCACOzNWQ3D0gVIdQ")</f>
        <v>http://www.youtube.com/channel/UCWjwxCbCACOzNWQ3D0gVIdQ</v>
      </c>
      <c r="U432" s="81"/>
      <c r="V432" s="81" t="s">
        <v>2317</v>
      </c>
      <c r="W432" s="86" t="str">
        <f>HYPERLINK("https://www.youtube.com/watch?v=Id2c6MkIsQM")</f>
        <v>https://www.youtube.com/watch?v=Id2c6MkIsQM</v>
      </c>
      <c r="X432" s="81" t="s">
        <v>2335</v>
      </c>
      <c r="Y432" s="81">
        <v>0</v>
      </c>
      <c r="Z432" s="81" t="s">
        <v>2514</v>
      </c>
      <c r="AA432" s="81" t="s">
        <v>2514</v>
      </c>
      <c r="AB432" s="81"/>
      <c r="AC432" s="81"/>
      <c r="AD432" s="84" t="s">
        <v>2782</v>
      </c>
      <c r="AE432" s="82">
        <v>1</v>
      </c>
      <c r="AF432" s="83" t="str">
        <f>REPLACE(INDEX(GroupVertices[Group],MATCH(Edges[[#This Row],[Vertex 1]],GroupVertices[Vertex],0)),1,1,"")</f>
        <v>7</v>
      </c>
      <c r="AG432" s="83" t="str">
        <f>REPLACE(INDEX(GroupVertices[Group],MATCH(Edges[[#This Row],[Vertex 2]],GroupVertices[Vertex],0)),1,1,"")</f>
        <v>7</v>
      </c>
      <c r="AH432" s="111">
        <v>3</v>
      </c>
      <c r="AI432" s="112">
        <v>17.647058823529413</v>
      </c>
      <c r="AJ432" s="111">
        <v>0</v>
      </c>
      <c r="AK432" s="112">
        <v>0</v>
      </c>
      <c r="AL432" s="111">
        <v>0</v>
      </c>
      <c r="AM432" s="112">
        <v>0</v>
      </c>
      <c r="AN432" s="111">
        <v>14</v>
      </c>
      <c r="AO432" s="112">
        <v>82.3529411764706</v>
      </c>
      <c r="AP432" s="111">
        <v>17</v>
      </c>
    </row>
    <row r="433" spans="1:42" ht="15">
      <c r="A433" s="65" t="s">
        <v>529</v>
      </c>
      <c r="B433" s="65" t="s">
        <v>753</v>
      </c>
      <c r="C433" s="66" t="s">
        <v>5345</v>
      </c>
      <c r="D433" s="67">
        <v>3</v>
      </c>
      <c r="E433" s="68"/>
      <c r="F433" s="69">
        <v>40</v>
      </c>
      <c r="G433" s="66"/>
      <c r="H433" s="70"/>
      <c r="I433" s="71"/>
      <c r="J433" s="71"/>
      <c r="K433" s="35" t="s">
        <v>65</v>
      </c>
      <c r="L433" s="79">
        <v>433</v>
      </c>
      <c r="M433" s="79"/>
      <c r="N433" s="73"/>
      <c r="O433" s="81" t="s">
        <v>760</v>
      </c>
      <c r="P433" s="81" t="s">
        <v>215</v>
      </c>
      <c r="Q433" s="84" t="s">
        <v>1175</v>
      </c>
      <c r="R433" s="81" t="s">
        <v>529</v>
      </c>
      <c r="S433" s="81" t="s">
        <v>1858</v>
      </c>
      <c r="T433" s="86" t="str">
        <f>HYPERLINK("http://www.youtube.com/channel/UC52E-_l374iWas_sJuvIE_Q")</f>
        <v>http://www.youtube.com/channel/UC52E-_l374iWas_sJuvIE_Q</v>
      </c>
      <c r="U433" s="81"/>
      <c r="V433" s="81" t="s">
        <v>2317</v>
      </c>
      <c r="W433" s="86" t="str">
        <f>HYPERLINK("https://www.youtube.com/watch?v=Id2c6MkIsQM")</f>
        <v>https://www.youtube.com/watch?v=Id2c6MkIsQM</v>
      </c>
      <c r="X433" s="81" t="s">
        <v>2335</v>
      </c>
      <c r="Y433" s="81">
        <v>0</v>
      </c>
      <c r="Z433" s="81" t="s">
        <v>2515</v>
      </c>
      <c r="AA433" s="81" t="s">
        <v>2515</v>
      </c>
      <c r="AB433" s="81"/>
      <c r="AC433" s="81"/>
      <c r="AD433" s="84" t="s">
        <v>2782</v>
      </c>
      <c r="AE433" s="82">
        <v>1</v>
      </c>
      <c r="AF433" s="83" t="str">
        <f>REPLACE(INDEX(GroupVertices[Group],MATCH(Edges[[#This Row],[Vertex 1]],GroupVertices[Vertex],0)),1,1,"")</f>
        <v>7</v>
      </c>
      <c r="AG433" s="83" t="str">
        <f>REPLACE(INDEX(GroupVertices[Group],MATCH(Edges[[#This Row],[Vertex 2]],GroupVertices[Vertex],0)),1,1,"")</f>
        <v>7</v>
      </c>
      <c r="AH433" s="111">
        <v>4</v>
      </c>
      <c r="AI433" s="112">
        <v>7.2727272727272725</v>
      </c>
      <c r="AJ433" s="111">
        <v>0</v>
      </c>
      <c r="AK433" s="112">
        <v>0</v>
      </c>
      <c r="AL433" s="111">
        <v>0</v>
      </c>
      <c r="AM433" s="112">
        <v>0</v>
      </c>
      <c r="AN433" s="111">
        <v>51</v>
      </c>
      <c r="AO433" s="112">
        <v>92.72727272727273</v>
      </c>
      <c r="AP433" s="111">
        <v>55</v>
      </c>
    </row>
    <row r="434" spans="1:42" ht="15">
      <c r="A434" s="65" t="s">
        <v>530</v>
      </c>
      <c r="B434" s="65" t="s">
        <v>753</v>
      </c>
      <c r="C434" s="66" t="s">
        <v>5345</v>
      </c>
      <c r="D434" s="67">
        <v>3</v>
      </c>
      <c r="E434" s="68"/>
      <c r="F434" s="69">
        <v>40</v>
      </c>
      <c r="G434" s="66"/>
      <c r="H434" s="70"/>
      <c r="I434" s="71"/>
      <c r="J434" s="71"/>
      <c r="K434" s="35" t="s">
        <v>65</v>
      </c>
      <c r="L434" s="79">
        <v>434</v>
      </c>
      <c r="M434" s="79"/>
      <c r="N434" s="73"/>
      <c r="O434" s="81" t="s">
        <v>760</v>
      </c>
      <c r="P434" s="81" t="s">
        <v>215</v>
      </c>
      <c r="Q434" s="84" t="s">
        <v>1176</v>
      </c>
      <c r="R434" s="81" t="s">
        <v>530</v>
      </c>
      <c r="S434" s="81" t="s">
        <v>1859</v>
      </c>
      <c r="T434" s="86" t="str">
        <f>HYPERLINK("http://www.youtube.com/channel/UCOpwQats0DH44HbN18LEPVg")</f>
        <v>http://www.youtube.com/channel/UCOpwQats0DH44HbN18LEPVg</v>
      </c>
      <c r="U434" s="81"/>
      <c r="V434" s="81" t="s">
        <v>2317</v>
      </c>
      <c r="W434" s="86" t="str">
        <f>HYPERLINK("https://www.youtube.com/watch?v=Id2c6MkIsQM")</f>
        <v>https://www.youtube.com/watch?v=Id2c6MkIsQM</v>
      </c>
      <c r="X434" s="81" t="s">
        <v>2335</v>
      </c>
      <c r="Y434" s="81">
        <v>1</v>
      </c>
      <c r="Z434" s="81" t="s">
        <v>2516</v>
      </c>
      <c r="AA434" s="81" t="s">
        <v>2516</v>
      </c>
      <c r="AB434" s="81"/>
      <c r="AC434" s="81"/>
      <c r="AD434" s="84" t="s">
        <v>2782</v>
      </c>
      <c r="AE434" s="82">
        <v>1</v>
      </c>
      <c r="AF434" s="83" t="str">
        <f>REPLACE(INDEX(GroupVertices[Group],MATCH(Edges[[#This Row],[Vertex 1]],GroupVertices[Vertex],0)),1,1,"")</f>
        <v>7</v>
      </c>
      <c r="AG434" s="83" t="str">
        <f>REPLACE(INDEX(GroupVertices[Group],MATCH(Edges[[#This Row],[Vertex 2]],GroupVertices[Vertex],0)),1,1,"")</f>
        <v>7</v>
      </c>
      <c r="AH434" s="111">
        <v>2</v>
      </c>
      <c r="AI434" s="112">
        <v>11.764705882352942</v>
      </c>
      <c r="AJ434" s="111">
        <v>1</v>
      </c>
      <c r="AK434" s="112">
        <v>5.882352941176471</v>
      </c>
      <c r="AL434" s="111">
        <v>0</v>
      </c>
      <c r="AM434" s="112">
        <v>0</v>
      </c>
      <c r="AN434" s="111">
        <v>14</v>
      </c>
      <c r="AO434" s="112">
        <v>82.3529411764706</v>
      </c>
      <c r="AP434" s="111">
        <v>17</v>
      </c>
    </row>
    <row r="435" spans="1:42" ht="15">
      <c r="A435" s="65" t="s">
        <v>531</v>
      </c>
      <c r="B435" s="65" t="s">
        <v>753</v>
      </c>
      <c r="C435" s="66" t="s">
        <v>5345</v>
      </c>
      <c r="D435" s="67">
        <v>3</v>
      </c>
      <c r="E435" s="68"/>
      <c r="F435" s="69">
        <v>40</v>
      </c>
      <c r="G435" s="66"/>
      <c r="H435" s="70"/>
      <c r="I435" s="71"/>
      <c r="J435" s="71"/>
      <c r="K435" s="35" t="s">
        <v>65</v>
      </c>
      <c r="L435" s="79">
        <v>435</v>
      </c>
      <c r="M435" s="79"/>
      <c r="N435" s="73"/>
      <c r="O435" s="81" t="s">
        <v>760</v>
      </c>
      <c r="P435" s="81" t="s">
        <v>215</v>
      </c>
      <c r="Q435" s="84" t="s">
        <v>1177</v>
      </c>
      <c r="R435" s="81" t="s">
        <v>531</v>
      </c>
      <c r="S435" s="81" t="s">
        <v>1860</v>
      </c>
      <c r="T435" s="86" t="str">
        <f>HYPERLINK("http://www.youtube.com/channel/UCj7vVNR6ffIvD_zIw_Kmu_Q")</f>
        <v>http://www.youtube.com/channel/UCj7vVNR6ffIvD_zIw_Kmu_Q</v>
      </c>
      <c r="U435" s="81"/>
      <c r="V435" s="81" t="s">
        <v>2317</v>
      </c>
      <c r="W435" s="86" t="str">
        <f>HYPERLINK("https://www.youtube.com/watch?v=Id2c6MkIsQM")</f>
        <v>https://www.youtube.com/watch?v=Id2c6MkIsQM</v>
      </c>
      <c r="X435" s="81" t="s">
        <v>2335</v>
      </c>
      <c r="Y435" s="81">
        <v>0</v>
      </c>
      <c r="Z435" s="81" t="s">
        <v>2517</v>
      </c>
      <c r="AA435" s="81" t="s">
        <v>2517</v>
      </c>
      <c r="AB435" s="81"/>
      <c r="AC435" s="81"/>
      <c r="AD435" s="84" t="s">
        <v>2782</v>
      </c>
      <c r="AE435" s="82">
        <v>1</v>
      </c>
      <c r="AF435" s="83" t="str">
        <f>REPLACE(INDEX(GroupVertices[Group],MATCH(Edges[[#This Row],[Vertex 1]],GroupVertices[Vertex],0)),1,1,"")</f>
        <v>7</v>
      </c>
      <c r="AG435" s="83" t="str">
        <f>REPLACE(INDEX(GroupVertices[Group],MATCH(Edges[[#This Row],[Vertex 2]],GroupVertices[Vertex],0)),1,1,"")</f>
        <v>7</v>
      </c>
      <c r="AH435" s="111">
        <v>3</v>
      </c>
      <c r="AI435" s="112">
        <v>33.333333333333336</v>
      </c>
      <c r="AJ435" s="111">
        <v>0</v>
      </c>
      <c r="AK435" s="112">
        <v>0</v>
      </c>
      <c r="AL435" s="111">
        <v>0</v>
      </c>
      <c r="AM435" s="112">
        <v>0</v>
      </c>
      <c r="AN435" s="111">
        <v>6</v>
      </c>
      <c r="AO435" s="112">
        <v>66.66666666666667</v>
      </c>
      <c r="AP435" s="111">
        <v>9</v>
      </c>
    </row>
    <row r="436" spans="1:42" ht="15">
      <c r="A436" s="65" t="s">
        <v>532</v>
      </c>
      <c r="B436" s="65" t="s">
        <v>753</v>
      </c>
      <c r="C436" s="66" t="s">
        <v>5345</v>
      </c>
      <c r="D436" s="67">
        <v>3</v>
      </c>
      <c r="E436" s="68"/>
      <c r="F436" s="69">
        <v>40</v>
      </c>
      <c r="G436" s="66"/>
      <c r="H436" s="70"/>
      <c r="I436" s="71"/>
      <c r="J436" s="71"/>
      <c r="K436" s="35" t="s">
        <v>65</v>
      </c>
      <c r="L436" s="79">
        <v>436</v>
      </c>
      <c r="M436" s="79"/>
      <c r="N436" s="73"/>
      <c r="O436" s="81" t="s">
        <v>760</v>
      </c>
      <c r="P436" s="81" t="s">
        <v>215</v>
      </c>
      <c r="Q436" s="84" t="s">
        <v>1178</v>
      </c>
      <c r="R436" s="81" t="s">
        <v>532</v>
      </c>
      <c r="S436" s="81" t="s">
        <v>1861</v>
      </c>
      <c r="T436" s="86" t="str">
        <f>HYPERLINK("http://www.youtube.com/channel/UCrw7oHPo_TyKCcjUXMRFydw")</f>
        <v>http://www.youtube.com/channel/UCrw7oHPo_TyKCcjUXMRFydw</v>
      </c>
      <c r="U436" s="81"/>
      <c r="V436" s="81" t="s">
        <v>2317</v>
      </c>
      <c r="W436" s="86" t="str">
        <f>HYPERLINK("https://www.youtube.com/watch?v=Id2c6MkIsQM")</f>
        <v>https://www.youtube.com/watch?v=Id2c6MkIsQM</v>
      </c>
      <c r="X436" s="81" t="s">
        <v>2335</v>
      </c>
      <c r="Y436" s="81">
        <v>0</v>
      </c>
      <c r="Z436" s="81" t="s">
        <v>2518</v>
      </c>
      <c r="AA436" s="81" t="s">
        <v>2518</v>
      </c>
      <c r="AB436" s="81"/>
      <c r="AC436" s="81"/>
      <c r="AD436" s="84" t="s">
        <v>2782</v>
      </c>
      <c r="AE436" s="82">
        <v>1</v>
      </c>
      <c r="AF436" s="83" t="str">
        <f>REPLACE(INDEX(GroupVertices[Group],MATCH(Edges[[#This Row],[Vertex 1]],GroupVertices[Vertex],0)),1,1,"")</f>
        <v>7</v>
      </c>
      <c r="AG436" s="83" t="str">
        <f>REPLACE(INDEX(GroupVertices[Group],MATCH(Edges[[#This Row],[Vertex 2]],GroupVertices[Vertex],0)),1,1,"")</f>
        <v>7</v>
      </c>
      <c r="AH436" s="111">
        <v>1</v>
      </c>
      <c r="AI436" s="112">
        <v>16.666666666666668</v>
      </c>
      <c r="AJ436" s="111">
        <v>0</v>
      </c>
      <c r="AK436" s="112">
        <v>0</v>
      </c>
      <c r="AL436" s="111">
        <v>0</v>
      </c>
      <c r="AM436" s="112">
        <v>0</v>
      </c>
      <c r="AN436" s="111">
        <v>5</v>
      </c>
      <c r="AO436" s="112">
        <v>83.33333333333333</v>
      </c>
      <c r="AP436" s="111">
        <v>6</v>
      </c>
    </row>
    <row r="437" spans="1:42" ht="15">
      <c r="A437" s="65" t="s">
        <v>533</v>
      </c>
      <c r="B437" s="65" t="s">
        <v>753</v>
      </c>
      <c r="C437" s="66" t="s">
        <v>5345</v>
      </c>
      <c r="D437" s="67">
        <v>3</v>
      </c>
      <c r="E437" s="68"/>
      <c r="F437" s="69">
        <v>40</v>
      </c>
      <c r="G437" s="66"/>
      <c r="H437" s="70"/>
      <c r="I437" s="71"/>
      <c r="J437" s="71"/>
      <c r="K437" s="35" t="s">
        <v>65</v>
      </c>
      <c r="L437" s="79">
        <v>437</v>
      </c>
      <c r="M437" s="79"/>
      <c r="N437" s="73"/>
      <c r="O437" s="81" t="s">
        <v>760</v>
      </c>
      <c r="P437" s="81" t="s">
        <v>215</v>
      </c>
      <c r="Q437" s="84" t="s">
        <v>1179</v>
      </c>
      <c r="R437" s="81" t="s">
        <v>533</v>
      </c>
      <c r="S437" s="81" t="s">
        <v>1862</v>
      </c>
      <c r="T437" s="86" t="str">
        <f>HYPERLINK("http://www.youtube.com/channel/UC-655aPa9Tl-s1KASoDFgag")</f>
        <v>http://www.youtube.com/channel/UC-655aPa9Tl-s1KASoDFgag</v>
      </c>
      <c r="U437" s="81"/>
      <c r="V437" s="81" t="s">
        <v>2317</v>
      </c>
      <c r="W437" s="86" t="str">
        <f>HYPERLINK("https://www.youtube.com/watch?v=Id2c6MkIsQM")</f>
        <v>https://www.youtube.com/watch?v=Id2c6MkIsQM</v>
      </c>
      <c r="X437" s="81" t="s">
        <v>2335</v>
      </c>
      <c r="Y437" s="81">
        <v>0</v>
      </c>
      <c r="Z437" s="81" t="s">
        <v>2519</v>
      </c>
      <c r="AA437" s="81" t="s">
        <v>2519</v>
      </c>
      <c r="AB437" s="81"/>
      <c r="AC437" s="81"/>
      <c r="AD437" s="84" t="s">
        <v>2782</v>
      </c>
      <c r="AE437" s="82">
        <v>1</v>
      </c>
      <c r="AF437" s="83" t="str">
        <f>REPLACE(INDEX(GroupVertices[Group],MATCH(Edges[[#This Row],[Vertex 1]],GroupVertices[Vertex],0)),1,1,"")</f>
        <v>7</v>
      </c>
      <c r="AG437" s="83" t="str">
        <f>REPLACE(INDEX(GroupVertices[Group],MATCH(Edges[[#This Row],[Vertex 2]],GroupVertices[Vertex],0)),1,1,"")</f>
        <v>7</v>
      </c>
      <c r="AH437" s="111">
        <v>1</v>
      </c>
      <c r="AI437" s="112">
        <v>14.285714285714286</v>
      </c>
      <c r="AJ437" s="111">
        <v>0</v>
      </c>
      <c r="AK437" s="112">
        <v>0</v>
      </c>
      <c r="AL437" s="111">
        <v>0</v>
      </c>
      <c r="AM437" s="112">
        <v>0</v>
      </c>
      <c r="AN437" s="111">
        <v>6</v>
      </c>
      <c r="AO437" s="112">
        <v>85.71428571428571</v>
      </c>
      <c r="AP437" s="111">
        <v>7</v>
      </c>
    </row>
    <row r="438" spans="1:42" ht="15">
      <c r="A438" s="65" t="s">
        <v>534</v>
      </c>
      <c r="B438" s="65" t="s">
        <v>753</v>
      </c>
      <c r="C438" s="66" t="s">
        <v>5345</v>
      </c>
      <c r="D438" s="67">
        <v>3</v>
      </c>
      <c r="E438" s="68"/>
      <c r="F438" s="69">
        <v>40</v>
      </c>
      <c r="G438" s="66"/>
      <c r="H438" s="70"/>
      <c r="I438" s="71"/>
      <c r="J438" s="71"/>
      <c r="K438" s="35" t="s">
        <v>65</v>
      </c>
      <c r="L438" s="79">
        <v>438</v>
      </c>
      <c r="M438" s="79"/>
      <c r="N438" s="73"/>
      <c r="O438" s="81" t="s">
        <v>760</v>
      </c>
      <c r="P438" s="81" t="s">
        <v>215</v>
      </c>
      <c r="Q438" s="84" t="s">
        <v>1180</v>
      </c>
      <c r="R438" s="81" t="s">
        <v>534</v>
      </c>
      <c r="S438" s="81" t="s">
        <v>1863</v>
      </c>
      <c r="T438" s="86" t="str">
        <f>HYPERLINK("http://www.youtube.com/channel/UCpcjHjZ0Ze0gmN76tB589Qw")</f>
        <v>http://www.youtube.com/channel/UCpcjHjZ0Ze0gmN76tB589Qw</v>
      </c>
      <c r="U438" s="81"/>
      <c r="V438" s="81" t="s">
        <v>2317</v>
      </c>
      <c r="W438" s="86" t="str">
        <f>HYPERLINK("https://www.youtube.com/watch?v=Id2c6MkIsQM")</f>
        <v>https://www.youtube.com/watch?v=Id2c6MkIsQM</v>
      </c>
      <c r="X438" s="81" t="s">
        <v>2335</v>
      </c>
      <c r="Y438" s="81">
        <v>0</v>
      </c>
      <c r="Z438" s="81" t="s">
        <v>2520</v>
      </c>
      <c r="AA438" s="81" t="s">
        <v>2520</v>
      </c>
      <c r="AB438" s="81"/>
      <c r="AC438" s="81"/>
      <c r="AD438" s="84" t="s">
        <v>2782</v>
      </c>
      <c r="AE438" s="82">
        <v>1</v>
      </c>
      <c r="AF438" s="83" t="str">
        <f>REPLACE(INDEX(GroupVertices[Group],MATCH(Edges[[#This Row],[Vertex 1]],GroupVertices[Vertex],0)),1,1,"")</f>
        <v>7</v>
      </c>
      <c r="AG438" s="83" t="str">
        <f>REPLACE(INDEX(GroupVertices[Group],MATCH(Edges[[#This Row],[Vertex 2]],GroupVertices[Vertex],0)),1,1,"")</f>
        <v>7</v>
      </c>
      <c r="AH438" s="111">
        <v>3</v>
      </c>
      <c r="AI438" s="112">
        <v>6.666666666666667</v>
      </c>
      <c r="AJ438" s="111">
        <v>0</v>
      </c>
      <c r="AK438" s="112">
        <v>0</v>
      </c>
      <c r="AL438" s="111">
        <v>0</v>
      </c>
      <c r="AM438" s="112">
        <v>0</v>
      </c>
      <c r="AN438" s="111">
        <v>42</v>
      </c>
      <c r="AO438" s="112">
        <v>93.33333333333333</v>
      </c>
      <c r="AP438" s="111">
        <v>45</v>
      </c>
    </row>
    <row r="439" spans="1:42" ht="15">
      <c r="A439" s="65" t="s">
        <v>535</v>
      </c>
      <c r="B439" s="65" t="s">
        <v>535</v>
      </c>
      <c r="C439" s="66" t="s">
        <v>5345</v>
      </c>
      <c r="D439" s="67">
        <v>3</v>
      </c>
      <c r="E439" s="68"/>
      <c r="F439" s="69">
        <v>40</v>
      </c>
      <c r="G439" s="66"/>
      <c r="H439" s="70"/>
      <c r="I439" s="71"/>
      <c r="J439" s="71"/>
      <c r="K439" s="35" t="s">
        <v>65</v>
      </c>
      <c r="L439" s="79">
        <v>439</v>
      </c>
      <c r="M439" s="79"/>
      <c r="N439" s="73"/>
      <c r="O439" s="81" t="s">
        <v>761</v>
      </c>
      <c r="P439" s="81" t="s">
        <v>763</v>
      </c>
      <c r="Q439" s="84" t="s">
        <v>1181</v>
      </c>
      <c r="R439" s="81" t="s">
        <v>535</v>
      </c>
      <c r="S439" s="81" t="s">
        <v>1864</v>
      </c>
      <c r="T439" s="86" t="str">
        <f>HYPERLINK("http://www.youtube.com/channel/UC84ZAth85YC_BwanW1n7iAA")</f>
        <v>http://www.youtube.com/channel/UC84ZAth85YC_BwanW1n7iAA</v>
      </c>
      <c r="U439" s="81" t="s">
        <v>2189</v>
      </c>
      <c r="V439" s="81" t="s">
        <v>2317</v>
      </c>
      <c r="W439" s="86" t="str">
        <f>HYPERLINK("https://www.youtube.com/watch?v=Id2c6MkIsQM")</f>
        <v>https://www.youtube.com/watch?v=Id2c6MkIsQM</v>
      </c>
      <c r="X439" s="81" t="s">
        <v>2335</v>
      </c>
      <c r="Y439" s="81">
        <v>0</v>
      </c>
      <c r="Z439" s="81" t="s">
        <v>2521</v>
      </c>
      <c r="AA439" s="81" t="s">
        <v>2521</v>
      </c>
      <c r="AB439" s="81"/>
      <c r="AC439" s="81"/>
      <c r="AD439" s="84" t="s">
        <v>2782</v>
      </c>
      <c r="AE439" s="82">
        <v>1</v>
      </c>
      <c r="AF439" s="83" t="str">
        <f>REPLACE(INDEX(GroupVertices[Group],MATCH(Edges[[#This Row],[Vertex 1]],GroupVertices[Vertex],0)),1,1,"")</f>
        <v>7</v>
      </c>
      <c r="AG439" s="83" t="str">
        <f>REPLACE(INDEX(GroupVertices[Group],MATCH(Edges[[#This Row],[Vertex 2]],GroupVertices[Vertex],0)),1,1,"")</f>
        <v>7</v>
      </c>
      <c r="AH439" s="111">
        <v>3</v>
      </c>
      <c r="AI439" s="112">
        <v>33.333333333333336</v>
      </c>
      <c r="AJ439" s="111">
        <v>0</v>
      </c>
      <c r="AK439" s="112">
        <v>0</v>
      </c>
      <c r="AL439" s="111">
        <v>0</v>
      </c>
      <c r="AM439" s="112">
        <v>0</v>
      </c>
      <c r="AN439" s="111">
        <v>6</v>
      </c>
      <c r="AO439" s="112">
        <v>66.66666666666667</v>
      </c>
      <c r="AP439" s="111">
        <v>9</v>
      </c>
    </row>
    <row r="440" spans="1:42" ht="15">
      <c r="A440" s="65" t="s">
        <v>535</v>
      </c>
      <c r="B440" s="65" t="s">
        <v>753</v>
      </c>
      <c r="C440" s="66" t="s">
        <v>5345</v>
      </c>
      <c r="D440" s="67">
        <v>3</v>
      </c>
      <c r="E440" s="68"/>
      <c r="F440" s="69">
        <v>40</v>
      </c>
      <c r="G440" s="66"/>
      <c r="H440" s="70"/>
      <c r="I440" s="71"/>
      <c r="J440" s="71"/>
      <c r="K440" s="35" t="s">
        <v>65</v>
      </c>
      <c r="L440" s="79">
        <v>440</v>
      </c>
      <c r="M440" s="79"/>
      <c r="N440" s="73"/>
      <c r="O440" s="81" t="s">
        <v>760</v>
      </c>
      <c r="P440" s="81" t="s">
        <v>215</v>
      </c>
      <c r="Q440" s="84" t="s">
        <v>1182</v>
      </c>
      <c r="R440" s="81" t="s">
        <v>535</v>
      </c>
      <c r="S440" s="81" t="s">
        <v>1864</v>
      </c>
      <c r="T440" s="86" t="str">
        <f>HYPERLINK("http://www.youtube.com/channel/UC84ZAth85YC_BwanW1n7iAA")</f>
        <v>http://www.youtube.com/channel/UC84ZAth85YC_BwanW1n7iAA</v>
      </c>
      <c r="U440" s="81"/>
      <c r="V440" s="81" t="s">
        <v>2317</v>
      </c>
      <c r="W440" s="86" t="str">
        <f>HYPERLINK("https://www.youtube.com/watch?v=Id2c6MkIsQM")</f>
        <v>https://www.youtube.com/watch?v=Id2c6MkIsQM</v>
      </c>
      <c r="X440" s="81" t="s">
        <v>2335</v>
      </c>
      <c r="Y440" s="81">
        <v>0</v>
      </c>
      <c r="Z440" s="81" t="s">
        <v>2522</v>
      </c>
      <c r="AA440" s="81" t="s">
        <v>2522</v>
      </c>
      <c r="AB440" s="81"/>
      <c r="AC440" s="81"/>
      <c r="AD440" s="84" t="s">
        <v>2782</v>
      </c>
      <c r="AE440" s="82">
        <v>1</v>
      </c>
      <c r="AF440" s="83" t="str">
        <f>REPLACE(INDEX(GroupVertices[Group],MATCH(Edges[[#This Row],[Vertex 1]],GroupVertices[Vertex],0)),1,1,"")</f>
        <v>7</v>
      </c>
      <c r="AG440" s="83" t="str">
        <f>REPLACE(INDEX(GroupVertices[Group],MATCH(Edges[[#This Row],[Vertex 2]],GroupVertices[Vertex],0)),1,1,"")</f>
        <v>7</v>
      </c>
      <c r="AH440" s="111">
        <v>1</v>
      </c>
      <c r="AI440" s="112">
        <v>2.272727272727273</v>
      </c>
      <c r="AJ440" s="111">
        <v>0</v>
      </c>
      <c r="AK440" s="112">
        <v>0</v>
      </c>
      <c r="AL440" s="111">
        <v>0</v>
      </c>
      <c r="AM440" s="112">
        <v>0</v>
      </c>
      <c r="AN440" s="111">
        <v>43</v>
      </c>
      <c r="AO440" s="112">
        <v>97.72727272727273</v>
      </c>
      <c r="AP440" s="111">
        <v>44</v>
      </c>
    </row>
    <row r="441" spans="1:42" ht="15">
      <c r="A441" s="65" t="s">
        <v>536</v>
      </c>
      <c r="B441" s="65" t="s">
        <v>753</v>
      </c>
      <c r="C441" s="66" t="s">
        <v>5345</v>
      </c>
      <c r="D441" s="67">
        <v>3</v>
      </c>
      <c r="E441" s="68"/>
      <c r="F441" s="69">
        <v>40</v>
      </c>
      <c r="G441" s="66"/>
      <c r="H441" s="70"/>
      <c r="I441" s="71"/>
      <c r="J441" s="71"/>
      <c r="K441" s="35" t="s">
        <v>65</v>
      </c>
      <c r="L441" s="79">
        <v>441</v>
      </c>
      <c r="M441" s="79"/>
      <c r="N441" s="73"/>
      <c r="O441" s="81" t="s">
        <v>760</v>
      </c>
      <c r="P441" s="81" t="s">
        <v>215</v>
      </c>
      <c r="Q441" s="84" t="s">
        <v>1183</v>
      </c>
      <c r="R441" s="81" t="s">
        <v>536</v>
      </c>
      <c r="S441" s="81" t="s">
        <v>1865</v>
      </c>
      <c r="T441" s="86" t="str">
        <f>HYPERLINK("http://www.youtube.com/channel/UCVLvhHp2LkwO6DUJaOUWteg")</f>
        <v>http://www.youtube.com/channel/UCVLvhHp2LkwO6DUJaOUWteg</v>
      </c>
      <c r="U441" s="81"/>
      <c r="V441" s="81" t="s">
        <v>2317</v>
      </c>
      <c r="W441" s="86" t="str">
        <f>HYPERLINK("https://www.youtube.com/watch?v=Id2c6MkIsQM")</f>
        <v>https://www.youtube.com/watch?v=Id2c6MkIsQM</v>
      </c>
      <c r="X441" s="81" t="s">
        <v>2335</v>
      </c>
      <c r="Y441" s="81">
        <v>0</v>
      </c>
      <c r="Z441" s="81" t="s">
        <v>2523</v>
      </c>
      <c r="AA441" s="81" t="s">
        <v>2523</v>
      </c>
      <c r="AB441" s="81"/>
      <c r="AC441" s="81"/>
      <c r="AD441" s="84" t="s">
        <v>2782</v>
      </c>
      <c r="AE441" s="82">
        <v>1</v>
      </c>
      <c r="AF441" s="83" t="str">
        <f>REPLACE(INDEX(GroupVertices[Group],MATCH(Edges[[#This Row],[Vertex 1]],GroupVertices[Vertex],0)),1,1,"")</f>
        <v>7</v>
      </c>
      <c r="AG441" s="83" t="str">
        <f>REPLACE(INDEX(GroupVertices[Group],MATCH(Edges[[#This Row],[Vertex 2]],GroupVertices[Vertex],0)),1,1,"")</f>
        <v>7</v>
      </c>
      <c r="AH441" s="111">
        <v>2</v>
      </c>
      <c r="AI441" s="112">
        <v>18.181818181818183</v>
      </c>
      <c r="AJ441" s="111">
        <v>1</v>
      </c>
      <c r="AK441" s="112">
        <v>9.090909090909092</v>
      </c>
      <c r="AL441" s="111">
        <v>0</v>
      </c>
      <c r="AM441" s="112">
        <v>0</v>
      </c>
      <c r="AN441" s="111">
        <v>8</v>
      </c>
      <c r="AO441" s="112">
        <v>72.72727272727273</v>
      </c>
      <c r="AP441" s="111">
        <v>11</v>
      </c>
    </row>
    <row r="442" spans="1:42" ht="15">
      <c r="A442" s="65" t="s">
        <v>537</v>
      </c>
      <c r="B442" s="65" t="s">
        <v>753</v>
      </c>
      <c r="C442" s="66" t="s">
        <v>5345</v>
      </c>
      <c r="D442" s="67">
        <v>3</v>
      </c>
      <c r="E442" s="68"/>
      <c r="F442" s="69">
        <v>40</v>
      </c>
      <c r="G442" s="66"/>
      <c r="H442" s="70"/>
      <c r="I442" s="71"/>
      <c r="J442" s="71"/>
      <c r="K442" s="35" t="s">
        <v>65</v>
      </c>
      <c r="L442" s="79">
        <v>442</v>
      </c>
      <c r="M442" s="79"/>
      <c r="N442" s="73"/>
      <c r="O442" s="81" t="s">
        <v>760</v>
      </c>
      <c r="P442" s="81" t="s">
        <v>215</v>
      </c>
      <c r="Q442" s="84" t="s">
        <v>1184</v>
      </c>
      <c r="R442" s="81" t="s">
        <v>537</v>
      </c>
      <c r="S442" s="81" t="s">
        <v>1866</v>
      </c>
      <c r="T442" s="86" t="str">
        <f>HYPERLINK("http://www.youtube.com/channel/UC0np3SSFZX5c9A2brBjo2qw")</f>
        <v>http://www.youtube.com/channel/UC0np3SSFZX5c9A2brBjo2qw</v>
      </c>
      <c r="U442" s="81"/>
      <c r="V442" s="81" t="s">
        <v>2317</v>
      </c>
      <c r="W442" s="86" t="str">
        <f>HYPERLINK("https://www.youtube.com/watch?v=Id2c6MkIsQM")</f>
        <v>https://www.youtube.com/watch?v=Id2c6MkIsQM</v>
      </c>
      <c r="X442" s="81" t="s">
        <v>2335</v>
      </c>
      <c r="Y442" s="81">
        <v>0</v>
      </c>
      <c r="Z442" s="81" t="s">
        <v>2524</v>
      </c>
      <c r="AA442" s="81" t="s">
        <v>2524</v>
      </c>
      <c r="AB442" s="81"/>
      <c r="AC442" s="81"/>
      <c r="AD442" s="84" t="s">
        <v>2782</v>
      </c>
      <c r="AE442" s="82">
        <v>1</v>
      </c>
      <c r="AF442" s="83" t="str">
        <f>REPLACE(INDEX(GroupVertices[Group],MATCH(Edges[[#This Row],[Vertex 1]],GroupVertices[Vertex],0)),1,1,"")</f>
        <v>7</v>
      </c>
      <c r="AG442" s="83" t="str">
        <f>REPLACE(INDEX(GroupVertices[Group],MATCH(Edges[[#This Row],[Vertex 2]],GroupVertices[Vertex],0)),1,1,"")</f>
        <v>7</v>
      </c>
      <c r="AH442" s="111">
        <v>2</v>
      </c>
      <c r="AI442" s="112">
        <v>7.142857142857143</v>
      </c>
      <c r="AJ442" s="111">
        <v>1</v>
      </c>
      <c r="AK442" s="112">
        <v>3.5714285714285716</v>
      </c>
      <c r="AL442" s="111">
        <v>0</v>
      </c>
      <c r="AM442" s="112">
        <v>0</v>
      </c>
      <c r="AN442" s="111">
        <v>25</v>
      </c>
      <c r="AO442" s="112">
        <v>89.28571428571429</v>
      </c>
      <c r="AP442" s="111">
        <v>28</v>
      </c>
    </row>
    <row r="443" spans="1:42" ht="15">
      <c r="A443" s="65" t="s">
        <v>538</v>
      </c>
      <c r="B443" s="65" t="s">
        <v>753</v>
      </c>
      <c r="C443" s="66" t="s">
        <v>5345</v>
      </c>
      <c r="D443" s="67">
        <v>3</v>
      </c>
      <c r="E443" s="68"/>
      <c r="F443" s="69">
        <v>40</v>
      </c>
      <c r="G443" s="66"/>
      <c r="H443" s="70"/>
      <c r="I443" s="71"/>
      <c r="J443" s="71"/>
      <c r="K443" s="35" t="s">
        <v>65</v>
      </c>
      <c r="L443" s="79">
        <v>443</v>
      </c>
      <c r="M443" s="79"/>
      <c r="N443" s="73"/>
      <c r="O443" s="81" t="s">
        <v>760</v>
      </c>
      <c r="P443" s="81" t="s">
        <v>215</v>
      </c>
      <c r="Q443" s="84" t="s">
        <v>1185</v>
      </c>
      <c r="R443" s="81" t="s">
        <v>538</v>
      </c>
      <c r="S443" s="81" t="s">
        <v>1867</v>
      </c>
      <c r="T443" s="86" t="str">
        <f>HYPERLINK("http://www.youtube.com/channel/UCFQx-P2hEP2wtx0A14yxVqw")</f>
        <v>http://www.youtube.com/channel/UCFQx-P2hEP2wtx0A14yxVqw</v>
      </c>
      <c r="U443" s="81"/>
      <c r="V443" s="81" t="s">
        <v>2317</v>
      </c>
      <c r="W443" s="86" t="str">
        <f>HYPERLINK("https://www.youtube.com/watch?v=Id2c6MkIsQM")</f>
        <v>https://www.youtube.com/watch?v=Id2c6MkIsQM</v>
      </c>
      <c r="X443" s="81" t="s">
        <v>2335</v>
      </c>
      <c r="Y443" s="81">
        <v>1</v>
      </c>
      <c r="Z443" s="81" t="s">
        <v>2525</v>
      </c>
      <c r="AA443" s="81" t="s">
        <v>2525</v>
      </c>
      <c r="AB443" s="81"/>
      <c r="AC443" s="81"/>
      <c r="AD443" s="84" t="s">
        <v>2782</v>
      </c>
      <c r="AE443" s="82">
        <v>1</v>
      </c>
      <c r="AF443" s="83" t="str">
        <f>REPLACE(INDEX(GroupVertices[Group],MATCH(Edges[[#This Row],[Vertex 1]],GroupVertices[Vertex],0)),1,1,"")</f>
        <v>7</v>
      </c>
      <c r="AG443" s="83" t="str">
        <f>REPLACE(INDEX(GroupVertices[Group],MATCH(Edges[[#This Row],[Vertex 2]],GroupVertices[Vertex],0)),1,1,"")</f>
        <v>7</v>
      </c>
      <c r="AH443" s="111">
        <v>1</v>
      </c>
      <c r="AI443" s="112">
        <v>8.333333333333334</v>
      </c>
      <c r="AJ443" s="111">
        <v>0</v>
      </c>
      <c r="AK443" s="112">
        <v>0</v>
      </c>
      <c r="AL443" s="111">
        <v>0</v>
      </c>
      <c r="AM443" s="112">
        <v>0</v>
      </c>
      <c r="AN443" s="111">
        <v>11</v>
      </c>
      <c r="AO443" s="112">
        <v>91.66666666666667</v>
      </c>
      <c r="AP443" s="111">
        <v>12</v>
      </c>
    </row>
    <row r="444" spans="1:42" ht="15">
      <c r="A444" s="65" t="s">
        <v>539</v>
      </c>
      <c r="B444" s="65" t="s">
        <v>753</v>
      </c>
      <c r="C444" s="66" t="s">
        <v>5345</v>
      </c>
      <c r="D444" s="67">
        <v>3</v>
      </c>
      <c r="E444" s="68"/>
      <c r="F444" s="69">
        <v>40</v>
      </c>
      <c r="G444" s="66"/>
      <c r="H444" s="70"/>
      <c r="I444" s="71"/>
      <c r="J444" s="71"/>
      <c r="K444" s="35" t="s">
        <v>65</v>
      </c>
      <c r="L444" s="79">
        <v>444</v>
      </c>
      <c r="M444" s="79"/>
      <c r="N444" s="73"/>
      <c r="O444" s="81" t="s">
        <v>760</v>
      </c>
      <c r="P444" s="81" t="s">
        <v>215</v>
      </c>
      <c r="Q444" s="84" t="s">
        <v>1186</v>
      </c>
      <c r="R444" s="81" t="s">
        <v>539</v>
      </c>
      <c r="S444" s="81" t="s">
        <v>1868</v>
      </c>
      <c r="T444" s="86" t="str">
        <f>HYPERLINK("http://www.youtube.com/channel/UCI03x_WOLF2A9FxZvbVhyeQ")</f>
        <v>http://www.youtube.com/channel/UCI03x_WOLF2A9FxZvbVhyeQ</v>
      </c>
      <c r="U444" s="81"/>
      <c r="V444" s="81" t="s">
        <v>2317</v>
      </c>
      <c r="W444" s="86" t="str">
        <f>HYPERLINK("https://www.youtube.com/watch?v=Id2c6MkIsQM")</f>
        <v>https://www.youtube.com/watch?v=Id2c6MkIsQM</v>
      </c>
      <c r="X444" s="81" t="s">
        <v>2335</v>
      </c>
      <c r="Y444" s="81">
        <v>0</v>
      </c>
      <c r="Z444" s="81" t="s">
        <v>2526</v>
      </c>
      <c r="AA444" s="81" t="s">
        <v>2526</v>
      </c>
      <c r="AB444" s="81"/>
      <c r="AC444" s="81"/>
      <c r="AD444" s="84" t="s">
        <v>2782</v>
      </c>
      <c r="AE444" s="82">
        <v>1</v>
      </c>
      <c r="AF444" s="83" t="str">
        <f>REPLACE(INDEX(GroupVertices[Group],MATCH(Edges[[#This Row],[Vertex 1]],GroupVertices[Vertex],0)),1,1,"")</f>
        <v>7</v>
      </c>
      <c r="AG444" s="83" t="str">
        <f>REPLACE(INDEX(GroupVertices[Group],MATCH(Edges[[#This Row],[Vertex 2]],GroupVertices[Vertex],0)),1,1,"")</f>
        <v>7</v>
      </c>
      <c r="AH444" s="111">
        <v>1</v>
      </c>
      <c r="AI444" s="112">
        <v>50</v>
      </c>
      <c r="AJ444" s="111">
        <v>0</v>
      </c>
      <c r="AK444" s="112">
        <v>0</v>
      </c>
      <c r="AL444" s="111">
        <v>0</v>
      </c>
      <c r="AM444" s="112">
        <v>0</v>
      </c>
      <c r="AN444" s="111">
        <v>1</v>
      </c>
      <c r="AO444" s="112">
        <v>50</v>
      </c>
      <c r="AP444" s="111">
        <v>2</v>
      </c>
    </row>
    <row r="445" spans="1:42" ht="15">
      <c r="A445" s="65" t="s">
        <v>540</v>
      </c>
      <c r="B445" s="65" t="s">
        <v>540</v>
      </c>
      <c r="C445" s="66" t="s">
        <v>5345</v>
      </c>
      <c r="D445" s="67">
        <v>3</v>
      </c>
      <c r="E445" s="68"/>
      <c r="F445" s="69">
        <v>40</v>
      </c>
      <c r="G445" s="66"/>
      <c r="H445" s="70"/>
      <c r="I445" s="71"/>
      <c r="J445" s="71"/>
      <c r="K445" s="35" t="s">
        <v>65</v>
      </c>
      <c r="L445" s="79">
        <v>445</v>
      </c>
      <c r="M445" s="79"/>
      <c r="N445" s="73"/>
      <c r="O445" s="81" t="s">
        <v>761</v>
      </c>
      <c r="P445" s="81" t="s">
        <v>763</v>
      </c>
      <c r="Q445" s="84" t="s">
        <v>1187</v>
      </c>
      <c r="R445" s="81" t="s">
        <v>540</v>
      </c>
      <c r="S445" s="81" t="s">
        <v>1869</v>
      </c>
      <c r="T445" s="86" t="str">
        <f>HYPERLINK("http://www.youtube.com/channel/UC3b_jSCronDEy_TzLEu9x0g")</f>
        <v>http://www.youtube.com/channel/UC3b_jSCronDEy_TzLEu9x0g</v>
      </c>
      <c r="U445" s="81" t="s">
        <v>2190</v>
      </c>
      <c r="V445" s="81" t="s">
        <v>2317</v>
      </c>
      <c r="W445" s="86" t="str">
        <f>HYPERLINK("https://www.youtube.com/watch?v=Id2c6MkIsQM")</f>
        <v>https://www.youtube.com/watch?v=Id2c6MkIsQM</v>
      </c>
      <c r="X445" s="81" t="s">
        <v>2335</v>
      </c>
      <c r="Y445" s="81">
        <v>0</v>
      </c>
      <c r="Z445" s="88">
        <v>43381.73364583333</v>
      </c>
      <c r="AA445" s="88">
        <v>43381.73364583333</v>
      </c>
      <c r="AB445" s="81"/>
      <c r="AC445" s="81"/>
      <c r="AD445" s="84" t="s">
        <v>2782</v>
      </c>
      <c r="AE445" s="82">
        <v>1</v>
      </c>
      <c r="AF445" s="83" t="str">
        <f>REPLACE(INDEX(GroupVertices[Group],MATCH(Edges[[#This Row],[Vertex 1]],GroupVertices[Vertex],0)),1,1,"")</f>
        <v>7</v>
      </c>
      <c r="AG445" s="83" t="str">
        <f>REPLACE(INDEX(GroupVertices[Group],MATCH(Edges[[#This Row],[Vertex 2]],GroupVertices[Vertex],0)),1,1,"")</f>
        <v>7</v>
      </c>
      <c r="AH445" s="111">
        <v>1</v>
      </c>
      <c r="AI445" s="112">
        <v>10</v>
      </c>
      <c r="AJ445" s="111">
        <v>0</v>
      </c>
      <c r="AK445" s="112">
        <v>0</v>
      </c>
      <c r="AL445" s="111">
        <v>0</v>
      </c>
      <c r="AM445" s="112">
        <v>0</v>
      </c>
      <c r="AN445" s="111">
        <v>9</v>
      </c>
      <c r="AO445" s="112">
        <v>90</v>
      </c>
      <c r="AP445" s="111">
        <v>10</v>
      </c>
    </row>
    <row r="446" spans="1:42" ht="15">
      <c r="A446" s="65" t="s">
        <v>540</v>
      </c>
      <c r="B446" s="65" t="s">
        <v>753</v>
      </c>
      <c r="C446" s="66" t="s">
        <v>5345</v>
      </c>
      <c r="D446" s="67">
        <v>3</v>
      </c>
      <c r="E446" s="68"/>
      <c r="F446" s="69">
        <v>40</v>
      </c>
      <c r="G446" s="66"/>
      <c r="H446" s="70"/>
      <c r="I446" s="71"/>
      <c r="J446" s="71"/>
      <c r="K446" s="35" t="s">
        <v>65</v>
      </c>
      <c r="L446" s="79">
        <v>446</v>
      </c>
      <c r="M446" s="79"/>
      <c r="N446" s="73"/>
      <c r="O446" s="81" t="s">
        <v>760</v>
      </c>
      <c r="P446" s="81" t="s">
        <v>215</v>
      </c>
      <c r="Q446" s="84" t="s">
        <v>1188</v>
      </c>
      <c r="R446" s="81" t="s">
        <v>540</v>
      </c>
      <c r="S446" s="81" t="s">
        <v>1869</v>
      </c>
      <c r="T446" s="86" t="str">
        <f>HYPERLINK("http://www.youtube.com/channel/UC3b_jSCronDEy_TzLEu9x0g")</f>
        <v>http://www.youtube.com/channel/UC3b_jSCronDEy_TzLEu9x0g</v>
      </c>
      <c r="U446" s="81"/>
      <c r="V446" s="81" t="s">
        <v>2317</v>
      </c>
      <c r="W446" s="86" t="str">
        <f>HYPERLINK("https://www.youtube.com/watch?v=Id2c6MkIsQM")</f>
        <v>https://www.youtube.com/watch?v=Id2c6MkIsQM</v>
      </c>
      <c r="X446" s="81" t="s">
        <v>2335</v>
      </c>
      <c r="Y446" s="81">
        <v>0</v>
      </c>
      <c r="Z446" s="88">
        <v>43381.730150462965</v>
      </c>
      <c r="AA446" s="88">
        <v>43381.730150462965</v>
      </c>
      <c r="AB446" s="81"/>
      <c r="AC446" s="81"/>
      <c r="AD446" s="84" t="s">
        <v>2782</v>
      </c>
      <c r="AE446" s="82">
        <v>1</v>
      </c>
      <c r="AF446" s="83" t="str">
        <f>REPLACE(INDEX(GroupVertices[Group],MATCH(Edges[[#This Row],[Vertex 1]],GroupVertices[Vertex],0)),1,1,"")</f>
        <v>7</v>
      </c>
      <c r="AG446" s="83" t="str">
        <f>REPLACE(INDEX(GroupVertices[Group],MATCH(Edges[[#This Row],[Vertex 2]],GroupVertices[Vertex],0)),1,1,"")</f>
        <v>7</v>
      </c>
      <c r="AH446" s="111">
        <v>0</v>
      </c>
      <c r="AI446" s="112">
        <v>0</v>
      </c>
      <c r="AJ446" s="111">
        <v>0</v>
      </c>
      <c r="AK446" s="112">
        <v>0</v>
      </c>
      <c r="AL446" s="111">
        <v>0</v>
      </c>
      <c r="AM446" s="112">
        <v>0</v>
      </c>
      <c r="AN446" s="111">
        <v>5</v>
      </c>
      <c r="AO446" s="112">
        <v>100</v>
      </c>
      <c r="AP446" s="111">
        <v>5</v>
      </c>
    </row>
    <row r="447" spans="1:42" ht="15">
      <c r="A447" s="65" t="s">
        <v>541</v>
      </c>
      <c r="B447" s="65" t="s">
        <v>753</v>
      </c>
      <c r="C447" s="66" t="s">
        <v>5345</v>
      </c>
      <c r="D447" s="67">
        <v>3</v>
      </c>
      <c r="E447" s="68"/>
      <c r="F447" s="69">
        <v>40</v>
      </c>
      <c r="G447" s="66"/>
      <c r="H447" s="70"/>
      <c r="I447" s="71"/>
      <c r="J447" s="71"/>
      <c r="K447" s="35" t="s">
        <v>65</v>
      </c>
      <c r="L447" s="79">
        <v>447</v>
      </c>
      <c r="M447" s="79"/>
      <c r="N447" s="73"/>
      <c r="O447" s="81" t="s">
        <v>760</v>
      </c>
      <c r="P447" s="81" t="s">
        <v>215</v>
      </c>
      <c r="Q447" s="84" t="s">
        <v>1189</v>
      </c>
      <c r="R447" s="81" t="s">
        <v>541</v>
      </c>
      <c r="S447" s="81" t="s">
        <v>1870</v>
      </c>
      <c r="T447" s="86" t="str">
        <f>HYPERLINK("http://www.youtube.com/channel/UCfgifN_wt4-ZJooY-sc8wZg")</f>
        <v>http://www.youtube.com/channel/UCfgifN_wt4-ZJooY-sc8wZg</v>
      </c>
      <c r="U447" s="81"/>
      <c r="V447" s="81" t="s">
        <v>2317</v>
      </c>
      <c r="W447" s="86" t="str">
        <f>HYPERLINK("https://www.youtube.com/watch?v=Id2c6MkIsQM")</f>
        <v>https://www.youtube.com/watch?v=Id2c6MkIsQM</v>
      </c>
      <c r="X447" s="81" t="s">
        <v>2335</v>
      </c>
      <c r="Y447" s="81">
        <v>0</v>
      </c>
      <c r="Z447" s="88">
        <v>44380.6980787037</v>
      </c>
      <c r="AA447" s="88">
        <v>44380.6980787037</v>
      </c>
      <c r="AB447" s="81"/>
      <c r="AC447" s="81"/>
      <c r="AD447" s="84" t="s">
        <v>2782</v>
      </c>
      <c r="AE447" s="82">
        <v>1</v>
      </c>
      <c r="AF447" s="83" t="str">
        <f>REPLACE(INDEX(GroupVertices[Group],MATCH(Edges[[#This Row],[Vertex 1]],GroupVertices[Vertex],0)),1,1,"")</f>
        <v>7</v>
      </c>
      <c r="AG447" s="83" t="str">
        <f>REPLACE(INDEX(GroupVertices[Group],MATCH(Edges[[#This Row],[Vertex 2]],GroupVertices[Vertex],0)),1,1,"")</f>
        <v>7</v>
      </c>
      <c r="AH447" s="111">
        <v>1</v>
      </c>
      <c r="AI447" s="112">
        <v>50</v>
      </c>
      <c r="AJ447" s="111">
        <v>0</v>
      </c>
      <c r="AK447" s="112">
        <v>0</v>
      </c>
      <c r="AL447" s="111">
        <v>0</v>
      </c>
      <c r="AM447" s="112">
        <v>0</v>
      </c>
      <c r="AN447" s="111">
        <v>1</v>
      </c>
      <c r="AO447" s="112">
        <v>50</v>
      </c>
      <c r="AP447" s="111">
        <v>2</v>
      </c>
    </row>
    <row r="448" spans="1:42" ht="15">
      <c r="A448" s="65" t="s">
        <v>542</v>
      </c>
      <c r="B448" s="65" t="s">
        <v>547</v>
      </c>
      <c r="C448" s="66" t="s">
        <v>5345</v>
      </c>
      <c r="D448" s="67">
        <v>3</v>
      </c>
      <c r="E448" s="68"/>
      <c r="F448" s="69">
        <v>40</v>
      </c>
      <c r="G448" s="66"/>
      <c r="H448" s="70"/>
      <c r="I448" s="71"/>
      <c r="J448" s="71"/>
      <c r="K448" s="35" t="s">
        <v>65</v>
      </c>
      <c r="L448" s="79">
        <v>448</v>
      </c>
      <c r="M448" s="79"/>
      <c r="N448" s="73"/>
      <c r="O448" s="81" t="s">
        <v>760</v>
      </c>
      <c r="P448" s="81" t="s">
        <v>215</v>
      </c>
      <c r="Q448" s="84" t="s">
        <v>1190</v>
      </c>
      <c r="R448" s="81" t="s">
        <v>542</v>
      </c>
      <c r="S448" s="81" t="s">
        <v>1871</v>
      </c>
      <c r="T448" s="86" t="str">
        <f>HYPERLINK("http://www.youtube.com/channel/UCnejURxElXLOH_33qOEpdSg")</f>
        <v>http://www.youtube.com/channel/UCnejURxElXLOH_33qOEpdSg</v>
      </c>
      <c r="U448" s="81"/>
      <c r="V448" s="81" t="s">
        <v>2318</v>
      </c>
      <c r="W448" s="86" t="str">
        <f>HYPERLINK("https://www.youtube.com/watch?v=kIHMxfUtGmI")</f>
        <v>https://www.youtube.com/watch?v=kIHMxfUtGmI</v>
      </c>
      <c r="X448" s="81" t="s">
        <v>2335</v>
      </c>
      <c r="Y448" s="81">
        <v>3</v>
      </c>
      <c r="Z448" s="81" t="s">
        <v>2527</v>
      </c>
      <c r="AA448" s="81" t="s">
        <v>2527</v>
      </c>
      <c r="AB448" s="81"/>
      <c r="AC448" s="81"/>
      <c r="AD448" s="84" t="s">
        <v>2782</v>
      </c>
      <c r="AE448" s="82">
        <v>1</v>
      </c>
      <c r="AF448" s="83" t="str">
        <f>REPLACE(INDEX(GroupVertices[Group],MATCH(Edges[[#This Row],[Vertex 1]],GroupVertices[Vertex],0)),1,1,"")</f>
        <v>6</v>
      </c>
      <c r="AG448" s="83" t="str">
        <f>REPLACE(INDEX(GroupVertices[Group],MATCH(Edges[[#This Row],[Vertex 2]],GroupVertices[Vertex],0)),1,1,"")</f>
        <v>6</v>
      </c>
      <c r="AH448" s="111">
        <v>1</v>
      </c>
      <c r="AI448" s="112">
        <v>5</v>
      </c>
      <c r="AJ448" s="111">
        <v>0</v>
      </c>
      <c r="AK448" s="112">
        <v>0</v>
      </c>
      <c r="AL448" s="111">
        <v>0</v>
      </c>
      <c r="AM448" s="112">
        <v>0</v>
      </c>
      <c r="AN448" s="111">
        <v>19</v>
      </c>
      <c r="AO448" s="112">
        <v>95</v>
      </c>
      <c r="AP448" s="111">
        <v>20</v>
      </c>
    </row>
    <row r="449" spans="1:42" ht="15">
      <c r="A449" s="65" t="s">
        <v>543</v>
      </c>
      <c r="B449" s="65" t="s">
        <v>547</v>
      </c>
      <c r="C449" s="66" t="s">
        <v>5345</v>
      </c>
      <c r="D449" s="67">
        <v>3</v>
      </c>
      <c r="E449" s="68"/>
      <c r="F449" s="69">
        <v>40</v>
      </c>
      <c r="G449" s="66"/>
      <c r="H449" s="70"/>
      <c r="I449" s="71"/>
      <c r="J449" s="71"/>
      <c r="K449" s="35" t="s">
        <v>65</v>
      </c>
      <c r="L449" s="79">
        <v>449</v>
      </c>
      <c r="M449" s="79"/>
      <c r="N449" s="73"/>
      <c r="O449" s="81" t="s">
        <v>760</v>
      </c>
      <c r="P449" s="81" t="s">
        <v>215</v>
      </c>
      <c r="Q449" s="84" t="s">
        <v>1191</v>
      </c>
      <c r="R449" s="81" t="s">
        <v>543</v>
      </c>
      <c r="S449" s="81" t="s">
        <v>1872</v>
      </c>
      <c r="T449" s="86" t="str">
        <f>HYPERLINK("http://www.youtube.com/channel/UC-ejuCbXGVMW2qbkXTsq6Ww")</f>
        <v>http://www.youtube.com/channel/UC-ejuCbXGVMW2qbkXTsq6Ww</v>
      </c>
      <c r="U449" s="81"/>
      <c r="V449" s="81" t="s">
        <v>2318</v>
      </c>
      <c r="W449" s="86" t="str">
        <f>HYPERLINK("https://www.youtube.com/watch?v=kIHMxfUtGmI")</f>
        <v>https://www.youtube.com/watch?v=kIHMxfUtGmI</v>
      </c>
      <c r="X449" s="81" t="s">
        <v>2335</v>
      </c>
      <c r="Y449" s="81">
        <v>4</v>
      </c>
      <c r="Z449" s="81" t="s">
        <v>2528</v>
      </c>
      <c r="AA449" s="81" t="s">
        <v>2528</v>
      </c>
      <c r="AB449" s="81"/>
      <c r="AC449" s="81"/>
      <c r="AD449" s="84" t="s">
        <v>2782</v>
      </c>
      <c r="AE449" s="82">
        <v>1</v>
      </c>
      <c r="AF449" s="83" t="str">
        <f>REPLACE(INDEX(GroupVertices[Group],MATCH(Edges[[#This Row],[Vertex 1]],GroupVertices[Vertex],0)),1,1,"")</f>
        <v>6</v>
      </c>
      <c r="AG449" s="83" t="str">
        <f>REPLACE(INDEX(GroupVertices[Group],MATCH(Edges[[#This Row],[Vertex 2]],GroupVertices[Vertex],0)),1,1,"")</f>
        <v>6</v>
      </c>
      <c r="AH449" s="111">
        <v>1</v>
      </c>
      <c r="AI449" s="112">
        <v>6.25</v>
      </c>
      <c r="AJ449" s="111">
        <v>0</v>
      </c>
      <c r="AK449" s="112">
        <v>0</v>
      </c>
      <c r="AL449" s="111">
        <v>0</v>
      </c>
      <c r="AM449" s="112">
        <v>0</v>
      </c>
      <c r="AN449" s="111">
        <v>15</v>
      </c>
      <c r="AO449" s="112">
        <v>93.75</v>
      </c>
      <c r="AP449" s="111">
        <v>16</v>
      </c>
    </row>
    <row r="450" spans="1:42" ht="15">
      <c r="A450" s="65" t="s">
        <v>544</v>
      </c>
      <c r="B450" s="65" t="s">
        <v>547</v>
      </c>
      <c r="C450" s="66" t="s">
        <v>5345</v>
      </c>
      <c r="D450" s="67">
        <v>3</v>
      </c>
      <c r="E450" s="68"/>
      <c r="F450" s="69">
        <v>40</v>
      </c>
      <c r="G450" s="66"/>
      <c r="H450" s="70"/>
      <c r="I450" s="71"/>
      <c r="J450" s="71"/>
      <c r="K450" s="35" t="s">
        <v>65</v>
      </c>
      <c r="L450" s="79">
        <v>450</v>
      </c>
      <c r="M450" s="79"/>
      <c r="N450" s="73"/>
      <c r="O450" s="81" t="s">
        <v>760</v>
      </c>
      <c r="P450" s="81" t="s">
        <v>215</v>
      </c>
      <c r="Q450" s="84" t="s">
        <v>1192</v>
      </c>
      <c r="R450" s="81" t="s">
        <v>544</v>
      </c>
      <c r="S450" s="81" t="s">
        <v>1873</v>
      </c>
      <c r="T450" s="86" t="str">
        <f>HYPERLINK("http://www.youtube.com/channel/UCunJeWziKeN41EqEHoJfzDA")</f>
        <v>http://www.youtube.com/channel/UCunJeWziKeN41EqEHoJfzDA</v>
      </c>
      <c r="U450" s="81"/>
      <c r="V450" s="81" t="s">
        <v>2318</v>
      </c>
      <c r="W450" s="86" t="str">
        <f>HYPERLINK("https://www.youtube.com/watch?v=kIHMxfUtGmI")</f>
        <v>https://www.youtube.com/watch?v=kIHMxfUtGmI</v>
      </c>
      <c r="X450" s="81" t="s">
        <v>2335</v>
      </c>
      <c r="Y450" s="81">
        <v>1</v>
      </c>
      <c r="Z450" s="81" t="s">
        <v>2529</v>
      </c>
      <c r="AA450" s="81" t="s">
        <v>2529</v>
      </c>
      <c r="AB450" s="81"/>
      <c r="AC450" s="81"/>
      <c r="AD450" s="84" t="s">
        <v>2782</v>
      </c>
      <c r="AE450" s="82">
        <v>1</v>
      </c>
      <c r="AF450" s="83" t="str">
        <f>REPLACE(INDEX(GroupVertices[Group],MATCH(Edges[[#This Row],[Vertex 1]],GroupVertices[Vertex],0)),1,1,"")</f>
        <v>6</v>
      </c>
      <c r="AG450" s="83" t="str">
        <f>REPLACE(INDEX(GroupVertices[Group],MATCH(Edges[[#This Row],[Vertex 2]],GroupVertices[Vertex],0)),1,1,"")</f>
        <v>6</v>
      </c>
      <c r="AH450" s="111">
        <v>2</v>
      </c>
      <c r="AI450" s="112">
        <v>16.666666666666668</v>
      </c>
      <c r="AJ450" s="111">
        <v>0</v>
      </c>
      <c r="AK450" s="112">
        <v>0</v>
      </c>
      <c r="AL450" s="111">
        <v>0</v>
      </c>
      <c r="AM450" s="112">
        <v>0</v>
      </c>
      <c r="AN450" s="111">
        <v>10</v>
      </c>
      <c r="AO450" s="112">
        <v>83.33333333333333</v>
      </c>
      <c r="AP450" s="111">
        <v>12</v>
      </c>
    </row>
    <row r="451" spans="1:42" ht="15">
      <c r="A451" s="65" t="s">
        <v>545</v>
      </c>
      <c r="B451" s="65" t="s">
        <v>547</v>
      </c>
      <c r="C451" s="66" t="s">
        <v>5345</v>
      </c>
      <c r="D451" s="67">
        <v>3</v>
      </c>
      <c r="E451" s="68"/>
      <c r="F451" s="69">
        <v>40</v>
      </c>
      <c r="G451" s="66"/>
      <c r="H451" s="70"/>
      <c r="I451" s="71"/>
      <c r="J451" s="71"/>
      <c r="K451" s="35" t="s">
        <v>65</v>
      </c>
      <c r="L451" s="79">
        <v>451</v>
      </c>
      <c r="M451" s="79"/>
      <c r="N451" s="73"/>
      <c r="O451" s="81" t="s">
        <v>760</v>
      </c>
      <c r="P451" s="81" t="s">
        <v>215</v>
      </c>
      <c r="Q451" s="84" t="s">
        <v>1193</v>
      </c>
      <c r="R451" s="81" t="s">
        <v>545</v>
      </c>
      <c r="S451" s="81" t="s">
        <v>1874</v>
      </c>
      <c r="T451" s="86" t="str">
        <f>HYPERLINK("http://www.youtube.com/channel/UC7x6JEqbu7yC94l8CgQht2Q")</f>
        <v>http://www.youtube.com/channel/UC7x6JEqbu7yC94l8CgQht2Q</v>
      </c>
      <c r="U451" s="81"/>
      <c r="V451" s="81" t="s">
        <v>2318</v>
      </c>
      <c r="W451" s="86" t="str">
        <f>HYPERLINK("https://www.youtube.com/watch?v=kIHMxfUtGmI")</f>
        <v>https://www.youtube.com/watch?v=kIHMxfUtGmI</v>
      </c>
      <c r="X451" s="81" t="s">
        <v>2335</v>
      </c>
      <c r="Y451" s="81">
        <v>1</v>
      </c>
      <c r="Z451" s="81" t="s">
        <v>2530</v>
      </c>
      <c r="AA451" s="81" t="s">
        <v>2530</v>
      </c>
      <c r="AB451" s="81"/>
      <c r="AC451" s="81"/>
      <c r="AD451" s="84" t="s">
        <v>2782</v>
      </c>
      <c r="AE451" s="82">
        <v>1</v>
      </c>
      <c r="AF451" s="83" t="str">
        <f>REPLACE(INDEX(GroupVertices[Group],MATCH(Edges[[#This Row],[Vertex 1]],GroupVertices[Vertex],0)),1,1,"")</f>
        <v>6</v>
      </c>
      <c r="AG451" s="83" t="str">
        <f>REPLACE(INDEX(GroupVertices[Group],MATCH(Edges[[#This Row],[Vertex 2]],GroupVertices[Vertex],0)),1,1,"")</f>
        <v>6</v>
      </c>
      <c r="AH451" s="111">
        <v>0</v>
      </c>
      <c r="AI451" s="112">
        <v>0</v>
      </c>
      <c r="AJ451" s="111">
        <v>0</v>
      </c>
      <c r="AK451" s="112">
        <v>0</v>
      </c>
      <c r="AL451" s="111">
        <v>0</v>
      </c>
      <c r="AM451" s="112">
        <v>0</v>
      </c>
      <c r="AN451" s="111">
        <v>9</v>
      </c>
      <c r="AO451" s="112">
        <v>100</v>
      </c>
      <c r="AP451" s="111">
        <v>9</v>
      </c>
    </row>
    <row r="452" spans="1:42" ht="15">
      <c r="A452" s="65" t="s">
        <v>546</v>
      </c>
      <c r="B452" s="65" t="s">
        <v>547</v>
      </c>
      <c r="C452" s="66" t="s">
        <v>5345</v>
      </c>
      <c r="D452" s="67">
        <v>3</v>
      </c>
      <c r="E452" s="68"/>
      <c r="F452" s="69">
        <v>40</v>
      </c>
      <c r="G452" s="66"/>
      <c r="H452" s="70"/>
      <c r="I452" s="71"/>
      <c r="J452" s="71"/>
      <c r="K452" s="35" t="s">
        <v>65</v>
      </c>
      <c r="L452" s="79">
        <v>452</v>
      </c>
      <c r="M452" s="79"/>
      <c r="N452" s="73"/>
      <c r="O452" s="81" t="s">
        <v>760</v>
      </c>
      <c r="P452" s="81" t="s">
        <v>215</v>
      </c>
      <c r="Q452" s="84" t="s">
        <v>1194</v>
      </c>
      <c r="R452" s="81" t="s">
        <v>546</v>
      </c>
      <c r="S452" s="81" t="s">
        <v>1875</v>
      </c>
      <c r="T452" s="86" t="str">
        <f>HYPERLINK("http://www.youtube.com/channel/UCus7Qsw_s3QZiin1qap7hkA")</f>
        <v>http://www.youtube.com/channel/UCus7Qsw_s3QZiin1qap7hkA</v>
      </c>
      <c r="U452" s="81"/>
      <c r="V452" s="81" t="s">
        <v>2318</v>
      </c>
      <c r="W452" s="86" t="str">
        <f>HYPERLINK("https://www.youtube.com/watch?v=kIHMxfUtGmI")</f>
        <v>https://www.youtube.com/watch?v=kIHMxfUtGmI</v>
      </c>
      <c r="X452" s="81" t="s">
        <v>2335</v>
      </c>
      <c r="Y452" s="81">
        <v>0</v>
      </c>
      <c r="Z452" s="81" t="s">
        <v>2531</v>
      </c>
      <c r="AA452" s="81" t="s">
        <v>2531</v>
      </c>
      <c r="AB452" s="81"/>
      <c r="AC452" s="81"/>
      <c r="AD452" s="84" t="s">
        <v>2782</v>
      </c>
      <c r="AE452" s="82">
        <v>1</v>
      </c>
      <c r="AF452" s="83" t="str">
        <f>REPLACE(INDEX(GroupVertices[Group],MATCH(Edges[[#This Row],[Vertex 1]],GroupVertices[Vertex],0)),1,1,"")</f>
        <v>6</v>
      </c>
      <c r="AG452" s="83" t="str">
        <f>REPLACE(INDEX(GroupVertices[Group],MATCH(Edges[[#This Row],[Vertex 2]],GroupVertices[Vertex],0)),1,1,"")</f>
        <v>6</v>
      </c>
      <c r="AH452" s="111">
        <v>1</v>
      </c>
      <c r="AI452" s="112">
        <v>16.666666666666668</v>
      </c>
      <c r="AJ452" s="111">
        <v>0</v>
      </c>
      <c r="AK452" s="112">
        <v>0</v>
      </c>
      <c r="AL452" s="111">
        <v>0</v>
      </c>
      <c r="AM452" s="112">
        <v>0</v>
      </c>
      <c r="AN452" s="111">
        <v>5</v>
      </c>
      <c r="AO452" s="112">
        <v>83.33333333333333</v>
      </c>
      <c r="AP452" s="111">
        <v>6</v>
      </c>
    </row>
    <row r="453" spans="1:42" ht="15">
      <c r="A453" s="65" t="s">
        <v>547</v>
      </c>
      <c r="B453" s="65" t="s">
        <v>548</v>
      </c>
      <c r="C453" s="66" t="s">
        <v>5345</v>
      </c>
      <c r="D453" s="67">
        <v>3</v>
      </c>
      <c r="E453" s="68"/>
      <c r="F453" s="69">
        <v>40</v>
      </c>
      <c r="G453" s="66"/>
      <c r="H453" s="70"/>
      <c r="I453" s="71"/>
      <c r="J453" s="71"/>
      <c r="K453" s="35" t="s">
        <v>66</v>
      </c>
      <c r="L453" s="79">
        <v>453</v>
      </c>
      <c r="M453" s="79"/>
      <c r="N453" s="73"/>
      <c r="O453" s="81" t="s">
        <v>761</v>
      </c>
      <c r="P453" s="81" t="s">
        <v>763</v>
      </c>
      <c r="Q453" s="84" t="s">
        <v>1195</v>
      </c>
      <c r="R453" s="81" t="s">
        <v>547</v>
      </c>
      <c r="S453" s="81" t="s">
        <v>1876</v>
      </c>
      <c r="T453" s="86" t="str">
        <f>HYPERLINK("http://www.youtube.com/channel/UCrpWTj_O0oLZilvnDaLqElw")</f>
        <v>http://www.youtube.com/channel/UCrpWTj_O0oLZilvnDaLqElw</v>
      </c>
      <c r="U453" s="81" t="s">
        <v>2191</v>
      </c>
      <c r="V453" s="81" t="s">
        <v>2318</v>
      </c>
      <c r="W453" s="86" t="str">
        <f>HYPERLINK("https://www.youtube.com/watch?v=kIHMxfUtGmI")</f>
        <v>https://www.youtube.com/watch?v=kIHMxfUtGmI</v>
      </c>
      <c r="X453" s="81" t="s">
        <v>2335</v>
      </c>
      <c r="Y453" s="81">
        <v>0</v>
      </c>
      <c r="Z453" s="81" t="s">
        <v>2532</v>
      </c>
      <c r="AA453" s="81" t="s">
        <v>2532</v>
      </c>
      <c r="AB453" s="81"/>
      <c r="AC453" s="81"/>
      <c r="AD453" s="84" t="s">
        <v>2782</v>
      </c>
      <c r="AE453" s="82">
        <v>1</v>
      </c>
      <c r="AF453" s="83" t="str">
        <f>REPLACE(INDEX(GroupVertices[Group],MATCH(Edges[[#This Row],[Vertex 1]],GroupVertices[Vertex],0)),1,1,"")</f>
        <v>6</v>
      </c>
      <c r="AG453" s="83" t="str">
        <f>REPLACE(INDEX(GroupVertices[Group],MATCH(Edges[[#This Row],[Vertex 2]],GroupVertices[Vertex],0)),1,1,"")</f>
        <v>6</v>
      </c>
      <c r="AH453" s="111">
        <v>0</v>
      </c>
      <c r="AI453" s="112">
        <v>0</v>
      </c>
      <c r="AJ453" s="111">
        <v>0</v>
      </c>
      <c r="AK453" s="112">
        <v>0</v>
      </c>
      <c r="AL453" s="111">
        <v>0</v>
      </c>
      <c r="AM453" s="112">
        <v>0</v>
      </c>
      <c r="AN453" s="111">
        <v>2</v>
      </c>
      <c r="AO453" s="112">
        <v>100</v>
      </c>
      <c r="AP453" s="111">
        <v>2</v>
      </c>
    </row>
    <row r="454" spans="1:42" ht="15">
      <c r="A454" s="65" t="s">
        <v>548</v>
      </c>
      <c r="B454" s="65" t="s">
        <v>547</v>
      </c>
      <c r="C454" s="66" t="s">
        <v>5345</v>
      </c>
      <c r="D454" s="67">
        <v>3</v>
      </c>
      <c r="E454" s="68"/>
      <c r="F454" s="69">
        <v>40</v>
      </c>
      <c r="G454" s="66"/>
      <c r="H454" s="70"/>
      <c r="I454" s="71"/>
      <c r="J454" s="71"/>
      <c r="K454" s="35" t="s">
        <v>66</v>
      </c>
      <c r="L454" s="79">
        <v>454</v>
      </c>
      <c r="M454" s="79"/>
      <c r="N454" s="73"/>
      <c r="O454" s="81" t="s">
        <v>760</v>
      </c>
      <c r="P454" s="81" t="s">
        <v>215</v>
      </c>
      <c r="Q454" s="84" t="s">
        <v>1196</v>
      </c>
      <c r="R454" s="81" t="s">
        <v>548</v>
      </c>
      <c r="S454" s="81" t="s">
        <v>1877</v>
      </c>
      <c r="T454" s="86" t="str">
        <f>HYPERLINK("http://www.youtube.com/channel/UCs1ElqArfXMBAZkL7uf-VRA")</f>
        <v>http://www.youtube.com/channel/UCs1ElqArfXMBAZkL7uf-VRA</v>
      </c>
      <c r="U454" s="81"/>
      <c r="V454" s="81" t="s">
        <v>2318</v>
      </c>
      <c r="W454" s="86" t="str">
        <f>HYPERLINK("https://www.youtube.com/watch?v=kIHMxfUtGmI")</f>
        <v>https://www.youtube.com/watch?v=kIHMxfUtGmI</v>
      </c>
      <c r="X454" s="81" t="s">
        <v>2335</v>
      </c>
      <c r="Y454" s="81">
        <v>2</v>
      </c>
      <c r="Z454" s="81" t="s">
        <v>2533</v>
      </c>
      <c r="AA454" s="81" t="s">
        <v>2533</v>
      </c>
      <c r="AB454" s="81"/>
      <c r="AC454" s="81"/>
      <c r="AD454" s="84" t="s">
        <v>2782</v>
      </c>
      <c r="AE454" s="82">
        <v>1</v>
      </c>
      <c r="AF454" s="83" t="str">
        <f>REPLACE(INDEX(GroupVertices[Group],MATCH(Edges[[#This Row],[Vertex 1]],GroupVertices[Vertex],0)),1,1,"")</f>
        <v>6</v>
      </c>
      <c r="AG454" s="83" t="str">
        <f>REPLACE(INDEX(GroupVertices[Group],MATCH(Edges[[#This Row],[Vertex 2]],GroupVertices[Vertex],0)),1,1,"")</f>
        <v>6</v>
      </c>
      <c r="AH454" s="111">
        <v>1</v>
      </c>
      <c r="AI454" s="112">
        <v>11.11111111111111</v>
      </c>
      <c r="AJ454" s="111">
        <v>0</v>
      </c>
      <c r="AK454" s="112">
        <v>0</v>
      </c>
      <c r="AL454" s="111">
        <v>0</v>
      </c>
      <c r="AM454" s="112">
        <v>0</v>
      </c>
      <c r="AN454" s="111">
        <v>8</v>
      </c>
      <c r="AO454" s="112">
        <v>88.88888888888889</v>
      </c>
      <c r="AP454" s="111">
        <v>9</v>
      </c>
    </row>
    <row r="455" spans="1:42" ht="15">
      <c r="A455" s="65" t="s">
        <v>549</v>
      </c>
      <c r="B455" s="65" t="s">
        <v>547</v>
      </c>
      <c r="C455" s="66" t="s">
        <v>5345</v>
      </c>
      <c r="D455" s="67">
        <v>3</v>
      </c>
      <c r="E455" s="68"/>
      <c r="F455" s="69">
        <v>40</v>
      </c>
      <c r="G455" s="66"/>
      <c r="H455" s="70"/>
      <c r="I455" s="71"/>
      <c r="J455" s="71"/>
      <c r="K455" s="35" t="s">
        <v>65</v>
      </c>
      <c r="L455" s="79">
        <v>455</v>
      </c>
      <c r="M455" s="79"/>
      <c r="N455" s="73"/>
      <c r="O455" s="81" t="s">
        <v>760</v>
      </c>
      <c r="P455" s="81" t="s">
        <v>215</v>
      </c>
      <c r="Q455" s="84" t="s">
        <v>1197</v>
      </c>
      <c r="R455" s="81" t="s">
        <v>549</v>
      </c>
      <c r="S455" s="81" t="s">
        <v>1878</v>
      </c>
      <c r="T455" s="86" t="str">
        <f>HYPERLINK("http://www.youtube.com/channel/UCc_nF3pqsaYZX1WyuEtRR8g")</f>
        <v>http://www.youtube.com/channel/UCc_nF3pqsaYZX1WyuEtRR8g</v>
      </c>
      <c r="U455" s="81"/>
      <c r="V455" s="81" t="s">
        <v>2318</v>
      </c>
      <c r="W455" s="86" t="str">
        <f>HYPERLINK("https://www.youtube.com/watch?v=kIHMxfUtGmI")</f>
        <v>https://www.youtube.com/watch?v=kIHMxfUtGmI</v>
      </c>
      <c r="X455" s="81" t="s">
        <v>2335</v>
      </c>
      <c r="Y455" s="81">
        <v>2</v>
      </c>
      <c r="Z455" s="81" t="s">
        <v>2534</v>
      </c>
      <c r="AA455" s="81" t="s">
        <v>2534</v>
      </c>
      <c r="AB455" s="81"/>
      <c r="AC455" s="81"/>
      <c r="AD455" s="84" t="s">
        <v>2782</v>
      </c>
      <c r="AE455" s="82">
        <v>1</v>
      </c>
      <c r="AF455" s="83" t="str">
        <f>REPLACE(INDEX(GroupVertices[Group],MATCH(Edges[[#This Row],[Vertex 1]],GroupVertices[Vertex],0)),1,1,"")</f>
        <v>6</v>
      </c>
      <c r="AG455" s="83" t="str">
        <f>REPLACE(INDEX(GroupVertices[Group],MATCH(Edges[[#This Row],[Vertex 2]],GroupVertices[Vertex],0)),1,1,"")</f>
        <v>6</v>
      </c>
      <c r="AH455" s="111">
        <v>1</v>
      </c>
      <c r="AI455" s="112">
        <v>3.7037037037037037</v>
      </c>
      <c r="AJ455" s="111">
        <v>0</v>
      </c>
      <c r="AK455" s="112">
        <v>0</v>
      </c>
      <c r="AL455" s="111">
        <v>0</v>
      </c>
      <c r="AM455" s="112">
        <v>0</v>
      </c>
      <c r="AN455" s="111">
        <v>26</v>
      </c>
      <c r="AO455" s="112">
        <v>96.29629629629629</v>
      </c>
      <c r="AP455" s="111">
        <v>27</v>
      </c>
    </row>
    <row r="456" spans="1:42" ht="15">
      <c r="A456" s="65" t="s">
        <v>550</v>
      </c>
      <c r="B456" s="65" t="s">
        <v>547</v>
      </c>
      <c r="C456" s="66" t="s">
        <v>5345</v>
      </c>
      <c r="D456" s="67">
        <v>3</v>
      </c>
      <c r="E456" s="68"/>
      <c r="F456" s="69">
        <v>40</v>
      </c>
      <c r="G456" s="66"/>
      <c r="H456" s="70"/>
      <c r="I456" s="71"/>
      <c r="J456" s="71"/>
      <c r="K456" s="35" t="s">
        <v>65</v>
      </c>
      <c r="L456" s="79">
        <v>456</v>
      </c>
      <c r="M456" s="79"/>
      <c r="N456" s="73"/>
      <c r="O456" s="81" t="s">
        <v>760</v>
      </c>
      <c r="P456" s="81" t="s">
        <v>215</v>
      </c>
      <c r="Q456" s="84" t="s">
        <v>1198</v>
      </c>
      <c r="R456" s="81" t="s">
        <v>550</v>
      </c>
      <c r="S456" s="81" t="s">
        <v>1879</v>
      </c>
      <c r="T456" s="86" t="str">
        <f>HYPERLINK("http://www.youtube.com/channel/UCELkcGDNb8yFIv8chh7rbrA")</f>
        <v>http://www.youtube.com/channel/UCELkcGDNb8yFIv8chh7rbrA</v>
      </c>
      <c r="U456" s="81"/>
      <c r="V456" s="81" t="s">
        <v>2318</v>
      </c>
      <c r="W456" s="86" t="str">
        <f>HYPERLINK("https://www.youtube.com/watch?v=kIHMxfUtGmI")</f>
        <v>https://www.youtube.com/watch?v=kIHMxfUtGmI</v>
      </c>
      <c r="X456" s="81" t="s">
        <v>2335</v>
      </c>
      <c r="Y456" s="81">
        <v>1</v>
      </c>
      <c r="Z456" s="81" t="s">
        <v>2535</v>
      </c>
      <c r="AA456" s="81" t="s">
        <v>2535</v>
      </c>
      <c r="AB456" s="81"/>
      <c r="AC456" s="81"/>
      <c r="AD456" s="84" t="s">
        <v>2782</v>
      </c>
      <c r="AE456" s="82">
        <v>1</v>
      </c>
      <c r="AF456" s="83" t="str">
        <f>REPLACE(INDEX(GroupVertices[Group],MATCH(Edges[[#This Row],[Vertex 1]],GroupVertices[Vertex],0)),1,1,"")</f>
        <v>6</v>
      </c>
      <c r="AG456" s="83" t="str">
        <f>REPLACE(INDEX(GroupVertices[Group],MATCH(Edges[[#This Row],[Vertex 2]],GroupVertices[Vertex],0)),1,1,"")</f>
        <v>6</v>
      </c>
      <c r="AH456" s="111">
        <v>1</v>
      </c>
      <c r="AI456" s="112">
        <v>5.882352941176471</v>
      </c>
      <c r="AJ456" s="111">
        <v>0</v>
      </c>
      <c r="AK456" s="112">
        <v>0</v>
      </c>
      <c r="AL456" s="111">
        <v>0</v>
      </c>
      <c r="AM456" s="112">
        <v>0</v>
      </c>
      <c r="AN456" s="111">
        <v>16</v>
      </c>
      <c r="AO456" s="112">
        <v>94.11764705882354</v>
      </c>
      <c r="AP456" s="111">
        <v>17</v>
      </c>
    </row>
    <row r="457" spans="1:42" ht="15">
      <c r="A457" s="65" t="s">
        <v>547</v>
      </c>
      <c r="B457" s="65" t="s">
        <v>551</v>
      </c>
      <c r="C457" s="66" t="s">
        <v>5345</v>
      </c>
      <c r="D457" s="67">
        <v>3</v>
      </c>
      <c r="E457" s="68"/>
      <c r="F457" s="69">
        <v>40</v>
      </c>
      <c r="G457" s="66"/>
      <c r="H457" s="70"/>
      <c r="I457" s="71"/>
      <c r="J457" s="71"/>
      <c r="K457" s="35" t="s">
        <v>66</v>
      </c>
      <c r="L457" s="79">
        <v>457</v>
      </c>
      <c r="M457" s="79"/>
      <c r="N457" s="73"/>
      <c r="O457" s="81" t="s">
        <v>761</v>
      </c>
      <c r="P457" s="81" t="s">
        <v>763</v>
      </c>
      <c r="Q457" s="84" t="s">
        <v>1199</v>
      </c>
      <c r="R457" s="81" t="s">
        <v>547</v>
      </c>
      <c r="S457" s="81" t="s">
        <v>1876</v>
      </c>
      <c r="T457" s="86" t="str">
        <f>HYPERLINK("http://www.youtube.com/channel/UCrpWTj_O0oLZilvnDaLqElw")</f>
        <v>http://www.youtube.com/channel/UCrpWTj_O0oLZilvnDaLqElw</v>
      </c>
      <c r="U457" s="81" t="s">
        <v>2192</v>
      </c>
      <c r="V457" s="81" t="s">
        <v>2318</v>
      </c>
      <c r="W457" s="86" t="str">
        <f>HYPERLINK("https://www.youtube.com/watch?v=kIHMxfUtGmI")</f>
        <v>https://www.youtube.com/watch?v=kIHMxfUtGmI</v>
      </c>
      <c r="X457" s="81" t="s">
        <v>2335</v>
      </c>
      <c r="Y457" s="81">
        <v>0</v>
      </c>
      <c r="Z457" s="81" t="s">
        <v>2536</v>
      </c>
      <c r="AA457" s="81" t="s">
        <v>2752</v>
      </c>
      <c r="AB457" s="81"/>
      <c r="AC457" s="81"/>
      <c r="AD457" s="84" t="s">
        <v>2782</v>
      </c>
      <c r="AE457" s="82">
        <v>1</v>
      </c>
      <c r="AF457" s="83" t="str">
        <f>REPLACE(INDEX(GroupVertices[Group],MATCH(Edges[[#This Row],[Vertex 1]],GroupVertices[Vertex],0)),1,1,"")</f>
        <v>6</v>
      </c>
      <c r="AG457" s="83" t="str">
        <f>REPLACE(INDEX(GroupVertices[Group],MATCH(Edges[[#This Row],[Vertex 2]],GroupVertices[Vertex],0)),1,1,"")</f>
        <v>6</v>
      </c>
      <c r="AH457" s="111">
        <v>2</v>
      </c>
      <c r="AI457" s="112">
        <v>50</v>
      </c>
      <c r="AJ457" s="111">
        <v>0</v>
      </c>
      <c r="AK457" s="112">
        <v>0</v>
      </c>
      <c r="AL457" s="111">
        <v>0</v>
      </c>
      <c r="AM457" s="112">
        <v>0</v>
      </c>
      <c r="AN457" s="111">
        <v>2</v>
      </c>
      <c r="AO457" s="112">
        <v>50</v>
      </c>
      <c r="AP457" s="111">
        <v>4</v>
      </c>
    </row>
    <row r="458" spans="1:42" ht="15">
      <c r="A458" s="65" t="s">
        <v>551</v>
      </c>
      <c r="B458" s="65" t="s">
        <v>547</v>
      </c>
      <c r="C458" s="66" t="s">
        <v>5345</v>
      </c>
      <c r="D458" s="67">
        <v>3</v>
      </c>
      <c r="E458" s="68"/>
      <c r="F458" s="69">
        <v>40</v>
      </c>
      <c r="G458" s="66"/>
      <c r="H458" s="70"/>
      <c r="I458" s="71"/>
      <c r="J458" s="71"/>
      <c r="K458" s="35" t="s">
        <v>66</v>
      </c>
      <c r="L458" s="79">
        <v>458</v>
      </c>
      <c r="M458" s="79"/>
      <c r="N458" s="73"/>
      <c r="O458" s="81" t="s">
        <v>760</v>
      </c>
      <c r="P458" s="81" t="s">
        <v>215</v>
      </c>
      <c r="Q458" s="84" t="s">
        <v>1200</v>
      </c>
      <c r="R458" s="81" t="s">
        <v>551</v>
      </c>
      <c r="S458" s="81" t="s">
        <v>1880</v>
      </c>
      <c r="T458" s="86" t="str">
        <f>HYPERLINK("http://www.youtube.com/channel/UC-Bl3iHE4ca98Rj34dJoLDg")</f>
        <v>http://www.youtube.com/channel/UC-Bl3iHE4ca98Rj34dJoLDg</v>
      </c>
      <c r="U458" s="81"/>
      <c r="V458" s="81" t="s">
        <v>2318</v>
      </c>
      <c r="W458" s="86" t="str">
        <f>HYPERLINK("https://www.youtube.com/watch?v=kIHMxfUtGmI")</f>
        <v>https://www.youtube.com/watch?v=kIHMxfUtGmI</v>
      </c>
      <c r="X458" s="81" t="s">
        <v>2335</v>
      </c>
      <c r="Y458" s="81">
        <v>1</v>
      </c>
      <c r="Z458" s="81" t="s">
        <v>2537</v>
      </c>
      <c r="AA458" s="81" t="s">
        <v>2537</v>
      </c>
      <c r="AB458" s="81"/>
      <c r="AC458" s="81"/>
      <c r="AD458" s="84" t="s">
        <v>2782</v>
      </c>
      <c r="AE458" s="82">
        <v>1</v>
      </c>
      <c r="AF458" s="83" t="str">
        <f>REPLACE(INDEX(GroupVertices[Group],MATCH(Edges[[#This Row],[Vertex 1]],GroupVertices[Vertex],0)),1,1,"")</f>
        <v>6</v>
      </c>
      <c r="AG458" s="83" t="str">
        <f>REPLACE(INDEX(GroupVertices[Group],MATCH(Edges[[#This Row],[Vertex 2]],GroupVertices[Vertex],0)),1,1,"")</f>
        <v>6</v>
      </c>
      <c r="AH458" s="111">
        <v>0</v>
      </c>
      <c r="AI458" s="112">
        <v>0</v>
      </c>
      <c r="AJ458" s="111">
        <v>0</v>
      </c>
      <c r="AK458" s="112">
        <v>0</v>
      </c>
      <c r="AL458" s="111">
        <v>0</v>
      </c>
      <c r="AM458" s="112">
        <v>0</v>
      </c>
      <c r="AN458" s="111">
        <v>7</v>
      </c>
      <c r="AO458" s="112">
        <v>100</v>
      </c>
      <c r="AP458" s="111">
        <v>7</v>
      </c>
    </row>
    <row r="459" spans="1:42" ht="15">
      <c r="A459" s="65" t="s">
        <v>552</v>
      </c>
      <c r="B459" s="65" t="s">
        <v>547</v>
      </c>
      <c r="C459" s="66" t="s">
        <v>5345</v>
      </c>
      <c r="D459" s="67">
        <v>3</v>
      </c>
      <c r="E459" s="68"/>
      <c r="F459" s="69">
        <v>40</v>
      </c>
      <c r="G459" s="66"/>
      <c r="H459" s="70"/>
      <c r="I459" s="71"/>
      <c r="J459" s="71"/>
      <c r="K459" s="35" t="s">
        <v>65</v>
      </c>
      <c r="L459" s="79">
        <v>459</v>
      </c>
      <c r="M459" s="79"/>
      <c r="N459" s="73"/>
      <c r="O459" s="81" t="s">
        <v>760</v>
      </c>
      <c r="P459" s="81" t="s">
        <v>215</v>
      </c>
      <c r="Q459" s="84" t="s">
        <v>1201</v>
      </c>
      <c r="R459" s="81" t="s">
        <v>552</v>
      </c>
      <c r="S459" s="81" t="s">
        <v>1881</v>
      </c>
      <c r="T459" s="86" t="str">
        <f>HYPERLINK("http://www.youtube.com/channel/UC7phUdHV-oWsx3unENvfE7w")</f>
        <v>http://www.youtube.com/channel/UC7phUdHV-oWsx3unENvfE7w</v>
      </c>
      <c r="U459" s="81"/>
      <c r="V459" s="81" t="s">
        <v>2318</v>
      </c>
      <c r="W459" s="86" t="str">
        <f>HYPERLINK("https://www.youtube.com/watch?v=kIHMxfUtGmI")</f>
        <v>https://www.youtube.com/watch?v=kIHMxfUtGmI</v>
      </c>
      <c r="X459" s="81" t="s">
        <v>2335</v>
      </c>
      <c r="Y459" s="81">
        <v>1</v>
      </c>
      <c r="Z459" s="81" t="s">
        <v>2538</v>
      </c>
      <c r="AA459" s="81" t="s">
        <v>2538</v>
      </c>
      <c r="AB459" s="81"/>
      <c r="AC459" s="81"/>
      <c r="AD459" s="84" t="s">
        <v>2782</v>
      </c>
      <c r="AE459" s="82">
        <v>1</v>
      </c>
      <c r="AF459" s="83" t="str">
        <f>REPLACE(INDEX(GroupVertices[Group],MATCH(Edges[[#This Row],[Vertex 1]],GroupVertices[Vertex],0)),1,1,"")</f>
        <v>6</v>
      </c>
      <c r="AG459" s="83" t="str">
        <f>REPLACE(INDEX(GroupVertices[Group],MATCH(Edges[[#This Row],[Vertex 2]],GroupVertices[Vertex],0)),1,1,"")</f>
        <v>6</v>
      </c>
      <c r="AH459" s="111">
        <v>1</v>
      </c>
      <c r="AI459" s="112">
        <v>7.6923076923076925</v>
      </c>
      <c r="AJ459" s="111">
        <v>0</v>
      </c>
      <c r="AK459" s="112">
        <v>0</v>
      </c>
      <c r="AL459" s="111">
        <v>0</v>
      </c>
      <c r="AM459" s="112">
        <v>0</v>
      </c>
      <c r="AN459" s="111">
        <v>12</v>
      </c>
      <c r="AO459" s="112">
        <v>92.3076923076923</v>
      </c>
      <c r="AP459" s="111">
        <v>13</v>
      </c>
    </row>
    <row r="460" spans="1:42" ht="15">
      <c r="A460" s="65" t="s">
        <v>553</v>
      </c>
      <c r="B460" s="65" t="s">
        <v>547</v>
      </c>
      <c r="C460" s="66" t="s">
        <v>5345</v>
      </c>
      <c r="D460" s="67">
        <v>3</v>
      </c>
      <c r="E460" s="68"/>
      <c r="F460" s="69">
        <v>40</v>
      </c>
      <c r="G460" s="66"/>
      <c r="H460" s="70"/>
      <c r="I460" s="71"/>
      <c r="J460" s="71"/>
      <c r="K460" s="35" t="s">
        <v>65</v>
      </c>
      <c r="L460" s="79">
        <v>460</v>
      </c>
      <c r="M460" s="79"/>
      <c r="N460" s="73"/>
      <c r="O460" s="81" t="s">
        <v>760</v>
      </c>
      <c r="P460" s="81" t="s">
        <v>215</v>
      </c>
      <c r="Q460" s="84" t="s">
        <v>1202</v>
      </c>
      <c r="R460" s="81" t="s">
        <v>553</v>
      </c>
      <c r="S460" s="81" t="s">
        <v>1882</v>
      </c>
      <c r="T460" s="86" t="str">
        <f>HYPERLINK("http://www.youtube.com/channel/UCMa6AvC7v4YADEIuUYlIySA")</f>
        <v>http://www.youtube.com/channel/UCMa6AvC7v4YADEIuUYlIySA</v>
      </c>
      <c r="U460" s="81"/>
      <c r="V460" s="81" t="s">
        <v>2318</v>
      </c>
      <c r="W460" s="86" t="str">
        <f>HYPERLINK("https://www.youtube.com/watch?v=kIHMxfUtGmI")</f>
        <v>https://www.youtube.com/watch?v=kIHMxfUtGmI</v>
      </c>
      <c r="X460" s="81" t="s">
        <v>2335</v>
      </c>
      <c r="Y460" s="81">
        <v>1</v>
      </c>
      <c r="Z460" s="81" t="s">
        <v>2539</v>
      </c>
      <c r="AA460" s="81" t="s">
        <v>2539</v>
      </c>
      <c r="AB460" s="81"/>
      <c r="AC460" s="81"/>
      <c r="AD460" s="84" t="s">
        <v>2782</v>
      </c>
      <c r="AE460" s="82">
        <v>1</v>
      </c>
      <c r="AF460" s="83" t="str">
        <f>REPLACE(INDEX(GroupVertices[Group],MATCH(Edges[[#This Row],[Vertex 1]],GroupVertices[Vertex],0)),1,1,"")</f>
        <v>6</v>
      </c>
      <c r="AG460" s="83" t="str">
        <f>REPLACE(INDEX(GroupVertices[Group],MATCH(Edges[[#This Row],[Vertex 2]],GroupVertices[Vertex],0)),1,1,"")</f>
        <v>6</v>
      </c>
      <c r="AH460" s="111">
        <v>1</v>
      </c>
      <c r="AI460" s="112">
        <v>20</v>
      </c>
      <c r="AJ460" s="111">
        <v>0</v>
      </c>
      <c r="AK460" s="112">
        <v>0</v>
      </c>
      <c r="AL460" s="111">
        <v>0</v>
      </c>
      <c r="AM460" s="112">
        <v>0</v>
      </c>
      <c r="AN460" s="111">
        <v>4</v>
      </c>
      <c r="AO460" s="112">
        <v>80</v>
      </c>
      <c r="AP460" s="111">
        <v>5</v>
      </c>
    </row>
    <row r="461" spans="1:42" ht="15">
      <c r="A461" s="65" t="s">
        <v>547</v>
      </c>
      <c r="B461" s="65" t="s">
        <v>554</v>
      </c>
      <c r="C461" s="66" t="s">
        <v>5345</v>
      </c>
      <c r="D461" s="67">
        <v>3</v>
      </c>
      <c r="E461" s="68"/>
      <c r="F461" s="69">
        <v>40</v>
      </c>
      <c r="G461" s="66"/>
      <c r="H461" s="70"/>
      <c r="I461" s="71"/>
      <c r="J461" s="71"/>
      <c r="K461" s="35" t="s">
        <v>66</v>
      </c>
      <c r="L461" s="79">
        <v>461</v>
      </c>
      <c r="M461" s="79"/>
      <c r="N461" s="73"/>
      <c r="O461" s="81" t="s">
        <v>761</v>
      </c>
      <c r="P461" s="81" t="s">
        <v>763</v>
      </c>
      <c r="Q461" s="84" t="s">
        <v>1203</v>
      </c>
      <c r="R461" s="81" t="s">
        <v>547</v>
      </c>
      <c r="S461" s="81" t="s">
        <v>1876</v>
      </c>
      <c r="T461" s="86" t="str">
        <f>HYPERLINK("http://www.youtube.com/channel/UCrpWTj_O0oLZilvnDaLqElw")</f>
        <v>http://www.youtube.com/channel/UCrpWTj_O0oLZilvnDaLqElw</v>
      </c>
      <c r="U461" s="81" t="s">
        <v>2193</v>
      </c>
      <c r="V461" s="81" t="s">
        <v>2318</v>
      </c>
      <c r="W461" s="86" t="str">
        <f>HYPERLINK("https://www.youtube.com/watch?v=kIHMxfUtGmI")</f>
        <v>https://www.youtube.com/watch?v=kIHMxfUtGmI</v>
      </c>
      <c r="X461" s="81" t="s">
        <v>2335</v>
      </c>
      <c r="Y461" s="81">
        <v>0</v>
      </c>
      <c r="Z461" s="81" t="s">
        <v>2540</v>
      </c>
      <c r="AA461" s="81" t="s">
        <v>2540</v>
      </c>
      <c r="AB461" s="81"/>
      <c r="AC461" s="81"/>
      <c r="AD461" s="84" t="s">
        <v>2782</v>
      </c>
      <c r="AE461" s="82">
        <v>1</v>
      </c>
      <c r="AF461" s="83" t="str">
        <f>REPLACE(INDEX(GroupVertices[Group],MATCH(Edges[[#This Row],[Vertex 1]],GroupVertices[Vertex],0)),1,1,"")</f>
        <v>6</v>
      </c>
      <c r="AG461" s="83" t="str">
        <f>REPLACE(INDEX(GroupVertices[Group],MATCH(Edges[[#This Row],[Vertex 2]],GroupVertices[Vertex],0)),1,1,"")</f>
        <v>6</v>
      </c>
      <c r="AH461" s="111">
        <v>1</v>
      </c>
      <c r="AI461" s="112">
        <v>16.666666666666668</v>
      </c>
      <c r="AJ461" s="111">
        <v>0</v>
      </c>
      <c r="AK461" s="112">
        <v>0</v>
      </c>
      <c r="AL461" s="111">
        <v>0</v>
      </c>
      <c r="AM461" s="112">
        <v>0</v>
      </c>
      <c r="AN461" s="111">
        <v>5</v>
      </c>
      <c r="AO461" s="112">
        <v>83.33333333333333</v>
      </c>
      <c r="AP461" s="111">
        <v>6</v>
      </c>
    </row>
    <row r="462" spans="1:42" ht="15">
      <c r="A462" s="65" t="s">
        <v>554</v>
      </c>
      <c r="B462" s="65" t="s">
        <v>547</v>
      </c>
      <c r="C462" s="66" t="s">
        <v>5345</v>
      </c>
      <c r="D462" s="67">
        <v>3</v>
      </c>
      <c r="E462" s="68"/>
      <c r="F462" s="69">
        <v>40</v>
      </c>
      <c r="G462" s="66"/>
      <c r="H462" s="70"/>
      <c r="I462" s="71"/>
      <c r="J462" s="71"/>
      <c r="K462" s="35" t="s">
        <v>66</v>
      </c>
      <c r="L462" s="79">
        <v>462</v>
      </c>
      <c r="M462" s="79"/>
      <c r="N462" s="73"/>
      <c r="O462" s="81" t="s">
        <v>760</v>
      </c>
      <c r="P462" s="81" t="s">
        <v>215</v>
      </c>
      <c r="Q462" s="84" t="s">
        <v>1204</v>
      </c>
      <c r="R462" s="81" t="s">
        <v>554</v>
      </c>
      <c r="S462" s="81" t="s">
        <v>1883</v>
      </c>
      <c r="T462" s="86" t="str">
        <f>HYPERLINK("http://www.youtube.com/channel/UCvhBBb_zdAkKujxzDV1QEhg")</f>
        <v>http://www.youtube.com/channel/UCvhBBb_zdAkKujxzDV1QEhg</v>
      </c>
      <c r="U462" s="81"/>
      <c r="V462" s="81" t="s">
        <v>2318</v>
      </c>
      <c r="W462" s="86" t="str">
        <f>HYPERLINK("https://www.youtube.com/watch?v=kIHMxfUtGmI")</f>
        <v>https://www.youtube.com/watch?v=kIHMxfUtGmI</v>
      </c>
      <c r="X462" s="81" t="s">
        <v>2335</v>
      </c>
      <c r="Y462" s="81">
        <v>1</v>
      </c>
      <c r="Z462" s="81" t="s">
        <v>2541</v>
      </c>
      <c r="AA462" s="81" t="s">
        <v>2541</v>
      </c>
      <c r="AB462" s="81"/>
      <c r="AC462" s="81"/>
      <c r="AD462" s="84" t="s">
        <v>2782</v>
      </c>
      <c r="AE462" s="82">
        <v>1</v>
      </c>
      <c r="AF462" s="83" t="str">
        <f>REPLACE(INDEX(GroupVertices[Group],MATCH(Edges[[#This Row],[Vertex 1]],GroupVertices[Vertex],0)),1,1,"")</f>
        <v>6</v>
      </c>
      <c r="AG462" s="83" t="str">
        <f>REPLACE(INDEX(GroupVertices[Group],MATCH(Edges[[#This Row],[Vertex 2]],GroupVertices[Vertex],0)),1,1,"")</f>
        <v>6</v>
      </c>
      <c r="AH462" s="111">
        <v>1</v>
      </c>
      <c r="AI462" s="112">
        <v>25</v>
      </c>
      <c r="AJ462" s="111">
        <v>0</v>
      </c>
      <c r="AK462" s="112">
        <v>0</v>
      </c>
      <c r="AL462" s="111">
        <v>0</v>
      </c>
      <c r="AM462" s="112">
        <v>0</v>
      </c>
      <c r="AN462" s="111">
        <v>3</v>
      </c>
      <c r="AO462" s="112">
        <v>75</v>
      </c>
      <c r="AP462" s="111">
        <v>4</v>
      </c>
    </row>
    <row r="463" spans="1:42" ht="15">
      <c r="A463" s="65" t="s">
        <v>555</v>
      </c>
      <c r="B463" s="65" t="s">
        <v>547</v>
      </c>
      <c r="C463" s="66" t="s">
        <v>5345</v>
      </c>
      <c r="D463" s="67">
        <v>3</v>
      </c>
      <c r="E463" s="68"/>
      <c r="F463" s="69">
        <v>40</v>
      </c>
      <c r="G463" s="66"/>
      <c r="H463" s="70"/>
      <c r="I463" s="71"/>
      <c r="J463" s="71"/>
      <c r="K463" s="35" t="s">
        <v>65</v>
      </c>
      <c r="L463" s="79">
        <v>463</v>
      </c>
      <c r="M463" s="79"/>
      <c r="N463" s="73"/>
      <c r="O463" s="81" t="s">
        <v>760</v>
      </c>
      <c r="P463" s="81" t="s">
        <v>215</v>
      </c>
      <c r="Q463" s="84" t="s">
        <v>1205</v>
      </c>
      <c r="R463" s="81" t="s">
        <v>555</v>
      </c>
      <c r="S463" s="81" t="s">
        <v>1884</v>
      </c>
      <c r="T463" s="86" t="str">
        <f>HYPERLINK("http://www.youtube.com/channel/UCqdmEYHY8jVTeT-ZYeLlJ1g")</f>
        <v>http://www.youtube.com/channel/UCqdmEYHY8jVTeT-ZYeLlJ1g</v>
      </c>
      <c r="U463" s="81"/>
      <c r="V463" s="81" t="s">
        <v>2318</v>
      </c>
      <c r="W463" s="86" t="str">
        <f>HYPERLINK("https://www.youtube.com/watch?v=kIHMxfUtGmI")</f>
        <v>https://www.youtube.com/watch?v=kIHMxfUtGmI</v>
      </c>
      <c r="X463" s="81" t="s">
        <v>2335</v>
      </c>
      <c r="Y463" s="81">
        <v>1</v>
      </c>
      <c r="Z463" s="81" t="s">
        <v>2542</v>
      </c>
      <c r="AA463" s="81" t="s">
        <v>2542</v>
      </c>
      <c r="AB463" s="81"/>
      <c r="AC463" s="81"/>
      <c r="AD463" s="84" t="s">
        <v>2782</v>
      </c>
      <c r="AE463" s="82">
        <v>1</v>
      </c>
      <c r="AF463" s="83" t="str">
        <f>REPLACE(INDEX(GroupVertices[Group],MATCH(Edges[[#This Row],[Vertex 1]],GroupVertices[Vertex],0)),1,1,"")</f>
        <v>6</v>
      </c>
      <c r="AG463" s="83" t="str">
        <f>REPLACE(INDEX(GroupVertices[Group],MATCH(Edges[[#This Row],[Vertex 2]],GroupVertices[Vertex],0)),1,1,"")</f>
        <v>6</v>
      </c>
      <c r="AH463" s="111">
        <v>0</v>
      </c>
      <c r="AI463" s="112">
        <v>0</v>
      </c>
      <c r="AJ463" s="111">
        <v>0</v>
      </c>
      <c r="AK463" s="112">
        <v>0</v>
      </c>
      <c r="AL463" s="111">
        <v>0</v>
      </c>
      <c r="AM463" s="112">
        <v>0</v>
      </c>
      <c r="AN463" s="111">
        <v>16</v>
      </c>
      <c r="AO463" s="112">
        <v>100</v>
      </c>
      <c r="AP463" s="111">
        <v>16</v>
      </c>
    </row>
    <row r="464" spans="1:42" ht="15">
      <c r="A464" s="65" t="s">
        <v>556</v>
      </c>
      <c r="B464" s="65" t="s">
        <v>547</v>
      </c>
      <c r="C464" s="66" t="s">
        <v>5345</v>
      </c>
      <c r="D464" s="67">
        <v>3</v>
      </c>
      <c r="E464" s="68"/>
      <c r="F464" s="69">
        <v>40</v>
      </c>
      <c r="G464" s="66"/>
      <c r="H464" s="70"/>
      <c r="I464" s="71"/>
      <c r="J464" s="71"/>
      <c r="K464" s="35" t="s">
        <v>65</v>
      </c>
      <c r="L464" s="79">
        <v>464</v>
      </c>
      <c r="M464" s="79"/>
      <c r="N464" s="73"/>
      <c r="O464" s="81" t="s">
        <v>760</v>
      </c>
      <c r="P464" s="81" t="s">
        <v>215</v>
      </c>
      <c r="Q464" s="84" t="s">
        <v>1206</v>
      </c>
      <c r="R464" s="81" t="s">
        <v>556</v>
      </c>
      <c r="S464" s="81" t="s">
        <v>1885</v>
      </c>
      <c r="T464" s="86" t="str">
        <f>HYPERLINK("http://www.youtube.com/channel/UC8ZYmCweKD2x-wy8PDEiFog")</f>
        <v>http://www.youtube.com/channel/UC8ZYmCweKD2x-wy8PDEiFog</v>
      </c>
      <c r="U464" s="81"/>
      <c r="V464" s="81" t="s">
        <v>2318</v>
      </c>
      <c r="W464" s="86" t="str">
        <f>HYPERLINK("https://www.youtube.com/watch?v=kIHMxfUtGmI")</f>
        <v>https://www.youtube.com/watch?v=kIHMxfUtGmI</v>
      </c>
      <c r="X464" s="81" t="s">
        <v>2335</v>
      </c>
      <c r="Y464" s="81">
        <v>1</v>
      </c>
      <c r="Z464" s="81" t="s">
        <v>2543</v>
      </c>
      <c r="AA464" s="81" t="s">
        <v>2543</v>
      </c>
      <c r="AB464" s="81"/>
      <c r="AC464" s="81"/>
      <c r="AD464" s="84" t="s">
        <v>2782</v>
      </c>
      <c r="AE464" s="82">
        <v>1</v>
      </c>
      <c r="AF464" s="83" t="str">
        <f>REPLACE(INDEX(GroupVertices[Group],MATCH(Edges[[#This Row],[Vertex 1]],GroupVertices[Vertex],0)),1,1,"")</f>
        <v>6</v>
      </c>
      <c r="AG464" s="83" t="str">
        <f>REPLACE(INDEX(GroupVertices[Group],MATCH(Edges[[#This Row],[Vertex 2]],GroupVertices[Vertex],0)),1,1,"")</f>
        <v>6</v>
      </c>
      <c r="AH464" s="111">
        <v>2</v>
      </c>
      <c r="AI464" s="112">
        <v>22.22222222222222</v>
      </c>
      <c r="AJ464" s="111">
        <v>0</v>
      </c>
      <c r="AK464" s="112">
        <v>0</v>
      </c>
      <c r="AL464" s="111">
        <v>0</v>
      </c>
      <c r="AM464" s="112">
        <v>0</v>
      </c>
      <c r="AN464" s="111">
        <v>7</v>
      </c>
      <c r="AO464" s="112">
        <v>77.77777777777777</v>
      </c>
      <c r="AP464" s="111">
        <v>9</v>
      </c>
    </row>
    <row r="465" spans="1:42" ht="15">
      <c r="A465" s="65" t="s">
        <v>547</v>
      </c>
      <c r="B465" s="65" t="s">
        <v>557</v>
      </c>
      <c r="C465" s="66" t="s">
        <v>5345</v>
      </c>
      <c r="D465" s="67">
        <v>3</v>
      </c>
      <c r="E465" s="68"/>
      <c r="F465" s="69">
        <v>40</v>
      </c>
      <c r="G465" s="66"/>
      <c r="H465" s="70"/>
      <c r="I465" s="71"/>
      <c r="J465" s="71"/>
      <c r="K465" s="35" t="s">
        <v>66</v>
      </c>
      <c r="L465" s="79">
        <v>465</v>
      </c>
      <c r="M465" s="79"/>
      <c r="N465" s="73"/>
      <c r="O465" s="81" t="s">
        <v>761</v>
      </c>
      <c r="P465" s="81" t="s">
        <v>763</v>
      </c>
      <c r="Q465" s="84" t="s">
        <v>1207</v>
      </c>
      <c r="R465" s="81" t="s">
        <v>547</v>
      </c>
      <c r="S465" s="81" t="s">
        <v>1876</v>
      </c>
      <c r="T465" s="86" t="str">
        <f>HYPERLINK("http://www.youtube.com/channel/UCrpWTj_O0oLZilvnDaLqElw")</f>
        <v>http://www.youtube.com/channel/UCrpWTj_O0oLZilvnDaLqElw</v>
      </c>
      <c r="U465" s="81" t="s">
        <v>2194</v>
      </c>
      <c r="V465" s="81" t="s">
        <v>2318</v>
      </c>
      <c r="W465" s="86" t="str">
        <f>HYPERLINK("https://www.youtube.com/watch?v=kIHMxfUtGmI")</f>
        <v>https://www.youtube.com/watch?v=kIHMxfUtGmI</v>
      </c>
      <c r="X465" s="81" t="s">
        <v>2335</v>
      </c>
      <c r="Y465" s="81">
        <v>0</v>
      </c>
      <c r="Z465" s="81" t="s">
        <v>2544</v>
      </c>
      <c r="AA465" s="81" t="s">
        <v>2544</v>
      </c>
      <c r="AB465" s="81"/>
      <c r="AC465" s="81"/>
      <c r="AD465" s="84" t="s">
        <v>2782</v>
      </c>
      <c r="AE465" s="82">
        <v>1</v>
      </c>
      <c r="AF465" s="83" t="str">
        <f>REPLACE(INDEX(GroupVertices[Group],MATCH(Edges[[#This Row],[Vertex 1]],GroupVertices[Vertex],0)),1,1,"")</f>
        <v>6</v>
      </c>
      <c r="AG465" s="83" t="str">
        <f>REPLACE(INDEX(GroupVertices[Group],MATCH(Edges[[#This Row],[Vertex 2]],GroupVertices[Vertex],0)),1,1,"")</f>
        <v>6</v>
      </c>
      <c r="AH465" s="111">
        <v>1</v>
      </c>
      <c r="AI465" s="112">
        <v>20</v>
      </c>
      <c r="AJ465" s="111">
        <v>0</v>
      </c>
      <c r="AK465" s="112">
        <v>0</v>
      </c>
      <c r="AL465" s="111">
        <v>0</v>
      </c>
      <c r="AM465" s="112">
        <v>0</v>
      </c>
      <c r="AN465" s="111">
        <v>4</v>
      </c>
      <c r="AO465" s="112">
        <v>80</v>
      </c>
      <c r="AP465" s="111">
        <v>5</v>
      </c>
    </row>
    <row r="466" spans="1:42" ht="15">
      <c r="A466" s="65" t="s">
        <v>557</v>
      </c>
      <c r="B466" s="65" t="s">
        <v>547</v>
      </c>
      <c r="C466" s="66" t="s">
        <v>5345</v>
      </c>
      <c r="D466" s="67">
        <v>3</v>
      </c>
      <c r="E466" s="68"/>
      <c r="F466" s="69">
        <v>40</v>
      </c>
      <c r="G466" s="66"/>
      <c r="H466" s="70"/>
      <c r="I466" s="71"/>
      <c r="J466" s="71"/>
      <c r="K466" s="35" t="s">
        <v>66</v>
      </c>
      <c r="L466" s="79">
        <v>466</v>
      </c>
      <c r="M466" s="79"/>
      <c r="N466" s="73"/>
      <c r="O466" s="81" t="s">
        <v>760</v>
      </c>
      <c r="P466" s="81" t="s">
        <v>215</v>
      </c>
      <c r="Q466" s="84" t="s">
        <v>1208</v>
      </c>
      <c r="R466" s="81" t="s">
        <v>557</v>
      </c>
      <c r="S466" s="81" t="s">
        <v>1886</v>
      </c>
      <c r="T466" s="86" t="str">
        <f>HYPERLINK("http://www.youtube.com/channel/UCQbKCj0tXqqo5TddHr9kjwQ")</f>
        <v>http://www.youtube.com/channel/UCQbKCj0tXqqo5TddHr9kjwQ</v>
      </c>
      <c r="U466" s="81"/>
      <c r="V466" s="81" t="s">
        <v>2318</v>
      </c>
      <c r="W466" s="86" t="str">
        <f>HYPERLINK("https://www.youtube.com/watch?v=kIHMxfUtGmI")</f>
        <v>https://www.youtube.com/watch?v=kIHMxfUtGmI</v>
      </c>
      <c r="X466" s="81" t="s">
        <v>2335</v>
      </c>
      <c r="Y466" s="81">
        <v>1</v>
      </c>
      <c r="Z466" s="81" t="s">
        <v>2545</v>
      </c>
      <c r="AA466" s="81" t="s">
        <v>2545</v>
      </c>
      <c r="AB466" s="81"/>
      <c r="AC466" s="81"/>
      <c r="AD466" s="84" t="s">
        <v>2782</v>
      </c>
      <c r="AE466" s="82">
        <v>1</v>
      </c>
      <c r="AF466" s="83" t="str">
        <f>REPLACE(INDEX(GroupVertices[Group],MATCH(Edges[[#This Row],[Vertex 1]],GroupVertices[Vertex],0)),1,1,"")</f>
        <v>6</v>
      </c>
      <c r="AG466" s="83" t="str">
        <f>REPLACE(INDEX(GroupVertices[Group],MATCH(Edges[[#This Row],[Vertex 2]],GroupVertices[Vertex],0)),1,1,"")</f>
        <v>6</v>
      </c>
      <c r="AH466" s="111">
        <v>2</v>
      </c>
      <c r="AI466" s="112">
        <v>13.333333333333334</v>
      </c>
      <c r="AJ466" s="111">
        <v>0</v>
      </c>
      <c r="AK466" s="112">
        <v>0</v>
      </c>
      <c r="AL466" s="111">
        <v>0</v>
      </c>
      <c r="AM466" s="112">
        <v>0</v>
      </c>
      <c r="AN466" s="111">
        <v>13</v>
      </c>
      <c r="AO466" s="112">
        <v>86.66666666666667</v>
      </c>
      <c r="AP466" s="111">
        <v>15</v>
      </c>
    </row>
    <row r="467" spans="1:42" ht="15">
      <c r="A467" s="65" t="s">
        <v>558</v>
      </c>
      <c r="B467" s="65" t="s">
        <v>547</v>
      </c>
      <c r="C467" s="66" t="s">
        <v>5345</v>
      </c>
      <c r="D467" s="67">
        <v>3</v>
      </c>
      <c r="E467" s="68"/>
      <c r="F467" s="69">
        <v>40</v>
      </c>
      <c r="G467" s="66"/>
      <c r="H467" s="70"/>
      <c r="I467" s="71"/>
      <c r="J467" s="71"/>
      <c r="K467" s="35" t="s">
        <v>65</v>
      </c>
      <c r="L467" s="79">
        <v>467</v>
      </c>
      <c r="M467" s="79"/>
      <c r="N467" s="73"/>
      <c r="O467" s="81" t="s">
        <v>760</v>
      </c>
      <c r="P467" s="81" t="s">
        <v>215</v>
      </c>
      <c r="Q467" s="84" t="s">
        <v>1209</v>
      </c>
      <c r="R467" s="81" t="s">
        <v>558</v>
      </c>
      <c r="S467" s="81" t="s">
        <v>1887</v>
      </c>
      <c r="T467" s="86" t="str">
        <f>HYPERLINK("http://www.youtube.com/channel/UCvEYcFUhkCOl5HwBKT5djPg")</f>
        <v>http://www.youtube.com/channel/UCvEYcFUhkCOl5HwBKT5djPg</v>
      </c>
      <c r="U467" s="81"/>
      <c r="V467" s="81" t="s">
        <v>2318</v>
      </c>
      <c r="W467" s="86" t="str">
        <f>HYPERLINK("https://www.youtube.com/watch?v=kIHMxfUtGmI")</f>
        <v>https://www.youtube.com/watch?v=kIHMxfUtGmI</v>
      </c>
      <c r="X467" s="81" t="s">
        <v>2335</v>
      </c>
      <c r="Y467" s="81">
        <v>1</v>
      </c>
      <c r="Z467" s="81" t="s">
        <v>2546</v>
      </c>
      <c r="AA467" s="81" t="s">
        <v>2546</v>
      </c>
      <c r="AB467" s="81"/>
      <c r="AC467" s="81"/>
      <c r="AD467" s="84" t="s">
        <v>2782</v>
      </c>
      <c r="AE467" s="82">
        <v>1</v>
      </c>
      <c r="AF467" s="83" t="str">
        <f>REPLACE(INDEX(GroupVertices[Group],MATCH(Edges[[#This Row],[Vertex 1]],GroupVertices[Vertex],0)),1,1,"")</f>
        <v>6</v>
      </c>
      <c r="AG467" s="83" t="str">
        <f>REPLACE(INDEX(GroupVertices[Group],MATCH(Edges[[#This Row],[Vertex 2]],GroupVertices[Vertex],0)),1,1,"")</f>
        <v>6</v>
      </c>
      <c r="AH467" s="111">
        <v>2</v>
      </c>
      <c r="AI467" s="112">
        <v>11.764705882352942</v>
      </c>
      <c r="AJ467" s="111">
        <v>0</v>
      </c>
      <c r="AK467" s="112">
        <v>0</v>
      </c>
      <c r="AL467" s="111">
        <v>0</v>
      </c>
      <c r="AM467" s="112">
        <v>0</v>
      </c>
      <c r="AN467" s="111">
        <v>15</v>
      </c>
      <c r="AO467" s="112">
        <v>88.23529411764706</v>
      </c>
      <c r="AP467" s="111">
        <v>17</v>
      </c>
    </row>
    <row r="468" spans="1:42" ht="15">
      <c r="A468" s="65" t="s">
        <v>547</v>
      </c>
      <c r="B468" s="65" t="s">
        <v>559</v>
      </c>
      <c r="C468" s="66" t="s">
        <v>5345</v>
      </c>
      <c r="D468" s="67">
        <v>3</v>
      </c>
      <c r="E468" s="68"/>
      <c r="F468" s="69">
        <v>40</v>
      </c>
      <c r="G468" s="66"/>
      <c r="H468" s="70"/>
      <c r="I468" s="71"/>
      <c r="J468" s="71"/>
      <c r="K468" s="35" t="s">
        <v>66</v>
      </c>
      <c r="L468" s="79">
        <v>468</v>
      </c>
      <c r="M468" s="79"/>
      <c r="N468" s="73"/>
      <c r="O468" s="81" t="s">
        <v>761</v>
      </c>
      <c r="P468" s="81" t="s">
        <v>763</v>
      </c>
      <c r="Q468" s="84" t="s">
        <v>1210</v>
      </c>
      <c r="R468" s="81" t="s">
        <v>547</v>
      </c>
      <c r="S468" s="81" t="s">
        <v>1876</v>
      </c>
      <c r="T468" s="86" t="str">
        <f>HYPERLINK("http://www.youtube.com/channel/UCrpWTj_O0oLZilvnDaLqElw")</f>
        <v>http://www.youtube.com/channel/UCrpWTj_O0oLZilvnDaLqElw</v>
      </c>
      <c r="U468" s="81" t="s">
        <v>2195</v>
      </c>
      <c r="V468" s="81" t="s">
        <v>2318</v>
      </c>
      <c r="W468" s="86" t="str">
        <f>HYPERLINK("https://www.youtube.com/watch?v=kIHMxfUtGmI")</f>
        <v>https://www.youtube.com/watch?v=kIHMxfUtGmI</v>
      </c>
      <c r="X468" s="81" t="s">
        <v>2335</v>
      </c>
      <c r="Y468" s="81">
        <v>1</v>
      </c>
      <c r="Z468" s="81" t="s">
        <v>2547</v>
      </c>
      <c r="AA468" s="81" t="s">
        <v>2547</v>
      </c>
      <c r="AB468" s="81"/>
      <c r="AC468" s="81"/>
      <c r="AD468" s="84" t="s">
        <v>2782</v>
      </c>
      <c r="AE468" s="82">
        <v>1</v>
      </c>
      <c r="AF468" s="83" t="str">
        <f>REPLACE(INDEX(GroupVertices[Group],MATCH(Edges[[#This Row],[Vertex 1]],GroupVertices[Vertex],0)),1,1,"")</f>
        <v>6</v>
      </c>
      <c r="AG468" s="83" t="str">
        <f>REPLACE(INDEX(GroupVertices[Group],MATCH(Edges[[#This Row],[Vertex 2]],GroupVertices[Vertex],0)),1,1,"")</f>
        <v>6</v>
      </c>
      <c r="AH468" s="111">
        <v>0</v>
      </c>
      <c r="AI468" s="112">
        <v>0</v>
      </c>
      <c r="AJ468" s="111">
        <v>0</v>
      </c>
      <c r="AK468" s="112">
        <v>0</v>
      </c>
      <c r="AL468" s="111">
        <v>0</v>
      </c>
      <c r="AM468" s="112">
        <v>0</v>
      </c>
      <c r="AN468" s="111">
        <v>2</v>
      </c>
      <c r="AO468" s="112">
        <v>100</v>
      </c>
      <c r="AP468" s="111">
        <v>2</v>
      </c>
    </row>
    <row r="469" spans="1:42" ht="15">
      <c r="A469" s="65" t="s">
        <v>559</v>
      </c>
      <c r="B469" s="65" t="s">
        <v>547</v>
      </c>
      <c r="C469" s="66" t="s">
        <v>5345</v>
      </c>
      <c r="D469" s="67">
        <v>3</v>
      </c>
      <c r="E469" s="68"/>
      <c r="F469" s="69">
        <v>40</v>
      </c>
      <c r="G469" s="66"/>
      <c r="H469" s="70"/>
      <c r="I469" s="71"/>
      <c r="J469" s="71"/>
      <c r="K469" s="35" t="s">
        <v>66</v>
      </c>
      <c r="L469" s="79">
        <v>469</v>
      </c>
      <c r="M469" s="79"/>
      <c r="N469" s="73"/>
      <c r="O469" s="81" t="s">
        <v>760</v>
      </c>
      <c r="P469" s="81" t="s">
        <v>215</v>
      </c>
      <c r="Q469" s="84" t="s">
        <v>1211</v>
      </c>
      <c r="R469" s="81" t="s">
        <v>559</v>
      </c>
      <c r="S469" s="81" t="s">
        <v>1888</v>
      </c>
      <c r="T469" s="86" t="str">
        <f>HYPERLINK("http://www.youtube.com/channel/UC6KcefKj7mvfC2wb3ED-lCQ")</f>
        <v>http://www.youtube.com/channel/UC6KcefKj7mvfC2wb3ED-lCQ</v>
      </c>
      <c r="U469" s="81"/>
      <c r="V469" s="81" t="s">
        <v>2318</v>
      </c>
      <c r="W469" s="86" t="str">
        <f>HYPERLINK("https://www.youtube.com/watch?v=kIHMxfUtGmI")</f>
        <v>https://www.youtube.com/watch?v=kIHMxfUtGmI</v>
      </c>
      <c r="X469" s="81" t="s">
        <v>2335</v>
      </c>
      <c r="Y469" s="81">
        <v>1</v>
      </c>
      <c r="Z469" s="81" t="s">
        <v>2548</v>
      </c>
      <c r="AA469" s="81" t="s">
        <v>2548</v>
      </c>
      <c r="AB469" s="81"/>
      <c r="AC469" s="81"/>
      <c r="AD469" s="84" t="s">
        <v>2782</v>
      </c>
      <c r="AE469" s="82">
        <v>1</v>
      </c>
      <c r="AF469" s="83" t="str">
        <f>REPLACE(INDEX(GroupVertices[Group],MATCH(Edges[[#This Row],[Vertex 1]],GroupVertices[Vertex],0)),1,1,"")</f>
        <v>6</v>
      </c>
      <c r="AG469" s="83" t="str">
        <f>REPLACE(INDEX(GroupVertices[Group],MATCH(Edges[[#This Row],[Vertex 2]],GroupVertices[Vertex],0)),1,1,"")</f>
        <v>6</v>
      </c>
      <c r="AH469" s="111">
        <v>2</v>
      </c>
      <c r="AI469" s="112">
        <v>20</v>
      </c>
      <c r="AJ469" s="111">
        <v>0</v>
      </c>
      <c r="AK469" s="112">
        <v>0</v>
      </c>
      <c r="AL469" s="111">
        <v>0</v>
      </c>
      <c r="AM469" s="112">
        <v>0</v>
      </c>
      <c r="AN469" s="111">
        <v>8</v>
      </c>
      <c r="AO469" s="112">
        <v>80</v>
      </c>
      <c r="AP469" s="111">
        <v>10</v>
      </c>
    </row>
    <row r="470" spans="1:42" ht="15">
      <c r="A470" s="65" t="s">
        <v>547</v>
      </c>
      <c r="B470" s="65" t="s">
        <v>560</v>
      </c>
      <c r="C470" s="66" t="s">
        <v>5345</v>
      </c>
      <c r="D470" s="67">
        <v>3</v>
      </c>
      <c r="E470" s="68"/>
      <c r="F470" s="69">
        <v>40</v>
      </c>
      <c r="G470" s="66"/>
      <c r="H470" s="70"/>
      <c r="I470" s="71"/>
      <c r="J470" s="71"/>
      <c r="K470" s="35" t="s">
        <v>66</v>
      </c>
      <c r="L470" s="79">
        <v>470</v>
      </c>
      <c r="M470" s="79"/>
      <c r="N470" s="73"/>
      <c r="O470" s="81" t="s">
        <v>761</v>
      </c>
      <c r="P470" s="81" t="s">
        <v>763</v>
      </c>
      <c r="Q470" s="84" t="s">
        <v>1212</v>
      </c>
      <c r="R470" s="81" t="s">
        <v>547</v>
      </c>
      <c r="S470" s="81" t="s">
        <v>1876</v>
      </c>
      <c r="T470" s="86" t="str">
        <f>HYPERLINK("http://www.youtube.com/channel/UCrpWTj_O0oLZilvnDaLqElw")</f>
        <v>http://www.youtube.com/channel/UCrpWTj_O0oLZilvnDaLqElw</v>
      </c>
      <c r="U470" s="81" t="s">
        <v>2196</v>
      </c>
      <c r="V470" s="81" t="s">
        <v>2318</v>
      </c>
      <c r="W470" s="86" t="str">
        <f>HYPERLINK("https://www.youtube.com/watch?v=kIHMxfUtGmI")</f>
        <v>https://www.youtube.com/watch?v=kIHMxfUtGmI</v>
      </c>
      <c r="X470" s="81" t="s">
        <v>2335</v>
      </c>
      <c r="Y470" s="81">
        <v>0</v>
      </c>
      <c r="Z470" s="81" t="s">
        <v>2549</v>
      </c>
      <c r="AA470" s="81" t="s">
        <v>2549</v>
      </c>
      <c r="AB470" s="81"/>
      <c r="AC470" s="81"/>
      <c r="AD470" s="84" t="s">
        <v>2782</v>
      </c>
      <c r="AE470" s="82">
        <v>1</v>
      </c>
      <c r="AF470" s="83" t="str">
        <f>REPLACE(INDEX(GroupVertices[Group],MATCH(Edges[[#This Row],[Vertex 1]],GroupVertices[Vertex],0)),1,1,"")</f>
        <v>6</v>
      </c>
      <c r="AG470" s="83" t="str">
        <f>REPLACE(INDEX(GroupVertices[Group],MATCH(Edges[[#This Row],[Vertex 2]],GroupVertices[Vertex],0)),1,1,"")</f>
        <v>6</v>
      </c>
      <c r="AH470" s="111">
        <v>0</v>
      </c>
      <c r="AI470" s="112">
        <v>0</v>
      </c>
      <c r="AJ470" s="111">
        <v>0</v>
      </c>
      <c r="AK470" s="112">
        <v>0</v>
      </c>
      <c r="AL470" s="111">
        <v>0</v>
      </c>
      <c r="AM470" s="112">
        <v>0</v>
      </c>
      <c r="AN470" s="111">
        <v>5</v>
      </c>
      <c r="AO470" s="112">
        <v>100</v>
      </c>
      <c r="AP470" s="111">
        <v>5</v>
      </c>
    </row>
    <row r="471" spans="1:42" ht="15">
      <c r="A471" s="65" t="s">
        <v>560</v>
      </c>
      <c r="B471" s="65" t="s">
        <v>547</v>
      </c>
      <c r="C471" s="66" t="s">
        <v>5345</v>
      </c>
      <c r="D471" s="67">
        <v>3</v>
      </c>
      <c r="E471" s="68"/>
      <c r="F471" s="69">
        <v>40</v>
      </c>
      <c r="G471" s="66"/>
      <c r="H471" s="70"/>
      <c r="I471" s="71"/>
      <c r="J471" s="71"/>
      <c r="K471" s="35" t="s">
        <v>66</v>
      </c>
      <c r="L471" s="79">
        <v>471</v>
      </c>
      <c r="M471" s="79"/>
      <c r="N471" s="73"/>
      <c r="O471" s="81" t="s">
        <v>760</v>
      </c>
      <c r="P471" s="81" t="s">
        <v>215</v>
      </c>
      <c r="Q471" s="84" t="s">
        <v>1213</v>
      </c>
      <c r="R471" s="81" t="s">
        <v>560</v>
      </c>
      <c r="S471" s="81" t="s">
        <v>1889</v>
      </c>
      <c r="T471" s="86" t="str">
        <f>HYPERLINK("http://www.youtube.com/channel/UCvVyk2M6jS9pNkmrVg2dNjQ")</f>
        <v>http://www.youtube.com/channel/UCvVyk2M6jS9pNkmrVg2dNjQ</v>
      </c>
      <c r="U471" s="81"/>
      <c r="V471" s="81" t="s">
        <v>2318</v>
      </c>
      <c r="W471" s="86" t="str">
        <f>HYPERLINK("https://www.youtube.com/watch?v=kIHMxfUtGmI")</f>
        <v>https://www.youtube.com/watch?v=kIHMxfUtGmI</v>
      </c>
      <c r="X471" s="81" t="s">
        <v>2335</v>
      </c>
      <c r="Y471" s="81">
        <v>2</v>
      </c>
      <c r="Z471" s="81" t="s">
        <v>2550</v>
      </c>
      <c r="AA471" s="81" t="s">
        <v>2550</v>
      </c>
      <c r="AB471" s="81"/>
      <c r="AC471" s="81"/>
      <c r="AD471" s="84" t="s">
        <v>2782</v>
      </c>
      <c r="AE471" s="82">
        <v>1</v>
      </c>
      <c r="AF471" s="83" t="str">
        <f>REPLACE(INDEX(GroupVertices[Group],MATCH(Edges[[#This Row],[Vertex 1]],GroupVertices[Vertex],0)),1,1,"")</f>
        <v>6</v>
      </c>
      <c r="AG471" s="83" t="str">
        <f>REPLACE(INDEX(GroupVertices[Group],MATCH(Edges[[#This Row],[Vertex 2]],GroupVertices[Vertex],0)),1,1,"")</f>
        <v>6</v>
      </c>
      <c r="AH471" s="111">
        <v>3</v>
      </c>
      <c r="AI471" s="112">
        <v>12</v>
      </c>
      <c r="AJ471" s="111">
        <v>0</v>
      </c>
      <c r="AK471" s="112">
        <v>0</v>
      </c>
      <c r="AL471" s="111">
        <v>0</v>
      </c>
      <c r="AM471" s="112">
        <v>0</v>
      </c>
      <c r="AN471" s="111">
        <v>22</v>
      </c>
      <c r="AO471" s="112">
        <v>88</v>
      </c>
      <c r="AP471" s="111">
        <v>25</v>
      </c>
    </row>
    <row r="472" spans="1:42" ht="15">
      <c r="A472" s="65" t="s">
        <v>547</v>
      </c>
      <c r="B472" s="65" t="s">
        <v>561</v>
      </c>
      <c r="C472" s="66" t="s">
        <v>5345</v>
      </c>
      <c r="D472" s="67">
        <v>3</v>
      </c>
      <c r="E472" s="68"/>
      <c r="F472" s="69">
        <v>40</v>
      </c>
      <c r="G472" s="66"/>
      <c r="H472" s="70"/>
      <c r="I472" s="71"/>
      <c r="J472" s="71"/>
      <c r="K472" s="35" t="s">
        <v>66</v>
      </c>
      <c r="L472" s="79">
        <v>472</v>
      </c>
      <c r="M472" s="79"/>
      <c r="N472" s="73"/>
      <c r="O472" s="81" t="s">
        <v>761</v>
      </c>
      <c r="P472" s="81" t="s">
        <v>763</v>
      </c>
      <c r="Q472" s="84" t="s">
        <v>1214</v>
      </c>
      <c r="R472" s="81" t="s">
        <v>547</v>
      </c>
      <c r="S472" s="81" t="s">
        <v>1876</v>
      </c>
      <c r="T472" s="86" t="str">
        <f>HYPERLINK("http://www.youtube.com/channel/UCrpWTj_O0oLZilvnDaLqElw")</f>
        <v>http://www.youtube.com/channel/UCrpWTj_O0oLZilvnDaLqElw</v>
      </c>
      <c r="U472" s="81" t="s">
        <v>2197</v>
      </c>
      <c r="V472" s="81" t="s">
        <v>2318</v>
      </c>
      <c r="W472" s="86" t="str">
        <f>HYPERLINK("https://www.youtube.com/watch?v=kIHMxfUtGmI")</f>
        <v>https://www.youtube.com/watch?v=kIHMxfUtGmI</v>
      </c>
      <c r="X472" s="81" t="s">
        <v>2335</v>
      </c>
      <c r="Y472" s="81">
        <v>0</v>
      </c>
      <c r="Z472" s="81" t="s">
        <v>2551</v>
      </c>
      <c r="AA472" s="81" t="s">
        <v>2551</v>
      </c>
      <c r="AB472" s="81"/>
      <c r="AC472" s="81"/>
      <c r="AD472" s="84" t="s">
        <v>2782</v>
      </c>
      <c r="AE472" s="82">
        <v>1</v>
      </c>
      <c r="AF472" s="83" t="str">
        <f>REPLACE(INDEX(GroupVertices[Group],MATCH(Edges[[#This Row],[Vertex 1]],GroupVertices[Vertex],0)),1,1,"")</f>
        <v>6</v>
      </c>
      <c r="AG472" s="83" t="str">
        <f>REPLACE(INDEX(GroupVertices[Group],MATCH(Edges[[#This Row],[Vertex 2]],GroupVertices[Vertex],0)),1,1,"")</f>
        <v>6</v>
      </c>
      <c r="AH472" s="111">
        <v>0</v>
      </c>
      <c r="AI472" s="112">
        <v>0</v>
      </c>
      <c r="AJ472" s="111">
        <v>0</v>
      </c>
      <c r="AK472" s="112">
        <v>0</v>
      </c>
      <c r="AL472" s="111">
        <v>0</v>
      </c>
      <c r="AM472" s="112">
        <v>0</v>
      </c>
      <c r="AN472" s="111">
        <v>8</v>
      </c>
      <c r="AO472" s="112">
        <v>100</v>
      </c>
      <c r="AP472" s="111">
        <v>8</v>
      </c>
    </row>
    <row r="473" spans="1:42" ht="15">
      <c r="A473" s="65" t="s">
        <v>561</v>
      </c>
      <c r="B473" s="65" t="s">
        <v>547</v>
      </c>
      <c r="C473" s="66" t="s">
        <v>5345</v>
      </c>
      <c r="D473" s="67">
        <v>3</v>
      </c>
      <c r="E473" s="68"/>
      <c r="F473" s="69">
        <v>40</v>
      </c>
      <c r="G473" s="66"/>
      <c r="H473" s="70"/>
      <c r="I473" s="71"/>
      <c r="J473" s="71"/>
      <c r="K473" s="35" t="s">
        <v>66</v>
      </c>
      <c r="L473" s="79">
        <v>473</v>
      </c>
      <c r="M473" s="79"/>
      <c r="N473" s="73"/>
      <c r="O473" s="81" t="s">
        <v>760</v>
      </c>
      <c r="P473" s="81" t="s">
        <v>215</v>
      </c>
      <c r="Q473" s="84" t="s">
        <v>1215</v>
      </c>
      <c r="R473" s="81" t="s">
        <v>561</v>
      </c>
      <c r="S473" s="81" t="s">
        <v>1890</v>
      </c>
      <c r="T473" s="86" t="str">
        <f>HYPERLINK("http://www.youtube.com/channel/UCMWyaByhnJ1XZCCZxzjRkiQ")</f>
        <v>http://www.youtube.com/channel/UCMWyaByhnJ1XZCCZxzjRkiQ</v>
      </c>
      <c r="U473" s="81"/>
      <c r="V473" s="81" t="s">
        <v>2318</v>
      </c>
      <c r="W473" s="86" t="str">
        <f>HYPERLINK("https://www.youtube.com/watch?v=kIHMxfUtGmI")</f>
        <v>https://www.youtube.com/watch?v=kIHMxfUtGmI</v>
      </c>
      <c r="X473" s="81" t="s">
        <v>2335</v>
      </c>
      <c r="Y473" s="81">
        <v>1</v>
      </c>
      <c r="Z473" s="81" t="s">
        <v>2552</v>
      </c>
      <c r="AA473" s="81" t="s">
        <v>2552</v>
      </c>
      <c r="AB473" s="81"/>
      <c r="AC473" s="81"/>
      <c r="AD473" s="84" t="s">
        <v>2782</v>
      </c>
      <c r="AE473" s="82">
        <v>1</v>
      </c>
      <c r="AF473" s="83" t="str">
        <f>REPLACE(INDEX(GroupVertices[Group],MATCH(Edges[[#This Row],[Vertex 1]],GroupVertices[Vertex],0)),1,1,"")</f>
        <v>6</v>
      </c>
      <c r="AG473" s="83" t="str">
        <f>REPLACE(INDEX(GroupVertices[Group],MATCH(Edges[[#This Row],[Vertex 2]],GroupVertices[Vertex],0)),1,1,"")</f>
        <v>6</v>
      </c>
      <c r="AH473" s="111">
        <v>1</v>
      </c>
      <c r="AI473" s="112">
        <v>25</v>
      </c>
      <c r="AJ473" s="111">
        <v>0</v>
      </c>
      <c r="AK473" s="112">
        <v>0</v>
      </c>
      <c r="AL473" s="111">
        <v>0</v>
      </c>
      <c r="AM473" s="112">
        <v>0</v>
      </c>
      <c r="AN473" s="111">
        <v>3</v>
      </c>
      <c r="AO473" s="112">
        <v>75</v>
      </c>
      <c r="AP473" s="111">
        <v>4</v>
      </c>
    </row>
    <row r="474" spans="1:42" ht="15">
      <c r="A474" s="65" t="s">
        <v>562</v>
      </c>
      <c r="B474" s="65" t="s">
        <v>547</v>
      </c>
      <c r="C474" s="66" t="s">
        <v>5345</v>
      </c>
      <c r="D474" s="67">
        <v>3</v>
      </c>
      <c r="E474" s="68"/>
      <c r="F474" s="69">
        <v>40</v>
      </c>
      <c r="G474" s="66"/>
      <c r="H474" s="70"/>
      <c r="I474" s="71"/>
      <c r="J474" s="71"/>
      <c r="K474" s="35" t="s">
        <v>65</v>
      </c>
      <c r="L474" s="79">
        <v>474</v>
      </c>
      <c r="M474" s="79"/>
      <c r="N474" s="73"/>
      <c r="O474" s="81" t="s">
        <v>760</v>
      </c>
      <c r="P474" s="81" t="s">
        <v>215</v>
      </c>
      <c r="Q474" s="84" t="s">
        <v>1216</v>
      </c>
      <c r="R474" s="81" t="s">
        <v>562</v>
      </c>
      <c r="S474" s="81" t="s">
        <v>1891</v>
      </c>
      <c r="T474" s="86" t="str">
        <f>HYPERLINK("http://www.youtube.com/channel/UCQjOVgcoZvC6-EK0xgankpQ")</f>
        <v>http://www.youtube.com/channel/UCQjOVgcoZvC6-EK0xgankpQ</v>
      </c>
      <c r="U474" s="81"/>
      <c r="V474" s="81" t="s">
        <v>2318</v>
      </c>
      <c r="W474" s="86" t="str">
        <f>HYPERLINK("https://www.youtube.com/watch?v=kIHMxfUtGmI")</f>
        <v>https://www.youtube.com/watch?v=kIHMxfUtGmI</v>
      </c>
      <c r="X474" s="81" t="s">
        <v>2335</v>
      </c>
      <c r="Y474" s="81">
        <v>1</v>
      </c>
      <c r="Z474" s="81" t="s">
        <v>2553</v>
      </c>
      <c r="AA474" s="81" t="s">
        <v>2553</v>
      </c>
      <c r="AB474" s="81"/>
      <c r="AC474" s="81"/>
      <c r="AD474" s="84" t="s">
        <v>2782</v>
      </c>
      <c r="AE474" s="82">
        <v>1</v>
      </c>
      <c r="AF474" s="83" t="str">
        <f>REPLACE(INDEX(GroupVertices[Group],MATCH(Edges[[#This Row],[Vertex 1]],GroupVertices[Vertex],0)),1,1,"")</f>
        <v>6</v>
      </c>
      <c r="AG474" s="83" t="str">
        <f>REPLACE(INDEX(GroupVertices[Group],MATCH(Edges[[#This Row],[Vertex 2]],GroupVertices[Vertex],0)),1,1,"")</f>
        <v>6</v>
      </c>
      <c r="AH474" s="111">
        <v>2</v>
      </c>
      <c r="AI474" s="112">
        <v>12.5</v>
      </c>
      <c r="AJ474" s="111">
        <v>0</v>
      </c>
      <c r="AK474" s="112">
        <v>0</v>
      </c>
      <c r="AL474" s="111">
        <v>0</v>
      </c>
      <c r="AM474" s="112">
        <v>0</v>
      </c>
      <c r="AN474" s="111">
        <v>14</v>
      </c>
      <c r="AO474" s="112">
        <v>87.5</v>
      </c>
      <c r="AP474" s="111">
        <v>16</v>
      </c>
    </row>
    <row r="475" spans="1:42" ht="15">
      <c r="A475" s="65" t="s">
        <v>563</v>
      </c>
      <c r="B475" s="65" t="s">
        <v>563</v>
      </c>
      <c r="C475" s="66" t="s">
        <v>5345</v>
      </c>
      <c r="D475" s="67">
        <v>3</v>
      </c>
      <c r="E475" s="68"/>
      <c r="F475" s="69">
        <v>40</v>
      </c>
      <c r="G475" s="66"/>
      <c r="H475" s="70"/>
      <c r="I475" s="71"/>
      <c r="J475" s="71"/>
      <c r="K475" s="35" t="s">
        <v>65</v>
      </c>
      <c r="L475" s="79">
        <v>475</v>
      </c>
      <c r="M475" s="79"/>
      <c r="N475" s="73"/>
      <c r="O475" s="81" t="s">
        <v>761</v>
      </c>
      <c r="P475" s="81" t="s">
        <v>763</v>
      </c>
      <c r="Q475" s="84" t="s">
        <v>1217</v>
      </c>
      <c r="R475" s="81" t="s">
        <v>563</v>
      </c>
      <c r="S475" s="81" t="s">
        <v>1892</v>
      </c>
      <c r="T475" s="86" t="str">
        <f>HYPERLINK("http://www.youtube.com/channel/UC64LMJKuGBKbltUKBvtTqPA")</f>
        <v>http://www.youtube.com/channel/UC64LMJKuGBKbltUKBvtTqPA</v>
      </c>
      <c r="U475" s="81" t="s">
        <v>2198</v>
      </c>
      <c r="V475" s="81" t="s">
        <v>2318</v>
      </c>
      <c r="W475" s="86" t="str">
        <f>HYPERLINK("https://www.youtube.com/watch?v=kIHMxfUtGmI")</f>
        <v>https://www.youtube.com/watch?v=kIHMxfUtGmI</v>
      </c>
      <c r="X475" s="81" t="s">
        <v>2335</v>
      </c>
      <c r="Y475" s="81">
        <v>0</v>
      </c>
      <c r="Z475" s="88">
        <v>44473.718518518515</v>
      </c>
      <c r="AA475" s="88">
        <v>44473.718518518515</v>
      </c>
      <c r="AB475" s="81"/>
      <c r="AC475" s="81"/>
      <c r="AD475" s="84" t="s">
        <v>2782</v>
      </c>
      <c r="AE475" s="82">
        <v>1</v>
      </c>
      <c r="AF475" s="83" t="str">
        <f>REPLACE(INDEX(GroupVertices[Group],MATCH(Edges[[#This Row],[Vertex 1]],GroupVertices[Vertex],0)),1,1,"")</f>
        <v>6</v>
      </c>
      <c r="AG475" s="83" t="str">
        <f>REPLACE(INDEX(GroupVertices[Group],MATCH(Edges[[#This Row],[Vertex 2]],GroupVertices[Vertex],0)),1,1,"")</f>
        <v>6</v>
      </c>
      <c r="AH475" s="111">
        <v>1</v>
      </c>
      <c r="AI475" s="112">
        <v>25</v>
      </c>
      <c r="AJ475" s="111">
        <v>0</v>
      </c>
      <c r="AK475" s="112">
        <v>0</v>
      </c>
      <c r="AL475" s="111">
        <v>0</v>
      </c>
      <c r="AM475" s="112">
        <v>0</v>
      </c>
      <c r="AN475" s="111">
        <v>3</v>
      </c>
      <c r="AO475" s="112">
        <v>75</v>
      </c>
      <c r="AP475" s="111">
        <v>4</v>
      </c>
    </row>
    <row r="476" spans="1:42" ht="15">
      <c r="A476" s="65" t="s">
        <v>563</v>
      </c>
      <c r="B476" s="65" t="s">
        <v>547</v>
      </c>
      <c r="C476" s="66" t="s">
        <v>5345</v>
      </c>
      <c r="D476" s="67">
        <v>3</v>
      </c>
      <c r="E476" s="68"/>
      <c r="F476" s="69">
        <v>40</v>
      </c>
      <c r="G476" s="66"/>
      <c r="H476" s="70"/>
      <c r="I476" s="71"/>
      <c r="J476" s="71"/>
      <c r="K476" s="35" t="s">
        <v>65</v>
      </c>
      <c r="L476" s="79">
        <v>476</v>
      </c>
      <c r="M476" s="79"/>
      <c r="N476" s="73"/>
      <c r="O476" s="81" t="s">
        <v>760</v>
      </c>
      <c r="P476" s="81" t="s">
        <v>215</v>
      </c>
      <c r="Q476" s="84" t="s">
        <v>1218</v>
      </c>
      <c r="R476" s="81" t="s">
        <v>563</v>
      </c>
      <c r="S476" s="81" t="s">
        <v>1892</v>
      </c>
      <c r="T476" s="86" t="str">
        <f>HYPERLINK("http://www.youtube.com/channel/UC64LMJKuGBKbltUKBvtTqPA")</f>
        <v>http://www.youtube.com/channel/UC64LMJKuGBKbltUKBvtTqPA</v>
      </c>
      <c r="U476" s="81"/>
      <c r="V476" s="81" t="s">
        <v>2318</v>
      </c>
      <c r="W476" s="86" t="str">
        <f>HYPERLINK("https://www.youtube.com/watch?v=kIHMxfUtGmI")</f>
        <v>https://www.youtube.com/watch?v=kIHMxfUtGmI</v>
      </c>
      <c r="X476" s="81" t="s">
        <v>2335</v>
      </c>
      <c r="Y476" s="81">
        <v>0</v>
      </c>
      <c r="Z476" s="88">
        <v>44473.713900462964</v>
      </c>
      <c r="AA476" s="88">
        <v>44473.713900462964</v>
      </c>
      <c r="AB476" s="81"/>
      <c r="AC476" s="81"/>
      <c r="AD476" s="84" t="s">
        <v>2782</v>
      </c>
      <c r="AE476" s="82">
        <v>1</v>
      </c>
      <c r="AF476" s="83" t="str">
        <f>REPLACE(INDEX(GroupVertices[Group],MATCH(Edges[[#This Row],[Vertex 1]],GroupVertices[Vertex],0)),1,1,"")</f>
        <v>6</v>
      </c>
      <c r="AG476" s="83" t="str">
        <f>REPLACE(INDEX(GroupVertices[Group],MATCH(Edges[[#This Row],[Vertex 2]],GroupVertices[Vertex],0)),1,1,"")</f>
        <v>6</v>
      </c>
      <c r="AH476" s="111">
        <v>1</v>
      </c>
      <c r="AI476" s="112">
        <v>25</v>
      </c>
      <c r="AJ476" s="111">
        <v>0</v>
      </c>
      <c r="AK476" s="112">
        <v>0</v>
      </c>
      <c r="AL476" s="111">
        <v>0</v>
      </c>
      <c r="AM476" s="112">
        <v>0</v>
      </c>
      <c r="AN476" s="111">
        <v>3</v>
      </c>
      <c r="AO476" s="112">
        <v>75</v>
      </c>
      <c r="AP476" s="111">
        <v>4</v>
      </c>
    </row>
    <row r="477" spans="1:42" ht="15">
      <c r="A477" s="65" t="s">
        <v>564</v>
      </c>
      <c r="B477" s="65" t="s">
        <v>547</v>
      </c>
      <c r="C477" s="66" t="s">
        <v>5345</v>
      </c>
      <c r="D477" s="67">
        <v>3</v>
      </c>
      <c r="E477" s="68"/>
      <c r="F477" s="69">
        <v>40</v>
      </c>
      <c r="G477" s="66"/>
      <c r="H477" s="70"/>
      <c r="I477" s="71"/>
      <c r="J477" s="71"/>
      <c r="K477" s="35" t="s">
        <v>65</v>
      </c>
      <c r="L477" s="79">
        <v>477</v>
      </c>
      <c r="M477" s="79"/>
      <c r="N477" s="73"/>
      <c r="O477" s="81" t="s">
        <v>760</v>
      </c>
      <c r="P477" s="81" t="s">
        <v>215</v>
      </c>
      <c r="Q477" s="84" t="s">
        <v>1219</v>
      </c>
      <c r="R477" s="81" t="s">
        <v>564</v>
      </c>
      <c r="S477" s="81" t="s">
        <v>1893</v>
      </c>
      <c r="T477" s="86" t="str">
        <f>HYPERLINK("http://www.youtube.com/channel/UC6nnQTTY1abLpeRJN9VvodA")</f>
        <v>http://www.youtube.com/channel/UC6nnQTTY1abLpeRJN9VvodA</v>
      </c>
      <c r="U477" s="81"/>
      <c r="V477" s="81" t="s">
        <v>2318</v>
      </c>
      <c r="W477" s="86" t="str">
        <f>HYPERLINK("https://www.youtube.com/watch?v=kIHMxfUtGmI")</f>
        <v>https://www.youtube.com/watch?v=kIHMxfUtGmI</v>
      </c>
      <c r="X477" s="81" t="s">
        <v>2335</v>
      </c>
      <c r="Y477" s="81">
        <v>0</v>
      </c>
      <c r="Z477" s="88">
        <v>44445.758206018516</v>
      </c>
      <c r="AA477" s="88">
        <v>44445.758206018516</v>
      </c>
      <c r="AB477" s="81"/>
      <c r="AC477" s="81"/>
      <c r="AD477" s="84" t="s">
        <v>2782</v>
      </c>
      <c r="AE477" s="82">
        <v>1</v>
      </c>
      <c r="AF477" s="83" t="str">
        <f>REPLACE(INDEX(GroupVertices[Group],MATCH(Edges[[#This Row],[Vertex 1]],GroupVertices[Vertex],0)),1,1,"")</f>
        <v>6</v>
      </c>
      <c r="AG477" s="83" t="str">
        <f>REPLACE(INDEX(GroupVertices[Group],MATCH(Edges[[#This Row],[Vertex 2]],GroupVertices[Vertex],0)),1,1,"")</f>
        <v>6</v>
      </c>
      <c r="AH477" s="111">
        <v>2</v>
      </c>
      <c r="AI477" s="112">
        <v>11.11111111111111</v>
      </c>
      <c r="AJ477" s="111">
        <v>0</v>
      </c>
      <c r="AK477" s="112">
        <v>0</v>
      </c>
      <c r="AL477" s="111">
        <v>0</v>
      </c>
      <c r="AM477" s="112">
        <v>0</v>
      </c>
      <c r="AN477" s="111">
        <v>16</v>
      </c>
      <c r="AO477" s="112">
        <v>88.88888888888889</v>
      </c>
      <c r="AP477" s="111">
        <v>18</v>
      </c>
    </row>
    <row r="478" spans="1:42" ht="15">
      <c r="A478" s="65" t="s">
        <v>565</v>
      </c>
      <c r="B478" s="65" t="s">
        <v>547</v>
      </c>
      <c r="C478" s="66" t="s">
        <v>5345</v>
      </c>
      <c r="D478" s="67">
        <v>3</v>
      </c>
      <c r="E478" s="68"/>
      <c r="F478" s="69">
        <v>40</v>
      </c>
      <c r="G478" s="66"/>
      <c r="H478" s="70"/>
      <c r="I478" s="71"/>
      <c r="J478" s="71"/>
      <c r="K478" s="35" t="s">
        <v>65</v>
      </c>
      <c r="L478" s="79">
        <v>478</v>
      </c>
      <c r="M478" s="79"/>
      <c r="N478" s="73"/>
      <c r="O478" s="81" t="s">
        <v>760</v>
      </c>
      <c r="P478" s="81" t="s">
        <v>215</v>
      </c>
      <c r="Q478" s="84" t="s">
        <v>1220</v>
      </c>
      <c r="R478" s="81" t="s">
        <v>565</v>
      </c>
      <c r="S478" s="81" t="s">
        <v>1894</v>
      </c>
      <c r="T478" s="86" t="str">
        <f>HYPERLINK("http://www.youtube.com/channel/UClkFIeTulL4elxNZ41mOtFw")</f>
        <v>http://www.youtube.com/channel/UClkFIeTulL4elxNZ41mOtFw</v>
      </c>
      <c r="U478" s="81"/>
      <c r="V478" s="81" t="s">
        <v>2318</v>
      </c>
      <c r="W478" s="86" t="str">
        <f>HYPERLINK("https://www.youtube.com/watch?v=kIHMxfUtGmI")</f>
        <v>https://www.youtube.com/watch?v=kIHMxfUtGmI</v>
      </c>
      <c r="X478" s="81" t="s">
        <v>2335</v>
      </c>
      <c r="Y478" s="81">
        <v>0</v>
      </c>
      <c r="Z478" s="81" t="s">
        <v>2554</v>
      </c>
      <c r="AA478" s="81" t="s">
        <v>2753</v>
      </c>
      <c r="AB478" s="81" t="s">
        <v>2764</v>
      </c>
      <c r="AC478" s="81" t="s">
        <v>2775</v>
      </c>
      <c r="AD478" s="84" t="s">
        <v>2782</v>
      </c>
      <c r="AE478" s="82">
        <v>1</v>
      </c>
      <c r="AF478" s="83" t="str">
        <f>REPLACE(INDEX(GroupVertices[Group],MATCH(Edges[[#This Row],[Vertex 1]],GroupVertices[Vertex],0)),1,1,"")</f>
        <v>6</v>
      </c>
      <c r="AG478" s="83" t="str">
        <f>REPLACE(INDEX(GroupVertices[Group],MATCH(Edges[[#This Row],[Vertex 2]],GroupVertices[Vertex],0)),1,1,"")</f>
        <v>6</v>
      </c>
      <c r="AH478" s="111">
        <v>0</v>
      </c>
      <c r="AI478" s="112">
        <v>0</v>
      </c>
      <c r="AJ478" s="111">
        <v>0</v>
      </c>
      <c r="AK478" s="112">
        <v>0</v>
      </c>
      <c r="AL478" s="111">
        <v>0</v>
      </c>
      <c r="AM478" s="112">
        <v>0</v>
      </c>
      <c r="AN478" s="111">
        <v>19</v>
      </c>
      <c r="AO478" s="112">
        <v>100</v>
      </c>
      <c r="AP478" s="111">
        <v>19</v>
      </c>
    </row>
    <row r="479" spans="1:42" ht="15">
      <c r="A479" s="65" t="s">
        <v>566</v>
      </c>
      <c r="B479" s="65" t="s">
        <v>547</v>
      </c>
      <c r="C479" s="66" t="s">
        <v>5346</v>
      </c>
      <c r="D479" s="67">
        <v>10</v>
      </c>
      <c r="E479" s="68"/>
      <c r="F479" s="69">
        <v>15</v>
      </c>
      <c r="G479" s="66"/>
      <c r="H479" s="70"/>
      <c r="I479" s="71"/>
      <c r="J479" s="71"/>
      <c r="K479" s="35" t="s">
        <v>65</v>
      </c>
      <c r="L479" s="79">
        <v>479</v>
      </c>
      <c r="M479" s="79"/>
      <c r="N479" s="73"/>
      <c r="O479" s="81" t="s">
        <v>760</v>
      </c>
      <c r="P479" s="81" t="s">
        <v>215</v>
      </c>
      <c r="Q479" s="84" t="s">
        <v>1221</v>
      </c>
      <c r="R479" s="81" t="s">
        <v>566</v>
      </c>
      <c r="S479" s="81" t="s">
        <v>1895</v>
      </c>
      <c r="T479" s="86" t="str">
        <f>HYPERLINK("http://www.youtube.com/channel/UCAlFuhgD5n4M33Y8Im4K0ww")</f>
        <v>http://www.youtube.com/channel/UCAlFuhgD5n4M33Y8Im4K0ww</v>
      </c>
      <c r="U479" s="81"/>
      <c r="V479" s="81" t="s">
        <v>2318</v>
      </c>
      <c r="W479" s="86" t="str">
        <f>HYPERLINK("https://www.youtube.com/watch?v=kIHMxfUtGmI")</f>
        <v>https://www.youtube.com/watch?v=kIHMxfUtGmI</v>
      </c>
      <c r="X479" s="81" t="s">
        <v>2335</v>
      </c>
      <c r="Y479" s="81">
        <v>0</v>
      </c>
      <c r="Z479" s="81" t="s">
        <v>2555</v>
      </c>
      <c r="AA479" s="81" t="s">
        <v>2555</v>
      </c>
      <c r="AB479" s="81"/>
      <c r="AC479" s="81"/>
      <c r="AD479" s="84" t="s">
        <v>2782</v>
      </c>
      <c r="AE479" s="82">
        <v>2</v>
      </c>
      <c r="AF479" s="83" t="str">
        <f>REPLACE(INDEX(GroupVertices[Group],MATCH(Edges[[#This Row],[Vertex 1]],GroupVertices[Vertex],0)),1,1,"")</f>
        <v>6</v>
      </c>
      <c r="AG479" s="83" t="str">
        <f>REPLACE(INDEX(GroupVertices[Group],MATCH(Edges[[#This Row],[Vertex 2]],GroupVertices[Vertex],0)),1,1,"")</f>
        <v>6</v>
      </c>
      <c r="AH479" s="111">
        <v>3</v>
      </c>
      <c r="AI479" s="112">
        <v>6.382978723404255</v>
      </c>
      <c r="AJ479" s="111">
        <v>0</v>
      </c>
      <c r="AK479" s="112">
        <v>0</v>
      </c>
      <c r="AL479" s="111">
        <v>0</v>
      </c>
      <c r="AM479" s="112">
        <v>0</v>
      </c>
      <c r="AN479" s="111">
        <v>44</v>
      </c>
      <c r="AO479" s="112">
        <v>93.61702127659575</v>
      </c>
      <c r="AP479" s="111">
        <v>47</v>
      </c>
    </row>
    <row r="480" spans="1:42" ht="15">
      <c r="A480" s="65" t="s">
        <v>566</v>
      </c>
      <c r="B480" s="65" t="s">
        <v>547</v>
      </c>
      <c r="C480" s="66" t="s">
        <v>5346</v>
      </c>
      <c r="D480" s="67">
        <v>10</v>
      </c>
      <c r="E480" s="68"/>
      <c r="F480" s="69">
        <v>15</v>
      </c>
      <c r="G480" s="66"/>
      <c r="H480" s="70"/>
      <c r="I480" s="71"/>
      <c r="J480" s="71"/>
      <c r="K480" s="35" t="s">
        <v>65</v>
      </c>
      <c r="L480" s="79">
        <v>480</v>
      </c>
      <c r="M480" s="79"/>
      <c r="N480" s="73"/>
      <c r="O480" s="81" t="s">
        <v>761</v>
      </c>
      <c r="P480" s="81" t="s">
        <v>763</v>
      </c>
      <c r="Q480" s="84" t="s">
        <v>1222</v>
      </c>
      <c r="R480" s="81" t="s">
        <v>566</v>
      </c>
      <c r="S480" s="81" t="s">
        <v>1895</v>
      </c>
      <c r="T480" s="86" t="str">
        <f>HYPERLINK("http://www.youtube.com/channel/UCAlFuhgD5n4M33Y8Im4K0ww")</f>
        <v>http://www.youtube.com/channel/UCAlFuhgD5n4M33Y8Im4K0ww</v>
      </c>
      <c r="U480" s="81" t="s">
        <v>2199</v>
      </c>
      <c r="V480" s="81" t="s">
        <v>2318</v>
      </c>
      <c r="W480" s="86" t="str">
        <f>HYPERLINK("https://www.youtube.com/watch?v=kIHMxfUtGmI")</f>
        <v>https://www.youtube.com/watch?v=kIHMxfUtGmI</v>
      </c>
      <c r="X480" s="81" t="s">
        <v>2335</v>
      </c>
      <c r="Y480" s="81">
        <v>0</v>
      </c>
      <c r="Z480" s="81" t="s">
        <v>2556</v>
      </c>
      <c r="AA480" s="81" t="s">
        <v>2556</v>
      </c>
      <c r="AB480" s="81"/>
      <c r="AC480" s="81"/>
      <c r="AD480" s="84" t="s">
        <v>2782</v>
      </c>
      <c r="AE480" s="82">
        <v>2</v>
      </c>
      <c r="AF480" s="83" t="str">
        <f>REPLACE(INDEX(GroupVertices[Group],MATCH(Edges[[#This Row],[Vertex 1]],GroupVertices[Vertex],0)),1,1,"")</f>
        <v>6</v>
      </c>
      <c r="AG480" s="83" t="str">
        <f>REPLACE(INDEX(GroupVertices[Group],MATCH(Edges[[#This Row],[Vertex 2]],GroupVertices[Vertex],0)),1,1,"")</f>
        <v>6</v>
      </c>
      <c r="AH480" s="111">
        <v>0</v>
      </c>
      <c r="AI480" s="112">
        <v>0</v>
      </c>
      <c r="AJ480" s="111">
        <v>0</v>
      </c>
      <c r="AK480" s="112">
        <v>0</v>
      </c>
      <c r="AL480" s="111">
        <v>0</v>
      </c>
      <c r="AM480" s="112">
        <v>0</v>
      </c>
      <c r="AN480" s="111">
        <v>2</v>
      </c>
      <c r="AO480" s="112">
        <v>100</v>
      </c>
      <c r="AP480" s="111">
        <v>2</v>
      </c>
    </row>
    <row r="481" spans="1:42" ht="15">
      <c r="A481" s="65" t="s">
        <v>567</v>
      </c>
      <c r="B481" s="65" t="s">
        <v>547</v>
      </c>
      <c r="C481" s="66" t="s">
        <v>5345</v>
      </c>
      <c r="D481" s="67">
        <v>3</v>
      </c>
      <c r="E481" s="68"/>
      <c r="F481" s="69">
        <v>40</v>
      </c>
      <c r="G481" s="66"/>
      <c r="H481" s="70"/>
      <c r="I481" s="71"/>
      <c r="J481" s="71"/>
      <c r="K481" s="35" t="s">
        <v>65</v>
      </c>
      <c r="L481" s="79">
        <v>481</v>
      </c>
      <c r="M481" s="79"/>
      <c r="N481" s="73"/>
      <c r="O481" s="81" t="s">
        <v>761</v>
      </c>
      <c r="P481" s="81" t="s">
        <v>763</v>
      </c>
      <c r="Q481" s="84" t="s">
        <v>1223</v>
      </c>
      <c r="R481" s="81" t="s">
        <v>567</v>
      </c>
      <c r="S481" s="81" t="s">
        <v>1896</v>
      </c>
      <c r="T481" s="86" t="str">
        <f>HYPERLINK("http://www.youtube.com/channel/UCc7JKptikbvO72PtnoqIKNA")</f>
        <v>http://www.youtube.com/channel/UCc7JKptikbvO72PtnoqIKNA</v>
      </c>
      <c r="U481" s="81" t="s">
        <v>2199</v>
      </c>
      <c r="V481" s="81" t="s">
        <v>2318</v>
      </c>
      <c r="W481" s="86" t="str">
        <f>HYPERLINK("https://www.youtube.com/watch?v=kIHMxfUtGmI")</f>
        <v>https://www.youtube.com/watch?v=kIHMxfUtGmI</v>
      </c>
      <c r="X481" s="81" t="s">
        <v>2335</v>
      </c>
      <c r="Y481" s="81">
        <v>0</v>
      </c>
      <c r="Z481" s="81" t="s">
        <v>2557</v>
      </c>
      <c r="AA481" s="81" t="s">
        <v>2557</v>
      </c>
      <c r="AB481" s="81"/>
      <c r="AC481" s="81"/>
      <c r="AD481" s="84" t="s">
        <v>2782</v>
      </c>
      <c r="AE481" s="82">
        <v>1</v>
      </c>
      <c r="AF481" s="83" t="str">
        <f>REPLACE(INDEX(GroupVertices[Group],MATCH(Edges[[#This Row],[Vertex 1]],GroupVertices[Vertex],0)),1,1,"")</f>
        <v>6</v>
      </c>
      <c r="AG481" s="83" t="str">
        <f>REPLACE(INDEX(GroupVertices[Group],MATCH(Edges[[#This Row],[Vertex 2]],GroupVertices[Vertex],0)),1,1,"")</f>
        <v>6</v>
      </c>
      <c r="AH481" s="111">
        <v>1</v>
      </c>
      <c r="AI481" s="112">
        <v>11.11111111111111</v>
      </c>
      <c r="AJ481" s="111">
        <v>1</v>
      </c>
      <c r="AK481" s="112">
        <v>11.11111111111111</v>
      </c>
      <c r="AL481" s="111">
        <v>0</v>
      </c>
      <c r="AM481" s="112">
        <v>0</v>
      </c>
      <c r="AN481" s="111">
        <v>7</v>
      </c>
      <c r="AO481" s="112">
        <v>77.77777777777777</v>
      </c>
      <c r="AP481" s="111">
        <v>9</v>
      </c>
    </row>
    <row r="482" spans="1:42" ht="15">
      <c r="A482" s="65" t="s">
        <v>287</v>
      </c>
      <c r="B482" s="65" t="s">
        <v>569</v>
      </c>
      <c r="C482" s="66" t="s">
        <v>5346</v>
      </c>
      <c r="D482" s="67">
        <v>10</v>
      </c>
      <c r="E482" s="68"/>
      <c r="F482" s="69">
        <v>15</v>
      </c>
      <c r="G482" s="66"/>
      <c r="H482" s="70"/>
      <c r="I482" s="71"/>
      <c r="J482" s="71"/>
      <c r="K482" s="35" t="s">
        <v>66</v>
      </c>
      <c r="L482" s="79">
        <v>482</v>
      </c>
      <c r="M482" s="79"/>
      <c r="N482" s="73"/>
      <c r="O482" s="81" t="s">
        <v>761</v>
      </c>
      <c r="P482" s="81" t="s">
        <v>763</v>
      </c>
      <c r="Q482" s="84" t="s">
        <v>1224</v>
      </c>
      <c r="R482" s="81" t="s">
        <v>287</v>
      </c>
      <c r="S482" s="81" t="s">
        <v>1616</v>
      </c>
      <c r="T482" s="86" t="str">
        <f>HYPERLINK("http://www.youtube.com/channel/UCbUhO-tut97b5IQhZ3i7TMA")</f>
        <v>http://www.youtube.com/channel/UCbUhO-tut97b5IQhZ3i7TMA</v>
      </c>
      <c r="U482" s="81" t="s">
        <v>2200</v>
      </c>
      <c r="V482" s="81" t="s">
        <v>2319</v>
      </c>
      <c r="W482" s="86" t="str">
        <f>HYPERLINK("https://www.youtube.com/watch?v=7aRMkFHzJrc")</f>
        <v>https://www.youtube.com/watch?v=7aRMkFHzJrc</v>
      </c>
      <c r="X482" s="81" t="s">
        <v>2335</v>
      </c>
      <c r="Y482" s="81">
        <v>0</v>
      </c>
      <c r="Z482" s="88">
        <v>43137.40729166667</v>
      </c>
      <c r="AA482" s="88">
        <v>43137.40729166667</v>
      </c>
      <c r="AB482" s="81"/>
      <c r="AC482" s="81"/>
      <c r="AD482" s="84" t="s">
        <v>2782</v>
      </c>
      <c r="AE482" s="82">
        <v>2</v>
      </c>
      <c r="AF482" s="83" t="str">
        <f>REPLACE(INDEX(GroupVertices[Group],MATCH(Edges[[#This Row],[Vertex 1]],GroupVertices[Vertex],0)),1,1,"")</f>
        <v>1</v>
      </c>
      <c r="AG482" s="83" t="str">
        <f>REPLACE(INDEX(GroupVertices[Group],MATCH(Edges[[#This Row],[Vertex 2]],GroupVertices[Vertex],0)),1,1,"")</f>
        <v>1</v>
      </c>
      <c r="AH482" s="111">
        <v>0</v>
      </c>
      <c r="AI482" s="112">
        <v>0</v>
      </c>
      <c r="AJ482" s="111">
        <v>1</v>
      </c>
      <c r="AK482" s="112">
        <v>7.142857142857143</v>
      </c>
      <c r="AL482" s="111">
        <v>0</v>
      </c>
      <c r="AM482" s="112">
        <v>0</v>
      </c>
      <c r="AN482" s="111">
        <v>13</v>
      </c>
      <c r="AO482" s="112">
        <v>92.85714285714286</v>
      </c>
      <c r="AP482" s="111">
        <v>14</v>
      </c>
    </row>
    <row r="483" spans="1:42" ht="15">
      <c r="A483" s="65" t="s">
        <v>568</v>
      </c>
      <c r="B483" s="65" t="s">
        <v>569</v>
      </c>
      <c r="C483" s="66" t="s">
        <v>5346</v>
      </c>
      <c r="D483" s="67">
        <v>10</v>
      </c>
      <c r="E483" s="68"/>
      <c r="F483" s="69">
        <v>15</v>
      </c>
      <c r="G483" s="66"/>
      <c r="H483" s="70"/>
      <c r="I483" s="71"/>
      <c r="J483" s="71"/>
      <c r="K483" s="35" t="s">
        <v>65</v>
      </c>
      <c r="L483" s="79">
        <v>483</v>
      </c>
      <c r="M483" s="79"/>
      <c r="N483" s="73"/>
      <c r="O483" s="81" t="s">
        <v>761</v>
      </c>
      <c r="P483" s="81" t="s">
        <v>763</v>
      </c>
      <c r="Q483" s="84" t="s">
        <v>1225</v>
      </c>
      <c r="R483" s="81" t="s">
        <v>568</v>
      </c>
      <c r="S483" s="81" t="s">
        <v>1897</v>
      </c>
      <c r="T483" s="86" t="str">
        <f>HYPERLINK("http://www.youtube.com/channel/UC2baYwyZp8GSx7Ib5g17mDg")</f>
        <v>http://www.youtube.com/channel/UC2baYwyZp8GSx7Ib5g17mDg</v>
      </c>
      <c r="U483" s="81" t="s">
        <v>2200</v>
      </c>
      <c r="V483" s="81" t="s">
        <v>2319</v>
      </c>
      <c r="W483" s="86" t="str">
        <f>HYPERLINK("https://www.youtube.com/watch?v=7aRMkFHzJrc")</f>
        <v>https://www.youtube.com/watch?v=7aRMkFHzJrc</v>
      </c>
      <c r="X483" s="81" t="s">
        <v>2335</v>
      </c>
      <c r="Y483" s="81">
        <v>0</v>
      </c>
      <c r="Z483" s="88">
        <v>43137.40861111111</v>
      </c>
      <c r="AA483" s="88">
        <v>43137.40861111111</v>
      </c>
      <c r="AB483" s="81"/>
      <c r="AC483" s="81"/>
      <c r="AD483" s="84" t="s">
        <v>2782</v>
      </c>
      <c r="AE483" s="82">
        <v>2</v>
      </c>
      <c r="AF483" s="83" t="str">
        <f>REPLACE(INDEX(GroupVertices[Group],MATCH(Edges[[#This Row],[Vertex 1]],GroupVertices[Vertex],0)),1,1,"")</f>
        <v>1</v>
      </c>
      <c r="AG483" s="83" t="str">
        <f>REPLACE(INDEX(GroupVertices[Group],MATCH(Edges[[#This Row],[Vertex 2]],GroupVertices[Vertex],0)),1,1,"")</f>
        <v>1</v>
      </c>
      <c r="AH483" s="111">
        <v>0</v>
      </c>
      <c r="AI483" s="112">
        <v>0</v>
      </c>
      <c r="AJ483" s="111">
        <v>0</v>
      </c>
      <c r="AK483" s="112">
        <v>0</v>
      </c>
      <c r="AL483" s="111">
        <v>0</v>
      </c>
      <c r="AM483" s="112">
        <v>0</v>
      </c>
      <c r="AN483" s="111">
        <v>6</v>
      </c>
      <c r="AO483" s="112">
        <v>100</v>
      </c>
      <c r="AP483" s="111">
        <v>6</v>
      </c>
    </row>
    <row r="484" spans="1:42" ht="15">
      <c r="A484" s="65" t="s">
        <v>287</v>
      </c>
      <c r="B484" s="65" t="s">
        <v>569</v>
      </c>
      <c r="C484" s="66" t="s">
        <v>5346</v>
      </c>
      <c r="D484" s="67">
        <v>10</v>
      </c>
      <c r="E484" s="68"/>
      <c r="F484" s="69">
        <v>15</v>
      </c>
      <c r="G484" s="66"/>
      <c r="H484" s="70"/>
      <c r="I484" s="71"/>
      <c r="J484" s="71"/>
      <c r="K484" s="35" t="s">
        <v>66</v>
      </c>
      <c r="L484" s="79">
        <v>484</v>
      </c>
      <c r="M484" s="79"/>
      <c r="N484" s="73"/>
      <c r="O484" s="81" t="s">
        <v>761</v>
      </c>
      <c r="P484" s="81" t="s">
        <v>763</v>
      </c>
      <c r="Q484" s="84" t="s">
        <v>1226</v>
      </c>
      <c r="R484" s="81" t="s">
        <v>287</v>
      </c>
      <c r="S484" s="81" t="s">
        <v>1616</v>
      </c>
      <c r="T484" s="86" t="str">
        <f>HYPERLINK("http://www.youtube.com/channel/UCbUhO-tut97b5IQhZ3i7TMA")</f>
        <v>http://www.youtube.com/channel/UCbUhO-tut97b5IQhZ3i7TMA</v>
      </c>
      <c r="U484" s="81" t="s">
        <v>2200</v>
      </c>
      <c r="V484" s="81" t="s">
        <v>2319</v>
      </c>
      <c r="W484" s="86" t="str">
        <f>HYPERLINK("https://www.youtube.com/watch?v=7aRMkFHzJrc")</f>
        <v>https://www.youtube.com/watch?v=7aRMkFHzJrc</v>
      </c>
      <c r="X484" s="81" t="s">
        <v>2335</v>
      </c>
      <c r="Y484" s="81">
        <v>0</v>
      </c>
      <c r="Z484" s="88">
        <v>43137.41106481481</v>
      </c>
      <c r="AA484" s="88">
        <v>43137.41106481481</v>
      </c>
      <c r="AB484" s="81"/>
      <c r="AC484" s="81"/>
      <c r="AD484" s="84" t="s">
        <v>2782</v>
      </c>
      <c r="AE484" s="82">
        <v>2</v>
      </c>
      <c r="AF484" s="83" t="str">
        <f>REPLACE(INDEX(GroupVertices[Group],MATCH(Edges[[#This Row],[Vertex 1]],GroupVertices[Vertex],0)),1,1,"")</f>
        <v>1</v>
      </c>
      <c r="AG484" s="83" t="str">
        <f>REPLACE(INDEX(GroupVertices[Group],MATCH(Edges[[#This Row],[Vertex 2]],GroupVertices[Vertex],0)),1,1,"")</f>
        <v>1</v>
      </c>
      <c r="AH484" s="111">
        <v>0</v>
      </c>
      <c r="AI484" s="112">
        <v>0</v>
      </c>
      <c r="AJ484" s="111">
        <v>0</v>
      </c>
      <c r="AK484" s="112">
        <v>0</v>
      </c>
      <c r="AL484" s="111">
        <v>0</v>
      </c>
      <c r="AM484" s="112">
        <v>0</v>
      </c>
      <c r="AN484" s="111">
        <v>3</v>
      </c>
      <c r="AO484" s="112">
        <v>100</v>
      </c>
      <c r="AP484" s="111">
        <v>3</v>
      </c>
    </row>
    <row r="485" spans="1:42" ht="15">
      <c r="A485" s="65" t="s">
        <v>568</v>
      </c>
      <c r="B485" s="65" t="s">
        <v>569</v>
      </c>
      <c r="C485" s="66" t="s">
        <v>5346</v>
      </c>
      <c r="D485" s="67">
        <v>10</v>
      </c>
      <c r="E485" s="68"/>
      <c r="F485" s="69">
        <v>15</v>
      </c>
      <c r="G485" s="66"/>
      <c r="H485" s="70"/>
      <c r="I485" s="71"/>
      <c r="J485" s="71"/>
      <c r="K485" s="35" t="s">
        <v>65</v>
      </c>
      <c r="L485" s="79">
        <v>485</v>
      </c>
      <c r="M485" s="79"/>
      <c r="N485" s="73"/>
      <c r="O485" s="81" t="s">
        <v>761</v>
      </c>
      <c r="P485" s="81" t="s">
        <v>763</v>
      </c>
      <c r="Q485" s="84" t="s">
        <v>1227</v>
      </c>
      <c r="R485" s="81" t="s">
        <v>568</v>
      </c>
      <c r="S485" s="81" t="s">
        <v>1897</v>
      </c>
      <c r="T485" s="86" t="str">
        <f>HYPERLINK("http://www.youtube.com/channel/UC2baYwyZp8GSx7Ib5g17mDg")</f>
        <v>http://www.youtube.com/channel/UC2baYwyZp8GSx7Ib5g17mDg</v>
      </c>
      <c r="U485" s="81" t="s">
        <v>2200</v>
      </c>
      <c r="V485" s="81" t="s">
        <v>2319</v>
      </c>
      <c r="W485" s="86" t="str">
        <f>HYPERLINK("https://www.youtube.com/watch?v=7aRMkFHzJrc")</f>
        <v>https://www.youtube.com/watch?v=7aRMkFHzJrc</v>
      </c>
      <c r="X485" s="81" t="s">
        <v>2335</v>
      </c>
      <c r="Y485" s="81">
        <v>0</v>
      </c>
      <c r="Z485" s="88">
        <v>43137.41369212963</v>
      </c>
      <c r="AA485" s="88">
        <v>43137.41369212963</v>
      </c>
      <c r="AB485" s="81"/>
      <c r="AC485" s="81"/>
      <c r="AD485" s="84" t="s">
        <v>2782</v>
      </c>
      <c r="AE485" s="82">
        <v>2</v>
      </c>
      <c r="AF485" s="83" t="str">
        <f>REPLACE(INDEX(GroupVertices[Group],MATCH(Edges[[#This Row],[Vertex 1]],GroupVertices[Vertex],0)),1,1,"")</f>
        <v>1</v>
      </c>
      <c r="AG485" s="83" t="str">
        <f>REPLACE(INDEX(GroupVertices[Group],MATCH(Edges[[#This Row],[Vertex 2]],GroupVertices[Vertex],0)),1,1,"")</f>
        <v>1</v>
      </c>
      <c r="AH485" s="111">
        <v>2</v>
      </c>
      <c r="AI485" s="112">
        <v>16.666666666666668</v>
      </c>
      <c r="AJ485" s="111">
        <v>0</v>
      </c>
      <c r="AK485" s="112">
        <v>0</v>
      </c>
      <c r="AL485" s="111">
        <v>0</v>
      </c>
      <c r="AM485" s="112">
        <v>0</v>
      </c>
      <c r="AN485" s="111">
        <v>10</v>
      </c>
      <c r="AO485" s="112">
        <v>83.33333333333333</v>
      </c>
      <c r="AP485" s="111">
        <v>12</v>
      </c>
    </row>
    <row r="486" spans="1:42" ht="15">
      <c r="A486" s="65" t="s">
        <v>569</v>
      </c>
      <c r="B486" s="65" t="s">
        <v>569</v>
      </c>
      <c r="C486" s="66" t="s">
        <v>5345</v>
      </c>
      <c r="D486" s="67">
        <v>3</v>
      </c>
      <c r="E486" s="68"/>
      <c r="F486" s="69">
        <v>40</v>
      </c>
      <c r="G486" s="66"/>
      <c r="H486" s="70"/>
      <c r="I486" s="71"/>
      <c r="J486" s="71"/>
      <c r="K486" s="35" t="s">
        <v>65</v>
      </c>
      <c r="L486" s="79">
        <v>486</v>
      </c>
      <c r="M486" s="79"/>
      <c r="N486" s="73"/>
      <c r="O486" s="81" t="s">
        <v>761</v>
      </c>
      <c r="P486" s="81" t="s">
        <v>763</v>
      </c>
      <c r="Q486" s="84" t="s">
        <v>1228</v>
      </c>
      <c r="R486" s="81" t="s">
        <v>569</v>
      </c>
      <c r="S486" s="81" t="s">
        <v>1898</v>
      </c>
      <c r="T486" s="86" t="str">
        <f>HYPERLINK("http://www.youtube.com/channel/UC6ubianhK30BlEa-EP8dwjQ")</f>
        <v>http://www.youtube.com/channel/UC6ubianhK30BlEa-EP8dwjQ</v>
      </c>
      <c r="U486" s="81" t="s">
        <v>2200</v>
      </c>
      <c r="V486" s="81" t="s">
        <v>2319</v>
      </c>
      <c r="W486" s="86" t="str">
        <f>HYPERLINK("https://www.youtube.com/watch?v=7aRMkFHzJrc")</f>
        <v>https://www.youtube.com/watch?v=7aRMkFHzJrc</v>
      </c>
      <c r="X486" s="81" t="s">
        <v>2335</v>
      </c>
      <c r="Y486" s="81">
        <v>0</v>
      </c>
      <c r="Z486" s="88">
        <v>43137.4137962963</v>
      </c>
      <c r="AA486" s="88">
        <v>43137.4137962963</v>
      </c>
      <c r="AB486" s="81"/>
      <c r="AC486" s="81"/>
      <c r="AD486" s="84" t="s">
        <v>2782</v>
      </c>
      <c r="AE486" s="82">
        <v>1</v>
      </c>
      <c r="AF486" s="83" t="str">
        <f>REPLACE(INDEX(GroupVertices[Group],MATCH(Edges[[#This Row],[Vertex 1]],GroupVertices[Vertex],0)),1,1,"")</f>
        <v>1</v>
      </c>
      <c r="AG486" s="83" t="str">
        <f>REPLACE(INDEX(GroupVertices[Group],MATCH(Edges[[#This Row],[Vertex 2]],GroupVertices[Vertex],0)),1,1,"")</f>
        <v>1</v>
      </c>
      <c r="AH486" s="111">
        <v>2</v>
      </c>
      <c r="AI486" s="112">
        <v>4.651162790697675</v>
      </c>
      <c r="AJ486" s="111">
        <v>1</v>
      </c>
      <c r="AK486" s="112">
        <v>2.3255813953488373</v>
      </c>
      <c r="AL486" s="111">
        <v>0</v>
      </c>
      <c r="AM486" s="112">
        <v>0</v>
      </c>
      <c r="AN486" s="111">
        <v>40</v>
      </c>
      <c r="AO486" s="112">
        <v>93.02325581395348</v>
      </c>
      <c r="AP486" s="111">
        <v>43</v>
      </c>
    </row>
    <row r="487" spans="1:42" ht="15">
      <c r="A487" s="65" t="s">
        <v>569</v>
      </c>
      <c r="B487" s="65" t="s">
        <v>287</v>
      </c>
      <c r="C487" s="66" t="s">
        <v>5345</v>
      </c>
      <c r="D487" s="67">
        <v>3</v>
      </c>
      <c r="E487" s="68"/>
      <c r="F487" s="69">
        <v>40</v>
      </c>
      <c r="G487" s="66"/>
      <c r="H487" s="70"/>
      <c r="I487" s="71"/>
      <c r="J487" s="71"/>
      <c r="K487" s="35" t="s">
        <v>66</v>
      </c>
      <c r="L487" s="79">
        <v>487</v>
      </c>
      <c r="M487" s="79"/>
      <c r="N487" s="73"/>
      <c r="O487" s="81" t="s">
        <v>760</v>
      </c>
      <c r="P487" s="81" t="s">
        <v>215</v>
      </c>
      <c r="Q487" s="84" t="s">
        <v>1229</v>
      </c>
      <c r="R487" s="81" t="s">
        <v>569</v>
      </c>
      <c r="S487" s="81" t="s">
        <v>1898</v>
      </c>
      <c r="T487" s="86" t="str">
        <f>HYPERLINK("http://www.youtube.com/channel/UC6ubianhK30BlEa-EP8dwjQ")</f>
        <v>http://www.youtube.com/channel/UC6ubianhK30BlEa-EP8dwjQ</v>
      </c>
      <c r="U487" s="81"/>
      <c r="V487" s="81" t="s">
        <v>2319</v>
      </c>
      <c r="W487" s="86" t="str">
        <f>HYPERLINK("https://www.youtube.com/watch?v=7aRMkFHzJrc")</f>
        <v>https://www.youtube.com/watch?v=7aRMkFHzJrc</v>
      </c>
      <c r="X487" s="81" t="s">
        <v>2335</v>
      </c>
      <c r="Y487" s="81">
        <v>0</v>
      </c>
      <c r="Z487" s="88">
        <v>43137.3984837963</v>
      </c>
      <c r="AA487" s="88">
        <v>43137.3984837963</v>
      </c>
      <c r="AB487" s="81"/>
      <c r="AC487" s="81"/>
      <c r="AD487" s="84" t="s">
        <v>2782</v>
      </c>
      <c r="AE487" s="82">
        <v>1</v>
      </c>
      <c r="AF487" s="83" t="str">
        <f>REPLACE(INDEX(GroupVertices[Group],MATCH(Edges[[#This Row],[Vertex 1]],GroupVertices[Vertex],0)),1,1,"")</f>
        <v>1</v>
      </c>
      <c r="AG487" s="83" t="str">
        <f>REPLACE(INDEX(GroupVertices[Group],MATCH(Edges[[#This Row],[Vertex 2]],GroupVertices[Vertex],0)),1,1,"")</f>
        <v>1</v>
      </c>
      <c r="AH487" s="111">
        <v>2</v>
      </c>
      <c r="AI487" s="112">
        <v>4.761904761904762</v>
      </c>
      <c r="AJ487" s="111">
        <v>1</v>
      </c>
      <c r="AK487" s="112">
        <v>2.380952380952381</v>
      </c>
      <c r="AL487" s="111">
        <v>0</v>
      </c>
      <c r="AM487" s="112">
        <v>0</v>
      </c>
      <c r="AN487" s="111">
        <v>39</v>
      </c>
      <c r="AO487" s="112">
        <v>92.85714285714286</v>
      </c>
      <c r="AP487" s="111">
        <v>42</v>
      </c>
    </row>
    <row r="488" spans="1:42" ht="15">
      <c r="A488" s="65" t="s">
        <v>570</v>
      </c>
      <c r="B488" s="65" t="s">
        <v>568</v>
      </c>
      <c r="C488" s="66" t="s">
        <v>5345</v>
      </c>
      <c r="D488" s="67">
        <v>3</v>
      </c>
      <c r="E488" s="68"/>
      <c r="F488" s="69">
        <v>40</v>
      </c>
      <c r="G488" s="66"/>
      <c r="H488" s="70"/>
      <c r="I488" s="71"/>
      <c r="J488" s="71"/>
      <c r="K488" s="35" t="s">
        <v>65</v>
      </c>
      <c r="L488" s="79">
        <v>488</v>
      </c>
      <c r="M488" s="79"/>
      <c r="N488" s="73"/>
      <c r="O488" s="81" t="s">
        <v>761</v>
      </c>
      <c r="P488" s="81" t="s">
        <v>763</v>
      </c>
      <c r="Q488" s="84" t="s">
        <v>1230</v>
      </c>
      <c r="R488" s="81" t="s">
        <v>570</v>
      </c>
      <c r="S488" s="81" t="s">
        <v>1899</v>
      </c>
      <c r="T488" s="86" t="str">
        <f>HYPERLINK("http://www.youtube.com/channel/UC819Rf3geYRy4604wK3i2ZQ")</f>
        <v>http://www.youtube.com/channel/UC819Rf3geYRy4604wK3i2ZQ</v>
      </c>
      <c r="U488" s="81" t="s">
        <v>2201</v>
      </c>
      <c r="V488" s="81" t="s">
        <v>2319</v>
      </c>
      <c r="W488" s="86" t="str">
        <f>HYPERLINK("https://www.youtube.com/watch?v=7aRMkFHzJrc")</f>
        <v>https://www.youtube.com/watch?v=7aRMkFHzJrc</v>
      </c>
      <c r="X488" s="81" t="s">
        <v>2335</v>
      </c>
      <c r="Y488" s="81">
        <v>0</v>
      </c>
      <c r="Z488" s="88">
        <v>43137.70208333333</v>
      </c>
      <c r="AA488" s="88">
        <v>43137.70208333333</v>
      </c>
      <c r="AB488" s="81"/>
      <c r="AC488" s="81"/>
      <c r="AD488" s="84" t="s">
        <v>2782</v>
      </c>
      <c r="AE488" s="82">
        <v>1</v>
      </c>
      <c r="AF488" s="83" t="str">
        <f>REPLACE(INDEX(GroupVertices[Group],MATCH(Edges[[#This Row],[Vertex 1]],GroupVertices[Vertex],0)),1,1,"")</f>
        <v>1</v>
      </c>
      <c r="AG488" s="83" t="str">
        <f>REPLACE(INDEX(GroupVertices[Group],MATCH(Edges[[#This Row],[Vertex 2]],GroupVertices[Vertex],0)),1,1,"")</f>
        <v>1</v>
      </c>
      <c r="AH488" s="111">
        <v>0</v>
      </c>
      <c r="AI488" s="112">
        <v>0</v>
      </c>
      <c r="AJ488" s="111">
        <v>0</v>
      </c>
      <c r="AK488" s="112">
        <v>0</v>
      </c>
      <c r="AL488" s="111">
        <v>0</v>
      </c>
      <c r="AM488" s="112">
        <v>0</v>
      </c>
      <c r="AN488" s="111">
        <v>3</v>
      </c>
      <c r="AO488" s="112">
        <v>100</v>
      </c>
      <c r="AP488" s="111">
        <v>3</v>
      </c>
    </row>
    <row r="489" spans="1:42" ht="15">
      <c r="A489" s="65" t="s">
        <v>287</v>
      </c>
      <c r="B489" s="65" t="s">
        <v>568</v>
      </c>
      <c r="C489" s="66" t="s">
        <v>5347</v>
      </c>
      <c r="D489" s="67">
        <v>10</v>
      </c>
      <c r="E489" s="68"/>
      <c r="F489" s="69">
        <v>15</v>
      </c>
      <c r="G489" s="66"/>
      <c r="H489" s="70"/>
      <c r="I489" s="71"/>
      <c r="J489" s="71"/>
      <c r="K489" s="35" t="s">
        <v>66</v>
      </c>
      <c r="L489" s="79">
        <v>489</v>
      </c>
      <c r="M489" s="79"/>
      <c r="N489" s="73"/>
      <c r="O489" s="81" t="s">
        <v>761</v>
      </c>
      <c r="P489" s="81" t="s">
        <v>763</v>
      </c>
      <c r="Q489" s="84" t="s">
        <v>1231</v>
      </c>
      <c r="R489" s="81" t="s">
        <v>287</v>
      </c>
      <c r="S489" s="81" t="s">
        <v>1616</v>
      </c>
      <c r="T489" s="86" t="str">
        <f>HYPERLINK("http://www.youtube.com/channel/UCbUhO-tut97b5IQhZ3i7TMA")</f>
        <v>http://www.youtube.com/channel/UCbUhO-tut97b5IQhZ3i7TMA</v>
      </c>
      <c r="U489" s="81" t="s">
        <v>2202</v>
      </c>
      <c r="V489" s="81" t="s">
        <v>2311</v>
      </c>
      <c r="W489" s="86" t="str">
        <f>HYPERLINK("https://www.youtube.com/watch?v=DrCnSoZUXAc")</f>
        <v>https://www.youtube.com/watch?v=DrCnSoZUXAc</v>
      </c>
      <c r="X489" s="81" t="s">
        <v>2335</v>
      </c>
      <c r="Y489" s="81">
        <v>0</v>
      </c>
      <c r="Z489" s="88">
        <v>43318.9865625</v>
      </c>
      <c r="AA489" s="88">
        <v>43318.9865625</v>
      </c>
      <c r="AB489" s="81"/>
      <c r="AC489" s="81"/>
      <c r="AD489" s="84" t="s">
        <v>2782</v>
      </c>
      <c r="AE489" s="82">
        <v>3</v>
      </c>
      <c r="AF489" s="83" t="str">
        <f>REPLACE(INDEX(GroupVertices[Group],MATCH(Edges[[#This Row],[Vertex 1]],GroupVertices[Vertex],0)),1,1,"")</f>
        <v>1</v>
      </c>
      <c r="AG489" s="83" t="str">
        <f>REPLACE(INDEX(GroupVertices[Group],MATCH(Edges[[#This Row],[Vertex 2]],GroupVertices[Vertex],0)),1,1,"")</f>
        <v>1</v>
      </c>
      <c r="AH489" s="111">
        <v>1</v>
      </c>
      <c r="AI489" s="112">
        <v>14.285714285714286</v>
      </c>
      <c r="AJ489" s="111">
        <v>0</v>
      </c>
      <c r="AK489" s="112">
        <v>0</v>
      </c>
      <c r="AL489" s="111">
        <v>0</v>
      </c>
      <c r="AM489" s="112">
        <v>0</v>
      </c>
      <c r="AN489" s="111">
        <v>6</v>
      </c>
      <c r="AO489" s="112">
        <v>85.71428571428571</v>
      </c>
      <c r="AP489" s="111">
        <v>7</v>
      </c>
    </row>
    <row r="490" spans="1:42" ht="15">
      <c r="A490" s="65" t="s">
        <v>568</v>
      </c>
      <c r="B490" s="65" t="s">
        <v>287</v>
      </c>
      <c r="C490" s="66" t="s">
        <v>5347</v>
      </c>
      <c r="D490" s="67">
        <v>10</v>
      </c>
      <c r="E490" s="68"/>
      <c r="F490" s="69">
        <v>15</v>
      </c>
      <c r="G490" s="66"/>
      <c r="H490" s="70"/>
      <c r="I490" s="71"/>
      <c r="J490" s="71"/>
      <c r="K490" s="35" t="s">
        <v>66</v>
      </c>
      <c r="L490" s="79">
        <v>490</v>
      </c>
      <c r="M490" s="79"/>
      <c r="N490" s="73"/>
      <c r="O490" s="81" t="s">
        <v>760</v>
      </c>
      <c r="P490" s="81" t="s">
        <v>215</v>
      </c>
      <c r="Q490" s="84" t="s">
        <v>1232</v>
      </c>
      <c r="R490" s="81" t="s">
        <v>568</v>
      </c>
      <c r="S490" s="81" t="s">
        <v>1897</v>
      </c>
      <c r="T490" s="86" t="str">
        <f>HYPERLINK("http://www.youtube.com/channel/UC2baYwyZp8GSx7Ib5g17mDg")</f>
        <v>http://www.youtube.com/channel/UC2baYwyZp8GSx7Ib5g17mDg</v>
      </c>
      <c r="U490" s="81"/>
      <c r="V490" s="81" t="s">
        <v>2311</v>
      </c>
      <c r="W490" s="86" t="str">
        <f>HYPERLINK("https://www.youtube.com/watch?v=DrCnSoZUXAc")</f>
        <v>https://www.youtube.com/watch?v=DrCnSoZUXAc</v>
      </c>
      <c r="X490" s="81" t="s">
        <v>2335</v>
      </c>
      <c r="Y490" s="81">
        <v>0</v>
      </c>
      <c r="Z490" s="88">
        <v>43318.134618055556</v>
      </c>
      <c r="AA490" s="88">
        <v>43318.134618055556</v>
      </c>
      <c r="AB490" s="81"/>
      <c r="AC490" s="81"/>
      <c r="AD490" s="84" t="s">
        <v>2782</v>
      </c>
      <c r="AE490" s="82">
        <v>3</v>
      </c>
      <c r="AF490" s="83" t="str">
        <f>REPLACE(INDEX(GroupVertices[Group],MATCH(Edges[[#This Row],[Vertex 1]],GroupVertices[Vertex],0)),1,1,"")</f>
        <v>1</v>
      </c>
      <c r="AG490" s="83" t="str">
        <f>REPLACE(INDEX(GroupVertices[Group],MATCH(Edges[[#This Row],[Vertex 2]],GroupVertices[Vertex],0)),1,1,"")</f>
        <v>1</v>
      </c>
      <c r="AH490" s="111">
        <v>1</v>
      </c>
      <c r="AI490" s="112">
        <v>20</v>
      </c>
      <c r="AJ490" s="111">
        <v>1</v>
      </c>
      <c r="AK490" s="112">
        <v>20</v>
      </c>
      <c r="AL490" s="111">
        <v>0</v>
      </c>
      <c r="AM490" s="112">
        <v>0</v>
      </c>
      <c r="AN490" s="111">
        <v>3</v>
      </c>
      <c r="AO490" s="112">
        <v>60</v>
      </c>
      <c r="AP490" s="111">
        <v>5</v>
      </c>
    </row>
    <row r="491" spans="1:42" ht="15">
      <c r="A491" s="65" t="s">
        <v>287</v>
      </c>
      <c r="B491" s="65" t="s">
        <v>568</v>
      </c>
      <c r="C491" s="66" t="s">
        <v>5347</v>
      </c>
      <c r="D491" s="67">
        <v>10</v>
      </c>
      <c r="E491" s="68"/>
      <c r="F491" s="69">
        <v>15</v>
      </c>
      <c r="G491" s="66"/>
      <c r="H491" s="70"/>
      <c r="I491" s="71"/>
      <c r="J491" s="71"/>
      <c r="K491" s="35" t="s">
        <v>66</v>
      </c>
      <c r="L491" s="79">
        <v>491</v>
      </c>
      <c r="M491" s="79"/>
      <c r="N491" s="73"/>
      <c r="O491" s="81" t="s">
        <v>761</v>
      </c>
      <c r="P491" s="81" t="s">
        <v>763</v>
      </c>
      <c r="Q491" s="84" t="s">
        <v>1233</v>
      </c>
      <c r="R491" s="81" t="s">
        <v>287</v>
      </c>
      <c r="S491" s="81" t="s">
        <v>1616</v>
      </c>
      <c r="T491" s="86" t="str">
        <f>HYPERLINK("http://www.youtube.com/channel/UCbUhO-tut97b5IQhZ3i7TMA")</f>
        <v>http://www.youtube.com/channel/UCbUhO-tut97b5IQhZ3i7TMA</v>
      </c>
      <c r="U491" s="81" t="s">
        <v>2201</v>
      </c>
      <c r="V491" s="81" t="s">
        <v>2319</v>
      </c>
      <c r="W491" s="86" t="str">
        <f>HYPERLINK("https://www.youtube.com/watch?v=7aRMkFHzJrc")</f>
        <v>https://www.youtube.com/watch?v=7aRMkFHzJrc</v>
      </c>
      <c r="X491" s="81" t="s">
        <v>2335</v>
      </c>
      <c r="Y491" s="81">
        <v>0</v>
      </c>
      <c r="Z491" s="88">
        <v>43137.40688657408</v>
      </c>
      <c r="AA491" s="88">
        <v>43137.40688657408</v>
      </c>
      <c r="AB491" s="81"/>
      <c r="AC491" s="81"/>
      <c r="AD491" s="84" t="s">
        <v>2782</v>
      </c>
      <c r="AE491" s="82">
        <v>3</v>
      </c>
      <c r="AF491" s="83" t="str">
        <f>REPLACE(INDEX(GroupVertices[Group],MATCH(Edges[[#This Row],[Vertex 1]],GroupVertices[Vertex],0)),1,1,"")</f>
        <v>1</v>
      </c>
      <c r="AG491" s="83" t="str">
        <f>REPLACE(INDEX(GroupVertices[Group],MATCH(Edges[[#This Row],[Vertex 2]],GroupVertices[Vertex],0)),1,1,"")</f>
        <v>1</v>
      </c>
      <c r="AH491" s="111">
        <v>0</v>
      </c>
      <c r="AI491" s="112">
        <v>0</v>
      </c>
      <c r="AJ491" s="111">
        <v>0</v>
      </c>
      <c r="AK491" s="112">
        <v>0</v>
      </c>
      <c r="AL491" s="111">
        <v>0</v>
      </c>
      <c r="AM491" s="112">
        <v>0</v>
      </c>
      <c r="AN491" s="111">
        <v>6</v>
      </c>
      <c r="AO491" s="112">
        <v>100</v>
      </c>
      <c r="AP491" s="111">
        <v>6</v>
      </c>
    </row>
    <row r="492" spans="1:42" ht="15">
      <c r="A492" s="65" t="s">
        <v>568</v>
      </c>
      <c r="B492" s="65" t="s">
        <v>287</v>
      </c>
      <c r="C492" s="66" t="s">
        <v>5347</v>
      </c>
      <c r="D492" s="67">
        <v>10</v>
      </c>
      <c r="E492" s="68"/>
      <c r="F492" s="69">
        <v>15</v>
      </c>
      <c r="G492" s="66"/>
      <c r="H492" s="70"/>
      <c r="I492" s="71"/>
      <c r="J492" s="71"/>
      <c r="K492" s="35" t="s">
        <v>66</v>
      </c>
      <c r="L492" s="79">
        <v>492</v>
      </c>
      <c r="M492" s="79"/>
      <c r="N492" s="73"/>
      <c r="O492" s="81" t="s">
        <v>760</v>
      </c>
      <c r="P492" s="81" t="s">
        <v>215</v>
      </c>
      <c r="Q492" s="84" t="s">
        <v>1234</v>
      </c>
      <c r="R492" s="81" t="s">
        <v>568</v>
      </c>
      <c r="S492" s="81" t="s">
        <v>1897</v>
      </c>
      <c r="T492" s="86" t="str">
        <f>HYPERLINK("http://www.youtube.com/channel/UC2baYwyZp8GSx7Ib5g17mDg")</f>
        <v>http://www.youtube.com/channel/UC2baYwyZp8GSx7Ib5g17mDg</v>
      </c>
      <c r="U492" s="81"/>
      <c r="V492" s="81" t="s">
        <v>2319</v>
      </c>
      <c r="W492" s="86" t="str">
        <f>HYPERLINK("https://www.youtube.com/watch?v=7aRMkFHzJrc")</f>
        <v>https://www.youtube.com/watch?v=7aRMkFHzJrc</v>
      </c>
      <c r="X492" s="81" t="s">
        <v>2335</v>
      </c>
      <c r="Y492" s="81">
        <v>3</v>
      </c>
      <c r="Z492" s="88">
        <v>43137.39885416667</v>
      </c>
      <c r="AA492" s="88">
        <v>43137.39885416667</v>
      </c>
      <c r="AB492" s="81"/>
      <c r="AC492" s="81"/>
      <c r="AD492" s="84" t="s">
        <v>2782</v>
      </c>
      <c r="AE492" s="82">
        <v>3</v>
      </c>
      <c r="AF492" s="83" t="str">
        <f>REPLACE(INDEX(GroupVertices[Group],MATCH(Edges[[#This Row],[Vertex 1]],GroupVertices[Vertex],0)),1,1,"")</f>
        <v>1</v>
      </c>
      <c r="AG492" s="83" t="str">
        <f>REPLACE(INDEX(GroupVertices[Group],MATCH(Edges[[#This Row],[Vertex 2]],GroupVertices[Vertex],0)),1,1,"")</f>
        <v>1</v>
      </c>
      <c r="AH492" s="111">
        <v>1</v>
      </c>
      <c r="AI492" s="112">
        <v>6.666666666666667</v>
      </c>
      <c r="AJ492" s="111">
        <v>0</v>
      </c>
      <c r="AK492" s="112">
        <v>0</v>
      </c>
      <c r="AL492" s="111">
        <v>0</v>
      </c>
      <c r="AM492" s="112">
        <v>0</v>
      </c>
      <c r="AN492" s="111">
        <v>14</v>
      </c>
      <c r="AO492" s="112">
        <v>93.33333333333333</v>
      </c>
      <c r="AP492" s="111">
        <v>15</v>
      </c>
    </row>
    <row r="493" spans="1:42" ht="15">
      <c r="A493" s="65" t="s">
        <v>287</v>
      </c>
      <c r="B493" s="65" t="s">
        <v>568</v>
      </c>
      <c r="C493" s="66" t="s">
        <v>5347</v>
      </c>
      <c r="D493" s="67">
        <v>10</v>
      </c>
      <c r="E493" s="68"/>
      <c r="F493" s="69">
        <v>15</v>
      </c>
      <c r="G493" s="66"/>
      <c r="H493" s="70"/>
      <c r="I493" s="71"/>
      <c r="J493" s="71"/>
      <c r="K493" s="35" t="s">
        <v>66</v>
      </c>
      <c r="L493" s="79">
        <v>493</v>
      </c>
      <c r="M493" s="79"/>
      <c r="N493" s="73"/>
      <c r="O493" s="81" t="s">
        <v>761</v>
      </c>
      <c r="P493" s="81" t="s">
        <v>763</v>
      </c>
      <c r="Q493" s="84" t="s">
        <v>1235</v>
      </c>
      <c r="R493" s="81" t="s">
        <v>287</v>
      </c>
      <c r="S493" s="81" t="s">
        <v>1616</v>
      </c>
      <c r="T493" s="86" t="str">
        <f>HYPERLINK("http://www.youtube.com/channel/UCbUhO-tut97b5IQhZ3i7TMA")</f>
        <v>http://www.youtube.com/channel/UCbUhO-tut97b5IQhZ3i7TMA</v>
      </c>
      <c r="U493" s="81" t="s">
        <v>2203</v>
      </c>
      <c r="V493" s="81" t="s">
        <v>2319</v>
      </c>
      <c r="W493" s="86" t="str">
        <f>HYPERLINK("https://www.youtube.com/watch?v=7aRMkFHzJrc")</f>
        <v>https://www.youtube.com/watch?v=7aRMkFHzJrc</v>
      </c>
      <c r="X493" s="81" t="s">
        <v>2335</v>
      </c>
      <c r="Y493" s="81">
        <v>0</v>
      </c>
      <c r="Z493" s="88">
        <v>43137.40672453704</v>
      </c>
      <c r="AA493" s="88">
        <v>43137.40672453704</v>
      </c>
      <c r="AB493" s="81"/>
      <c r="AC493" s="81"/>
      <c r="AD493" s="84" t="s">
        <v>2782</v>
      </c>
      <c r="AE493" s="82">
        <v>3</v>
      </c>
      <c r="AF493" s="83" t="str">
        <f>REPLACE(INDEX(GroupVertices[Group],MATCH(Edges[[#This Row],[Vertex 1]],GroupVertices[Vertex],0)),1,1,"")</f>
        <v>1</v>
      </c>
      <c r="AG493" s="83" t="str">
        <f>REPLACE(INDEX(GroupVertices[Group],MATCH(Edges[[#This Row],[Vertex 2]],GroupVertices[Vertex],0)),1,1,"")</f>
        <v>1</v>
      </c>
      <c r="AH493" s="111">
        <v>1</v>
      </c>
      <c r="AI493" s="112">
        <v>25</v>
      </c>
      <c r="AJ493" s="111">
        <v>0</v>
      </c>
      <c r="AK493" s="112">
        <v>0</v>
      </c>
      <c r="AL493" s="111">
        <v>0</v>
      </c>
      <c r="AM493" s="112">
        <v>0</v>
      </c>
      <c r="AN493" s="111">
        <v>3</v>
      </c>
      <c r="AO493" s="112">
        <v>75</v>
      </c>
      <c r="AP493" s="111">
        <v>4</v>
      </c>
    </row>
    <row r="494" spans="1:42" ht="15">
      <c r="A494" s="65" t="s">
        <v>568</v>
      </c>
      <c r="B494" s="65" t="s">
        <v>287</v>
      </c>
      <c r="C494" s="66" t="s">
        <v>5347</v>
      </c>
      <c r="D494" s="67">
        <v>10</v>
      </c>
      <c r="E494" s="68"/>
      <c r="F494" s="69">
        <v>15</v>
      </c>
      <c r="G494" s="66"/>
      <c r="H494" s="70"/>
      <c r="I494" s="71"/>
      <c r="J494" s="71"/>
      <c r="K494" s="35" t="s">
        <v>66</v>
      </c>
      <c r="L494" s="79">
        <v>494</v>
      </c>
      <c r="M494" s="79"/>
      <c r="N494" s="73"/>
      <c r="O494" s="81" t="s">
        <v>760</v>
      </c>
      <c r="P494" s="81" t="s">
        <v>215</v>
      </c>
      <c r="Q494" s="84" t="s">
        <v>1236</v>
      </c>
      <c r="R494" s="81" t="s">
        <v>568</v>
      </c>
      <c r="S494" s="81" t="s">
        <v>1897</v>
      </c>
      <c r="T494" s="86" t="str">
        <f>HYPERLINK("http://www.youtube.com/channel/UC2baYwyZp8GSx7Ib5g17mDg")</f>
        <v>http://www.youtube.com/channel/UC2baYwyZp8GSx7Ib5g17mDg</v>
      </c>
      <c r="U494" s="81"/>
      <c r="V494" s="81" t="s">
        <v>2319</v>
      </c>
      <c r="W494" s="86" t="str">
        <f>HYPERLINK("https://www.youtube.com/watch?v=7aRMkFHzJrc")</f>
        <v>https://www.youtube.com/watch?v=7aRMkFHzJrc</v>
      </c>
      <c r="X494" s="81" t="s">
        <v>2335</v>
      </c>
      <c r="Y494" s="81">
        <v>0</v>
      </c>
      <c r="Z494" s="88">
        <v>43137.39915509259</v>
      </c>
      <c r="AA494" s="88">
        <v>43137.39915509259</v>
      </c>
      <c r="AB494" s="81"/>
      <c r="AC494" s="81"/>
      <c r="AD494" s="84" t="s">
        <v>2782</v>
      </c>
      <c r="AE494" s="82">
        <v>3</v>
      </c>
      <c r="AF494" s="83" t="str">
        <f>REPLACE(INDEX(GroupVertices[Group],MATCH(Edges[[#This Row],[Vertex 1]],GroupVertices[Vertex],0)),1,1,"")</f>
        <v>1</v>
      </c>
      <c r="AG494" s="83" t="str">
        <f>REPLACE(INDEX(GroupVertices[Group],MATCH(Edges[[#This Row],[Vertex 2]],GroupVertices[Vertex],0)),1,1,"")</f>
        <v>1</v>
      </c>
      <c r="AH494" s="111">
        <v>1</v>
      </c>
      <c r="AI494" s="112">
        <v>20</v>
      </c>
      <c r="AJ494" s="111">
        <v>0</v>
      </c>
      <c r="AK494" s="112">
        <v>0</v>
      </c>
      <c r="AL494" s="111">
        <v>0</v>
      </c>
      <c r="AM494" s="112">
        <v>0</v>
      </c>
      <c r="AN494" s="111">
        <v>4</v>
      </c>
      <c r="AO494" s="112">
        <v>80</v>
      </c>
      <c r="AP494" s="111">
        <v>5</v>
      </c>
    </row>
    <row r="495" spans="1:42" ht="15">
      <c r="A495" s="65" t="s">
        <v>287</v>
      </c>
      <c r="B495" s="65" t="s">
        <v>571</v>
      </c>
      <c r="C495" s="66" t="s">
        <v>5345</v>
      </c>
      <c r="D495" s="67">
        <v>3</v>
      </c>
      <c r="E495" s="68"/>
      <c r="F495" s="69">
        <v>40</v>
      </c>
      <c r="G495" s="66"/>
      <c r="H495" s="70"/>
      <c r="I495" s="71"/>
      <c r="J495" s="71"/>
      <c r="K495" s="35" t="s">
        <v>66</v>
      </c>
      <c r="L495" s="79">
        <v>495</v>
      </c>
      <c r="M495" s="79"/>
      <c r="N495" s="73"/>
      <c r="O495" s="81" t="s">
        <v>761</v>
      </c>
      <c r="P495" s="81" t="s">
        <v>763</v>
      </c>
      <c r="Q495" s="84" t="s">
        <v>1237</v>
      </c>
      <c r="R495" s="81" t="s">
        <v>287</v>
      </c>
      <c r="S495" s="81" t="s">
        <v>1616</v>
      </c>
      <c r="T495" s="86" t="str">
        <f>HYPERLINK("http://www.youtube.com/channel/UCbUhO-tut97b5IQhZ3i7TMA")</f>
        <v>http://www.youtube.com/channel/UCbUhO-tut97b5IQhZ3i7TMA</v>
      </c>
      <c r="U495" s="81" t="s">
        <v>2204</v>
      </c>
      <c r="V495" s="81" t="s">
        <v>2319</v>
      </c>
      <c r="W495" s="86" t="str">
        <f>HYPERLINK("https://www.youtube.com/watch?v=7aRMkFHzJrc")</f>
        <v>https://www.youtube.com/watch?v=7aRMkFHzJrc</v>
      </c>
      <c r="X495" s="81" t="s">
        <v>2335</v>
      </c>
      <c r="Y495" s="81">
        <v>0</v>
      </c>
      <c r="Z495" s="88">
        <v>43137.40655092592</v>
      </c>
      <c r="AA495" s="88">
        <v>43137.40655092592</v>
      </c>
      <c r="AB495" s="81"/>
      <c r="AC495" s="81"/>
      <c r="AD495" s="84" t="s">
        <v>2782</v>
      </c>
      <c r="AE495" s="82">
        <v>1</v>
      </c>
      <c r="AF495" s="83" t="str">
        <f>REPLACE(INDEX(GroupVertices[Group],MATCH(Edges[[#This Row],[Vertex 1]],GroupVertices[Vertex],0)),1,1,"")</f>
        <v>1</v>
      </c>
      <c r="AG495" s="83" t="str">
        <f>REPLACE(INDEX(GroupVertices[Group],MATCH(Edges[[#This Row],[Vertex 2]],GroupVertices[Vertex],0)),1,1,"")</f>
        <v>1</v>
      </c>
      <c r="AH495" s="111">
        <v>0</v>
      </c>
      <c r="AI495" s="112">
        <v>0</v>
      </c>
      <c r="AJ495" s="111">
        <v>0</v>
      </c>
      <c r="AK495" s="112">
        <v>0</v>
      </c>
      <c r="AL495" s="111">
        <v>0</v>
      </c>
      <c r="AM495" s="112">
        <v>0</v>
      </c>
      <c r="AN495" s="111">
        <v>6</v>
      </c>
      <c r="AO495" s="112">
        <v>100</v>
      </c>
      <c r="AP495" s="111">
        <v>6</v>
      </c>
    </row>
    <row r="496" spans="1:42" ht="15">
      <c r="A496" s="65" t="s">
        <v>571</v>
      </c>
      <c r="B496" s="65" t="s">
        <v>571</v>
      </c>
      <c r="C496" s="66" t="s">
        <v>5345</v>
      </c>
      <c r="D496" s="67">
        <v>3</v>
      </c>
      <c r="E496" s="68"/>
      <c r="F496" s="69">
        <v>40</v>
      </c>
      <c r="G496" s="66"/>
      <c r="H496" s="70"/>
      <c r="I496" s="71"/>
      <c r="J496" s="71"/>
      <c r="K496" s="35" t="s">
        <v>65</v>
      </c>
      <c r="L496" s="79">
        <v>496</v>
      </c>
      <c r="M496" s="79"/>
      <c r="N496" s="73"/>
      <c r="O496" s="81" t="s">
        <v>761</v>
      </c>
      <c r="P496" s="81" t="s">
        <v>763</v>
      </c>
      <c r="Q496" s="84" t="s">
        <v>1238</v>
      </c>
      <c r="R496" s="81" t="s">
        <v>571</v>
      </c>
      <c r="S496" s="81" t="s">
        <v>1900</v>
      </c>
      <c r="T496" s="86" t="str">
        <f>HYPERLINK("http://www.youtube.com/channel/UCUqc_eczlo9lTgkq90F8wUw")</f>
        <v>http://www.youtube.com/channel/UCUqc_eczlo9lTgkq90F8wUw</v>
      </c>
      <c r="U496" s="81" t="s">
        <v>2204</v>
      </c>
      <c r="V496" s="81" t="s">
        <v>2319</v>
      </c>
      <c r="W496" s="86" t="str">
        <f>HYPERLINK("https://www.youtube.com/watch?v=7aRMkFHzJrc")</f>
        <v>https://www.youtube.com/watch?v=7aRMkFHzJrc</v>
      </c>
      <c r="X496" s="81" t="s">
        <v>2335</v>
      </c>
      <c r="Y496" s="81">
        <v>0</v>
      </c>
      <c r="Z496" s="88">
        <v>43137.70945601852</v>
      </c>
      <c r="AA496" s="88">
        <v>43137.70945601852</v>
      </c>
      <c r="AB496" s="81"/>
      <c r="AC496" s="81"/>
      <c r="AD496" s="84" t="s">
        <v>2782</v>
      </c>
      <c r="AE496" s="82">
        <v>1</v>
      </c>
      <c r="AF496" s="83" t="str">
        <f>REPLACE(INDEX(GroupVertices[Group],MATCH(Edges[[#This Row],[Vertex 1]],GroupVertices[Vertex],0)),1,1,"")</f>
        <v>1</v>
      </c>
      <c r="AG496" s="83" t="str">
        <f>REPLACE(INDEX(GroupVertices[Group],MATCH(Edges[[#This Row],[Vertex 2]],GroupVertices[Vertex],0)),1,1,"")</f>
        <v>1</v>
      </c>
      <c r="AH496" s="111">
        <v>0</v>
      </c>
      <c r="AI496" s="112">
        <v>0</v>
      </c>
      <c r="AJ496" s="111">
        <v>0</v>
      </c>
      <c r="AK496" s="112">
        <v>0</v>
      </c>
      <c r="AL496" s="111">
        <v>0</v>
      </c>
      <c r="AM496" s="112">
        <v>0</v>
      </c>
      <c r="AN496" s="111">
        <v>3</v>
      </c>
      <c r="AO496" s="112">
        <v>100</v>
      </c>
      <c r="AP496" s="111">
        <v>3</v>
      </c>
    </row>
    <row r="497" spans="1:42" ht="15">
      <c r="A497" s="65" t="s">
        <v>571</v>
      </c>
      <c r="B497" s="65" t="s">
        <v>287</v>
      </c>
      <c r="C497" s="66" t="s">
        <v>5345</v>
      </c>
      <c r="D497" s="67">
        <v>3</v>
      </c>
      <c r="E497" s="68"/>
      <c r="F497" s="69">
        <v>40</v>
      </c>
      <c r="G497" s="66"/>
      <c r="H497" s="70"/>
      <c r="I497" s="71"/>
      <c r="J497" s="71"/>
      <c r="K497" s="35" t="s">
        <v>66</v>
      </c>
      <c r="L497" s="79">
        <v>497</v>
      </c>
      <c r="M497" s="79"/>
      <c r="N497" s="73"/>
      <c r="O497" s="81" t="s">
        <v>760</v>
      </c>
      <c r="P497" s="81" t="s">
        <v>215</v>
      </c>
      <c r="Q497" s="84" t="s">
        <v>1239</v>
      </c>
      <c r="R497" s="81" t="s">
        <v>571</v>
      </c>
      <c r="S497" s="81" t="s">
        <v>1900</v>
      </c>
      <c r="T497" s="86" t="str">
        <f>HYPERLINK("http://www.youtube.com/channel/UCUqc_eczlo9lTgkq90F8wUw")</f>
        <v>http://www.youtube.com/channel/UCUqc_eczlo9lTgkq90F8wUw</v>
      </c>
      <c r="U497" s="81"/>
      <c r="V497" s="81" t="s">
        <v>2319</v>
      </c>
      <c r="W497" s="86" t="str">
        <f>HYPERLINK("https://www.youtube.com/watch?v=7aRMkFHzJrc")</f>
        <v>https://www.youtube.com/watch?v=7aRMkFHzJrc</v>
      </c>
      <c r="X497" s="81" t="s">
        <v>2335</v>
      </c>
      <c r="Y497" s="81">
        <v>0</v>
      </c>
      <c r="Z497" s="88">
        <v>43137.40069444444</v>
      </c>
      <c r="AA497" s="88">
        <v>43137.40069444444</v>
      </c>
      <c r="AB497" s="81"/>
      <c r="AC497" s="81"/>
      <c r="AD497" s="84" t="s">
        <v>2782</v>
      </c>
      <c r="AE497" s="82">
        <v>1</v>
      </c>
      <c r="AF497" s="83" t="str">
        <f>REPLACE(INDEX(GroupVertices[Group],MATCH(Edges[[#This Row],[Vertex 1]],GroupVertices[Vertex],0)),1,1,"")</f>
        <v>1</v>
      </c>
      <c r="AG497" s="83" t="str">
        <f>REPLACE(INDEX(GroupVertices[Group],MATCH(Edges[[#This Row],[Vertex 2]],GroupVertices[Vertex],0)),1,1,"")</f>
        <v>1</v>
      </c>
      <c r="AH497" s="111">
        <v>1</v>
      </c>
      <c r="AI497" s="112">
        <v>14.285714285714286</v>
      </c>
      <c r="AJ497" s="111">
        <v>0</v>
      </c>
      <c r="AK497" s="112">
        <v>0</v>
      </c>
      <c r="AL497" s="111">
        <v>0</v>
      </c>
      <c r="AM497" s="112">
        <v>0</v>
      </c>
      <c r="AN497" s="111">
        <v>6</v>
      </c>
      <c r="AO497" s="112">
        <v>85.71428571428571</v>
      </c>
      <c r="AP497" s="111">
        <v>7</v>
      </c>
    </row>
    <row r="498" spans="1:42" ht="15">
      <c r="A498" s="65" t="s">
        <v>287</v>
      </c>
      <c r="B498" s="65" t="s">
        <v>572</v>
      </c>
      <c r="C498" s="66" t="s">
        <v>5345</v>
      </c>
      <c r="D498" s="67">
        <v>3</v>
      </c>
      <c r="E498" s="68"/>
      <c r="F498" s="69">
        <v>40</v>
      </c>
      <c r="G498" s="66"/>
      <c r="H498" s="70"/>
      <c r="I498" s="71"/>
      <c r="J498" s="71"/>
      <c r="K498" s="35" t="s">
        <v>66</v>
      </c>
      <c r="L498" s="79">
        <v>498</v>
      </c>
      <c r="M498" s="79"/>
      <c r="N498" s="73"/>
      <c r="O498" s="81" t="s">
        <v>761</v>
      </c>
      <c r="P498" s="81" t="s">
        <v>763</v>
      </c>
      <c r="Q498" s="84" t="s">
        <v>1240</v>
      </c>
      <c r="R498" s="81" t="s">
        <v>287</v>
      </c>
      <c r="S498" s="81" t="s">
        <v>1616</v>
      </c>
      <c r="T498" s="86" t="str">
        <f>HYPERLINK("http://www.youtube.com/channel/UCbUhO-tut97b5IQhZ3i7TMA")</f>
        <v>http://www.youtube.com/channel/UCbUhO-tut97b5IQhZ3i7TMA</v>
      </c>
      <c r="U498" s="81" t="s">
        <v>2205</v>
      </c>
      <c r="V498" s="81" t="s">
        <v>2319</v>
      </c>
      <c r="W498" s="86" t="str">
        <f>HYPERLINK("https://www.youtube.com/watch?v=7aRMkFHzJrc")</f>
        <v>https://www.youtube.com/watch?v=7aRMkFHzJrc</v>
      </c>
      <c r="X498" s="81" t="s">
        <v>2335</v>
      </c>
      <c r="Y498" s="81">
        <v>2</v>
      </c>
      <c r="Z498" s="88">
        <v>43137.410729166666</v>
      </c>
      <c r="AA498" s="88">
        <v>43137.410729166666</v>
      </c>
      <c r="AB498" s="81"/>
      <c r="AC498" s="81"/>
      <c r="AD498" s="84" t="s">
        <v>2782</v>
      </c>
      <c r="AE498" s="82">
        <v>1</v>
      </c>
      <c r="AF498" s="83" t="str">
        <f>REPLACE(INDEX(GroupVertices[Group],MATCH(Edges[[#This Row],[Vertex 1]],GroupVertices[Vertex],0)),1,1,"")</f>
        <v>1</v>
      </c>
      <c r="AG498" s="83" t="str">
        <f>REPLACE(INDEX(GroupVertices[Group],MATCH(Edges[[#This Row],[Vertex 2]],GroupVertices[Vertex],0)),1,1,"")</f>
        <v>1</v>
      </c>
      <c r="AH498" s="111">
        <v>1</v>
      </c>
      <c r="AI498" s="112">
        <v>16.666666666666668</v>
      </c>
      <c r="AJ498" s="111">
        <v>0</v>
      </c>
      <c r="AK498" s="112">
        <v>0</v>
      </c>
      <c r="AL498" s="111">
        <v>0</v>
      </c>
      <c r="AM498" s="112">
        <v>0</v>
      </c>
      <c r="AN498" s="111">
        <v>5</v>
      </c>
      <c r="AO498" s="112">
        <v>83.33333333333333</v>
      </c>
      <c r="AP498" s="111">
        <v>6</v>
      </c>
    </row>
    <row r="499" spans="1:42" ht="15">
      <c r="A499" s="65" t="s">
        <v>572</v>
      </c>
      <c r="B499" s="65" t="s">
        <v>287</v>
      </c>
      <c r="C499" s="66" t="s">
        <v>5345</v>
      </c>
      <c r="D499" s="67">
        <v>3</v>
      </c>
      <c r="E499" s="68"/>
      <c r="F499" s="69">
        <v>40</v>
      </c>
      <c r="G499" s="66"/>
      <c r="H499" s="70"/>
      <c r="I499" s="71"/>
      <c r="J499" s="71"/>
      <c r="K499" s="35" t="s">
        <v>66</v>
      </c>
      <c r="L499" s="79">
        <v>499</v>
      </c>
      <c r="M499" s="79"/>
      <c r="N499" s="73"/>
      <c r="O499" s="81" t="s">
        <v>760</v>
      </c>
      <c r="P499" s="81" t="s">
        <v>215</v>
      </c>
      <c r="Q499" s="84" t="s">
        <v>1241</v>
      </c>
      <c r="R499" s="81" t="s">
        <v>572</v>
      </c>
      <c r="S499" s="81" t="s">
        <v>1901</v>
      </c>
      <c r="T499" s="86" t="str">
        <f>HYPERLINK("http://www.youtube.com/channel/UCi0fIYNdbzwQONlngaf4R1g")</f>
        <v>http://www.youtube.com/channel/UCi0fIYNdbzwQONlngaf4R1g</v>
      </c>
      <c r="U499" s="81"/>
      <c r="V499" s="81" t="s">
        <v>2319</v>
      </c>
      <c r="W499" s="86" t="str">
        <f>HYPERLINK("https://www.youtube.com/watch?v=7aRMkFHzJrc")</f>
        <v>https://www.youtube.com/watch?v=7aRMkFHzJrc</v>
      </c>
      <c r="X499" s="81" t="s">
        <v>2335</v>
      </c>
      <c r="Y499" s="81">
        <v>2</v>
      </c>
      <c r="Z499" s="88">
        <v>43137.41018518519</v>
      </c>
      <c r="AA499" s="88">
        <v>43137.41018518519</v>
      </c>
      <c r="AB499" s="81"/>
      <c r="AC499" s="81"/>
      <c r="AD499" s="84" t="s">
        <v>2782</v>
      </c>
      <c r="AE499" s="82">
        <v>1</v>
      </c>
      <c r="AF499" s="83" t="str">
        <f>REPLACE(INDEX(GroupVertices[Group],MATCH(Edges[[#This Row],[Vertex 1]],GroupVertices[Vertex],0)),1,1,"")</f>
        <v>1</v>
      </c>
      <c r="AG499" s="83" t="str">
        <f>REPLACE(INDEX(GroupVertices[Group],MATCH(Edges[[#This Row],[Vertex 2]],GroupVertices[Vertex],0)),1,1,"")</f>
        <v>1</v>
      </c>
      <c r="AH499" s="111">
        <v>2</v>
      </c>
      <c r="AI499" s="112">
        <v>6.451612903225806</v>
      </c>
      <c r="AJ499" s="111">
        <v>0</v>
      </c>
      <c r="AK499" s="112">
        <v>0</v>
      </c>
      <c r="AL499" s="111">
        <v>0</v>
      </c>
      <c r="AM499" s="112">
        <v>0</v>
      </c>
      <c r="AN499" s="111">
        <v>29</v>
      </c>
      <c r="AO499" s="112">
        <v>93.54838709677419</v>
      </c>
      <c r="AP499" s="111">
        <v>31</v>
      </c>
    </row>
    <row r="500" spans="1:42" ht="15">
      <c r="A500" s="65" t="s">
        <v>573</v>
      </c>
      <c r="B500" s="65" t="s">
        <v>575</v>
      </c>
      <c r="C500" s="66" t="s">
        <v>5345</v>
      </c>
      <c r="D500" s="67">
        <v>3</v>
      </c>
      <c r="E500" s="68"/>
      <c r="F500" s="69">
        <v>40</v>
      </c>
      <c r="G500" s="66"/>
      <c r="H500" s="70"/>
      <c r="I500" s="71"/>
      <c r="J500" s="71"/>
      <c r="K500" s="35" t="s">
        <v>65</v>
      </c>
      <c r="L500" s="79">
        <v>500</v>
      </c>
      <c r="M500" s="79"/>
      <c r="N500" s="73"/>
      <c r="O500" s="81" t="s">
        <v>761</v>
      </c>
      <c r="P500" s="81" t="s">
        <v>763</v>
      </c>
      <c r="Q500" s="84" t="s">
        <v>1242</v>
      </c>
      <c r="R500" s="81" t="s">
        <v>573</v>
      </c>
      <c r="S500" s="81" t="s">
        <v>1902</v>
      </c>
      <c r="T500" s="86" t="str">
        <f>HYPERLINK("http://www.youtube.com/channel/UC1rXwCS4owLa3J6U_hIYqvQ")</f>
        <v>http://www.youtube.com/channel/UC1rXwCS4owLa3J6U_hIYqvQ</v>
      </c>
      <c r="U500" s="81" t="s">
        <v>2206</v>
      </c>
      <c r="V500" s="81" t="s">
        <v>2319</v>
      </c>
      <c r="W500" s="86" t="str">
        <f>HYPERLINK("https://www.youtube.com/watch?v=7aRMkFHzJrc")</f>
        <v>https://www.youtube.com/watch?v=7aRMkFHzJrc</v>
      </c>
      <c r="X500" s="81" t="s">
        <v>2335</v>
      </c>
      <c r="Y500" s="81">
        <v>0</v>
      </c>
      <c r="Z500" s="88">
        <v>43263.4693287037</v>
      </c>
      <c r="AA500" s="88">
        <v>43263.4693287037</v>
      </c>
      <c r="AB500" s="81"/>
      <c r="AC500" s="81"/>
      <c r="AD500" s="84" t="s">
        <v>2782</v>
      </c>
      <c r="AE500" s="82">
        <v>1</v>
      </c>
      <c r="AF500" s="83" t="str">
        <f>REPLACE(INDEX(GroupVertices[Group],MATCH(Edges[[#This Row],[Vertex 1]],GroupVertices[Vertex],0)),1,1,"")</f>
        <v>1</v>
      </c>
      <c r="AG500" s="83" t="str">
        <f>REPLACE(INDEX(GroupVertices[Group],MATCH(Edges[[#This Row],[Vertex 2]],GroupVertices[Vertex],0)),1,1,"")</f>
        <v>1</v>
      </c>
      <c r="AH500" s="111">
        <v>2</v>
      </c>
      <c r="AI500" s="112">
        <v>20</v>
      </c>
      <c r="AJ500" s="111">
        <v>0</v>
      </c>
      <c r="AK500" s="112">
        <v>0</v>
      </c>
      <c r="AL500" s="111">
        <v>0</v>
      </c>
      <c r="AM500" s="112">
        <v>0</v>
      </c>
      <c r="AN500" s="111">
        <v>8</v>
      </c>
      <c r="AO500" s="112">
        <v>80</v>
      </c>
      <c r="AP500" s="111">
        <v>10</v>
      </c>
    </row>
    <row r="501" spans="1:42" ht="15">
      <c r="A501" s="65" t="s">
        <v>574</v>
      </c>
      <c r="B501" s="65" t="s">
        <v>287</v>
      </c>
      <c r="C501" s="66" t="s">
        <v>5345</v>
      </c>
      <c r="D501" s="67">
        <v>3</v>
      </c>
      <c r="E501" s="68"/>
      <c r="F501" s="69">
        <v>40</v>
      </c>
      <c r="G501" s="66"/>
      <c r="H501" s="70"/>
      <c r="I501" s="71"/>
      <c r="J501" s="71"/>
      <c r="K501" s="35" t="s">
        <v>65</v>
      </c>
      <c r="L501" s="79">
        <v>501</v>
      </c>
      <c r="M501" s="79"/>
      <c r="N501" s="73"/>
      <c r="O501" s="81" t="s">
        <v>760</v>
      </c>
      <c r="P501" s="81" t="s">
        <v>215</v>
      </c>
      <c r="Q501" s="84" t="s">
        <v>1243</v>
      </c>
      <c r="R501" s="81" t="s">
        <v>574</v>
      </c>
      <c r="S501" s="81" t="s">
        <v>1886</v>
      </c>
      <c r="T501" s="86" t="str">
        <f>HYPERLINK("http://www.youtube.com/channel/UCr3sO1VgTWPhTNTBuRPZc4w")</f>
        <v>http://www.youtube.com/channel/UCr3sO1VgTWPhTNTBuRPZc4w</v>
      </c>
      <c r="U501" s="81"/>
      <c r="V501" s="81" t="s">
        <v>2313</v>
      </c>
      <c r="W501" s="86" t="str">
        <f>HYPERLINK("https://www.youtube.com/watch?v=-EA6GvKa0EA")</f>
        <v>https://www.youtube.com/watch?v=-EA6GvKa0EA</v>
      </c>
      <c r="X501" s="81" t="s">
        <v>2335</v>
      </c>
      <c r="Y501" s="81">
        <v>0</v>
      </c>
      <c r="Z501" s="81" t="s">
        <v>2558</v>
      </c>
      <c r="AA501" s="81" t="s">
        <v>2558</v>
      </c>
      <c r="AB501" s="81"/>
      <c r="AC501" s="81"/>
      <c r="AD501" s="84" t="s">
        <v>2782</v>
      </c>
      <c r="AE501" s="82">
        <v>1</v>
      </c>
      <c r="AF501" s="83" t="str">
        <f>REPLACE(INDEX(GroupVertices[Group],MATCH(Edges[[#This Row],[Vertex 1]],GroupVertices[Vertex],0)),1,1,"")</f>
        <v>1</v>
      </c>
      <c r="AG501" s="83" t="str">
        <f>REPLACE(INDEX(GroupVertices[Group],MATCH(Edges[[#This Row],[Vertex 2]],GroupVertices[Vertex],0)),1,1,"")</f>
        <v>1</v>
      </c>
      <c r="AH501" s="111">
        <v>1</v>
      </c>
      <c r="AI501" s="112">
        <v>1.25</v>
      </c>
      <c r="AJ501" s="111">
        <v>1</v>
      </c>
      <c r="AK501" s="112">
        <v>1.25</v>
      </c>
      <c r="AL501" s="111">
        <v>0</v>
      </c>
      <c r="AM501" s="112">
        <v>0</v>
      </c>
      <c r="AN501" s="111">
        <v>78</v>
      </c>
      <c r="AO501" s="112">
        <v>97.5</v>
      </c>
      <c r="AP501" s="111">
        <v>80</v>
      </c>
    </row>
    <row r="502" spans="1:42" ht="15">
      <c r="A502" s="65" t="s">
        <v>574</v>
      </c>
      <c r="B502" s="65" t="s">
        <v>575</v>
      </c>
      <c r="C502" s="66" t="s">
        <v>5345</v>
      </c>
      <c r="D502" s="67">
        <v>3</v>
      </c>
      <c r="E502" s="68"/>
      <c r="F502" s="69">
        <v>40</v>
      </c>
      <c r="G502" s="66"/>
      <c r="H502" s="70"/>
      <c r="I502" s="71"/>
      <c r="J502" s="71"/>
      <c r="K502" s="35" t="s">
        <v>65</v>
      </c>
      <c r="L502" s="79">
        <v>502</v>
      </c>
      <c r="M502" s="79"/>
      <c r="N502" s="73"/>
      <c r="O502" s="81" t="s">
        <v>761</v>
      </c>
      <c r="P502" s="81" t="s">
        <v>763</v>
      </c>
      <c r="Q502" s="84" t="s">
        <v>1244</v>
      </c>
      <c r="R502" s="81" t="s">
        <v>574</v>
      </c>
      <c r="S502" s="81" t="s">
        <v>1886</v>
      </c>
      <c r="T502" s="86" t="str">
        <f>HYPERLINK("http://www.youtube.com/channel/UCr3sO1VgTWPhTNTBuRPZc4w")</f>
        <v>http://www.youtube.com/channel/UCr3sO1VgTWPhTNTBuRPZc4w</v>
      </c>
      <c r="U502" s="81" t="s">
        <v>2206</v>
      </c>
      <c r="V502" s="81" t="s">
        <v>2319</v>
      </c>
      <c r="W502" s="86" t="str">
        <f>HYPERLINK("https://www.youtube.com/watch?v=7aRMkFHzJrc")</f>
        <v>https://www.youtube.com/watch?v=7aRMkFHzJrc</v>
      </c>
      <c r="X502" s="81" t="s">
        <v>2335</v>
      </c>
      <c r="Y502" s="81">
        <v>0</v>
      </c>
      <c r="Z502" s="81" t="s">
        <v>2559</v>
      </c>
      <c r="AA502" s="81" t="s">
        <v>2559</v>
      </c>
      <c r="AB502" s="81"/>
      <c r="AC502" s="81"/>
      <c r="AD502" s="84" t="s">
        <v>2782</v>
      </c>
      <c r="AE502" s="82">
        <v>1</v>
      </c>
      <c r="AF502" s="83" t="str">
        <f>REPLACE(INDEX(GroupVertices[Group],MATCH(Edges[[#This Row],[Vertex 1]],GroupVertices[Vertex],0)),1,1,"")</f>
        <v>1</v>
      </c>
      <c r="AG502" s="83" t="str">
        <f>REPLACE(INDEX(GroupVertices[Group],MATCH(Edges[[#This Row],[Vertex 2]],GroupVertices[Vertex],0)),1,1,"")</f>
        <v>1</v>
      </c>
      <c r="AH502" s="111">
        <v>1</v>
      </c>
      <c r="AI502" s="112">
        <v>6.666666666666667</v>
      </c>
      <c r="AJ502" s="111">
        <v>0</v>
      </c>
      <c r="AK502" s="112">
        <v>0</v>
      </c>
      <c r="AL502" s="111">
        <v>0</v>
      </c>
      <c r="AM502" s="112">
        <v>0</v>
      </c>
      <c r="AN502" s="111">
        <v>14</v>
      </c>
      <c r="AO502" s="112">
        <v>93.33333333333333</v>
      </c>
      <c r="AP502" s="111">
        <v>15</v>
      </c>
    </row>
    <row r="503" spans="1:42" ht="15">
      <c r="A503" s="65" t="s">
        <v>287</v>
      </c>
      <c r="B503" s="65" t="s">
        <v>575</v>
      </c>
      <c r="C503" s="66" t="s">
        <v>5346</v>
      </c>
      <c r="D503" s="67">
        <v>10</v>
      </c>
      <c r="E503" s="68"/>
      <c r="F503" s="69">
        <v>15</v>
      </c>
      <c r="G503" s="66"/>
      <c r="H503" s="70"/>
      <c r="I503" s="71"/>
      <c r="J503" s="71"/>
      <c r="K503" s="35" t="s">
        <v>66</v>
      </c>
      <c r="L503" s="79">
        <v>503</v>
      </c>
      <c r="M503" s="79"/>
      <c r="N503" s="73"/>
      <c r="O503" s="81" t="s">
        <v>761</v>
      </c>
      <c r="P503" s="81" t="s">
        <v>763</v>
      </c>
      <c r="Q503" s="84" t="s">
        <v>1245</v>
      </c>
      <c r="R503" s="81" t="s">
        <v>287</v>
      </c>
      <c r="S503" s="81" t="s">
        <v>1616</v>
      </c>
      <c r="T503" s="86" t="str">
        <f>HYPERLINK("http://www.youtube.com/channel/UCbUhO-tut97b5IQhZ3i7TMA")</f>
        <v>http://www.youtube.com/channel/UCbUhO-tut97b5IQhZ3i7TMA</v>
      </c>
      <c r="U503" s="81" t="s">
        <v>2207</v>
      </c>
      <c r="V503" s="81" t="s">
        <v>2311</v>
      </c>
      <c r="W503" s="86" t="str">
        <f>HYPERLINK("https://www.youtube.com/watch?v=DrCnSoZUXAc")</f>
        <v>https://www.youtube.com/watch?v=DrCnSoZUXAc</v>
      </c>
      <c r="X503" s="81" t="s">
        <v>2335</v>
      </c>
      <c r="Y503" s="81">
        <v>0</v>
      </c>
      <c r="Z503" s="88">
        <v>43318.98769675926</v>
      </c>
      <c r="AA503" s="88">
        <v>43318.98769675926</v>
      </c>
      <c r="AB503" s="81"/>
      <c r="AC503" s="81"/>
      <c r="AD503" s="84" t="s">
        <v>2782</v>
      </c>
      <c r="AE503" s="82">
        <v>2</v>
      </c>
      <c r="AF503" s="83" t="str">
        <f>REPLACE(INDEX(GroupVertices[Group],MATCH(Edges[[#This Row],[Vertex 1]],GroupVertices[Vertex],0)),1,1,"")</f>
        <v>1</v>
      </c>
      <c r="AG503" s="83" t="str">
        <f>REPLACE(INDEX(GroupVertices[Group],MATCH(Edges[[#This Row],[Vertex 2]],GroupVertices[Vertex],0)),1,1,"")</f>
        <v>1</v>
      </c>
      <c r="AH503" s="111">
        <v>2</v>
      </c>
      <c r="AI503" s="112">
        <v>11.764705882352942</v>
      </c>
      <c r="AJ503" s="111">
        <v>1</v>
      </c>
      <c r="AK503" s="112">
        <v>5.882352941176471</v>
      </c>
      <c r="AL503" s="111">
        <v>0</v>
      </c>
      <c r="AM503" s="112">
        <v>0</v>
      </c>
      <c r="AN503" s="111">
        <v>14</v>
      </c>
      <c r="AO503" s="112">
        <v>82.3529411764706</v>
      </c>
      <c r="AP503" s="111">
        <v>17</v>
      </c>
    </row>
    <row r="504" spans="1:42" ht="15">
      <c r="A504" s="65" t="s">
        <v>575</v>
      </c>
      <c r="B504" s="65" t="s">
        <v>287</v>
      </c>
      <c r="C504" s="66" t="s">
        <v>5346</v>
      </c>
      <c r="D504" s="67">
        <v>10</v>
      </c>
      <c r="E504" s="68"/>
      <c r="F504" s="69">
        <v>15</v>
      </c>
      <c r="G504" s="66"/>
      <c r="H504" s="70"/>
      <c r="I504" s="71"/>
      <c r="J504" s="71"/>
      <c r="K504" s="35" t="s">
        <v>66</v>
      </c>
      <c r="L504" s="79">
        <v>504</v>
      </c>
      <c r="M504" s="79"/>
      <c r="N504" s="73"/>
      <c r="O504" s="81" t="s">
        <v>760</v>
      </c>
      <c r="P504" s="81" t="s">
        <v>215</v>
      </c>
      <c r="Q504" s="84" t="s">
        <v>1246</v>
      </c>
      <c r="R504" s="81" t="s">
        <v>575</v>
      </c>
      <c r="S504" s="81" t="s">
        <v>1903</v>
      </c>
      <c r="T504" s="86" t="str">
        <f>HYPERLINK("http://www.youtube.com/channel/UCyQWSZRDX6UkSsnAHKTZYug")</f>
        <v>http://www.youtube.com/channel/UCyQWSZRDX6UkSsnAHKTZYug</v>
      </c>
      <c r="U504" s="81"/>
      <c r="V504" s="81" t="s">
        <v>2311</v>
      </c>
      <c r="W504" s="86" t="str">
        <f>HYPERLINK("https://www.youtube.com/watch?v=DrCnSoZUXAc")</f>
        <v>https://www.youtube.com/watch?v=DrCnSoZUXAc</v>
      </c>
      <c r="X504" s="81" t="s">
        <v>2335</v>
      </c>
      <c r="Y504" s="81">
        <v>0</v>
      </c>
      <c r="Z504" s="88">
        <v>43318.01765046296</v>
      </c>
      <c r="AA504" s="88">
        <v>43318.01765046296</v>
      </c>
      <c r="AB504" s="81"/>
      <c r="AC504" s="81"/>
      <c r="AD504" s="84" t="s">
        <v>2782</v>
      </c>
      <c r="AE504" s="82">
        <v>2</v>
      </c>
      <c r="AF504" s="83" t="str">
        <f>REPLACE(INDEX(GroupVertices[Group],MATCH(Edges[[#This Row],[Vertex 1]],GroupVertices[Vertex],0)),1,1,"")</f>
        <v>1</v>
      </c>
      <c r="AG504" s="83" t="str">
        <f>REPLACE(INDEX(GroupVertices[Group],MATCH(Edges[[#This Row],[Vertex 2]],GroupVertices[Vertex],0)),1,1,"")</f>
        <v>1</v>
      </c>
      <c r="AH504" s="111">
        <v>4</v>
      </c>
      <c r="AI504" s="112">
        <v>9.75609756097561</v>
      </c>
      <c r="AJ504" s="111">
        <v>2</v>
      </c>
      <c r="AK504" s="112">
        <v>4.878048780487805</v>
      </c>
      <c r="AL504" s="111">
        <v>0</v>
      </c>
      <c r="AM504" s="112">
        <v>0</v>
      </c>
      <c r="AN504" s="111">
        <v>35</v>
      </c>
      <c r="AO504" s="112">
        <v>85.36585365853658</v>
      </c>
      <c r="AP504" s="111">
        <v>41</v>
      </c>
    </row>
    <row r="505" spans="1:42" ht="15">
      <c r="A505" s="65" t="s">
        <v>287</v>
      </c>
      <c r="B505" s="65" t="s">
        <v>575</v>
      </c>
      <c r="C505" s="66" t="s">
        <v>5346</v>
      </c>
      <c r="D505" s="67">
        <v>10</v>
      </c>
      <c r="E505" s="68"/>
      <c r="F505" s="69">
        <v>15</v>
      </c>
      <c r="G505" s="66"/>
      <c r="H505" s="70"/>
      <c r="I505" s="71"/>
      <c r="J505" s="71"/>
      <c r="K505" s="35" t="s">
        <v>66</v>
      </c>
      <c r="L505" s="79">
        <v>505</v>
      </c>
      <c r="M505" s="79"/>
      <c r="N505" s="73"/>
      <c r="O505" s="81" t="s">
        <v>761</v>
      </c>
      <c r="P505" s="81" t="s">
        <v>763</v>
      </c>
      <c r="Q505" s="84" t="s">
        <v>1247</v>
      </c>
      <c r="R505" s="81" t="s">
        <v>287</v>
      </c>
      <c r="S505" s="81" t="s">
        <v>1616</v>
      </c>
      <c r="T505" s="86" t="str">
        <f>HYPERLINK("http://www.youtube.com/channel/UCbUhO-tut97b5IQhZ3i7TMA")</f>
        <v>http://www.youtube.com/channel/UCbUhO-tut97b5IQhZ3i7TMA</v>
      </c>
      <c r="U505" s="81" t="s">
        <v>2206</v>
      </c>
      <c r="V505" s="81" t="s">
        <v>2319</v>
      </c>
      <c r="W505" s="86" t="str">
        <f>HYPERLINK("https://www.youtube.com/watch?v=7aRMkFHzJrc")</f>
        <v>https://www.youtube.com/watch?v=7aRMkFHzJrc</v>
      </c>
      <c r="X505" s="81" t="s">
        <v>2335</v>
      </c>
      <c r="Y505" s="81">
        <v>0</v>
      </c>
      <c r="Z505" s="88">
        <v>43137.525034722225</v>
      </c>
      <c r="AA505" s="88">
        <v>43137.525034722225</v>
      </c>
      <c r="AB505" s="81"/>
      <c r="AC505" s="81"/>
      <c r="AD505" s="84" t="s">
        <v>2782</v>
      </c>
      <c r="AE505" s="82">
        <v>2</v>
      </c>
      <c r="AF505" s="83" t="str">
        <f>REPLACE(INDEX(GroupVertices[Group],MATCH(Edges[[#This Row],[Vertex 1]],GroupVertices[Vertex],0)),1,1,"")</f>
        <v>1</v>
      </c>
      <c r="AG505" s="83" t="str">
        <f>REPLACE(INDEX(GroupVertices[Group],MATCH(Edges[[#This Row],[Vertex 2]],GroupVertices[Vertex],0)),1,1,"")</f>
        <v>1</v>
      </c>
      <c r="AH505" s="111">
        <v>0</v>
      </c>
      <c r="AI505" s="112">
        <v>0</v>
      </c>
      <c r="AJ505" s="111">
        <v>0</v>
      </c>
      <c r="AK505" s="112">
        <v>0</v>
      </c>
      <c r="AL505" s="111">
        <v>0</v>
      </c>
      <c r="AM505" s="112">
        <v>0</v>
      </c>
      <c r="AN505" s="111">
        <v>13</v>
      </c>
      <c r="AO505" s="112">
        <v>100</v>
      </c>
      <c r="AP505" s="111">
        <v>13</v>
      </c>
    </row>
    <row r="506" spans="1:42" ht="15">
      <c r="A506" s="65" t="s">
        <v>575</v>
      </c>
      <c r="B506" s="65" t="s">
        <v>287</v>
      </c>
      <c r="C506" s="66" t="s">
        <v>5346</v>
      </c>
      <c r="D506" s="67">
        <v>10</v>
      </c>
      <c r="E506" s="68"/>
      <c r="F506" s="69">
        <v>15</v>
      </c>
      <c r="G506" s="66"/>
      <c r="H506" s="70"/>
      <c r="I506" s="71"/>
      <c r="J506" s="71"/>
      <c r="K506" s="35" t="s">
        <v>66</v>
      </c>
      <c r="L506" s="79">
        <v>506</v>
      </c>
      <c r="M506" s="79"/>
      <c r="N506" s="73"/>
      <c r="O506" s="81" t="s">
        <v>760</v>
      </c>
      <c r="P506" s="81" t="s">
        <v>215</v>
      </c>
      <c r="Q506" s="84" t="s">
        <v>1248</v>
      </c>
      <c r="R506" s="81" t="s">
        <v>575</v>
      </c>
      <c r="S506" s="81" t="s">
        <v>1903</v>
      </c>
      <c r="T506" s="86" t="str">
        <f>HYPERLINK("http://www.youtube.com/channel/UCyQWSZRDX6UkSsnAHKTZYug")</f>
        <v>http://www.youtube.com/channel/UCyQWSZRDX6UkSsnAHKTZYug</v>
      </c>
      <c r="U506" s="81"/>
      <c r="V506" s="81" t="s">
        <v>2319</v>
      </c>
      <c r="W506" s="86" t="str">
        <f>HYPERLINK("https://www.youtube.com/watch?v=7aRMkFHzJrc")</f>
        <v>https://www.youtube.com/watch?v=7aRMkFHzJrc</v>
      </c>
      <c r="X506" s="81" t="s">
        <v>2335</v>
      </c>
      <c r="Y506" s="81">
        <v>2</v>
      </c>
      <c r="Z506" s="88">
        <v>43137.52421296296</v>
      </c>
      <c r="AA506" s="88">
        <v>43137.52421296296</v>
      </c>
      <c r="AB506" s="81"/>
      <c r="AC506" s="81"/>
      <c r="AD506" s="84" t="s">
        <v>2782</v>
      </c>
      <c r="AE506" s="82">
        <v>2</v>
      </c>
      <c r="AF506" s="83" t="str">
        <f>REPLACE(INDEX(GroupVertices[Group],MATCH(Edges[[#This Row],[Vertex 1]],GroupVertices[Vertex],0)),1,1,"")</f>
        <v>1</v>
      </c>
      <c r="AG506" s="83" t="str">
        <f>REPLACE(INDEX(GroupVertices[Group],MATCH(Edges[[#This Row],[Vertex 2]],GroupVertices[Vertex],0)),1,1,"")</f>
        <v>1</v>
      </c>
      <c r="AH506" s="111">
        <v>2</v>
      </c>
      <c r="AI506" s="112">
        <v>4.761904761904762</v>
      </c>
      <c r="AJ506" s="111">
        <v>2</v>
      </c>
      <c r="AK506" s="112">
        <v>4.761904761904762</v>
      </c>
      <c r="AL506" s="111">
        <v>0</v>
      </c>
      <c r="AM506" s="112">
        <v>0</v>
      </c>
      <c r="AN506" s="111">
        <v>38</v>
      </c>
      <c r="AO506" s="112">
        <v>90.47619047619048</v>
      </c>
      <c r="AP506" s="111">
        <v>42</v>
      </c>
    </row>
    <row r="507" spans="1:42" ht="15">
      <c r="A507" s="65" t="s">
        <v>287</v>
      </c>
      <c r="B507" s="65" t="s">
        <v>576</v>
      </c>
      <c r="C507" s="66" t="s">
        <v>5345</v>
      </c>
      <c r="D507" s="67">
        <v>3</v>
      </c>
      <c r="E507" s="68"/>
      <c r="F507" s="69">
        <v>40</v>
      </c>
      <c r="G507" s="66"/>
      <c r="H507" s="70"/>
      <c r="I507" s="71"/>
      <c r="J507" s="71"/>
      <c r="K507" s="35" t="s">
        <v>66</v>
      </c>
      <c r="L507" s="79">
        <v>507</v>
      </c>
      <c r="M507" s="79"/>
      <c r="N507" s="73"/>
      <c r="O507" s="81" t="s">
        <v>761</v>
      </c>
      <c r="P507" s="81" t="s">
        <v>763</v>
      </c>
      <c r="Q507" s="84" t="s">
        <v>1249</v>
      </c>
      <c r="R507" s="81" t="s">
        <v>287</v>
      </c>
      <c r="S507" s="81" t="s">
        <v>1616</v>
      </c>
      <c r="T507" s="86" t="str">
        <f>HYPERLINK("http://www.youtube.com/channel/UCbUhO-tut97b5IQhZ3i7TMA")</f>
        <v>http://www.youtube.com/channel/UCbUhO-tut97b5IQhZ3i7TMA</v>
      </c>
      <c r="U507" s="81" t="s">
        <v>2208</v>
      </c>
      <c r="V507" s="81" t="s">
        <v>2319</v>
      </c>
      <c r="W507" s="86" t="str">
        <f>HYPERLINK("https://www.youtube.com/watch?v=7aRMkFHzJrc")</f>
        <v>https://www.youtube.com/watch?v=7aRMkFHzJrc</v>
      </c>
      <c r="X507" s="81" t="s">
        <v>2335</v>
      </c>
      <c r="Y507" s="81">
        <v>1</v>
      </c>
      <c r="Z507" s="88">
        <v>43137.6400462963</v>
      </c>
      <c r="AA507" s="88">
        <v>43137.6400462963</v>
      </c>
      <c r="AB507" s="81"/>
      <c r="AC507" s="81"/>
      <c r="AD507" s="84" t="s">
        <v>2782</v>
      </c>
      <c r="AE507" s="82">
        <v>1</v>
      </c>
      <c r="AF507" s="83" t="str">
        <f>REPLACE(INDEX(GroupVertices[Group],MATCH(Edges[[#This Row],[Vertex 1]],GroupVertices[Vertex],0)),1,1,"")</f>
        <v>1</v>
      </c>
      <c r="AG507" s="83" t="str">
        <f>REPLACE(INDEX(GroupVertices[Group],MATCH(Edges[[#This Row],[Vertex 2]],GroupVertices[Vertex],0)),1,1,"")</f>
        <v>1</v>
      </c>
      <c r="AH507" s="111">
        <v>2</v>
      </c>
      <c r="AI507" s="112">
        <v>10.526315789473685</v>
      </c>
      <c r="AJ507" s="111">
        <v>0</v>
      </c>
      <c r="AK507" s="112">
        <v>0</v>
      </c>
      <c r="AL507" s="111">
        <v>0</v>
      </c>
      <c r="AM507" s="112">
        <v>0</v>
      </c>
      <c r="AN507" s="111">
        <v>17</v>
      </c>
      <c r="AO507" s="112">
        <v>89.47368421052632</v>
      </c>
      <c r="AP507" s="111">
        <v>19</v>
      </c>
    </row>
    <row r="508" spans="1:42" ht="15">
      <c r="A508" s="65" t="s">
        <v>576</v>
      </c>
      <c r="B508" s="65" t="s">
        <v>287</v>
      </c>
      <c r="C508" s="66" t="s">
        <v>5345</v>
      </c>
      <c r="D508" s="67">
        <v>3</v>
      </c>
      <c r="E508" s="68"/>
      <c r="F508" s="69">
        <v>40</v>
      </c>
      <c r="G508" s="66"/>
      <c r="H508" s="70"/>
      <c r="I508" s="71"/>
      <c r="J508" s="71"/>
      <c r="K508" s="35" t="s">
        <v>66</v>
      </c>
      <c r="L508" s="79">
        <v>508</v>
      </c>
      <c r="M508" s="79"/>
      <c r="N508" s="73"/>
      <c r="O508" s="81" t="s">
        <v>760</v>
      </c>
      <c r="P508" s="81" t="s">
        <v>215</v>
      </c>
      <c r="Q508" s="84" t="s">
        <v>1250</v>
      </c>
      <c r="R508" s="81" t="s">
        <v>576</v>
      </c>
      <c r="S508" s="81" t="s">
        <v>1904</v>
      </c>
      <c r="T508" s="86" t="str">
        <f>HYPERLINK("http://www.youtube.com/channel/UCflxwelBW5KihRIvH-lVYDA")</f>
        <v>http://www.youtube.com/channel/UCflxwelBW5KihRIvH-lVYDA</v>
      </c>
      <c r="U508" s="81"/>
      <c r="V508" s="81" t="s">
        <v>2319</v>
      </c>
      <c r="W508" s="86" t="str">
        <f>HYPERLINK("https://www.youtube.com/watch?v=7aRMkFHzJrc")</f>
        <v>https://www.youtube.com/watch?v=7aRMkFHzJrc</v>
      </c>
      <c r="X508" s="81" t="s">
        <v>2335</v>
      </c>
      <c r="Y508" s="81">
        <v>1</v>
      </c>
      <c r="Z508" s="88">
        <v>43137.52648148148</v>
      </c>
      <c r="AA508" s="88">
        <v>43137.52648148148</v>
      </c>
      <c r="AB508" s="81"/>
      <c r="AC508" s="81"/>
      <c r="AD508" s="84" t="s">
        <v>2782</v>
      </c>
      <c r="AE508" s="82">
        <v>1</v>
      </c>
      <c r="AF508" s="83" t="str">
        <f>REPLACE(INDEX(GroupVertices[Group],MATCH(Edges[[#This Row],[Vertex 1]],GroupVertices[Vertex],0)),1,1,"")</f>
        <v>1</v>
      </c>
      <c r="AG508" s="83" t="str">
        <f>REPLACE(INDEX(GroupVertices[Group],MATCH(Edges[[#This Row],[Vertex 2]],GroupVertices[Vertex],0)),1,1,"")</f>
        <v>1</v>
      </c>
      <c r="AH508" s="111">
        <v>3</v>
      </c>
      <c r="AI508" s="112">
        <v>5.454545454545454</v>
      </c>
      <c r="AJ508" s="111">
        <v>0</v>
      </c>
      <c r="AK508" s="112">
        <v>0</v>
      </c>
      <c r="AL508" s="111">
        <v>0</v>
      </c>
      <c r="AM508" s="112">
        <v>0</v>
      </c>
      <c r="AN508" s="111">
        <v>52</v>
      </c>
      <c r="AO508" s="112">
        <v>94.54545454545455</v>
      </c>
      <c r="AP508" s="111">
        <v>55</v>
      </c>
    </row>
    <row r="509" spans="1:42" ht="15">
      <c r="A509" s="65" t="s">
        <v>287</v>
      </c>
      <c r="B509" s="65" t="s">
        <v>577</v>
      </c>
      <c r="C509" s="66" t="s">
        <v>5346</v>
      </c>
      <c r="D509" s="67">
        <v>10</v>
      </c>
      <c r="E509" s="68"/>
      <c r="F509" s="69">
        <v>15</v>
      </c>
      <c r="G509" s="66"/>
      <c r="H509" s="70"/>
      <c r="I509" s="71"/>
      <c r="J509" s="71"/>
      <c r="K509" s="35" t="s">
        <v>66</v>
      </c>
      <c r="L509" s="79">
        <v>509</v>
      </c>
      <c r="M509" s="79"/>
      <c r="N509" s="73"/>
      <c r="O509" s="81" t="s">
        <v>761</v>
      </c>
      <c r="P509" s="81" t="s">
        <v>763</v>
      </c>
      <c r="Q509" s="84" t="s">
        <v>1251</v>
      </c>
      <c r="R509" s="81" t="s">
        <v>287</v>
      </c>
      <c r="S509" s="81" t="s">
        <v>1616</v>
      </c>
      <c r="T509" s="86" t="str">
        <f>HYPERLINK("http://www.youtube.com/channel/UCbUhO-tut97b5IQhZ3i7TMA")</f>
        <v>http://www.youtube.com/channel/UCbUhO-tut97b5IQhZ3i7TMA</v>
      </c>
      <c r="U509" s="81" t="s">
        <v>2209</v>
      </c>
      <c r="V509" s="81" t="s">
        <v>2311</v>
      </c>
      <c r="W509" s="86" t="str">
        <f>HYPERLINK("https://www.youtube.com/watch?v=DrCnSoZUXAc")</f>
        <v>https://www.youtube.com/watch?v=DrCnSoZUXAc</v>
      </c>
      <c r="X509" s="81" t="s">
        <v>2335</v>
      </c>
      <c r="Y509" s="81">
        <v>0</v>
      </c>
      <c r="Z509" s="88">
        <v>43318.987025462964</v>
      </c>
      <c r="AA509" s="88">
        <v>43318.987025462964</v>
      </c>
      <c r="AB509" s="81"/>
      <c r="AC509" s="81"/>
      <c r="AD509" s="84" t="s">
        <v>2782</v>
      </c>
      <c r="AE509" s="82">
        <v>2</v>
      </c>
      <c r="AF509" s="83" t="str">
        <f>REPLACE(INDEX(GroupVertices[Group],MATCH(Edges[[#This Row],[Vertex 1]],GroupVertices[Vertex],0)),1,1,"")</f>
        <v>1</v>
      </c>
      <c r="AG509" s="83" t="str">
        <f>REPLACE(INDEX(GroupVertices[Group],MATCH(Edges[[#This Row],[Vertex 2]],GroupVertices[Vertex],0)),1,1,"")</f>
        <v>1</v>
      </c>
      <c r="AH509" s="111">
        <v>2</v>
      </c>
      <c r="AI509" s="112">
        <v>12.5</v>
      </c>
      <c r="AJ509" s="111">
        <v>0</v>
      </c>
      <c r="AK509" s="112">
        <v>0</v>
      </c>
      <c r="AL509" s="111">
        <v>0</v>
      </c>
      <c r="AM509" s="112">
        <v>0</v>
      </c>
      <c r="AN509" s="111">
        <v>14</v>
      </c>
      <c r="AO509" s="112">
        <v>87.5</v>
      </c>
      <c r="AP509" s="111">
        <v>16</v>
      </c>
    </row>
    <row r="510" spans="1:42" ht="15">
      <c r="A510" s="65" t="s">
        <v>577</v>
      </c>
      <c r="B510" s="65" t="s">
        <v>287</v>
      </c>
      <c r="C510" s="66" t="s">
        <v>5346</v>
      </c>
      <c r="D510" s="67">
        <v>10</v>
      </c>
      <c r="E510" s="68"/>
      <c r="F510" s="69">
        <v>15</v>
      </c>
      <c r="G510" s="66"/>
      <c r="H510" s="70"/>
      <c r="I510" s="71"/>
      <c r="J510" s="71"/>
      <c r="K510" s="35" t="s">
        <v>66</v>
      </c>
      <c r="L510" s="79">
        <v>510</v>
      </c>
      <c r="M510" s="79"/>
      <c r="N510" s="73"/>
      <c r="O510" s="81" t="s">
        <v>760</v>
      </c>
      <c r="P510" s="81" t="s">
        <v>215</v>
      </c>
      <c r="Q510" s="84" t="s">
        <v>1252</v>
      </c>
      <c r="R510" s="81" t="s">
        <v>577</v>
      </c>
      <c r="S510" s="81" t="s">
        <v>1905</v>
      </c>
      <c r="T510" s="86" t="str">
        <f>HYPERLINK("http://www.youtube.com/channel/UCwtir0D7FKA3RStNlwKy7zA")</f>
        <v>http://www.youtube.com/channel/UCwtir0D7FKA3RStNlwKy7zA</v>
      </c>
      <c r="U510" s="81"/>
      <c r="V510" s="81" t="s">
        <v>2311</v>
      </c>
      <c r="W510" s="86" t="str">
        <f>HYPERLINK("https://www.youtube.com/watch?v=DrCnSoZUXAc")</f>
        <v>https://www.youtube.com/watch?v=DrCnSoZUXAc</v>
      </c>
      <c r="X510" s="81" t="s">
        <v>2335</v>
      </c>
      <c r="Y510" s="81">
        <v>0</v>
      </c>
      <c r="Z510" s="88">
        <v>43318.08493055555</v>
      </c>
      <c r="AA510" s="88">
        <v>43318.08493055555</v>
      </c>
      <c r="AB510" s="81"/>
      <c r="AC510" s="81"/>
      <c r="AD510" s="84" t="s">
        <v>2782</v>
      </c>
      <c r="AE510" s="82">
        <v>2</v>
      </c>
      <c r="AF510" s="83" t="str">
        <f>REPLACE(INDEX(GroupVertices[Group],MATCH(Edges[[#This Row],[Vertex 1]],GroupVertices[Vertex],0)),1,1,"")</f>
        <v>1</v>
      </c>
      <c r="AG510" s="83" t="str">
        <f>REPLACE(INDEX(GroupVertices[Group],MATCH(Edges[[#This Row],[Vertex 2]],GroupVertices[Vertex],0)),1,1,"")</f>
        <v>1</v>
      </c>
      <c r="AH510" s="111">
        <v>2</v>
      </c>
      <c r="AI510" s="112">
        <v>18.181818181818183</v>
      </c>
      <c r="AJ510" s="111">
        <v>0</v>
      </c>
      <c r="AK510" s="112">
        <v>0</v>
      </c>
      <c r="AL510" s="111">
        <v>0</v>
      </c>
      <c r="AM510" s="112">
        <v>0</v>
      </c>
      <c r="AN510" s="111">
        <v>9</v>
      </c>
      <c r="AO510" s="112">
        <v>81.81818181818181</v>
      </c>
      <c r="AP510" s="111">
        <v>11</v>
      </c>
    </row>
    <row r="511" spans="1:42" ht="15">
      <c r="A511" s="65" t="s">
        <v>287</v>
      </c>
      <c r="B511" s="65" t="s">
        <v>577</v>
      </c>
      <c r="C511" s="66" t="s">
        <v>5346</v>
      </c>
      <c r="D511" s="67">
        <v>10</v>
      </c>
      <c r="E511" s="68"/>
      <c r="F511" s="69">
        <v>15</v>
      </c>
      <c r="G511" s="66"/>
      <c r="H511" s="70"/>
      <c r="I511" s="71"/>
      <c r="J511" s="71"/>
      <c r="K511" s="35" t="s">
        <v>66</v>
      </c>
      <c r="L511" s="79">
        <v>511</v>
      </c>
      <c r="M511" s="79"/>
      <c r="N511" s="73"/>
      <c r="O511" s="81" t="s">
        <v>761</v>
      </c>
      <c r="P511" s="81" t="s">
        <v>763</v>
      </c>
      <c r="Q511" s="84" t="s">
        <v>1253</v>
      </c>
      <c r="R511" s="81" t="s">
        <v>287</v>
      </c>
      <c r="S511" s="81" t="s">
        <v>1616</v>
      </c>
      <c r="T511" s="86" t="str">
        <f>HYPERLINK("http://www.youtube.com/channel/UCbUhO-tut97b5IQhZ3i7TMA")</f>
        <v>http://www.youtube.com/channel/UCbUhO-tut97b5IQhZ3i7TMA</v>
      </c>
      <c r="U511" s="81" t="s">
        <v>2210</v>
      </c>
      <c r="V511" s="81" t="s">
        <v>2319</v>
      </c>
      <c r="W511" s="86" t="str">
        <f>HYPERLINK("https://www.youtube.com/watch?v=7aRMkFHzJrc")</f>
        <v>https://www.youtube.com/watch?v=7aRMkFHzJrc</v>
      </c>
      <c r="X511" s="81" t="s">
        <v>2335</v>
      </c>
      <c r="Y511" s="81">
        <v>1</v>
      </c>
      <c r="Z511" s="88">
        <v>43137.69298611111</v>
      </c>
      <c r="AA511" s="88">
        <v>43137.69298611111</v>
      </c>
      <c r="AB511" s="81"/>
      <c r="AC511" s="81"/>
      <c r="AD511" s="84" t="s">
        <v>2782</v>
      </c>
      <c r="AE511" s="82">
        <v>2</v>
      </c>
      <c r="AF511" s="83" t="str">
        <f>REPLACE(INDEX(GroupVertices[Group],MATCH(Edges[[#This Row],[Vertex 1]],GroupVertices[Vertex],0)),1,1,"")</f>
        <v>1</v>
      </c>
      <c r="AG511" s="83" t="str">
        <f>REPLACE(INDEX(GroupVertices[Group],MATCH(Edges[[#This Row],[Vertex 2]],GroupVertices[Vertex],0)),1,1,"")</f>
        <v>1</v>
      </c>
      <c r="AH511" s="111">
        <v>0</v>
      </c>
      <c r="AI511" s="112">
        <v>0</v>
      </c>
      <c r="AJ511" s="111">
        <v>0</v>
      </c>
      <c r="AK511" s="112">
        <v>0</v>
      </c>
      <c r="AL511" s="111">
        <v>0</v>
      </c>
      <c r="AM511" s="112">
        <v>0</v>
      </c>
      <c r="AN511" s="111">
        <v>8</v>
      </c>
      <c r="AO511" s="112">
        <v>100</v>
      </c>
      <c r="AP511" s="111">
        <v>8</v>
      </c>
    </row>
    <row r="512" spans="1:42" ht="15">
      <c r="A512" s="65" t="s">
        <v>577</v>
      </c>
      <c r="B512" s="65" t="s">
        <v>287</v>
      </c>
      <c r="C512" s="66" t="s">
        <v>5346</v>
      </c>
      <c r="D512" s="67">
        <v>10</v>
      </c>
      <c r="E512" s="68"/>
      <c r="F512" s="69">
        <v>15</v>
      </c>
      <c r="G512" s="66"/>
      <c r="H512" s="70"/>
      <c r="I512" s="71"/>
      <c r="J512" s="71"/>
      <c r="K512" s="35" t="s">
        <v>66</v>
      </c>
      <c r="L512" s="79">
        <v>512</v>
      </c>
      <c r="M512" s="79"/>
      <c r="N512" s="73"/>
      <c r="O512" s="81" t="s">
        <v>760</v>
      </c>
      <c r="P512" s="81" t="s">
        <v>215</v>
      </c>
      <c r="Q512" s="84" t="s">
        <v>1254</v>
      </c>
      <c r="R512" s="81" t="s">
        <v>577</v>
      </c>
      <c r="S512" s="81" t="s">
        <v>1905</v>
      </c>
      <c r="T512" s="86" t="str">
        <f>HYPERLINK("http://www.youtube.com/channel/UCwtir0D7FKA3RStNlwKy7zA")</f>
        <v>http://www.youtube.com/channel/UCwtir0D7FKA3RStNlwKy7zA</v>
      </c>
      <c r="U512" s="81"/>
      <c r="V512" s="81" t="s">
        <v>2319</v>
      </c>
      <c r="W512" s="86" t="str">
        <f>HYPERLINK("https://www.youtube.com/watch?v=7aRMkFHzJrc")</f>
        <v>https://www.youtube.com/watch?v=7aRMkFHzJrc</v>
      </c>
      <c r="X512" s="81" t="s">
        <v>2335</v>
      </c>
      <c r="Y512" s="81">
        <v>0</v>
      </c>
      <c r="Z512" s="88">
        <v>43137.64127314815</v>
      </c>
      <c r="AA512" s="88">
        <v>43137.64127314815</v>
      </c>
      <c r="AB512" s="81"/>
      <c r="AC512" s="81"/>
      <c r="AD512" s="84" t="s">
        <v>2782</v>
      </c>
      <c r="AE512" s="82">
        <v>2</v>
      </c>
      <c r="AF512" s="83" t="str">
        <f>REPLACE(INDEX(GroupVertices[Group],MATCH(Edges[[#This Row],[Vertex 1]],GroupVertices[Vertex],0)),1,1,"")</f>
        <v>1</v>
      </c>
      <c r="AG512" s="83" t="str">
        <f>REPLACE(INDEX(GroupVertices[Group],MATCH(Edges[[#This Row],[Vertex 2]],GroupVertices[Vertex],0)),1,1,"")</f>
        <v>1</v>
      </c>
      <c r="AH512" s="111">
        <v>4</v>
      </c>
      <c r="AI512" s="112">
        <v>14.814814814814815</v>
      </c>
      <c r="AJ512" s="111">
        <v>1</v>
      </c>
      <c r="AK512" s="112">
        <v>3.7037037037037037</v>
      </c>
      <c r="AL512" s="111">
        <v>0</v>
      </c>
      <c r="AM512" s="112">
        <v>0</v>
      </c>
      <c r="AN512" s="111">
        <v>22</v>
      </c>
      <c r="AO512" s="112">
        <v>81.48148148148148</v>
      </c>
      <c r="AP512" s="111">
        <v>27</v>
      </c>
    </row>
    <row r="513" spans="1:42" ht="15">
      <c r="A513" s="65" t="s">
        <v>578</v>
      </c>
      <c r="B513" s="65" t="s">
        <v>287</v>
      </c>
      <c r="C513" s="66" t="s">
        <v>5346</v>
      </c>
      <c r="D513" s="67">
        <v>10</v>
      </c>
      <c r="E513" s="68"/>
      <c r="F513" s="69">
        <v>15</v>
      </c>
      <c r="G513" s="66"/>
      <c r="H513" s="70"/>
      <c r="I513" s="71"/>
      <c r="J513" s="71"/>
      <c r="K513" s="35" t="s">
        <v>66</v>
      </c>
      <c r="L513" s="79">
        <v>513</v>
      </c>
      <c r="M513" s="79"/>
      <c r="N513" s="73"/>
      <c r="O513" s="81" t="s">
        <v>760</v>
      </c>
      <c r="P513" s="81" t="s">
        <v>215</v>
      </c>
      <c r="Q513" s="84" t="s">
        <v>1255</v>
      </c>
      <c r="R513" s="81" t="s">
        <v>578</v>
      </c>
      <c r="S513" s="81" t="s">
        <v>1906</v>
      </c>
      <c r="T513" s="86" t="str">
        <f>HYPERLINK("http://www.youtube.com/channel/UC5uu70k-9sI1kMcBv48iO3w")</f>
        <v>http://www.youtube.com/channel/UC5uu70k-9sI1kMcBv48iO3w</v>
      </c>
      <c r="U513" s="81"/>
      <c r="V513" s="81" t="s">
        <v>2315</v>
      </c>
      <c r="W513" s="86" t="str">
        <f>HYPERLINK("https://www.youtube.com/watch?v=JCTlws1bpAY")</f>
        <v>https://www.youtube.com/watch?v=JCTlws1bpAY</v>
      </c>
      <c r="X513" s="81" t="s">
        <v>2335</v>
      </c>
      <c r="Y513" s="81">
        <v>1</v>
      </c>
      <c r="Z513" s="88">
        <v>43260.093194444446</v>
      </c>
      <c r="AA513" s="88">
        <v>43260.093194444446</v>
      </c>
      <c r="AB513" s="81"/>
      <c r="AC513" s="81"/>
      <c r="AD513" s="84" t="s">
        <v>2782</v>
      </c>
      <c r="AE513" s="82">
        <v>2</v>
      </c>
      <c r="AF513" s="83" t="str">
        <f>REPLACE(INDEX(GroupVertices[Group],MATCH(Edges[[#This Row],[Vertex 1]],GroupVertices[Vertex],0)),1,1,"")</f>
        <v>1</v>
      </c>
      <c r="AG513" s="83" t="str">
        <f>REPLACE(INDEX(GroupVertices[Group],MATCH(Edges[[#This Row],[Vertex 2]],GroupVertices[Vertex],0)),1,1,"")</f>
        <v>1</v>
      </c>
      <c r="AH513" s="111">
        <v>2</v>
      </c>
      <c r="AI513" s="112">
        <v>9.090909090909092</v>
      </c>
      <c r="AJ513" s="111">
        <v>0</v>
      </c>
      <c r="AK513" s="112">
        <v>0</v>
      </c>
      <c r="AL513" s="111">
        <v>0</v>
      </c>
      <c r="AM513" s="112">
        <v>0</v>
      </c>
      <c r="AN513" s="111">
        <v>20</v>
      </c>
      <c r="AO513" s="112">
        <v>90.9090909090909</v>
      </c>
      <c r="AP513" s="111">
        <v>22</v>
      </c>
    </row>
    <row r="514" spans="1:42" ht="15">
      <c r="A514" s="65" t="s">
        <v>287</v>
      </c>
      <c r="B514" s="65" t="s">
        <v>578</v>
      </c>
      <c r="C514" s="66" t="s">
        <v>5345</v>
      </c>
      <c r="D514" s="67">
        <v>3</v>
      </c>
      <c r="E514" s="68"/>
      <c r="F514" s="69">
        <v>40</v>
      </c>
      <c r="G514" s="66"/>
      <c r="H514" s="70"/>
      <c r="I514" s="71"/>
      <c r="J514" s="71"/>
      <c r="K514" s="35" t="s">
        <v>66</v>
      </c>
      <c r="L514" s="79">
        <v>514</v>
      </c>
      <c r="M514" s="79"/>
      <c r="N514" s="73"/>
      <c r="O514" s="81" t="s">
        <v>761</v>
      </c>
      <c r="P514" s="81" t="s">
        <v>763</v>
      </c>
      <c r="Q514" s="84" t="s">
        <v>1256</v>
      </c>
      <c r="R514" s="81" t="s">
        <v>287</v>
      </c>
      <c r="S514" s="81" t="s">
        <v>1616</v>
      </c>
      <c r="T514" s="86" t="str">
        <f>HYPERLINK("http://www.youtube.com/channel/UCbUhO-tut97b5IQhZ3i7TMA")</f>
        <v>http://www.youtube.com/channel/UCbUhO-tut97b5IQhZ3i7TMA</v>
      </c>
      <c r="U514" s="81" t="s">
        <v>2211</v>
      </c>
      <c r="V514" s="81" t="s">
        <v>2319</v>
      </c>
      <c r="W514" s="86" t="str">
        <f>HYPERLINK("https://www.youtube.com/watch?v=7aRMkFHzJrc")</f>
        <v>https://www.youtube.com/watch?v=7aRMkFHzJrc</v>
      </c>
      <c r="X514" s="81" t="s">
        <v>2335</v>
      </c>
      <c r="Y514" s="81">
        <v>1</v>
      </c>
      <c r="Z514" s="88">
        <v>43165.09576388889</v>
      </c>
      <c r="AA514" s="88">
        <v>43165.09576388889</v>
      </c>
      <c r="AB514" s="81"/>
      <c r="AC514" s="81"/>
      <c r="AD514" s="84" t="s">
        <v>2782</v>
      </c>
      <c r="AE514" s="82">
        <v>1</v>
      </c>
      <c r="AF514" s="83" t="str">
        <f>REPLACE(INDEX(GroupVertices[Group],MATCH(Edges[[#This Row],[Vertex 1]],GroupVertices[Vertex],0)),1,1,"")</f>
        <v>1</v>
      </c>
      <c r="AG514" s="83" t="str">
        <f>REPLACE(INDEX(GroupVertices[Group],MATCH(Edges[[#This Row],[Vertex 2]],GroupVertices[Vertex],0)),1,1,"")</f>
        <v>1</v>
      </c>
      <c r="AH514" s="111">
        <v>1</v>
      </c>
      <c r="AI514" s="112">
        <v>11.11111111111111</v>
      </c>
      <c r="AJ514" s="111">
        <v>1</v>
      </c>
      <c r="AK514" s="112">
        <v>11.11111111111111</v>
      </c>
      <c r="AL514" s="111">
        <v>0</v>
      </c>
      <c r="AM514" s="112">
        <v>0</v>
      </c>
      <c r="AN514" s="111">
        <v>7</v>
      </c>
      <c r="AO514" s="112">
        <v>77.77777777777777</v>
      </c>
      <c r="AP514" s="111">
        <v>9</v>
      </c>
    </row>
    <row r="515" spans="1:42" ht="15">
      <c r="A515" s="65" t="s">
        <v>578</v>
      </c>
      <c r="B515" s="65" t="s">
        <v>287</v>
      </c>
      <c r="C515" s="66" t="s">
        <v>5346</v>
      </c>
      <c r="D515" s="67">
        <v>10</v>
      </c>
      <c r="E515" s="68"/>
      <c r="F515" s="69">
        <v>15</v>
      </c>
      <c r="G515" s="66"/>
      <c r="H515" s="70"/>
      <c r="I515" s="71"/>
      <c r="J515" s="71"/>
      <c r="K515" s="35" t="s">
        <v>66</v>
      </c>
      <c r="L515" s="79">
        <v>515</v>
      </c>
      <c r="M515" s="79"/>
      <c r="N515" s="73"/>
      <c r="O515" s="81" t="s">
        <v>760</v>
      </c>
      <c r="P515" s="81" t="s">
        <v>215</v>
      </c>
      <c r="Q515" s="84" t="s">
        <v>1257</v>
      </c>
      <c r="R515" s="81" t="s">
        <v>578</v>
      </c>
      <c r="S515" s="81" t="s">
        <v>1906</v>
      </c>
      <c r="T515" s="86" t="str">
        <f>HYPERLINK("http://www.youtube.com/channel/UC5uu70k-9sI1kMcBv48iO3w")</f>
        <v>http://www.youtube.com/channel/UC5uu70k-9sI1kMcBv48iO3w</v>
      </c>
      <c r="U515" s="81"/>
      <c r="V515" s="81" t="s">
        <v>2319</v>
      </c>
      <c r="W515" s="86" t="str">
        <f>HYPERLINK("https://www.youtube.com/watch?v=7aRMkFHzJrc")</f>
        <v>https://www.youtube.com/watch?v=7aRMkFHzJrc</v>
      </c>
      <c r="X515" s="81" t="s">
        <v>2335</v>
      </c>
      <c r="Y515" s="81">
        <v>0</v>
      </c>
      <c r="Z515" s="88">
        <v>43137.81076388889</v>
      </c>
      <c r="AA515" s="88">
        <v>43137.81076388889</v>
      </c>
      <c r="AB515" s="81"/>
      <c r="AC515" s="81"/>
      <c r="AD515" s="84" t="s">
        <v>2782</v>
      </c>
      <c r="AE515" s="82">
        <v>2</v>
      </c>
      <c r="AF515" s="83" t="str">
        <f>REPLACE(INDEX(GroupVertices[Group],MATCH(Edges[[#This Row],[Vertex 1]],GroupVertices[Vertex],0)),1,1,"")</f>
        <v>1</v>
      </c>
      <c r="AG515" s="83" t="str">
        <f>REPLACE(INDEX(GroupVertices[Group],MATCH(Edges[[#This Row],[Vertex 2]],GroupVertices[Vertex],0)),1,1,"")</f>
        <v>1</v>
      </c>
      <c r="AH515" s="111">
        <v>1</v>
      </c>
      <c r="AI515" s="112">
        <v>2.1739130434782608</v>
      </c>
      <c r="AJ515" s="111">
        <v>3</v>
      </c>
      <c r="AK515" s="112">
        <v>6.521739130434782</v>
      </c>
      <c r="AL515" s="111">
        <v>0</v>
      </c>
      <c r="AM515" s="112">
        <v>0</v>
      </c>
      <c r="AN515" s="111">
        <v>42</v>
      </c>
      <c r="AO515" s="112">
        <v>91.30434782608695</v>
      </c>
      <c r="AP515" s="111">
        <v>46</v>
      </c>
    </row>
    <row r="516" spans="1:42" ht="15">
      <c r="A516" s="65" t="s">
        <v>287</v>
      </c>
      <c r="B516" s="65" t="s">
        <v>579</v>
      </c>
      <c r="C516" s="66" t="s">
        <v>5347</v>
      </c>
      <c r="D516" s="67">
        <v>10</v>
      </c>
      <c r="E516" s="68"/>
      <c r="F516" s="69">
        <v>15</v>
      </c>
      <c r="G516" s="66"/>
      <c r="H516" s="70"/>
      <c r="I516" s="71"/>
      <c r="J516" s="71"/>
      <c r="K516" s="35" t="s">
        <v>66</v>
      </c>
      <c r="L516" s="79">
        <v>516</v>
      </c>
      <c r="M516" s="79"/>
      <c r="N516" s="73"/>
      <c r="O516" s="81" t="s">
        <v>761</v>
      </c>
      <c r="P516" s="81" t="s">
        <v>763</v>
      </c>
      <c r="Q516" s="84" t="s">
        <v>1258</v>
      </c>
      <c r="R516" s="81" t="s">
        <v>287</v>
      </c>
      <c r="S516" s="81" t="s">
        <v>1616</v>
      </c>
      <c r="T516" s="86" t="str">
        <f>HYPERLINK("http://www.youtube.com/channel/UCbUhO-tut97b5IQhZ3i7TMA")</f>
        <v>http://www.youtube.com/channel/UCbUhO-tut97b5IQhZ3i7TMA</v>
      </c>
      <c r="U516" s="81" t="s">
        <v>2212</v>
      </c>
      <c r="V516" s="81" t="s">
        <v>2311</v>
      </c>
      <c r="W516" s="86" t="str">
        <f>HYPERLINK("https://www.youtube.com/watch?v=DrCnSoZUXAc")</f>
        <v>https://www.youtube.com/watch?v=DrCnSoZUXAc</v>
      </c>
      <c r="X516" s="81" t="s">
        <v>2335</v>
      </c>
      <c r="Y516" s="81">
        <v>0</v>
      </c>
      <c r="Z516" s="88">
        <v>43287.95520833333</v>
      </c>
      <c r="AA516" s="88">
        <v>43287.95520833333</v>
      </c>
      <c r="AB516" s="81"/>
      <c r="AC516" s="81"/>
      <c r="AD516" s="84" t="s">
        <v>2782</v>
      </c>
      <c r="AE516" s="82">
        <v>3</v>
      </c>
      <c r="AF516" s="83" t="str">
        <f>REPLACE(INDEX(GroupVertices[Group],MATCH(Edges[[#This Row],[Vertex 1]],GroupVertices[Vertex],0)),1,1,"")</f>
        <v>1</v>
      </c>
      <c r="AG516" s="83" t="str">
        <f>REPLACE(INDEX(GroupVertices[Group],MATCH(Edges[[#This Row],[Vertex 2]],GroupVertices[Vertex],0)),1,1,"")</f>
        <v>1</v>
      </c>
      <c r="AH516" s="111">
        <v>3</v>
      </c>
      <c r="AI516" s="112">
        <v>21.428571428571427</v>
      </c>
      <c r="AJ516" s="111">
        <v>1</v>
      </c>
      <c r="AK516" s="112">
        <v>7.142857142857143</v>
      </c>
      <c r="AL516" s="111">
        <v>0</v>
      </c>
      <c r="AM516" s="112">
        <v>0</v>
      </c>
      <c r="AN516" s="111">
        <v>10</v>
      </c>
      <c r="AO516" s="112">
        <v>71.42857142857143</v>
      </c>
      <c r="AP516" s="111">
        <v>14</v>
      </c>
    </row>
    <row r="517" spans="1:42" ht="15">
      <c r="A517" s="65" t="s">
        <v>579</v>
      </c>
      <c r="B517" s="65" t="s">
        <v>287</v>
      </c>
      <c r="C517" s="66" t="s">
        <v>5348</v>
      </c>
      <c r="D517" s="67">
        <v>10</v>
      </c>
      <c r="E517" s="68"/>
      <c r="F517" s="69">
        <v>15</v>
      </c>
      <c r="G517" s="66"/>
      <c r="H517" s="70"/>
      <c r="I517" s="71"/>
      <c r="J517" s="71"/>
      <c r="K517" s="35" t="s">
        <v>66</v>
      </c>
      <c r="L517" s="79">
        <v>517</v>
      </c>
      <c r="M517" s="79"/>
      <c r="N517" s="73"/>
      <c r="O517" s="81" t="s">
        <v>760</v>
      </c>
      <c r="P517" s="81" t="s">
        <v>215</v>
      </c>
      <c r="Q517" s="84" t="s">
        <v>1259</v>
      </c>
      <c r="R517" s="81" t="s">
        <v>579</v>
      </c>
      <c r="S517" s="81" t="s">
        <v>1907</v>
      </c>
      <c r="T517" s="86" t="str">
        <f>HYPERLINK("http://www.youtube.com/channel/UCxMvIYmAyDLUBhGJINU9OMg")</f>
        <v>http://www.youtube.com/channel/UCxMvIYmAyDLUBhGJINU9OMg</v>
      </c>
      <c r="U517" s="81"/>
      <c r="V517" s="81" t="s">
        <v>2311</v>
      </c>
      <c r="W517" s="86" t="str">
        <f>HYPERLINK("https://www.youtube.com/watch?v=DrCnSoZUXAc")</f>
        <v>https://www.youtube.com/watch?v=DrCnSoZUXAc</v>
      </c>
      <c r="X517" s="81" t="s">
        <v>2335</v>
      </c>
      <c r="Y517" s="81">
        <v>0</v>
      </c>
      <c r="Z517" s="88">
        <v>43287.90519675926</v>
      </c>
      <c r="AA517" s="88">
        <v>43287.90519675926</v>
      </c>
      <c r="AB517" s="81"/>
      <c r="AC517" s="81"/>
      <c r="AD517" s="84" t="s">
        <v>2782</v>
      </c>
      <c r="AE517" s="82">
        <v>4</v>
      </c>
      <c r="AF517" s="83" t="str">
        <f>REPLACE(INDEX(GroupVertices[Group],MATCH(Edges[[#This Row],[Vertex 1]],GroupVertices[Vertex],0)),1,1,"")</f>
        <v>1</v>
      </c>
      <c r="AG517" s="83" t="str">
        <f>REPLACE(INDEX(GroupVertices[Group],MATCH(Edges[[#This Row],[Vertex 2]],GroupVertices[Vertex],0)),1,1,"")</f>
        <v>1</v>
      </c>
      <c r="AH517" s="111">
        <v>2</v>
      </c>
      <c r="AI517" s="112">
        <v>20</v>
      </c>
      <c r="AJ517" s="111">
        <v>0</v>
      </c>
      <c r="AK517" s="112">
        <v>0</v>
      </c>
      <c r="AL517" s="111">
        <v>0</v>
      </c>
      <c r="AM517" s="112">
        <v>0</v>
      </c>
      <c r="AN517" s="111">
        <v>8</v>
      </c>
      <c r="AO517" s="112">
        <v>80</v>
      </c>
      <c r="AP517" s="111">
        <v>10</v>
      </c>
    </row>
    <row r="518" spans="1:42" ht="15">
      <c r="A518" s="65" t="s">
        <v>579</v>
      </c>
      <c r="B518" s="65" t="s">
        <v>287</v>
      </c>
      <c r="C518" s="66" t="s">
        <v>5348</v>
      </c>
      <c r="D518" s="67">
        <v>10</v>
      </c>
      <c r="E518" s="68"/>
      <c r="F518" s="69">
        <v>15</v>
      </c>
      <c r="G518" s="66"/>
      <c r="H518" s="70"/>
      <c r="I518" s="71"/>
      <c r="J518" s="71"/>
      <c r="K518" s="35" t="s">
        <v>66</v>
      </c>
      <c r="L518" s="79">
        <v>518</v>
      </c>
      <c r="M518" s="79"/>
      <c r="N518" s="73"/>
      <c r="O518" s="81" t="s">
        <v>760</v>
      </c>
      <c r="P518" s="81" t="s">
        <v>215</v>
      </c>
      <c r="Q518" s="84" t="s">
        <v>1260</v>
      </c>
      <c r="R518" s="81" t="s">
        <v>579</v>
      </c>
      <c r="S518" s="81" t="s">
        <v>1907</v>
      </c>
      <c r="T518" s="86" t="str">
        <f>HYPERLINK("http://www.youtube.com/channel/UCxMvIYmAyDLUBhGJINU9OMg")</f>
        <v>http://www.youtube.com/channel/UCxMvIYmAyDLUBhGJINU9OMg</v>
      </c>
      <c r="U518" s="81"/>
      <c r="V518" s="81" t="s">
        <v>2319</v>
      </c>
      <c r="W518" s="86" t="str">
        <f>HYPERLINK("https://www.youtube.com/watch?v=7aRMkFHzJrc")</f>
        <v>https://www.youtube.com/watch?v=7aRMkFHzJrc</v>
      </c>
      <c r="X518" s="81" t="s">
        <v>2335</v>
      </c>
      <c r="Y518" s="81">
        <v>0</v>
      </c>
      <c r="Z518" s="88">
        <v>43137.84212962963</v>
      </c>
      <c r="AA518" s="88">
        <v>43137.84212962963</v>
      </c>
      <c r="AB518" s="81"/>
      <c r="AC518" s="81"/>
      <c r="AD518" s="84" t="s">
        <v>2782</v>
      </c>
      <c r="AE518" s="82">
        <v>4</v>
      </c>
      <c r="AF518" s="83" t="str">
        <f>REPLACE(INDEX(GroupVertices[Group],MATCH(Edges[[#This Row],[Vertex 1]],GroupVertices[Vertex],0)),1,1,"")</f>
        <v>1</v>
      </c>
      <c r="AG518" s="83" t="str">
        <f>REPLACE(INDEX(GroupVertices[Group],MATCH(Edges[[#This Row],[Vertex 2]],GroupVertices[Vertex],0)),1,1,"")</f>
        <v>1</v>
      </c>
      <c r="AH518" s="111">
        <v>1</v>
      </c>
      <c r="AI518" s="112">
        <v>20</v>
      </c>
      <c r="AJ518" s="111">
        <v>0</v>
      </c>
      <c r="AK518" s="112">
        <v>0</v>
      </c>
      <c r="AL518" s="111">
        <v>0</v>
      </c>
      <c r="AM518" s="112">
        <v>0</v>
      </c>
      <c r="AN518" s="111">
        <v>4</v>
      </c>
      <c r="AO518" s="112">
        <v>80</v>
      </c>
      <c r="AP518" s="111">
        <v>5</v>
      </c>
    </row>
    <row r="519" spans="1:42" ht="15">
      <c r="A519" s="65" t="s">
        <v>287</v>
      </c>
      <c r="B519" s="65" t="s">
        <v>579</v>
      </c>
      <c r="C519" s="66" t="s">
        <v>5347</v>
      </c>
      <c r="D519" s="67">
        <v>10</v>
      </c>
      <c r="E519" s="68"/>
      <c r="F519" s="69">
        <v>15</v>
      </c>
      <c r="G519" s="66"/>
      <c r="H519" s="70"/>
      <c r="I519" s="71"/>
      <c r="J519" s="71"/>
      <c r="K519" s="35" t="s">
        <v>66</v>
      </c>
      <c r="L519" s="79">
        <v>519</v>
      </c>
      <c r="M519" s="79"/>
      <c r="N519" s="73"/>
      <c r="O519" s="81" t="s">
        <v>761</v>
      </c>
      <c r="P519" s="81" t="s">
        <v>763</v>
      </c>
      <c r="Q519" s="84" t="s">
        <v>1020</v>
      </c>
      <c r="R519" s="81" t="s">
        <v>287</v>
      </c>
      <c r="S519" s="81" t="s">
        <v>1616</v>
      </c>
      <c r="T519" s="86" t="str">
        <f>HYPERLINK("http://www.youtube.com/channel/UCbUhO-tut97b5IQhZ3i7TMA")</f>
        <v>http://www.youtube.com/channel/UCbUhO-tut97b5IQhZ3i7TMA</v>
      </c>
      <c r="U519" s="81" t="s">
        <v>2213</v>
      </c>
      <c r="V519" s="81" t="s">
        <v>2319</v>
      </c>
      <c r="W519" s="86" t="str">
        <f>HYPERLINK("https://www.youtube.com/watch?v=7aRMkFHzJrc")</f>
        <v>https://www.youtube.com/watch?v=7aRMkFHzJrc</v>
      </c>
      <c r="X519" s="81" t="s">
        <v>2335</v>
      </c>
      <c r="Y519" s="81">
        <v>0</v>
      </c>
      <c r="Z519" s="88">
        <v>43165.09600694444</v>
      </c>
      <c r="AA519" s="88">
        <v>43165.09600694444</v>
      </c>
      <c r="AB519" s="81"/>
      <c r="AC519" s="81"/>
      <c r="AD519" s="84" t="s">
        <v>2782</v>
      </c>
      <c r="AE519" s="82">
        <v>3</v>
      </c>
      <c r="AF519" s="83" t="str">
        <f>REPLACE(INDEX(GroupVertices[Group],MATCH(Edges[[#This Row],[Vertex 1]],GroupVertices[Vertex],0)),1,1,"")</f>
        <v>1</v>
      </c>
      <c r="AG519" s="83" t="str">
        <f>REPLACE(INDEX(GroupVertices[Group],MATCH(Edges[[#This Row],[Vertex 2]],GroupVertices[Vertex],0)),1,1,"")</f>
        <v>1</v>
      </c>
      <c r="AH519" s="111">
        <v>1</v>
      </c>
      <c r="AI519" s="112">
        <v>50</v>
      </c>
      <c r="AJ519" s="111">
        <v>0</v>
      </c>
      <c r="AK519" s="112">
        <v>0</v>
      </c>
      <c r="AL519" s="111">
        <v>0</v>
      </c>
      <c r="AM519" s="112">
        <v>0</v>
      </c>
      <c r="AN519" s="111">
        <v>1</v>
      </c>
      <c r="AO519" s="112">
        <v>50</v>
      </c>
      <c r="AP519" s="111">
        <v>2</v>
      </c>
    </row>
    <row r="520" spans="1:42" ht="15">
      <c r="A520" s="65" t="s">
        <v>579</v>
      </c>
      <c r="B520" s="65" t="s">
        <v>287</v>
      </c>
      <c r="C520" s="66" t="s">
        <v>5348</v>
      </c>
      <c r="D520" s="67">
        <v>10</v>
      </c>
      <c r="E520" s="68"/>
      <c r="F520" s="69">
        <v>15</v>
      </c>
      <c r="G520" s="66"/>
      <c r="H520" s="70"/>
      <c r="I520" s="71"/>
      <c r="J520" s="71"/>
      <c r="K520" s="35" t="s">
        <v>66</v>
      </c>
      <c r="L520" s="79">
        <v>520</v>
      </c>
      <c r="M520" s="79"/>
      <c r="N520" s="73"/>
      <c r="O520" s="81" t="s">
        <v>760</v>
      </c>
      <c r="P520" s="81" t="s">
        <v>215</v>
      </c>
      <c r="Q520" s="84" t="s">
        <v>1261</v>
      </c>
      <c r="R520" s="81" t="s">
        <v>579</v>
      </c>
      <c r="S520" s="81" t="s">
        <v>1907</v>
      </c>
      <c r="T520" s="86" t="str">
        <f>HYPERLINK("http://www.youtube.com/channel/UCxMvIYmAyDLUBhGJINU9OMg")</f>
        <v>http://www.youtube.com/channel/UCxMvIYmAyDLUBhGJINU9OMg</v>
      </c>
      <c r="U520" s="81"/>
      <c r="V520" s="81" t="s">
        <v>2319</v>
      </c>
      <c r="W520" s="86" t="str">
        <f>HYPERLINK("https://www.youtube.com/watch?v=7aRMkFHzJrc")</f>
        <v>https://www.youtube.com/watch?v=7aRMkFHzJrc</v>
      </c>
      <c r="X520" s="81" t="s">
        <v>2335</v>
      </c>
      <c r="Y520" s="81">
        <v>2</v>
      </c>
      <c r="Z520" s="88">
        <v>43137.842824074076</v>
      </c>
      <c r="AA520" s="88">
        <v>43137.842824074076</v>
      </c>
      <c r="AB520" s="81"/>
      <c r="AC520" s="81"/>
      <c r="AD520" s="84" t="s">
        <v>2782</v>
      </c>
      <c r="AE520" s="82">
        <v>4</v>
      </c>
      <c r="AF520" s="83" t="str">
        <f>REPLACE(INDEX(GroupVertices[Group],MATCH(Edges[[#This Row],[Vertex 1]],GroupVertices[Vertex],0)),1,1,"")</f>
        <v>1</v>
      </c>
      <c r="AG520" s="83" t="str">
        <f>REPLACE(INDEX(GroupVertices[Group],MATCH(Edges[[#This Row],[Vertex 2]],GroupVertices[Vertex],0)),1,1,"")</f>
        <v>1</v>
      </c>
      <c r="AH520" s="111">
        <v>0</v>
      </c>
      <c r="AI520" s="112">
        <v>0</v>
      </c>
      <c r="AJ520" s="111">
        <v>0</v>
      </c>
      <c r="AK520" s="112">
        <v>0</v>
      </c>
      <c r="AL520" s="111">
        <v>0</v>
      </c>
      <c r="AM520" s="112">
        <v>0</v>
      </c>
      <c r="AN520" s="111">
        <v>6</v>
      </c>
      <c r="AO520" s="112">
        <v>100</v>
      </c>
      <c r="AP520" s="111">
        <v>6</v>
      </c>
    </row>
    <row r="521" spans="1:42" ht="15">
      <c r="A521" s="65" t="s">
        <v>287</v>
      </c>
      <c r="B521" s="65" t="s">
        <v>579</v>
      </c>
      <c r="C521" s="66" t="s">
        <v>5347</v>
      </c>
      <c r="D521" s="67">
        <v>10</v>
      </c>
      <c r="E521" s="68"/>
      <c r="F521" s="69">
        <v>15</v>
      </c>
      <c r="G521" s="66"/>
      <c r="H521" s="70"/>
      <c r="I521" s="71"/>
      <c r="J521" s="71"/>
      <c r="K521" s="35" t="s">
        <v>66</v>
      </c>
      <c r="L521" s="79">
        <v>521</v>
      </c>
      <c r="M521" s="79"/>
      <c r="N521" s="73"/>
      <c r="O521" s="81" t="s">
        <v>761</v>
      </c>
      <c r="P521" s="81" t="s">
        <v>763</v>
      </c>
      <c r="Q521" s="84" t="s">
        <v>1262</v>
      </c>
      <c r="R521" s="81" t="s">
        <v>287</v>
      </c>
      <c r="S521" s="81" t="s">
        <v>1616</v>
      </c>
      <c r="T521" s="86" t="str">
        <f>HYPERLINK("http://www.youtube.com/channel/UCbUhO-tut97b5IQhZ3i7TMA")</f>
        <v>http://www.youtube.com/channel/UCbUhO-tut97b5IQhZ3i7TMA</v>
      </c>
      <c r="U521" s="81" t="s">
        <v>2214</v>
      </c>
      <c r="V521" s="81" t="s">
        <v>2319</v>
      </c>
      <c r="W521" s="86" t="str">
        <f>HYPERLINK("https://www.youtube.com/watch?v=7aRMkFHzJrc")</f>
        <v>https://www.youtube.com/watch?v=7aRMkFHzJrc</v>
      </c>
      <c r="X521" s="81" t="s">
        <v>2335</v>
      </c>
      <c r="Y521" s="81">
        <v>0</v>
      </c>
      <c r="Z521" s="88">
        <v>43165.096712962964</v>
      </c>
      <c r="AA521" s="88">
        <v>43165.096712962964</v>
      </c>
      <c r="AB521" s="81"/>
      <c r="AC521" s="81"/>
      <c r="AD521" s="84" t="s">
        <v>2782</v>
      </c>
      <c r="AE521" s="82">
        <v>3</v>
      </c>
      <c r="AF521" s="83" t="str">
        <f>REPLACE(INDEX(GroupVertices[Group],MATCH(Edges[[#This Row],[Vertex 1]],GroupVertices[Vertex],0)),1,1,"")</f>
        <v>1</v>
      </c>
      <c r="AG521" s="83" t="str">
        <f>REPLACE(INDEX(GroupVertices[Group],MATCH(Edges[[#This Row],[Vertex 2]],GroupVertices[Vertex],0)),1,1,"")</f>
        <v>1</v>
      </c>
      <c r="AH521" s="111">
        <v>1</v>
      </c>
      <c r="AI521" s="112">
        <v>12.5</v>
      </c>
      <c r="AJ521" s="111">
        <v>0</v>
      </c>
      <c r="AK521" s="112">
        <v>0</v>
      </c>
      <c r="AL521" s="111">
        <v>0</v>
      </c>
      <c r="AM521" s="112">
        <v>0</v>
      </c>
      <c r="AN521" s="111">
        <v>7</v>
      </c>
      <c r="AO521" s="112">
        <v>87.5</v>
      </c>
      <c r="AP521" s="111">
        <v>8</v>
      </c>
    </row>
    <row r="522" spans="1:42" ht="15">
      <c r="A522" s="65" t="s">
        <v>579</v>
      </c>
      <c r="B522" s="65" t="s">
        <v>287</v>
      </c>
      <c r="C522" s="66" t="s">
        <v>5348</v>
      </c>
      <c r="D522" s="67">
        <v>10</v>
      </c>
      <c r="E522" s="68"/>
      <c r="F522" s="69">
        <v>15</v>
      </c>
      <c r="G522" s="66"/>
      <c r="H522" s="70"/>
      <c r="I522" s="71"/>
      <c r="J522" s="71"/>
      <c r="K522" s="35" t="s">
        <v>66</v>
      </c>
      <c r="L522" s="79">
        <v>522</v>
      </c>
      <c r="M522" s="79"/>
      <c r="N522" s="73"/>
      <c r="O522" s="81" t="s">
        <v>760</v>
      </c>
      <c r="P522" s="81" t="s">
        <v>215</v>
      </c>
      <c r="Q522" s="84" t="s">
        <v>1263</v>
      </c>
      <c r="R522" s="81" t="s">
        <v>579</v>
      </c>
      <c r="S522" s="81" t="s">
        <v>1907</v>
      </c>
      <c r="T522" s="86" t="str">
        <f>HYPERLINK("http://www.youtube.com/channel/UCxMvIYmAyDLUBhGJINU9OMg")</f>
        <v>http://www.youtube.com/channel/UCxMvIYmAyDLUBhGJINU9OMg</v>
      </c>
      <c r="U522" s="81"/>
      <c r="V522" s="81" t="s">
        <v>2319</v>
      </c>
      <c r="W522" s="86" t="str">
        <f>HYPERLINK("https://www.youtube.com/watch?v=7aRMkFHzJrc")</f>
        <v>https://www.youtube.com/watch?v=7aRMkFHzJrc</v>
      </c>
      <c r="X522" s="81" t="s">
        <v>2335</v>
      </c>
      <c r="Y522" s="81">
        <v>0</v>
      </c>
      <c r="Z522" s="88">
        <v>43137.8468287037</v>
      </c>
      <c r="AA522" s="88">
        <v>43137.8468287037</v>
      </c>
      <c r="AB522" s="81"/>
      <c r="AC522" s="81"/>
      <c r="AD522" s="84" t="s">
        <v>2782</v>
      </c>
      <c r="AE522" s="82">
        <v>4</v>
      </c>
      <c r="AF522" s="83" t="str">
        <f>REPLACE(INDEX(GroupVertices[Group],MATCH(Edges[[#This Row],[Vertex 1]],GroupVertices[Vertex],0)),1,1,"")</f>
        <v>1</v>
      </c>
      <c r="AG522" s="83" t="str">
        <f>REPLACE(INDEX(GroupVertices[Group],MATCH(Edges[[#This Row],[Vertex 2]],GroupVertices[Vertex],0)),1,1,"")</f>
        <v>1</v>
      </c>
      <c r="AH522" s="111">
        <v>1</v>
      </c>
      <c r="AI522" s="112">
        <v>3.0303030303030303</v>
      </c>
      <c r="AJ522" s="111">
        <v>3</v>
      </c>
      <c r="AK522" s="112">
        <v>9.090909090909092</v>
      </c>
      <c r="AL522" s="111">
        <v>0</v>
      </c>
      <c r="AM522" s="112">
        <v>0</v>
      </c>
      <c r="AN522" s="111">
        <v>29</v>
      </c>
      <c r="AO522" s="112">
        <v>87.87878787878788</v>
      </c>
      <c r="AP522" s="111">
        <v>33</v>
      </c>
    </row>
    <row r="523" spans="1:42" ht="15">
      <c r="A523" s="65" t="s">
        <v>287</v>
      </c>
      <c r="B523" s="65" t="s">
        <v>580</v>
      </c>
      <c r="C523" s="66" t="s">
        <v>5345</v>
      </c>
      <c r="D523" s="67">
        <v>3</v>
      </c>
      <c r="E523" s="68"/>
      <c r="F523" s="69">
        <v>40</v>
      </c>
      <c r="G523" s="66"/>
      <c r="H523" s="70"/>
      <c r="I523" s="71"/>
      <c r="J523" s="71"/>
      <c r="K523" s="35" t="s">
        <v>66</v>
      </c>
      <c r="L523" s="79">
        <v>523</v>
      </c>
      <c r="M523" s="79"/>
      <c r="N523" s="73"/>
      <c r="O523" s="81" t="s">
        <v>761</v>
      </c>
      <c r="P523" s="81" t="s">
        <v>763</v>
      </c>
      <c r="Q523" s="84" t="s">
        <v>1264</v>
      </c>
      <c r="R523" s="81" t="s">
        <v>287</v>
      </c>
      <c r="S523" s="81" t="s">
        <v>1616</v>
      </c>
      <c r="T523" s="86" t="str">
        <f>HYPERLINK("http://www.youtube.com/channel/UCbUhO-tut97b5IQhZ3i7TMA")</f>
        <v>http://www.youtube.com/channel/UCbUhO-tut97b5IQhZ3i7TMA</v>
      </c>
      <c r="U523" s="81" t="s">
        <v>2215</v>
      </c>
      <c r="V523" s="81" t="s">
        <v>2319</v>
      </c>
      <c r="W523" s="86" t="str">
        <f>HYPERLINK("https://www.youtube.com/watch?v=7aRMkFHzJrc")</f>
        <v>https://www.youtube.com/watch?v=7aRMkFHzJrc</v>
      </c>
      <c r="X523" s="81" t="s">
        <v>2335</v>
      </c>
      <c r="Y523" s="81">
        <v>0</v>
      </c>
      <c r="Z523" s="88">
        <v>43165.09711805556</v>
      </c>
      <c r="AA523" s="88">
        <v>43165.09711805556</v>
      </c>
      <c r="AB523" s="81"/>
      <c r="AC523" s="81"/>
      <c r="AD523" s="84" t="s">
        <v>2782</v>
      </c>
      <c r="AE523" s="82">
        <v>1</v>
      </c>
      <c r="AF523" s="83" t="str">
        <f>REPLACE(INDEX(GroupVertices[Group],MATCH(Edges[[#This Row],[Vertex 1]],GroupVertices[Vertex],0)),1,1,"")</f>
        <v>1</v>
      </c>
      <c r="AG523" s="83" t="str">
        <f>REPLACE(INDEX(GroupVertices[Group],MATCH(Edges[[#This Row],[Vertex 2]],GroupVertices[Vertex],0)),1,1,"")</f>
        <v>1</v>
      </c>
      <c r="AH523" s="111">
        <v>0</v>
      </c>
      <c r="AI523" s="112">
        <v>0</v>
      </c>
      <c r="AJ523" s="111">
        <v>0</v>
      </c>
      <c r="AK523" s="112">
        <v>0</v>
      </c>
      <c r="AL523" s="111">
        <v>0</v>
      </c>
      <c r="AM523" s="112">
        <v>0</v>
      </c>
      <c r="AN523" s="111">
        <v>13</v>
      </c>
      <c r="AO523" s="112">
        <v>100</v>
      </c>
      <c r="AP523" s="111">
        <v>13</v>
      </c>
    </row>
    <row r="524" spans="1:42" ht="15">
      <c r="A524" s="65" t="s">
        <v>580</v>
      </c>
      <c r="B524" s="65" t="s">
        <v>580</v>
      </c>
      <c r="C524" s="66" t="s">
        <v>5345</v>
      </c>
      <c r="D524" s="67">
        <v>3</v>
      </c>
      <c r="E524" s="68"/>
      <c r="F524" s="69">
        <v>40</v>
      </c>
      <c r="G524" s="66"/>
      <c r="H524" s="70"/>
      <c r="I524" s="71"/>
      <c r="J524" s="71"/>
      <c r="K524" s="35" t="s">
        <v>65</v>
      </c>
      <c r="L524" s="79">
        <v>524</v>
      </c>
      <c r="M524" s="79"/>
      <c r="N524" s="73"/>
      <c r="O524" s="81" t="s">
        <v>761</v>
      </c>
      <c r="P524" s="81" t="s">
        <v>763</v>
      </c>
      <c r="Q524" s="84" t="s">
        <v>1265</v>
      </c>
      <c r="R524" s="81" t="s">
        <v>580</v>
      </c>
      <c r="S524" s="81" t="s">
        <v>1908</v>
      </c>
      <c r="T524" s="86" t="str">
        <f>HYPERLINK("http://www.youtube.com/channel/UCG_nXoruS3tVuW52bO0_isw")</f>
        <v>http://www.youtube.com/channel/UCG_nXoruS3tVuW52bO0_isw</v>
      </c>
      <c r="U524" s="81" t="s">
        <v>2215</v>
      </c>
      <c r="V524" s="81" t="s">
        <v>2319</v>
      </c>
      <c r="W524" s="86" t="str">
        <f>HYPERLINK("https://www.youtube.com/watch?v=7aRMkFHzJrc")</f>
        <v>https://www.youtube.com/watch?v=7aRMkFHzJrc</v>
      </c>
      <c r="X524" s="81" t="s">
        <v>2335</v>
      </c>
      <c r="Y524" s="81">
        <v>1</v>
      </c>
      <c r="Z524" s="88">
        <v>43165.42810185185</v>
      </c>
      <c r="AA524" s="88">
        <v>43165.42810185185</v>
      </c>
      <c r="AB524" s="81"/>
      <c r="AC524" s="81"/>
      <c r="AD524" s="84" t="s">
        <v>2782</v>
      </c>
      <c r="AE524" s="82">
        <v>1</v>
      </c>
      <c r="AF524" s="83" t="str">
        <f>REPLACE(INDEX(GroupVertices[Group],MATCH(Edges[[#This Row],[Vertex 1]],GroupVertices[Vertex],0)),1,1,"")</f>
        <v>1</v>
      </c>
      <c r="AG524" s="83" t="str">
        <f>REPLACE(INDEX(GroupVertices[Group],MATCH(Edges[[#This Row],[Vertex 2]],GroupVertices[Vertex],0)),1,1,"")</f>
        <v>1</v>
      </c>
      <c r="AH524" s="111">
        <v>3</v>
      </c>
      <c r="AI524" s="112">
        <v>12</v>
      </c>
      <c r="AJ524" s="111">
        <v>2</v>
      </c>
      <c r="AK524" s="112">
        <v>8</v>
      </c>
      <c r="AL524" s="111">
        <v>0</v>
      </c>
      <c r="AM524" s="112">
        <v>0</v>
      </c>
      <c r="AN524" s="111">
        <v>20</v>
      </c>
      <c r="AO524" s="112">
        <v>80</v>
      </c>
      <c r="AP524" s="111">
        <v>25</v>
      </c>
    </row>
    <row r="525" spans="1:42" ht="15">
      <c r="A525" s="65" t="s">
        <v>580</v>
      </c>
      <c r="B525" s="65" t="s">
        <v>287</v>
      </c>
      <c r="C525" s="66" t="s">
        <v>5345</v>
      </c>
      <c r="D525" s="67">
        <v>3</v>
      </c>
      <c r="E525" s="68"/>
      <c r="F525" s="69">
        <v>40</v>
      </c>
      <c r="G525" s="66"/>
      <c r="H525" s="70"/>
      <c r="I525" s="71"/>
      <c r="J525" s="71"/>
      <c r="K525" s="35" t="s">
        <v>66</v>
      </c>
      <c r="L525" s="79">
        <v>525</v>
      </c>
      <c r="M525" s="79"/>
      <c r="N525" s="73"/>
      <c r="O525" s="81" t="s">
        <v>760</v>
      </c>
      <c r="P525" s="81" t="s">
        <v>215</v>
      </c>
      <c r="Q525" s="84" t="s">
        <v>1266</v>
      </c>
      <c r="R525" s="81" t="s">
        <v>580</v>
      </c>
      <c r="S525" s="81" t="s">
        <v>1908</v>
      </c>
      <c r="T525" s="86" t="str">
        <f>HYPERLINK("http://www.youtube.com/channel/UCG_nXoruS3tVuW52bO0_isw")</f>
        <v>http://www.youtube.com/channel/UCG_nXoruS3tVuW52bO0_isw</v>
      </c>
      <c r="U525" s="81"/>
      <c r="V525" s="81" t="s">
        <v>2319</v>
      </c>
      <c r="W525" s="86" t="str">
        <f>HYPERLINK("https://www.youtube.com/watch?v=7aRMkFHzJrc")</f>
        <v>https://www.youtube.com/watch?v=7aRMkFHzJrc</v>
      </c>
      <c r="X525" s="81" t="s">
        <v>2335</v>
      </c>
      <c r="Y525" s="81">
        <v>0</v>
      </c>
      <c r="Z525" s="88">
        <v>43137.96196759259</v>
      </c>
      <c r="AA525" s="88">
        <v>43137.96196759259</v>
      </c>
      <c r="AB525" s="81"/>
      <c r="AC525" s="81"/>
      <c r="AD525" s="84" t="s">
        <v>2782</v>
      </c>
      <c r="AE525" s="82">
        <v>1</v>
      </c>
      <c r="AF525" s="83" t="str">
        <f>REPLACE(INDEX(GroupVertices[Group],MATCH(Edges[[#This Row],[Vertex 1]],GroupVertices[Vertex],0)),1,1,"")</f>
        <v>1</v>
      </c>
      <c r="AG525" s="83" t="str">
        <f>REPLACE(INDEX(GroupVertices[Group],MATCH(Edges[[#This Row],[Vertex 2]],GroupVertices[Vertex],0)),1,1,"")</f>
        <v>1</v>
      </c>
      <c r="AH525" s="111">
        <v>1</v>
      </c>
      <c r="AI525" s="112">
        <v>12.5</v>
      </c>
      <c r="AJ525" s="111">
        <v>1</v>
      </c>
      <c r="AK525" s="112">
        <v>12.5</v>
      </c>
      <c r="AL525" s="111">
        <v>0</v>
      </c>
      <c r="AM525" s="112">
        <v>0</v>
      </c>
      <c r="AN525" s="111">
        <v>6</v>
      </c>
      <c r="AO525" s="112">
        <v>75</v>
      </c>
      <c r="AP525" s="111">
        <v>8</v>
      </c>
    </row>
    <row r="526" spans="1:42" ht="15">
      <c r="A526" s="65" t="s">
        <v>287</v>
      </c>
      <c r="B526" s="65" t="s">
        <v>581</v>
      </c>
      <c r="C526" s="66" t="s">
        <v>5346</v>
      </c>
      <c r="D526" s="67">
        <v>10</v>
      </c>
      <c r="E526" s="68"/>
      <c r="F526" s="69">
        <v>15</v>
      </c>
      <c r="G526" s="66"/>
      <c r="H526" s="70"/>
      <c r="I526" s="71"/>
      <c r="J526" s="71"/>
      <c r="K526" s="35" t="s">
        <v>66</v>
      </c>
      <c r="L526" s="79">
        <v>526</v>
      </c>
      <c r="M526" s="79"/>
      <c r="N526" s="73"/>
      <c r="O526" s="81" t="s">
        <v>761</v>
      </c>
      <c r="P526" s="81" t="s">
        <v>763</v>
      </c>
      <c r="Q526" s="84" t="s">
        <v>1267</v>
      </c>
      <c r="R526" s="81" t="s">
        <v>287</v>
      </c>
      <c r="S526" s="81" t="s">
        <v>1616</v>
      </c>
      <c r="T526" s="86" t="str">
        <f>HYPERLINK("http://www.youtube.com/channel/UCbUhO-tut97b5IQhZ3i7TMA")</f>
        <v>http://www.youtube.com/channel/UCbUhO-tut97b5IQhZ3i7TMA</v>
      </c>
      <c r="U526" s="81" t="s">
        <v>2216</v>
      </c>
      <c r="V526" s="81" t="s">
        <v>2319</v>
      </c>
      <c r="W526" s="86" t="str">
        <f>HYPERLINK("https://www.youtube.com/watch?v=7aRMkFHzJrc")</f>
        <v>https://www.youtube.com/watch?v=7aRMkFHzJrc</v>
      </c>
      <c r="X526" s="81" t="s">
        <v>2335</v>
      </c>
      <c r="Y526" s="81">
        <v>0</v>
      </c>
      <c r="Z526" s="88">
        <v>43257.81371527778</v>
      </c>
      <c r="AA526" s="88">
        <v>43257.81371527778</v>
      </c>
      <c r="AB526" s="81"/>
      <c r="AC526" s="81"/>
      <c r="AD526" s="84" t="s">
        <v>2782</v>
      </c>
      <c r="AE526" s="82">
        <v>2</v>
      </c>
      <c r="AF526" s="83" t="str">
        <f>REPLACE(INDEX(GroupVertices[Group],MATCH(Edges[[#This Row],[Vertex 1]],GroupVertices[Vertex],0)),1,1,"")</f>
        <v>1</v>
      </c>
      <c r="AG526" s="83" t="str">
        <f>REPLACE(INDEX(GroupVertices[Group],MATCH(Edges[[#This Row],[Vertex 2]],GroupVertices[Vertex],0)),1,1,"")</f>
        <v>1</v>
      </c>
      <c r="AH526" s="111">
        <v>0</v>
      </c>
      <c r="AI526" s="112">
        <v>0</v>
      </c>
      <c r="AJ526" s="111">
        <v>1</v>
      </c>
      <c r="AK526" s="112">
        <v>5.555555555555555</v>
      </c>
      <c r="AL526" s="111">
        <v>0</v>
      </c>
      <c r="AM526" s="112">
        <v>0</v>
      </c>
      <c r="AN526" s="111">
        <v>17</v>
      </c>
      <c r="AO526" s="112">
        <v>94.44444444444444</v>
      </c>
      <c r="AP526" s="111">
        <v>18</v>
      </c>
    </row>
    <row r="527" spans="1:42" ht="15">
      <c r="A527" s="65" t="s">
        <v>581</v>
      </c>
      <c r="B527" s="65" t="s">
        <v>287</v>
      </c>
      <c r="C527" s="66" t="s">
        <v>5346</v>
      </c>
      <c r="D527" s="67">
        <v>10</v>
      </c>
      <c r="E527" s="68"/>
      <c r="F527" s="69">
        <v>15</v>
      </c>
      <c r="G527" s="66"/>
      <c r="H527" s="70"/>
      <c r="I527" s="71"/>
      <c r="J527" s="71"/>
      <c r="K527" s="35" t="s">
        <v>66</v>
      </c>
      <c r="L527" s="79">
        <v>527</v>
      </c>
      <c r="M527" s="79"/>
      <c r="N527" s="73"/>
      <c r="O527" s="81" t="s">
        <v>760</v>
      </c>
      <c r="P527" s="81" t="s">
        <v>215</v>
      </c>
      <c r="Q527" s="84" t="s">
        <v>1268</v>
      </c>
      <c r="R527" s="81" t="s">
        <v>581</v>
      </c>
      <c r="S527" s="81" t="s">
        <v>1909</v>
      </c>
      <c r="T527" s="86" t="str">
        <f>HYPERLINK("http://www.youtube.com/channel/UCMiyV_Q72o8acn2-LR21hJw")</f>
        <v>http://www.youtube.com/channel/UCMiyV_Q72o8acn2-LR21hJw</v>
      </c>
      <c r="U527" s="81"/>
      <c r="V527" s="81" t="s">
        <v>2319</v>
      </c>
      <c r="W527" s="86" t="str">
        <f>HYPERLINK("https://www.youtube.com/watch?v=7aRMkFHzJrc")</f>
        <v>https://www.youtube.com/watch?v=7aRMkFHzJrc</v>
      </c>
      <c r="X527" s="81" t="s">
        <v>2335</v>
      </c>
      <c r="Y527" s="81">
        <v>0</v>
      </c>
      <c r="Z527" s="88">
        <v>43257.41024305556</v>
      </c>
      <c r="AA527" s="88">
        <v>43257.41024305556</v>
      </c>
      <c r="AB527" s="81"/>
      <c r="AC527" s="81"/>
      <c r="AD527" s="84" t="s">
        <v>2782</v>
      </c>
      <c r="AE527" s="82">
        <v>2</v>
      </c>
      <c r="AF527" s="83" t="str">
        <f>REPLACE(INDEX(GroupVertices[Group],MATCH(Edges[[#This Row],[Vertex 1]],GroupVertices[Vertex],0)),1,1,"")</f>
        <v>1</v>
      </c>
      <c r="AG527" s="83" t="str">
        <f>REPLACE(INDEX(GroupVertices[Group],MATCH(Edges[[#This Row],[Vertex 2]],GroupVertices[Vertex],0)),1,1,"")</f>
        <v>1</v>
      </c>
      <c r="AH527" s="111">
        <v>0</v>
      </c>
      <c r="AI527" s="112">
        <v>0</v>
      </c>
      <c r="AJ527" s="111">
        <v>0</v>
      </c>
      <c r="AK527" s="112">
        <v>0</v>
      </c>
      <c r="AL527" s="111">
        <v>0</v>
      </c>
      <c r="AM527" s="112">
        <v>0</v>
      </c>
      <c r="AN527" s="111">
        <v>30</v>
      </c>
      <c r="AO527" s="112">
        <v>100</v>
      </c>
      <c r="AP527" s="111">
        <v>30</v>
      </c>
    </row>
    <row r="528" spans="1:42" ht="15">
      <c r="A528" s="65" t="s">
        <v>287</v>
      </c>
      <c r="B528" s="65" t="s">
        <v>581</v>
      </c>
      <c r="C528" s="66" t="s">
        <v>5346</v>
      </c>
      <c r="D528" s="67">
        <v>10</v>
      </c>
      <c r="E528" s="68"/>
      <c r="F528" s="69">
        <v>15</v>
      </c>
      <c r="G528" s="66"/>
      <c r="H528" s="70"/>
      <c r="I528" s="71"/>
      <c r="J528" s="71"/>
      <c r="K528" s="35" t="s">
        <v>66</v>
      </c>
      <c r="L528" s="79">
        <v>528</v>
      </c>
      <c r="M528" s="79"/>
      <c r="N528" s="73"/>
      <c r="O528" s="81" t="s">
        <v>761</v>
      </c>
      <c r="P528" s="81" t="s">
        <v>763</v>
      </c>
      <c r="Q528" s="84" t="s">
        <v>1269</v>
      </c>
      <c r="R528" s="81" t="s">
        <v>287</v>
      </c>
      <c r="S528" s="81" t="s">
        <v>1616</v>
      </c>
      <c r="T528" s="86" t="str">
        <f>HYPERLINK("http://www.youtube.com/channel/UCbUhO-tut97b5IQhZ3i7TMA")</f>
        <v>http://www.youtube.com/channel/UCbUhO-tut97b5IQhZ3i7TMA</v>
      </c>
      <c r="U528" s="81" t="s">
        <v>2217</v>
      </c>
      <c r="V528" s="81" t="s">
        <v>2319</v>
      </c>
      <c r="W528" s="86" t="str">
        <f>HYPERLINK("https://www.youtube.com/watch?v=7aRMkFHzJrc")</f>
        <v>https://www.youtube.com/watch?v=7aRMkFHzJrc</v>
      </c>
      <c r="X528" s="81" t="s">
        <v>2335</v>
      </c>
      <c r="Y528" s="81">
        <v>0</v>
      </c>
      <c r="Z528" s="88">
        <v>43257.99519675926</v>
      </c>
      <c r="AA528" s="88">
        <v>43257.99519675926</v>
      </c>
      <c r="AB528" s="81"/>
      <c r="AC528" s="81"/>
      <c r="AD528" s="84" t="s">
        <v>2782</v>
      </c>
      <c r="AE528" s="82">
        <v>2</v>
      </c>
      <c r="AF528" s="83" t="str">
        <f>REPLACE(INDEX(GroupVertices[Group],MATCH(Edges[[#This Row],[Vertex 1]],GroupVertices[Vertex],0)),1,1,"")</f>
        <v>1</v>
      </c>
      <c r="AG528" s="83" t="str">
        <f>REPLACE(INDEX(GroupVertices[Group],MATCH(Edges[[#This Row],[Vertex 2]],GroupVertices[Vertex],0)),1,1,"")</f>
        <v>1</v>
      </c>
      <c r="AH528" s="111">
        <v>0</v>
      </c>
      <c r="AI528" s="112">
        <v>0</v>
      </c>
      <c r="AJ528" s="111">
        <v>0</v>
      </c>
      <c r="AK528" s="112">
        <v>0</v>
      </c>
      <c r="AL528" s="111">
        <v>0</v>
      </c>
      <c r="AM528" s="112">
        <v>0</v>
      </c>
      <c r="AN528" s="111">
        <v>5</v>
      </c>
      <c r="AO528" s="112">
        <v>100</v>
      </c>
      <c r="AP528" s="111">
        <v>5</v>
      </c>
    </row>
    <row r="529" spans="1:42" ht="15">
      <c r="A529" s="65" t="s">
        <v>581</v>
      </c>
      <c r="B529" s="65" t="s">
        <v>287</v>
      </c>
      <c r="C529" s="66" t="s">
        <v>5346</v>
      </c>
      <c r="D529" s="67">
        <v>10</v>
      </c>
      <c r="E529" s="68"/>
      <c r="F529" s="69">
        <v>15</v>
      </c>
      <c r="G529" s="66"/>
      <c r="H529" s="70"/>
      <c r="I529" s="71"/>
      <c r="J529" s="71"/>
      <c r="K529" s="35" t="s">
        <v>66</v>
      </c>
      <c r="L529" s="79">
        <v>529</v>
      </c>
      <c r="M529" s="79"/>
      <c r="N529" s="73"/>
      <c r="O529" s="81" t="s">
        <v>760</v>
      </c>
      <c r="P529" s="81" t="s">
        <v>215</v>
      </c>
      <c r="Q529" s="84" t="s">
        <v>1270</v>
      </c>
      <c r="R529" s="81" t="s">
        <v>581</v>
      </c>
      <c r="S529" s="81" t="s">
        <v>1909</v>
      </c>
      <c r="T529" s="86" t="str">
        <f>HYPERLINK("http://www.youtube.com/channel/UCMiyV_Q72o8acn2-LR21hJw")</f>
        <v>http://www.youtube.com/channel/UCMiyV_Q72o8acn2-LR21hJw</v>
      </c>
      <c r="U529" s="81"/>
      <c r="V529" s="81" t="s">
        <v>2319</v>
      </c>
      <c r="W529" s="86" t="str">
        <f>HYPERLINK("https://www.youtube.com/watch?v=7aRMkFHzJrc")</f>
        <v>https://www.youtube.com/watch?v=7aRMkFHzJrc</v>
      </c>
      <c r="X529" s="81" t="s">
        <v>2335</v>
      </c>
      <c r="Y529" s="81">
        <v>0</v>
      </c>
      <c r="Z529" s="88">
        <v>43257.91478009259</v>
      </c>
      <c r="AA529" s="88">
        <v>43257.91478009259</v>
      </c>
      <c r="AB529" s="81"/>
      <c r="AC529" s="81"/>
      <c r="AD529" s="84" t="s">
        <v>2782</v>
      </c>
      <c r="AE529" s="82">
        <v>2</v>
      </c>
      <c r="AF529" s="83" t="str">
        <f>REPLACE(INDEX(GroupVertices[Group],MATCH(Edges[[#This Row],[Vertex 1]],GroupVertices[Vertex],0)),1,1,"")</f>
        <v>1</v>
      </c>
      <c r="AG529" s="83" t="str">
        <f>REPLACE(INDEX(GroupVertices[Group],MATCH(Edges[[#This Row],[Vertex 2]],GroupVertices[Vertex],0)),1,1,"")</f>
        <v>1</v>
      </c>
      <c r="AH529" s="111">
        <v>0</v>
      </c>
      <c r="AI529" s="112">
        <v>0</v>
      </c>
      <c r="AJ529" s="111">
        <v>0</v>
      </c>
      <c r="AK529" s="112">
        <v>0</v>
      </c>
      <c r="AL529" s="111">
        <v>0</v>
      </c>
      <c r="AM529" s="112">
        <v>0</v>
      </c>
      <c r="AN529" s="111">
        <v>7</v>
      </c>
      <c r="AO529" s="112">
        <v>100</v>
      </c>
      <c r="AP529" s="111">
        <v>7</v>
      </c>
    </row>
    <row r="530" spans="1:42" ht="15">
      <c r="A530" s="65" t="s">
        <v>287</v>
      </c>
      <c r="B530" s="65" t="s">
        <v>582</v>
      </c>
      <c r="C530" s="66" t="s">
        <v>5346</v>
      </c>
      <c r="D530" s="67">
        <v>10</v>
      </c>
      <c r="E530" s="68"/>
      <c r="F530" s="69">
        <v>15</v>
      </c>
      <c r="G530" s="66"/>
      <c r="H530" s="70"/>
      <c r="I530" s="71"/>
      <c r="J530" s="71"/>
      <c r="K530" s="35" t="s">
        <v>66</v>
      </c>
      <c r="L530" s="79">
        <v>530</v>
      </c>
      <c r="M530" s="79"/>
      <c r="N530" s="73"/>
      <c r="O530" s="81" t="s">
        <v>761</v>
      </c>
      <c r="P530" s="81" t="s">
        <v>763</v>
      </c>
      <c r="Q530" s="84" t="s">
        <v>1271</v>
      </c>
      <c r="R530" s="81" t="s">
        <v>287</v>
      </c>
      <c r="S530" s="81" t="s">
        <v>1616</v>
      </c>
      <c r="T530" s="86" t="str">
        <f>HYPERLINK("http://www.youtube.com/channel/UCbUhO-tut97b5IQhZ3i7TMA")</f>
        <v>http://www.youtube.com/channel/UCbUhO-tut97b5IQhZ3i7TMA</v>
      </c>
      <c r="U530" s="81" t="s">
        <v>2218</v>
      </c>
      <c r="V530" s="81" t="s">
        <v>2315</v>
      </c>
      <c r="W530" s="86" t="str">
        <f>HYPERLINK("https://www.youtube.com/watch?v=JCTlws1bpAY")</f>
        <v>https://www.youtube.com/watch?v=JCTlws1bpAY</v>
      </c>
      <c r="X530" s="81" t="s">
        <v>2335</v>
      </c>
      <c r="Y530" s="81">
        <v>0</v>
      </c>
      <c r="Z530" s="88">
        <v>43290.830092592594</v>
      </c>
      <c r="AA530" s="88">
        <v>43290.830092592594</v>
      </c>
      <c r="AB530" s="81"/>
      <c r="AC530" s="81"/>
      <c r="AD530" s="84" t="s">
        <v>2782</v>
      </c>
      <c r="AE530" s="82">
        <v>2</v>
      </c>
      <c r="AF530" s="83" t="str">
        <f>REPLACE(INDEX(GroupVertices[Group],MATCH(Edges[[#This Row],[Vertex 1]],GroupVertices[Vertex],0)),1,1,"")</f>
        <v>1</v>
      </c>
      <c r="AG530" s="83" t="str">
        <f>REPLACE(INDEX(GroupVertices[Group],MATCH(Edges[[#This Row],[Vertex 2]],GroupVertices[Vertex],0)),1,1,"")</f>
        <v>1</v>
      </c>
      <c r="AH530" s="111">
        <v>2</v>
      </c>
      <c r="AI530" s="112">
        <v>66.66666666666667</v>
      </c>
      <c r="AJ530" s="111">
        <v>0</v>
      </c>
      <c r="AK530" s="112">
        <v>0</v>
      </c>
      <c r="AL530" s="111">
        <v>0</v>
      </c>
      <c r="AM530" s="112">
        <v>0</v>
      </c>
      <c r="AN530" s="111">
        <v>1</v>
      </c>
      <c r="AO530" s="112">
        <v>33.333333333333336</v>
      </c>
      <c r="AP530" s="111">
        <v>3</v>
      </c>
    </row>
    <row r="531" spans="1:42" ht="15">
      <c r="A531" s="65" t="s">
        <v>582</v>
      </c>
      <c r="B531" s="65" t="s">
        <v>287</v>
      </c>
      <c r="C531" s="66" t="s">
        <v>5346</v>
      </c>
      <c r="D531" s="67">
        <v>10</v>
      </c>
      <c r="E531" s="68"/>
      <c r="F531" s="69">
        <v>15</v>
      </c>
      <c r="G531" s="66"/>
      <c r="H531" s="70"/>
      <c r="I531" s="71"/>
      <c r="J531" s="71"/>
      <c r="K531" s="35" t="s">
        <v>66</v>
      </c>
      <c r="L531" s="79">
        <v>531</v>
      </c>
      <c r="M531" s="79"/>
      <c r="N531" s="73"/>
      <c r="O531" s="81" t="s">
        <v>760</v>
      </c>
      <c r="P531" s="81" t="s">
        <v>215</v>
      </c>
      <c r="Q531" s="84" t="s">
        <v>1272</v>
      </c>
      <c r="R531" s="81" t="s">
        <v>582</v>
      </c>
      <c r="S531" s="81" t="s">
        <v>1910</v>
      </c>
      <c r="T531" s="86" t="str">
        <f>HYPERLINK("http://www.youtube.com/channel/UCdg26mi464Al2R0YgQwvGww")</f>
        <v>http://www.youtube.com/channel/UCdg26mi464Al2R0YgQwvGww</v>
      </c>
      <c r="U531" s="81"/>
      <c r="V531" s="81" t="s">
        <v>2315</v>
      </c>
      <c r="W531" s="86" t="str">
        <f>HYPERLINK("https://www.youtube.com/watch?v=JCTlws1bpAY")</f>
        <v>https://www.youtube.com/watch?v=JCTlws1bpAY</v>
      </c>
      <c r="X531" s="81" t="s">
        <v>2335</v>
      </c>
      <c r="Y531" s="81">
        <v>0</v>
      </c>
      <c r="Z531" s="88">
        <v>43229.970289351855</v>
      </c>
      <c r="AA531" s="88">
        <v>43229.970289351855</v>
      </c>
      <c r="AB531" s="81"/>
      <c r="AC531" s="81"/>
      <c r="AD531" s="84" t="s">
        <v>2782</v>
      </c>
      <c r="AE531" s="82">
        <v>2</v>
      </c>
      <c r="AF531" s="83" t="str">
        <f>REPLACE(INDEX(GroupVertices[Group],MATCH(Edges[[#This Row],[Vertex 1]],GroupVertices[Vertex],0)),1,1,"")</f>
        <v>1</v>
      </c>
      <c r="AG531" s="83" t="str">
        <f>REPLACE(INDEX(GroupVertices[Group],MATCH(Edges[[#This Row],[Vertex 2]],GroupVertices[Vertex],0)),1,1,"")</f>
        <v>1</v>
      </c>
      <c r="AH531" s="111">
        <v>5</v>
      </c>
      <c r="AI531" s="112">
        <v>11.363636363636363</v>
      </c>
      <c r="AJ531" s="111">
        <v>0</v>
      </c>
      <c r="AK531" s="112">
        <v>0</v>
      </c>
      <c r="AL531" s="111">
        <v>0</v>
      </c>
      <c r="AM531" s="112">
        <v>0</v>
      </c>
      <c r="AN531" s="111">
        <v>39</v>
      </c>
      <c r="AO531" s="112">
        <v>88.63636363636364</v>
      </c>
      <c r="AP531" s="111">
        <v>44</v>
      </c>
    </row>
    <row r="532" spans="1:42" ht="15">
      <c r="A532" s="65" t="s">
        <v>287</v>
      </c>
      <c r="B532" s="65" t="s">
        <v>582</v>
      </c>
      <c r="C532" s="66" t="s">
        <v>5346</v>
      </c>
      <c r="D532" s="67">
        <v>10</v>
      </c>
      <c r="E532" s="68"/>
      <c r="F532" s="69">
        <v>15</v>
      </c>
      <c r="G532" s="66"/>
      <c r="H532" s="70"/>
      <c r="I532" s="71"/>
      <c r="J532" s="71"/>
      <c r="K532" s="35" t="s">
        <v>66</v>
      </c>
      <c r="L532" s="79">
        <v>532</v>
      </c>
      <c r="M532" s="79"/>
      <c r="N532" s="73"/>
      <c r="O532" s="81" t="s">
        <v>761</v>
      </c>
      <c r="P532" s="81" t="s">
        <v>763</v>
      </c>
      <c r="Q532" s="84" t="s">
        <v>1273</v>
      </c>
      <c r="R532" s="81" t="s">
        <v>287</v>
      </c>
      <c r="S532" s="81" t="s">
        <v>1616</v>
      </c>
      <c r="T532" s="86" t="str">
        <f>HYPERLINK("http://www.youtube.com/channel/UCbUhO-tut97b5IQhZ3i7TMA")</f>
        <v>http://www.youtube.com/channel/UCbUhO-tut97b5IQhZ3i7TMA</v>
      </c>
      <c r="U532" s="81" t="s">
        <v>2219</v>
      </c>
      <c r="V532" s="81" t="s">
        <v>2319</v>
      </c>
      <c r="W532" s="86" t="str">
        <f>HYPERLINK("https://www.youtube.com/watch?v=7aRMkFHzJrc")</f>
        <v>https://www.youtube.com/watch?v=7aRMkFHzJrc</v>
      </c>
      <c r="X532" s="81" t="s">
        <v>2335</v>
      </c>
      <c r="Y532" s="81">
        <v>0</v>
      </c>
      <c r="Z532" s="88">
        <v>43287.64724537037</v>
      </c>
      <c r="AA532" s="88">
        <v>43287.64724537037</v>
      </c>
      <c r="AB532" s="81"/>
      <c r="AC532" s="81"/>
      <c r="AD532" s="84" t="s">
        <v>2782</v>
      </c>
      <c r="AE532" s="82">
        <v>2</v>
      </c>
      <c r="AF532" s="83" t="str">
        <f>REPLACE(INDEX(GroupVertices[Group],MATCH(Edges[[#This Row],[Vertex 1]],GroupVertices[Vertex],0)),1,1,"")</f>
        <v>1</v>
      </c>
      <c r="AG532" s="83" t="str">
        <f>REPLACE(INDEX(GroupVertices[Group],MATCH(Edges[[#This Row],[Vertex 2]],GroupVertices[Vertex],0)),1,1,"")</f>
        <v>1</v>
      </c>
      <c r="AH532" s="111">
        <v>1</v>
      </c>
      <c r="AI532" s="112">
        <v>20</v>
      </c>
      <c r="AJ532" s="111">
        <v>0</v>
      </c>
      <c r="AK532" s="112">
        <v>0</v>
      </c>
      <c r="AL532" s="111">
        <v>0</v>
      </c>
      <c r="AM532" s="112">
        <v>0</v>
      </c>
      <c r="AN532" s="111">
        <v>4</v>
      </c>
      <c r="AO532" s="112">
        <v>80</v>
      </c>
      <c r="AP532" s="111">
        <v>5</v>
      </c>
    </row>
    <row r="533" spans="1:42" ht="15">
      <c r="A533" s="65" t="s">
        <v>582</v>
      </c>
      <c r="B533" s="65" t="s">
        <v>287</v>
      </c>
      <c r="C533" s="66" t="s">
        <v>5346</v>
      </c>
      <c r="D533" s="67">
        <v>10</v>
      </c>
      <c r="E533" s="68"/>
      <c r="F533" s="69">
        <v>15</v>
      </c>
      <c r="G533" s="66"/>
      <c r="H533" s="70"/>
      <c r="I533" s="71"/>
      <c r="J533" s="71"/>
      <c r="K533" s="35" t="s">
        <v>66</v>
      </c>
      <c r="L533" s="79">
        <v>533</v>
      </c>
      <c r="M533" s="79"/>
      <c r="N533" s="73"/>
      <c r="O533" s="81" t="s">
        <v>760</v>
      </c>
      <c r="P533" s="81" t="s">
        <v>215</v>
      </c>
      <c r="Q533" s="84" t="s">
        <v>1274</v>
      </c>
      <c r="R533" s="81" t="s">
        <v>582</v>
      </c>
      <c r="S533" s="81" t="s">
        <v>1910</v>
      </c>
      <c r="T533" s="86" t="str">
        <f>HYPERLINK("http://www.youtube.com/channel/UCdg26mi464Al2R0YgQwvGww")</f>
        <v>http://www.youtube.com/channel/UCdg26mi464Al2R0YgQwvGww</v>
      </c>
      <c r="U533" s="81"/>
      <c r="V533" s="81" t="s">
        <v>2319</v>
      </c>
      <c r="W533" s="86" t="str">
        <f>HYPERLINK("https://www.youtube.com/watch?v=7aRMkFHzJrc")</f>
        <v>https://www.youtube.com/watch?v=7aRMkFHzJrc</v>
      </c>
      <c r="X533" s="81" t="s">
        <v>2335</v>
      </c>
      <c r="Y533" s="81">
        <v>0</v>
      </c>
      <c r="Z533" s="88">
        <v>43287.05542824074</v>
      </c>
      <c r="AA533" s="88">
        <v>43287.05542824074</v>
      </c>
      <c r="AB533" s="81"/>
      <c r="AC533" s="81"/>
      <c r="AD533" s="84" t="s">
        <v>2782</v>
      </c>
      <c r="AE533" s="82">
        <v>2</v>
      </c>
      <c r="AF533" s="83" t="str">
        <f>REPLACE(INDEX(GroupVertices[Group],MATCH(Edges[[#This Row],[Vertex 1]],GroupVertices[Vertex],0)),1,1,"")</f>
        <v>1</v>
      </c>
      <c r="AG533" s="83" t="str">
        <f>REPLACE(INDEX(GroupVertices[Group],MATCH(Edges[[#This Row],[Vertex 2]],GroupVertices[Vertex],0)),1,1,"")</f>
        <v>1</v>
      </c>
      <c r="AH533" s="111">
        <v>0</v>
      </c>
      <c r="AI533" s="112">
        <v>0</v>
      </c>
      <c r="AJ533" s="111">
        <v>0</v>
      </c>
      <c r="AK533" s="112">
        <v>0</v>
      </c>
      <c r="AL533" s="111">
        <v>0</v>
      </c>
      <c r="AM533" s="112">
        <v>0</v>
      </c>
      <c r="AN533" s="111">
        <v>18</v>
      </c>
      <c r="AO533" s="112">
        <v>100</v>
      </c>
      <c r="AP533" s="111">
        <v>18</v>
      </c>
    </row>
    <row r="534" spans="1:42" ht="15">
      <c r="A534" s="65" t="s">
        <v>583</v>
      </c>
      <c r="B534" s="65" t="s">
        <v>287</v>
      </c>
      <c r="C534" s="66" t="s">
        <v>5346</v>
      </c>
      <c r="D534" s="67">
        <v>10</v>
      </c>
      <c r="E534" s="68"/>
      <c r="F534" s="69">
        <v>15</v>
      </c>
      <c r="G534" s="66"/>
      <c r="H534" s="70"/>
      <c r="I534" s="71"/>
      <c r="J534" s="71"/>
      <c r="K534" s="35" t="s">
        <v>66</v>
      </c>
      <c r="L534" s="79">
        <v>534</v>
      </c>
      <c r="M534" s="79"/>
      <c r="N534" s="73"/>
      <c r="O534" s="81" t="s">
        <v>760</v>
      </c>
      <c r="P534" s="81" t="s">
        <v>215</v>
      </c>
      <c r="Q534" s="84" t="s">
        <v>1275</v>
      </c>
      <c r="R534" s="81" t="s">
        <v>583</v>
      </c>
      <c r="S534" s="81" t="s">
        <v>1911</v>
      </c>
      <c r="T534" s="86" t="str">
        <f>HYPERLINK("http://www.youtube.com/channel/UCYQ_SiM9OrCp3yaK5vo7Wpw")</f>
        <v>http://www.youtube.com/channel/UCYQ_SiM9OrCp3yaK5vo7Wpw</v>
      </c>
      <c r="U534" s="81"/>
      <c r="V534" s="81" t="s">
        <v>2315</v>
      </c>
      <c r="W534" s="86" t="str">
        <f>HYPERLINK("https://www.youtube.com/watch?v=JCTlws1bpAY")</f>
        <v>https://www.youtube.com/watch?v=JCTlws1bpAY</v>
      </c>
      <c r="X534" s="81" t="s">
        <v>2335</v>
      </c>
      <c r="Y534" s="81">
        <v>0</v>
      </c>
      <c r="Z534" s="88">
        <v>43260.02358796296</v>
      </c>
      <c r="AA534" s="88">
        <v>43260.02358796296</v>
      </c>
      <c r="AB534" s="81"/>
      <c r="AC534" s="81"/>
      <c r="AD534" s="84" t="s">
        <v>2782</v>
      </c>
      <c r="AE534" s="82">
        <v>2</v>
      </c>
      <c r="AF534" s="83" t="str">
        <f>REPLACE(INDEX(GroupVertices[Group],MATCH(Edges[[#This Row],[Vertex 1]],GroupVertices[Vertex],0)),1,1,"")</f>
        <v>1</v>
      </c>
      <c r="AG534" s="83" t="str">
        <f>REPLACE(INDEX(GroupVertices[Group],MATCH(Edges[[#This Row],[Vertex 2]],GroupVertices[Vertex],0)),1,1,"")</f>
        <v>1</v>
      </c>
      <c r="AH534" s="111">
        <v>1</v>
      </c>
      <c r="AI534" s="112">
        <v>12.5</v>
      </c>
      <c r="AJ534" s="111">
        <v>0</v>
      </c>
      <c r="AK534" s="112">
        <v>0</v>
      </c>
      <c r="AL534" s="111">
        <v>0</v>
      </c>
      <c r="AM534" s="112">
        <v>0</v>
      </c>
      <c r="AN534" s="111">
        <v>7</v>
      </c>
      <c r="AO534" s="112">
        <v>87.5</v>
      </c>
      <c r="AP534" s="111">
        <v>8</v>
      </c>
    </row>
    <row r="535" spans="1:42" ht="15">
      <c r="A535" s="65" t="s">
        <v>287</v>
      </c>
      <c r="B535" s="65" t="s">
        <v>583</v>
      </c>
      <c r="C535" s="66" t="s">
        <v>5345</v>
      </c>
      <c r="D535" s="67">
        <v>3</v>
      </c>
      <c r="E535" s="68"/>
      <c r="F535" s="69">
        <v>40</v>
      </c>
      <c r="G535" s="66"/>
      <c r="H535" s="70"/>
      <c r="I535" s="71"/>
      <c r="J535" s="71"/>
      <c r="K535" s="35" t="s">
        <v>66</v>
      </c>
      <c r="L535" s="79">
        <v>535</v>
      </c>
      <c r="M535" s="79"/>
      <c r="N535" s="73"/>
      <c r="O535" s="81" t="s">
        <v>761</v>
      </c>
      <c r="P535" s="81" t="s">
        <v>763</v>
      </c>
      <c r="Q535" s="84" t="s">
        <v>1276</v>
      </c>
      <c r="R535" s="81" t="s">
        <v>287</v>
      </c>
      <c r="S535" s="81" t="s">
        <v>1616</v>
      </c>
      <c r="T535" s="86" t="str">
        <f>HYPERLINK("http://www.youtube.com/channel/UCbUhO-tut97b5IQhZ3i7TMA")</f>
        <v>http://www.youtube.com/channel/UCbUhO-tut97b5IQhZ3i7TMA</v>
      </c>
      <c r="U535" s="81" t="s">
        <v>2220</v>
      </c>
      <c r="V535" s="81" t="s">
        <v>2319</v>
      </c>
      <c r="W535" s="86" t="str">
        <f>HYPERLINK("https://www.youtube.com/watch?v=7aRMkFHzJrc")</f>
        <v>https://www.youtube.com/watch?v=7aRMkFHzJrc</v>
      </c>
      <c r="X535" s="81" t="s">
        <v>2335</v>
      </c>
      <c r="Y535" s="81">
        <v>1</v>
      </c>
      <c r="Z535" s="88">
        <v>43349.49302083333</v>
      </c>
      <c r="AA535" s="88">
        <v>43349.49302083333</v>
      </c>
      <c r="AB535" s="81"/>
      <c r="AC535" s="81"/>
      <c r="AD535" s="84" t="s">
        <v>2782</v>
      </c>
      <c r="AE535" s="82">
        <v>1</v>
      </c>
      <c r="AF535" s="83" t="str">
        <f>REPLACE(INDEX(GroupVertices[Group],MATCH(Edges[[#This Row],[Vertex 1]],GroupVertices[Vertex],0)),1,1,"")</f>
        <v>1</v>
      </c>
      <c r="AG535" s="83" t="str">
        <f>REPLACE(INDEX(GroupVertices[Group],MATCH(Edges[[#This Row],[Vertex 2]],GroupVertices[Vertex],0)),1,1,"")</f>
        <v>1</v>
      </c>
      <c r="AH535" s="111">
        <v>0</v>
      </c>
      <c r="AI535" s="112">
        <v>0</v>
      </c>
      <c r="AJ535" s="111">
        <v>0</v>
      </c>
      <c r="AK535" s="112">
        <v>0</v>
      </c>
      <c r="AL535" s="111">
        <v>0</v>
      </c>
      <c r="AM535" s="112">
        <v>0</v>
      </c>
      <c r="AN535" s="111">
        <v>3</v>
      </c>
      <c r="AO535" s="112">
        <v>100</v>
      </c>
      <c r="AP535" s="111">
        <v>3</v>
      </c>
    </row>
    <row r="536" spans="1:42" ht="15">
      <c r="A536" s="65" t="s">
        <v>583</v>
      </c>
      <c r="B536" s="65" t="s">
        <v>287</v>
      </c>
      <c r="C536" s="66" t="s">
        <v>5346</v>
      </c>
      <c r="D536" s="67">
        <v>10</v>
      </c>
      <c r="E536" s="68"/>
      <c r="F536" s="69">
        <v>15</v>
      </c>
      <c r="G536" s="66"/>
      <c r="H536" s="70"/>
      <c r="I536" s="71"/>
      <c r="J536" s="71"/>
      <c r="K536" s="35" t="s">
        <v>66</v>
      </c>
      <c r="L536" s="79">
        <v>536</v>
      </c>
      <c r="M536" s="79"/>
      <c r="N536" s="73"/>
      <c r="O536" s="81" t="s">
        <v>760</v>
      </c>
      <c r="P536" s="81" t="s">
        <v>215</v>
      </c>
      <c r="Q536" s="84" t="s">
        <v>1277</v>
      </c>
      <c r="R536" s="81" t="s">
        <v>583</v>
      </c>
      <c r="S536" s="81" t="s">
        <v>1911</v>
      </c>
      <c r="T536" s="86" t="str">
        <f>HYPERLINK("http://www.youtube.com/channel/UCYQ_SiM9OrCp3yaK5vo7Wpw")</f>
        <v>http://www.youtube.com/channel/UCYQ_SiM9OrCp3yaK5vo7Wpw</v>
      </c>
      <c r="U536" s="81"/>
      <c r="V536" s="81" t="s">
        <v>2319</v>
      </c>
      <c r="W536" s="86" t="str">
        <f>HYPERLINK("https://www.youtube.com/watch?v=7aRMkFHzJrc")</f>
        <v>https://www.youtube.com/watch?v=7aRMkFHzJrc</v>
      </c>
      <c r="X536" s="81" t="s">
        <v>2335</v>
      </c>
      <c r="Y536" s="81">
        <v>0</v>
      </c>
      <c r="Z536" s="88">
        <v>43349.36414351852</v>
      </c>
      <c r="AA536" s="88">
        <v>43349.36414351852</v>
      </c>
      <c r="AB536" s="81"/>
      <c r="AC536" s="81"/>
      <c r="AD536" s="84" t="s">
        <v>2782</v>
      </c>
      <c r="AE536" s="82">
        <v>2</v>
      </c>
      <c r="AF536" s="83" t="str">
        <f>REPLACE(INDEX(GroupVertices[Group],MATCH(Edges[[#This Row],[Vertex 1]],GroupVertices[Vertex],0)),1,1,"")</f>
        <v>1</v>
      </c>
      <c r="AG536" s="83" t="str">
        <f>REPLACE(INDEX(GroupVertices[Group],MATCH(Edges[[#This Row],[Vertex 2]],GroupVertices[Vertex],0)),1,1,"")</f>
        <v>1</v>
      </c>
      <c r="AH536" s="111">
        <v>2</v>
      </c>
      <c r="AI536" s="112">
        <v>18.181818181818183</v>
      </c>
      <c r="AJ536" s="111">
        <v>0</v>
      </c>
      <c r="AK536" s="112">
        <v>0</v>
      </c>
      <c r="AL536" s="111">
        <v>0</v>
      </c>
      <c r="AM536" s="112">
        <v>0</v>
      </c>
      <c r="AN536" s="111">
        <v>9</v>
      </c>
      <c r="AO536" s="112">
        <v>81.81818181818181</v>
      </c>
      <c r="AP536" s="111">
        <v>11</v>
      </c>
    </row>
    <row r="537" spans="1:42" ht="15">
      <c r="A537" s="65" t="s">
        <v>287</v>
      </c>
      <c r="B537" s="65" t="s">
        <v>584</v>
      </c>
      <c r="C537" s="66" t="s">
        <v>5346</v>
      </c>
      <c r="D537" s="67">
        <v>10</v>
      </c>
      <c r="E537" s="68"/>
      <c r="F537" s="69">
        <v>15</v>
      </c>
      <c r="G537" s="66"/>
      <c r="H537" s="70"/>
      <c r="I537" s="71"/>
      <c r="J537" s="71"/>
      <c r="K537" s="35" t="s">
        <v>66</v>
      </c>
      <c r="L537" s="79">
        <v>537</v>
      </c>
      <c r="M537" s="79"/>
      <c r="N537" s="73"/>
      <c r="O537" s="81" t="s">
        <v>761</v>
      </c>
      <c r="P537" s="81" t="s">
        <v>763</v>
      </c>
      <c r="Q537" s="84" t="s">
        <v>1278</v>
      </c>
      <c r="R537" s="81" t="s">
        <v>287</v>
      </c>
      <c r="S537" s="81" t="s">
        <v>1616</v>
      </c>
      <c r="T537" s="86" t="str">
        <f>HYPERLINK("http://www.youtube.com/channel/UCbUhO-tut97b5IQhZ3i7TMA")</f>
        <v>http://www.youtube.com/channel/UCbUhO-tut97b5IQhZ3i7TMA</v>
      </c>
      <c r="U537" s="81" t="s">
        <v>2221</v>
      </c>
      <c r="V537" s="81" t="s">
        <v>2311</v>
      </c>
      <c r="W537" s="86" t="str">
        <f>HYPERLINK("https://www.youtube.com/watch?v=DrCnSoZUXAc")</f>
        <v>https://www.youtube.com/watch?v=DrCnSoZUXAc</v>
      </c>
      <c r="X537" s="81" t="s">
        <v>2335</v>
      </c>
      <c r="Y537" s="81">
        <v>0</v>
      </c>
      <c r="Z537" s="81" t="s">
        <v>2560</v>
      </c>
      <c r="AA537" s="81" t="s">
        <v>2560</v>
      </c>
      <c r="AB537" s="81"/>
      <c r="AC537" s="81"/>
      <c r="AD537" s="84" t="s">
        <v>2782</v>
      </c>
      <c r="AE537" s="82">
        <v>2</v>
      </c>
      <c r="AF537" s="83" t="str">
        <f>REPLACE(INDEX(GroupVertices[Group],MATCH(Edges[[#This Row],[Vertex 1]],GroupVertices[Vertex],0)),1,1,"")</f>
        <v>1</v>
      </c>
      <c r="AG537" s="83" t="str">
        <f>REPLACE(INDEX(GroupVertices[Group],MATCH(Edges[[#This Row],[Vertex 2]],GroupVertices[Vertex],0)),1,1,"")</f>
        <v>1</v>
      </c>
      <c r="AH537" s="111">
        <v>1</v>
      </c>
      <c r="AI537" s="112">
        <v>14.285714285714286</v>
      </c>
      <c r="AJ537" s="111">
        <v>0</v>
      </c>
      <c r="AK537" s="112">
        <v>0</v>
      </c>
      <c r="AL537" s="111">
        <v>0</v>
      </c>
      <c r="AM537" s="112">
        <v>0</v>
      </c>
      <c r="AN537" s="111">
        <v>6</v>
      </c>
      <c r="AO537" s="112">
        <v>85.71428571428571</v>
      </c>
      <c r="AP537" s="111">
        <v>7</v>
      </c>
    </row>
    <row r="538" spans="1:42" ht="15">
      <c r="A538" s="65" t="s">
        <v>584</v>
      </c>
      <c r="B538" s="65" t="s">
        <v>287</v>
      </c>
      <c r="C538" s="66" t="s">
        <v>5346</v>
      </c>
      <c r="D538" s="67">
        <v>10</v>
      </c>
      <c r="E538" s="68"/>
      <c r="F538" s="69">
        <v>15</v>
      </c>
      <c r="G538" s="66"/>
      <c r="H538" s="70"/>
      <c r="I538" s="71"/>
      <c r="J538" s="71"/>
      <c r="K538" s="35" t="s">
        <v>66</v>
      </c>
      <c r="L538" s="79">
        <v>538</v>
      </c>
      <c r="M538" s="79"/>
      <c r="N538" s="73"/>
      <c r="O538" s="81" t="s">
        <v>760</v>
      </c>
      <c r="P538" s="81" t="s">
        <v>215</v>
      </c>
      <c r="Q538" s="84" t="s">
        <v>1279</v>
      </c>
      <c r="R538" s="81" t="s">
        <v>584</v>
      </c>
      <c r="S538" s="81" t="s">
        <v>1912</v>
      </c>
      <c r="T538" s="86" t="str">
        <f>HYPERLINK("http://www.youtube.com/channel/UCAvulQxkV4merY0uaNG8AkQ")</f>
        <v>http://www.youtube.com/channel/UCAvulQxkV4merY0uaNG8AkQ</v>
      </c>
      <c r="U538" s="81"/>
      <c r="V538" s="81" t="s">
        <v>2311</v>
      </c>
      <c r="W538" s="86" t="str">
        <f>HYPERLINK("https://www.youtube.com/watch?v=DrCnSoZUXAc")</f>
        <v>https://www.youtube.com/watch?v=DrCnSoZUXAc</v>
      </c>
      <c r="X538" s="81" t="s">
        <v>2335</v>
      </c>
      <c r="Y538" s="81">
        <v>0</v>
      </c>
      <c r="Z538" s="81" t="s">
        <v>2561</v>
      </c>
      <c r="AA538" s="81" t="s">
        <v>2561</v>
      </c>
      <c r="AB538" s="81"/>
      <c r="AC538" s="81"/>
      <c r="AD538" s="84" t="s">
        <v>2782</v>
      </c>
      <c r="AE538" s="82">
        <v>2</v>
      </c>
      <c r="AF538" s="83" t="str">
        <f>REPLACE(INDEX(GroupVertices[Group],MATCH(Edges[[#This Row],[Vertex 1]],GroupVertices[Vertex],0)),1,1,"")</f>
        <v>1</v>
      </c>
      <c r="AG538" s="83" t="str">
        <f>REPLACE(INDEX(GroupVertices[Group],MATCH(Edges[[#This Row],[Vertex 2]],GroupVertices[Vertex],0)),1,1,"")</f>
        <v>1</v>
      </c>
      <c r="AH538" s="111">
        <v>2</v>
      </c>
      <c r="AI538" s="112">
        <v>25</v>
      </c>
      <c r="AJ538" s="111">
        <v>0</v>
      </c>
      <c r="AK538" s="112">
        <v>0</v>
      </c>
      <c r="AL538" s="111">
        <v>0</v>
      </c>
      <c r="AM538" s="112">
        <v>0</v>
      </c>
      <c r="AN538" s="111">
        <v>6</v>
      </c>
      <c r="AO538" s="112">
        <v>75</v>
      </c>
      <c r="AP538" s="111">
        <v>8</v>
      </c>
    </row>
    <row r="539" spans="1:42" ht="15">
      <c r="A539" s="65" t="s">
        <v>287</v>
      </c>
      <c r="B539" s="65" t="s">
        <v>584</v>
      </c>
      <c r="C539" s="66" t="s">
        <v>5346</v>
      </c>
      <c r="D539" s="67">
        <v>10</v>
      </c>
      <c r="E539" s="68"/>
      <c r="F539" s="69">
        <v>15</v>
      </c>
      <c r="G539" s="66"/>
      <c r="H539" s="70"/>
      <c r="I539" s="71"/>
      <c r="J539" s="71"/>
      <c r="K539" s="35" t="s">
        <v>66</v>
      </c>
      <c r="L539" s="79">
        <v>539</v>
      </c>
      <c r="M539" s="79"/>
      <c r="N539" s="73"/>
      <c r="O539" s="81" t="s">
        <v>761</v>
      </c>
      <c r="P539" s="81" t="s">
        <v>763</v>
      </c>
      <c r="Q539" s="84" t="s">
        <v>1280</v>
      </c>
      <c r="R539" s="81" t="s">
        <v>287</v>
      </c>
      <c r="S539" s="81" t="s">
        <v>1616</v>
      </c>
      <c r="T539" s="86" t="str">
        <f>HYPERLINK("http://www.youtube.com/channel/UCbUhO-tut97b5IQhZ3i7TMA")</f>
        <v>http://www.youtube.com/channel/UCbUhO-tut97b5IQhZ3i7TMA</v>
      </c>
      <c r="U539" s="81" t="s">
        <v>2222</v>
      </c>
      <c r="V539" s="81" t="s">
        <v>2319</v>
      </c>
      <c r="W539" s="86" t="str">
        <f>HYPERLINK("https://www.youtube.com/watch?v=7aRMkFHzJrc")</f>
        <v>https://www.youtube.com/watch?v=7aRMkFHzJrc</v>
      </c>
      <c r="X539" s="81" t="s">
        <v>2335</v>
      </c>
      <c r="Y539" s="81">
        <v>1</v>
      </c>
      <c r="Z539" s="81" t="s">
        <v>2562</v>
      </c>
      <c r="AA539" s="81" t="s">
        <v>2562</v>
      </c>
      <c r="AB539" s="81"/>
      <c r="AC539" s="81"/>
      <c r="AD539" s="84" t="s">
        <v>2782</v>
      </c>
      <c r="AE539" s="82">
        <v>2</v>
      </c>
      <c r="AF539" s="83" t="str">
        <f>REPLACE(INDEX(GroupVertices[Group],MATCH(Edges[[#This Row],[Vertex 1]],GroupVertices[Vertex],0)),1,1,"")</f>
        <v>1</v>
      </c>
      <c r="AG539" s="83" t="str">
        <f>REPLACE(INDEX(GroupVertices[Group],MATCH(Edges[[#This Row],[Vertex 2]],GroupVertices[Vertex],0)),1,1,"")</f>
        <v>1</v>
      </c>
      <c r="AH539" s="111">
        <v>1</v>
      </c>
      <c r="AI539" s="112">
        <v>4.3478260869565215</v>
      </c>
      <c r="AJ539" s="111">
        <v>0</v>
      </c>
      <c r="AK539" s="112">
        <v>0</v>
      </c>
      <c r="AL539" s="111">
        <v>0</v>
      </c>
      <c r="AM539" s="112">
        <v>0</v>
      </c>
      <c r="AN539" s="111">
        <v>22</v>
      </c>
      <c r="AO539" s="112">
        <v>95.65217391304348</v>
      </c>
      <c r="AP539" s="111">
        <v>23</v>
      </c>
    </row>
    <row r="540" spans="1:42" ht="15">
      <c r="A540" s="65" t="s">
        <v>584</v>
      </c>
      <c r="B540" s="65" t="s">
        <v>287</v>
      </c>
      <c r="C540" s="66" t="s">
        <v>5346</v>
      </c>
      <c r="D540" s="67">
        <v>10</v>
      </c>
      <c r="E540" s="68"/>
      <c r="F540" s="69">
        <v>15</v>
      </c>
      <c r="G540" s="66"/>
      <c r="H540" s="70"/>
      <c r="I540" s="71"/>
      <c r="J540" s="71"/>
      <c r="K540" s="35" t="s">
        <v>66</v>
      </c>
      <c r="L540" s="79">
        <v>540</v>
      </c>
      <c r="M540" s="79"/>
      <c r="N540" s="73"/>
      <c r="O540" s="81" t="s">
        <v>760</v>
      </c>
      <c r="P540" s="81" t="s">
        <v>215</v>
      </c>
      <c r="Q540" s="84" t="s">
        <v>1281</v>
      </c>
      <c r="R540" s="81" t="s">
        <v>584</v>
      </c>
      <c r="S540" s="81" t="s">
        <v>1912</v>
      </c>
      <c r="T540" s="86" t="str">
        <f>HYPERLINK("http://www.youtube.com/channel/UCAvulQxkV4merY0uaNG8AkQ")</f>
        <v>http://www.youtube.com/channel/UCAvulQxkV4merY0uaNG8AkQ</v>
      </c>
      <c r="U540" s="81"/>
      <c r="V540" s="81" t="s">
        <v>2319</v>
      </c>
      <c r="W540" s="86" t="str">
        <f>HYPERLINK("https://www.youtube.com/watch?v=7aRMkFHzJrc")</f>
        <v>https://www.youtube.com/watch?v=7aRMkFHzJrc</v>
      </c>
      <c r="X540" s="81" t="s">
        <v>2335</v>
      </c>
      <c r="Y540" s="81">
        <v>2</v>
      </c>
      <c r="Z540" s="88">
        <v>43440.92196759259</v>
      </c>
      <c r="AA540" s="88">
        <v>43440.92196759259</v>
      </c>
      <c r="AB540" s="81"/>
      <c r="AC540" s="81"/>
      <c r="AD540" s="84" t="s">
        <v>2782</v>
      </c>
      <c r="AE540" s="82">
        <v>2</v>
      </c>
      <c r="AF540" s="83" t="str">
        <f>REPLACE(INDEX(GroupVertices[Group],MATCH(Edges[[#This Row],[Vertex 1]],GroupVertices[Vertex],0)),1,1,"")</f>
        <v>1</v>
      </c>
      <c r="AG540" s="83" t="str">
        <f>REPLACE(INDEX(GroupVertices[Group],MATCH(Edges[[#This Row],[Vertex 2]],GroupVertices[Vertex],0)),1,1,"")</f>
        <v>1</v>
      </c>
      <c r="AH540" s="111">
        <v>1</v>
      </c>
      <c r="AI540" s="112">
        <v>5.882352941176471</v>
      </c>
      <c r="AJ540" s="111">
        <v>0</v>
      </c>
      <c r="AK540" s="112">
        <v>0</v>
      </c>
      <c r="AL540" s="111">
        <v>0</v>
      </c>
      <c r="AM540" s="112">
        <v>0</v>
      </c>
      <c r="AN540" s="111">
        <v>16</v>
      </c>
      <c r="AO540" s="112">
        <v>94.11764705882354</v>
      </c>
      <c r="AP540" s="111">
        <v>17</v>
      </c>
    </row>
    <row r="541" spans="1:42" ht="15">
      <c r="A541" s="65" t="s">
        <v>585</v>
      </c>
      <c r="B541" s="65" t="s">
        <v>287</v>
      </c>
      <c r="C541" s="66" t="s">
        <v>5345</v>
      </c>
      <c r="D541" s="67">
        <v>3</v>
      </c>
      <c r="E541" s="68"/>
      <c r="F541" s="69">
        <v>40</v>
      </c>
      <c r="G541" s="66"/>
      <c r="H541" s="70"/>
      <c r="I541" s="71"/>
      <c r="J541" s="71"/>
      <c r="K541" s="35" t="s">
        <v>65</v>
      </c>
      <c r="L541" s="79">
        <v>541</v>
      </c>
      <c r="M541" s="79"/>
      <c r="N541" s="73"/>
      <c r="O541" s="81" t="s">
        <v>760</v>
      </c>
      <c r="P541" s="81" t="s">
        <v>215</v>
      </c>
      <c r="Q541" s="84" t="s">
        <v>1282</v>
      </c>
      <c r="R541" s="81" t="s">
        <v>585</v>
      </c>
      <c r="S541" s="81" t="s">
        <v>1913</v>
      </c>
      <c r="T541" s="86" t="str">
        <f>HYPERLINK("http://www.youtube.com/channel/UCy_sFlgN167vfSzISY_Y_WA")</f>
        <v>http://www.youtube.com/channel/UCy_sFlgN167vfSzISY_Y_WA</v>
      </c>
      <c r="U541" s="81"/>
      <c r="V541" s="81" t="s">
        <v>2319</v>
      </c>
      <c r="W541" s="86" t="str">
        <f>HYPERLINK("https://www.youtube.com/watch?v=7aRMkFHzJrc")</f>
        <v>https://www.youtube.com/watch?v=7aRMkFHzJrc</v>
      </c>
      <c r="X541" s="81" t="s">
        <v>2335</v>
      </c>
      <c r="Y541" s="81">
        <v>0</v>
      </c>
      <c r="Z541" s="81" t="s">
        <v>2563</v>
      </c>
      <c r="AA541" s="81" t="s">
        <v>2563</v>
      </c>
      <c r="AB541" s="81"/>
      <c r="AC541" s="81"/>
      <c r="AD541" s="84" t="s">
        <v>2782</v>
      </c>
      <c r="AE541" s="82">
        <v>1</v>
      </c>
      <c r="AF541" s="83" t="str">
        <f>REPLACE(INDEX(GroupVertices[Group],MATCH(Edges[[#This Row],[Vertex 1]],GroupVertices[Vertex],0)),1,1,"")</f>
        <v>1</v>
      </c>
      <c r="AG541" s="83" t="str">
        <f>REPLACE(INDEX(GroupVertices[Group],MATCH(Edges[[#This Row],[Vertex 2]],GroupVertices[Vertex],0)),1,1,"")</f>
        <v>1</v>
      </c>
      <c r="AH541" s="111">
        <v>0</v>
      </c>
      <c r="AI541" s="112">
        <v>0</v>
      </c>
      <c r="AJ541" s="111">
        <v>0</v>
      </c>
      <c r="AK541" s="112">
        <v>0</v>
      </c>
      <c r="AL541" s="111">
        <v>0</v>
      </c>
      <c r="AM541" s="112">
        <v>0</v>
      </c>
      <c r="AN541" s="111">
        <v>4</v>
      </c>
      <c r="AO541" s="112">
        <v>100</v>
      </c>
      <c r="AP541" s="111">
        <v>4</v>
      </c>
    </row>
    <row r="542" spans="1:42" ht="15">
      <c r="A542" s="65" t="s">
        <v>287</v>
      </c>
      <c r="B542" s="65" t="s">
        <v>586</v>
      </c>
      <c r="C542" s="66" t="s">
        <v>5345</v>
      </c>
      <c r="D542" s="67">
        <v>3</v>
      </c>
      <c r="E542" s="68"/>
      <c r="F542" s="69">
        <v>40</v>
      </c>
      <c r="G542" s="66"/>
      <c r="H542" s="70"/>
      <c r="I542" s="71"/>
      <c r="J542" s="71"/>
      <c r="K542" s="35" t="s">
        <v>66</v>
      </c>
      <c r="L542" s="79">
        <v>542</v>
      </c>
      <c r="M542" s="79"/>
      <c r="N542" s="73"/>
      <c r="O542" s="81" t="s">
        <v>761</v>
      </c>
      <c r="P542" s="81" t="s">
        <v>763</v>
      </c>
      <c r="Q542" s="84" t="s">
        <v>1283</v>
      </c>
      <c r="R542" s="81" t="s">
        <v>287</v>
      </c>
      <c r="S542" s="81" t="s">
        <v>1616</v>
      </c>
      <c r="T542" s="86" t="str">
        <f>HYPERLINK("http://www.youtube.com/channel/UCbUhO-tut97b5IQhZ3i7TMA")</f>
        <v>http://www.youtube.com/channel/UCbUhO-tut97b5IQhZ3i7TMA</v>
      </c>
      <c r="U542" s="81" t="s">
        <v>2223</v>
      </c>
      <c r="V542" s="81" t="s">
        <v>2319</v>
      </c>
      <c r="W542" s="86" t="str">
        <f>HYPERLINK("https://www.youtube.com/watch?v=7aRMkFHzJrc")</f>
        <v>https://www.youtube.com/watch?v=7aRMkFHzJrc</v>
      </c>
      <c r="X542" s="81" t="s">
        <v>2335</v>
      </c>
      <c r="Y542" s="81">
        <v>0</v>
      </c>
      <c r="Z542" s="81" t="s">
        <v>2564</v>
      </c>
      <c r="AA542" s="81" t="s">
        <v>2564</v>
      </c>
      <c r="AB542" s="81"/>
      <c r="AC542" s="81"/>
      <c r="AD542" s="84" t="s">
        <v>2782</v>
      </c>
      <c r="AE542" s="82">
        <v>1</v>
      </c>
      <c r="AF542" s="83" t="str">
        <f>REPLACE(INDEX(GroupVertices[Group],MATCH(Edges[[#This Row],[Vertex 1]],GroupVertices[Vertex],0)),1,1,"")</f>
        <v>1</v>
      </c>
      <c r="AG542" s="83" t="str">
        <f>REPLACE(INDEX(GroupVertices[Group],MATCH(Edges[[#This Row],[Vertex 2]],GroupVertices[Vertex],0)),1,1,"")</f>
        <v>1</v>
      </c>
      <c r="AH542" s="111">
        <v>1</v>
      </c>
      <c r="AI542" s="112">
        <v>11.11111111111111</v>
      </c>
      <c r="AJ542" s="111">
        <v>0</v>
      </c>
      <c r="AK542" s="112">
        <v>0</v>
      </c>
      <c r="AL542" s="111">
        <v>0</v>
      </c>
      <c r="AM542" s="112">
        <v>0</v>
      </c>
      <c r="AN542" s="111">
        <v>8</v>
      </c>
      <c r="AO542" s="112">
        <v>88.88888888888889</v>
      </c>
      <c r="AP542" s="111">
        <v>9</v>
      </c>
    </row>
    <row r="543" spans="1:42" ht="15">
      <c r="A543" s="65" t="s">
        <v>586</v>
      </c>
      <c r="B543" s="65" t="s">
        <v>287</v>
      </c>
      <c r="C543" s="66" t="s">
        <v>5345</v>
      </c>
      <c r="D543" s="67">
        <v>3</v>
      </c>
      <c r="E543" s="68"/>
      <c r="F543" s="69">
        <v>40</v>
      </c>
      <c r="G543" s="66"/>
      <c r="H543" s="70"/>
      <c r="I543" s="71"/>
      <c r="J543" s="71"/>
      <c r="K543" s="35" t="s">
        <v>66</v>
      </c>
      <c r="L543" s="79">
        <v>543</v>
      </c>
      <c r="M543" s="79"/>
      <c r="N543" s="73"/>
      <c r="O543" s="81" t="s">
        <v>760</v>
      </c>
      <c r="P543" s="81" t="s">
        <v>215</v>
      </c>
      <c r="Q543" s="84" t="s">
        <v>1284</v>
      </c>
      <c r="R543" s="81" t="s">
        <v>586</v>
      </c>
      <c r="S543" s="81" t="s">
        <v>1914</v>
      </c>
      <c r="T543" s="86" t="str">
        <f>HYPERLINK("http://www.youtube.com/channel/UCv1wQ9RJHUCscxrNZHVBcSA")</f>
        <v>http://www.youtube.com/channel/UCv1wQ9RJHUCscxrNZHVBcSA</v>
      </c>
      <c r="U543" s="81"/>
      <c r="V543" s="81" t="s">
        <v>2319</v>
      </c>
      <c r="W543" s="86" t="str">
        <f>HYPERLINK("https://www.youtube.com/watch?v=7aRMkFHzJrc")</f>
        <v>https://www.youtube.com/watch?v=7aRMkFHzJrc</v>
      </c>
      <c r="X543" s="81" t="s">
        <v>2335</v>
      </c>
      <c r="Y543" s="81">
        <v>0</v>
      </c>
      <c r="Z543" s="81" t="s">
        <v>2565</v>
      </c>
      <c r="AA543" s="81" t="s">
        <v>2565</v>
      </c>
      <c r="AB543" s="81"/>
      <c r="AC543" s="81"/>
      <c r="AD543" s="84" t="s">
        <v>2782</v>
      </c>
      <c r="AE543" s="82">
        <v>1</v>
      </c>
      <c r="AF543" s="83" t="str">
        <f>REPLACE(INDEX(GroupVertices[Group],MATCH(Edges[[#This Row],[Vertex 1]],GroupVertices[Vertex],0)),1,1,"")</f>
        <v>1</v>
      </c>
      <c r="AG543" s="83" t="str">
        <f>REPLACE(INDEX(GroupVertices[Group],MATCH(Edges[[#This Row],[Vertex 2]],GroupVertices[Vertex],0)),1,1,"")</f>
        <v>1</v>
      </c>
      <c r="AH543" s="111">
        <v>3</v>
      </c>
      <c r="AI543" s="112">
        <v>15</v>
      </c>
      <c r="AJ543" s="111">
        <v>0</v>
      </c>
      <c r="AK543" s="112">
        <v>0</v>
      </c>
      <c r="AL543" s="111">
        <v>0</v>
      </c>
      <c r="AM543" s="112">
        <v>0</v>
      </c>
      <c r="AN543" s="111">
        <v>17</v>
      </c>
      <c r="AO543" s="112">
        <v>85</v>
      </c>
      <c r="AP543" s="111">
        <v>20</v>
      </c>
    </row>
    <row r="544" spans="1:42" ht="15">
      <c r="A544" s="65" t="s">
        <v>587</v>
      </c>
      <c r="B544" s="65" t="s">
        <v>287</v>
      </c>
      <c r="C544" s="66" t="s">
        <v>5345</v>
      </c>
      <c r="D544" s="67">
        <v>3</v>
      </c>
      <c r="E544" s="68"/>
      <c r="F544" s="69">
        <v>40</v>
      </c>
      <c r="G544" s="66"/>
      <c r="H544" s="70"/>
      <c r="I544" s="71"/>
      <c r="J544" s="71"/>
      <c r="K544" s="35" t="s">
        <v>65</v>
      </c>
      <c r="L544" s="79">
        <v>544</v>
      </c>
      <c r="M544" s="79"/>
      <c r="N544" s="73"/>
      <c r="O544" s="81" t="s">
        <v>760</v>
      </c>
      <c r="P544" s="81" t="s">
        <v>215</v>
      </c>
      <c r="Q544" s="84" t="s">
        <v>1285</v>
      </c>
      <c r="R544" s="81" t="s">
        <v>587</v>
      </c>
      <c r="S544" s="81" t="s">
        <v>1915</v>
      </c>
      <c r="T544" s="86" t="str">
        <f>HYPERLINK("http://www.youtube.com/channel/UCfPUyyUwzaGWf0XlauvHtiQ")</f>
        <v>http://www.youtube.com/channel/UCfPUyyUwzaGWf0XlauvHtiQ</v>
      </c>
      <c r="U544" s="81"/>
      <c r="V544" s="81" t="s">
        <v>2319</v>
      </c>
      <c r="W544" s="86" t="str">
        <f>HYPERLINK("https://www.youtube.com/watch?v=7aRMkFHzJrc")</f>
        <v>https://www.youtube.com/watch?v=7aRMkFHzJrc</v>
      </c>
      <c r="X544" s="81" t="s">
        <v>2335</v>
      </c>
      <c r="Y544" s="81">
        <v>0</v>
      </c>
      <c r="Z544" s="81" t="s">
        <v>2566</v>
      </c>
      <c r="AA544" s="81" t="s">
        <v>2566</v>
      </c>
      <c r="AB544" s="81"/>
      <c r="AC544" s="81"/>
      <c r="AD544" s="84" t="s">
        <v>2782</v>
      </c>
      <c r="AE544" s="82">
        <v>1</v>
      </c>
      <c r="AF544" s="83" t="str">
        <f>REPLACE(INDEX(GroupVertices[Group],MATCH(Edges[[#This Row],[Vertex 1]],GroupVertices[Vertex],0)),1,1,"")</f>
        <v>1</v>
      </c>
      <c r="AG544" s="83" t="str">
        <f>REPLACE(INDEX(GroupVertices[Group],MATCH(Edges[[#This Row],[Vertex 2]],GroupVertices[Vertex],0)),1,1,"")</f>
        <v>1</v>
      </c>
      <c r="AH544" s="111">
        <v>0</v>
      </c>
      <c r="AI544" s="112">
        <v>0</v>
      </c>
      <c r="AJ544" s="111">
        <v>1</v>
      </c>
      <c r="AK544" s="112">
        <v>14.285714285714286</v>
      </c>
      <c r="AL544" s="111">
        <v>0</v>
      </c>
      <c r="AM544" s="112">
        <v>0</v>
      </c>
      <c r="AN544" s="111">
        <v>6</v>
      </c>
      <c r="AO544" s="112">
        <v>85.71428571428571</v>
      </c>
      <c r="AP544" s="111">
        <v>7</v>
      </c>
    </row>
    <row r="545" spans="1:42" ht="15">
      <c r="A545" s="65" t="s">
        <v>287</v>
      </c>
      <c r="B545" s="65" t="s">
        <v>588</v>
      </c>
      <c r="C545" s="66" t="s">
        <v>5346</v>
      </c>
      <c r="D545" s="67">
        <v>10</v>
      </c>
      <c r="E545" s="68"/>
      <c r="F545" s="69">
        <v>15</v>
      </c>
      <c r="G545" s="66"/>
      <c r="H545" s="70"/>
      <c r="I545" s="71"/>
      <c r="J545" s="71"/>
      <c r="K545" s="35" t="s">
        <v>66</v>
      </c>
      <c r="L545" s="79">
        <v>545</v>
      </c>
      <c r="M545" s="79"/>
      <c r="N545" s="73"/>
      <c r="O545" s="81" t="s">
        <v>761</v>
      </c>
      <c r="P545" s="81" t="s">
        <v>763</v>
      </c>
      <c r="Q545" s="84" t="s">
        <v>1286</v>
      </c>
      <c r="R545" s="81" t="s">
        <v>287</v>
      </c>
      <c r="S545" s="81" t="s">
        <v>1616</v>
      </c>
      <c r="T545" s="86" t="str">
        <f>HYPERLINK("http://www.youtube.com/channel/UCbUhO-tut97b5IQhZ3i7TMA")</f>
        <v>http://www.youtube.com/channel/UCbUhO-tut97b5IQhZ3i7TMA</v>
      </c>
      <c r="U545" s="81" t="s">
        <v>2224</v>
      </c>
      <c r="V545" s="81" t="s">
        <v>2319</v>
      </c>
      <c r="W545" s="86" t="str">
        <f>HYPERLINK("https://www.youtube.com/watch?v=7aRMkFHzJrc")</f>
        <v>https://www.youtube.com/watch?v=7aRMkFHzJrc</v>
      </c>
      <c r="X545" s="81" t="s">
        <v>2335</v>
      </c>
      <c r="Y545" s="81">
        <v>0</v>
      </c>
      <c r="Z545" s="88">
        <v>43227.86796296296</v>
      </c>
      <c r="AA545" s="88">
        <v>43227.86796296296</v>
      </c>
      <c r="AB545" s="81"/>
      <c r="AC545" s="81"/>
      <c r="AD545" s="84" t="s">
        <v>2782</v>
      </c>
      <c r="AE545" s="82">
        <v>2</v>
      </c>
      <c r="AF545" s="83" t="str">
        <f>REPLACE(INDEX(GroupVertices[Group],MATCH(Edges[[#This Row],[Vertex 1]],GroupVertices[Vertex],0)),1,1,"")</f>
        <v>1</v>
      </c>
      <c r="AG545" s="83" t="str">
        <f>REPLACE(INDEX(GroupVertices[Group],MATCH(Edges[[#This Row],[Vertex 2]],GroupVertices[Vertex],0)),1,1,"")</f>
        <v>1</v>
      </c>
      <c r="AH545" s="111">
        <v>2</v>
      </c>
      <c r="AI545" s="112">
        <v>8.695652173913043</v>
      </c>
      <c r="AJ545" s="111">
        <v>0</v>
      </c>
      <c r="AK545" s="112">
        <v>0</v>
      </c>
      <c r="AL545" s="111">
        <v>0</v>
      </c>
      <c r="AM545" s="112">
        <v>0</v>
      </c>
      <c r="AN545" s="111">
        <v>21</v>
      </c>
      <c r="AO545" s="112">
        <v>91.30434782608695</v>
      </c>
      <c r="AP545" s="111">
        <v>23</v>
      </c>
    </row>
    <row r="546" spans="1:42" ht="15">
      <c r="A546" s="65" t="s">
        <v>588</v>
      </c>
      <c r="B546" s="65" t="s">
        <v>588</v>
      </c>
      <c r="C546" s="66" t="s">
        <v>5345</v>
      </c>
      <c r="D546" s="67">
        <v>3</v>
      </c>
      <c r="E546" s="68"/>
      <c r="F546" s="69">
        <v>40</v>
      </c>
      <c r="G546" s="66"/>
      <c r="H546" s="70"/>
      <c r="I546" s="71"/>
      <c r="J546" s="71"/>
      <c r="K546" s="35" t="s">
        <v>65</v>
      </c>
      <c r="L546" s="79">
        <v>546</v>
      </c>
      <c r="M546" s="79"/>
      <c r="N546" s="73"/>
      <c r="O546" s="81" t="s">
        <v>761</v>
      </c>
      <c r="P546" s="81" t="s">
        <v>763</v>
      </c>
      <c r="Q546" s="84" t="s">
        <v>1287</v>
      </c>
      <c r="R546" s="81" t="s">
        <v>588</v>
      </c>
      <c r="S546" s="81" t="s">
        <v>1916</v>
      </c>
      <c r="T546" s="86" t="str">
        <f>HYPERLINK("http://www.youtube.com/channel/UCDyw55lLfmxDhVdv6ek1OmA")</f>
        <v>http://www.youtube.com/channel/UCDyw55lLfmxDhVdv6ek1OmA</v>
      </c>
      <c r="U546" s="81" t="s">
        <v>2224</v>
      </c>
      <c r="V546" s="81" t="s">
        <v>2319</v>
      </c>
      <c r="W546" s="86" t="str">
        <f>HYPERLINK("https://www.youtube.com/watch?v=7aRMkFHzJrc")</f>
        <v>https://www.youtube.com/watch?v=7aRMkFHzJrc</v>
      </c>
      <c r="X546" s="81" t="s">
        <v>2335</v>
      </c>
      <c r="Y546" s="81">
        <v>0</v>
      </c>
      <c r="Z546" s="88">
        <v>43227.89916666667</v>
      </c>
      <c r="AA546" s="88">
        <v>43227.89916666667</v>
      </c>
      <c r="AB546" s="81"/>
      <c r="AC546" s="81"/>
      <c r="AD546" s="84" t="s">
        <v>2782</v>
      </c>
      <c r="AE546" s="82">
        <v>1</v>
      </c>
      <c r="AF546" s="83" t="str">
        <f>REPLACE(INDEX(GroupVertices[Group],MATCH(Edges[[#This Row],[Vertex 1]],GroupVertices[Vertex],0)),1,1,"")</f>
        <v>1</v>
      </c>
      <c r="AG546" s="83" t="str">
        <f>REPLACE(INDEX(GroupVertices[Group],MATCH(Edges[[#This Row],[Vertex 2]],GroupVertices[Vertex],0)),1,1,"")</f>
        <v>1</v>
      </c>
      <c r="AH546" s="111">
        <v>2</v>
      </c>
      <c r="AI546" s="112">
        <v>4.651162790697675</v>
      </c>
      <c r="AJ546" s="111">
        <v>3</v>
      </c>
      <c r="AK546" s="112">
        <v>6.976744186046512</v>
      </c>
      <c r="AL546" s="111">
        <v>0</v>
      </c>
      <c r="AM546" s="112">
        <v>0</v>
      </c>
      <c r="AN546" s="111">
        <v>38</v>
      </c>
      <c r="AO546" s="112">
        <v>88.37209302325581</v>
      </c>
      <c r="AP546" s="111">
        <v>43</v>
      </c>
    </row>
    <row r="547" spans="1:42" ht="15">
      <c r="A547" s="65" t="s">
        <v>287</v>
      </c>
      <c r="B547" s="65" t="s">
        <v>588</v>
      </c>
      <c r="C547" s="66" t="s">
        <v>5346</v>
      </c>
      <c r="D547" s="67">
        <v>10</v>
      </c>
      <c r="E547" s="68"/>
      <c r="F547" s="69">
        <v>15</v>
      </c>
      <c r="G547" s="66"/>
      <c r="H547" s="70"/>
      <c r="I547" s="71"/>
      <c r="J547" s="71"/>
      <c r="K547" s="35" t="s">
        <v>66</v>
      </c>
      <c r="L547" s="79">
        <v>547</v>
      </c>
      <c r="M547" s="79"/>
      <c r="N547" s="73"/>
      <c r="O547" s="81" t="s">
        <v>761</v>
      </c>
      <c r="P547" s="81" t="s">
        <v>763</v>
      </c>
      <c r="Q547" s="84" t="s">
        <v>1288</v>
      </c>
      <c r="R547" s="81" t="s">
        <v>287</v>
      </c>
      <c r="S547" s="81" t="s">
        <v>1616</v>
      </c>
      <c r="T547" s="86" t="str">
        <f>HYPERLINK("http://www.youtube.com/channel/UCbUhO-tut97b5IQhZ3i7TMA")</f>
        <v>http://www.youtube.com/channel/UCbUhO-tut97b5IQhZ3i7TMA</v>
      </c>
      <c r="U547" s="81" t="s">
        <v>2224</v>
      </c>
      <c r="V547" s="81" t="s">
        <v>2319</v>
      </c>
      <c r="W547" s="86" t="str">
        <f>HYPERLINK("https://www.youtube.com/watch?v=7aRMkFHzJrc")</f>
        <v>https://www.youtube.com/watch?v=7aRMkFHzJrc</v>
      </c>
      <c r="X547" s="81" t="s">
        <v>2335</v>
      </c>
      <c r="Y547" s="81">
        <v>0</v>
      </c>
      <c r="Z547" s="88">
        <v>43258.51275462963</v>
      </c>
      <c r="AA547" s="88">
        <v>43258.51275462963</v>
      </c>
      <c r="AB547" s="81"/>
      <c r="AC547" s="81"/>
      <c r="AD547" s="84" t="s">
        <v>2782</v>
      </c>
      <c r="AE547" s="82">
        <v>2</v>
      </c>
      <c r="AF547" s="83" t="str">
        <f>REPLACE(INDEX(GroupVertices[Group],MATCH(Edges[[#This Row],[Vertex 1]],GroupVertices[Vertex],0)),1,1,"")</f>
        <v>1</v>
      </c>
      <c r="AG547" s="83" t="str">
        <f>REPLACE(INDEX(GroupVertices[Group],MATCH(Edges[[#This Row],[Vertex 2]],GroupVertices[Vertex],0)),1,1,"")</f>
        <v>1</v>
      </c>
      <c r="AH547" s="111">
        <v>3</v>
      </c>
      <c r="AI547" s="112">
        <v>10.714285714285714</v>
      </c>
      <c r="AJ547" s="111">
        <v>0</v>
      </c>
      <c r="AK547" s="112">
        <v>0</v>
      </c>
      <c r="AL547" s="111">
        <v>0</v>
      </c>
      <c r="AM547" s="112">
        <v>0</v>
      </c>
      <c r="AN547" s="111">
        <v>25</v>
      </c>
      <c r="AO547" s="112">
        <v>89.28571428571429</v>
      </c>
      <c r="AP547" s="111">
        <v>28</v>
      </c>
    </row>
    <row r="548" spans="1:42" ht="15">
      <c r="A548" s="65" t="s">
        <v>588</v>
      </c>
      <c r="B548" s="65" t="s">
        <v>287</v>
      </c>
      <c r="C548" s="66" t="s">
        <v>5345</v>
      </c>
      <c r="D548" s="67">
        <v>3</v>
      </c>
      <c r="E548" s="68"/>
      <c r="F548" s="69">
        <v>40</v>
      </c>
      <c r="G548" s="66"/>
      <c r="H548" s="70"/>
      <c r="I548" s="71"/>
      <c r="J548" s="71"/>
      <c r="K548" s="35" t="s">
        <v>66</v>
      </c>
      <c r="L548" s="79">
        <v>548</v>
      </c>
      <c r="M548" s="79"/>
      <c r="N548" s="73"/>
      <c r="O548" s="81" t="s">
        <v>760</v>
      </c>
      <c r="P548" s="81" t="s">
        <v>215</v>
      </c>
      <c r="Q548" s="84" t="s">
        <v>1289</v>
      </c>
      <c r="R548" s="81" t="s">
        <v>588</v>
      </c>
      <c r="S548" s="81" t="s">
        <v>1916</v>
      </c>
      <c r="T548" s="86" t="str">
        <f>HYPERLINK("http://www.youtube.com/channel/UCDyw55lLfmxDhVdv6ek1OmA")</f>
        <v>http://www.youtube.com/channel/UCDyw55lLfmxDhVdv6ek1OmA</v>
      </c>
      <c r="U548" s="81"/>
      <c r="V548" s="81" t="s">
        <v>2319</v>
      </c>
      <c r="W548" s="86" t="str">
        <f>HYPERLINK("https://www.youtube.com/watch?v=7aRMkFHzJrc")</f>
        <v>https://www.youtube.com/watch?v=7aRMkFHzJrc</v>
      </c>
      <c r="X548" s="81" t="s">
        <v>2335</v>
      </c>
      <c r="Y548" s="81">
        <v>0</v>
      </c>
      <c r="Z548" s="88">
        <v>43227.85471064815</v>
      </c>
      <c r="AA548" s="88">
        <v>43227.855162037034</v>
      </c>
      <c r="AB548" s="81"/>
      <c r="AC548" s="81"/>
      <c r="AD548" s="84" t="s">
        <v>2782</v>
      </c>
      <c r="AE548" s="82">
        <v>1</v>
      </c>
      <c r="AF548" s="83" t="str">
        <f>REPLACE(INDEX(GroupVertices[Group],MATCH(Edges[[#This Row],[Vertex 1]],GroupVertices[Vertex],0)),1,1,"")</f>
        <v>1</v>
      </c>
      <c r="AG548" s="83" t="str">
        <f>REPLACE(INDEX(GroupVertices[Group],MATCH(Edges[[#This Row],[Vertex 2]],GroupVertices[Vertex],0)),1,1,"")</f>
        <v>1</v>
      </c>
      <c r="AH548" s="111">
        <v>3</v>
      </c>
      <c r="AI548" s="112">
        <v>5.882352941176471</v>
      </c>
      <c r="AJ548" s="111">
        <v>1</v>
      </c>
      <c r="AK548" s="112">
        <v>1.9607843137254901</v>
      </c>
      <c r="AL548" s="111">
        <v>0</v>
      </c>
      <c r="AM548" s="112">
        <v>0</v>
      </c>
      <c r="AN548" s="111">
        <v>47</v>
      </c>
      <c r="AO548" s="112">
        <v>92.15686274509804</v>
      </c>
      <c r="AP548" s="111">
        <v>51</v>
      </c>
    </row>
    <row r="549" spans="1:42" ht="15">
      <c r="A549" s="65" t="s">
        <v>287</v>
      </c>
      <c r="B549" s="65" t="s">
        <v>589</v>
      </c>
      <c r="C549" s="66" t="s">
        <v>5345</v>
      </c>
      <c r="D549" s="67">
        <v>3</v>
      </c>
      <c r="E549" s="68"/>
      <c r="F549" s="69">
        <v>40</v>
      </c>
      <c r="G549" s="66"/>
      <c r="H549" s="70"/>
      <c r="I549" s="71"/>
      <c r="J549" s="71"/>
      <c r="K549" s="35" t="s">
        <v>66</v>
      </c>
      <c r="L549" s="79">
        <v>549</v>
      </c>
      <c r="M549" s="79"/>
      <c r="N549" s="73"/>
      <c r="O549" s="81" t="s">
        <v>761</v>
      </c>
      <c r="P549" s="81" t="s">
        <v>763</v>
      </c>
      <c r="Q549" s="84" t="s">
        <v>1290</v>
      </c>
      <c r="R549" s="81" t="s">
        <v>287</v>
      </c>
      <c r="S549" s="81" t="s">
        <v>1616</v>
      </c>
      <c r="T549" s="86" t="str">
        <f>HYPERLINK("http://www.youtube.com/channel/UCbUhO-tut97b5IQhZ3i7TMA")</f>
        <v>http://www.youtube.com/channel/UCbUhO-tut97b5IQhZ3i7TMA</v>
      </c>
      <c r="U549" s="81" t="s">
        <v>2225</v>
      </c>
      <c r="V549" s="81" t="s">
        <v>2319</v>
      </c>
      <c r="W549" s="86" t="str">
        <f>HYPERLINK("https://www.youtube.com/watch?v=7aRMkFHzJrc")</f>
        <v>https://www.youtube.com/watch?v=7aRMkFHzJrc</v>
      </c>
      <c r="X549" s="81" t="s">
        <v>2335</v>
      </c>
      <c r="Y549" s="81">
        <v>0</v>
      </c>
      <c r="Z549" s="88">
        <v>43441.837800925925</v>
      </c>
      <c r="AA549" s="88">
        <v>43441.837800925925</v>
      </c>
      <c r="AB549" s="81"/>
      <c r="AC549" s="81"/>
      <c r="AD549" s="84" t="s">
        <v>2782</v>
      </c>
      <c r="AE549" s="82">
        <v>1</v>
      </c>
      <c r="AF549" s="83" t="str">
        <f>REPLACE(INDEX(GroupVertices[Group],MATCH(Edges[[#This Row],[Vertex 1]],GroupVertices[Vertex],0)),1,1,"")</f>
        <v>1</v>
      </c>
      <c r="AG549" s="83" t="str">
        <f>REPLACE(INDEX(GroupVertices[Group],MATCH(Edges[[#This Row],[Vertex 2]],GroupVertices[Vertex],0)),1,1,"")</f>
        <v>1</v>
      </c>
      <c r="AH549" s="111">
        <v>1</v>
      </c>
      <c r="AI549" s="112">
        <v>3.4482758620689653</v>
      </c>
      <c r="AJ549" s="111">
        <v>1</v>
      </c>
      <c r="AK549" s="112">
        <v>3.4482758620689653</v>
      </c>
      <c r="AL549" s="111">
        <v>0</v>
      </c>
      <c r="AM549" s="112">
        <v>0</v>
      </c>
      <c r="AN549" s="111">
        <v>27</v>
      </c>
      <c r="AO549" s="112">
        <v>93.10344827586206</v>
      </c>
      <c r="AP549" s="111">
        <v>29</v>
      </c>
    </row>
    <row r="550" spans="1:42" ht="15">
      <c r="A550" s="65" t="s">
        <v>589</v>
      </c>
      <c r="B550" s="65" t="s">
        <v>287</v>
      </c>
      <c r="C550" s="66" t="s">
        <v>5345</v>
      </c>
      <c r="D550" s="67">
        <v>3</v>
      </c>
      <c r="E550" s="68"/>
      <c r="F550" s="69">
        <v>40</v>
      </c>
      <c r="G550" s="66"/>
      <c r="H550" s="70"/>
      <c r="I550" s="71"/>
      <c r="J550" s="71"/>
      <c r="K550" s="35" t="s">
        <v>66</v>
      </c>
      <c r="L550" s="79">
        <v>550</v>
      </c>
      <c r="M550" s="79"/>
      <c r="N550" s="73"/>
      <c r="O550" s="81" t="s">
        <v>760</v>
      </c>
      <c r="P550" s="81" t="s">
        <v>215</v>
      </c>
      <c r="Q550" s="84" t="s">
        <v>1291</v>
      </c>
      <c r="R550" s="81" t="s">
        <v>589</v>
      </c>
      <c r="S550" s="81" t="s">
        <v>1917</v>
      </c>
      <c r="T550" s="86" t="str">
        <f>HYPERLINK("http://www.youtube.com/channel/UChDk3571Jo-A1SjrnDleTqA")</f>
        <v>http://www.youtube.com/channel/UChDk3571Jo-A1SjrnDleTqA</v>
      </c>
      <c r="U550" s="81"/>
      <c r="V550" s="81" t="s">
        <v>2319</v>
      </c>
      <c r="W550" s="86" t="str">
        <f>HYPERLINK("https://www.youtube.com/watch?v=7aRMkFHzJrc")</f>
        <v>https://www.youtube.com/watch?v=7aRMkFHzJrc</v>
      </c>
      <c r="X550" s="81" t="s">
        <v>2335</v>
      </c>
      <c r="Y550" s="81">
        <v>0</v>
      </c>
      <c r="Z550" s="88">
        <v>43441.60899305555</v>
      </c>
      <c r="AA550" s="88">
        <v>43441.610983796294</v>
      </c>
      <c r="AB550" s="81"/>
      <c r="AC550" s="81"/>
      <c r="AD550" s="84" t="s">
        <v>2782</v>
      </c>
      <c r="AE550" s="82">
        <v>1</v>
      </c>
      <c r="AF550" s="83" t="str">
        <f>REPLACE(INDEX(GroupVertices[Group],MATCH(Edges[[#This Row],[Vertex 1]],GroupVertices[Vertex],0)),1,1,"")</f>
        <v>1</v>
      </c>
      <c r="AG550" s="83" t="str">
        <f>REPLACE(INDEX(GroupVertices[Group],MATCH(Edges[[#This Row],[Vertex 2]],GroupVertices[Vertex],0)),1,1,"")</f>
        <v>1</v>
      </c>
      <c r="AH550" s="111">
        <v>1</v>
      </c>
      <c r="AI550" s="112">
        <v>2.4390243902439024</v>
      </c>
      <c r="AJ550" s="111">
        <v>3</v>
      </c>
      <c r="AK550" s="112">
        <v>7.317073170731708</v>
      </c>
      <c r="AL550" s="111">
        <v>0</v>
      </c>
      <c r="AM550" s="112">
        <v>0</v>
      </c>
      <c r="AN550" s="111">
        <v>37</v>
      </c>
      <c r="AO550" s="112">
        <v>90.2439024390244</v>
      </c>
      <c r="AP550" s="111">
        <v>41</v>
      </c>
    </row>
    <row r="551" spans="1:42" ht="15">
      <c r="A551" s="65" t="s">
        <v>287</v>
      </c>
      <c r="B551" s="65" t="s">
        <v>590</v>
      </c>
      <c r="C551" s="66" t="s">
        <v>5345</v>
      </c>
      <c r="D551" s="67">
        <v>3</v>
      </c>
      <c r="E551" s="68"/>
      <c r="F551" s="69">
        <v>40</v>
      </c>
      <c r="G551" s="66"/>
      <c r="H551" s="70"/>
      <c r="I551" s="71"/>
      <c r="J551" s="71"/>
      <c r="K551" s="35" t="s">
        <v>66</v>
      </c>
      <c r="L551" s="79">
        <v>551</v>
      </c>
      <c r="M551" s="79"/>
      <c r="N551" s="73"/>
      <c r="O551" s="81" t="s">
        <v>761</v>
      </c>
      <c r="P551" s="81" t="s">
        <v>763</v>
      </c>
      <c r="Q551" s="84" t="s">
        <v>1292</v>
      </c>
      <c r="R551" s="81" t="s">
        <v>287</v>
      </c>
      <c r="S551" s="81" t="s">
        <v>1616</v>
      </c>
      <c r="T551" s="86" t="str">
        <f>HYPERLINK("http://www.youtube.com/channel/UCbUhO-tut97b5IQhZ3i7TMA")</f>
        <v>http://www.youtube.com/channel/UCbUhO-tut97b5IQhZ3i7TMA</v>
      </c>
      <c r="U551" s="81" t="s">
        <v>2226</v>
      </c>
      <c r="V551" s="81" t="s">
        <v>2319</v>
      </c>
      <c r="W551" s="86" t="str">
        <f>HYPERLINK("https://www.youtube.com/watch?v=7aRMkFHzJrc")</f>
        <v>https://www.youtube.com/watch?v=7aRMkFHzJrc</v>
      </c>
      <c r="X551" s="81" t="s">
        <v>2335</v>
      </c>
      <c r="Y551" s="81">
        <v>0</v>
      </c>
      <c r="Z551" s="81" t="s">
        <v>2567</v>
      </c>
      <c r="AA551" s="81" t="s">
        <v>2567</v>
      </c>
      <c r="AB551" s="81"/>
      <c r="AC551" s="81"/>
      <c r="AD551" s="84" t="s">
        <v>2782</v>
      </c>
      <c r="AE551" s="82">
        <v>1</v>
      </c>
      <c r="AF551" s="83" t="str">
        <f>REPLACE(INDEX(GroupVertices[Group],MATCH(Edges[[#This Row],[Vertex 1]],GroupVertices[Vertex],0)),1,1,"")</f>
        <v>1</v>
      </c>
      <c r="AG551" s="83" t="str">
        <f>REPLACE(INDEX(GroupVertices[Group],MATCH(Edges[[#This Row],[Vertex 2]],GroupVertices[Vertex],0)),1,1,"")</f>
        <v>1</v>
      </c>
      <c r="AH551" s="111">
        <v>1</v>
      </c>
      <c r="AI551" s="112">
        <v>33.333333333333336</v>
      </c>
      <c r="AJ551" s="111">
        <v>0</v>
      </c>
      <c r="AK551" s="112">
        <v>0</v>
      </c>
      <c r="AL551" s="111">
        <v>0</v>
      </c>
      <c r="AM551" s="112">
        <v>0</v>
      </c>
      <c r="AN551" s="111">
        <v>2</v>
      </c>
      <c r="AO551" s="112">
        <v>66.66666666666667</v>
      </c>
      <c r="AP551" s="111">
        <v>3</v>
      </c>
    </row>
    <row r="552" spans="1:42" ht="15">
      <c r="A552" s="65" t="s">
        <v>590</v>
      </c>
      <c r="B552" s="65" t="s">
        <v>287</v>
      </c>
      <c r="C552" s="66" t="s">
        <v>5345</v>
      </c>
      <c r="D552" s="67">
        <v>3</v>
      </c>
      <c r="E552" s="68"/>
      <c r="F552" s="69">
        <v>40</v>
      </c>
      <c r="G552" s="66"/>
      <c r="H552" s="70"/>
      <c r="I552" s="71"/>
      <c r="J552" s="71"/>
      <c r="K552" s="35" t="s">
        <v>66</v>
      </c>
      <c r="L552" s="79">
        <v>552</v>
      </c>
      <c r="M552" s="79"/>
      <c r="N552" s="73"/>
      <c r="O552" s="81" t="s">
        <v>760</v>
      </c>
      <c r="P552" s="81" t="s">
        <v>215</v>
      </c>
      <c r="Q552" s="84" t="s">
        <v>1293</v>
      </c>
      <c r="R552" s="81" t="s">
        <v>590</v>
      </c>
      <c r="S552" s="81" t="s">
        <v>1918</v>
      </c>
      <c r="T552" s="86" t="str">
        <f>HYPERLINK("http://www.youtube.com/channel/UCEocRNWPqmsUDNmiqJqkDWw")</f>
        <v>http://www.youtube.com/channel/UCEocRNWPqmsUDNmiqJqkDWw</v>
      </c>
      <c r="U552" s="81"/>
      <c r="V552" s="81" t="s">
        <v>2319</v>
      </c>
      <c r="W552" s="86" t="str">
        <f>HYPERLINK("https://www.youtube.com/watch?v=7aRMkFHzJrc")</f>
        <v>https://www.youtube.com/watch?v=7aRMkFHzJrc</v>
      </c>
      <c r="X552" s="81" t="s">
        <v>2335</v>
      </c>
      <c r="Y552" s="81">
        <v>0</v>
      </c>
      <c r="Z552" s="81" t="s">
        <v>2568</v>
      </c>
      <c r="AA552" s="81" t="s">
        <v>2568</v>
      </c>
      <c r="AB552" s="81"/>
      <c r="AC552" s="81"/>
      <c r="AD552" s="84" t="s">
        <v>2782</v>
      </c>
      <c r="AE552" s="82">
        <v>1</v>
      </c>
      <c r="AF552" s="83" t="str">
        <f>REPLACE(INDEX(GroupVertices[Group],MATCH(Edges[[#This Row],[Vertex 1]],GroupVertices[Vertex],0)),1,1,"")</f>
        <v>1</v>
      </c>
      <c r="AG552" s="83" t="str">
        <f>REPLACE(INDEX(GroupVertices[Group],MATCH(Edges[[#This Row],[Vertex 2]],GroupVertices[Vertex],0)),1,1,"")</f>
        <v>1</v>
      </c>
      <c r="AH552" s="111">
        <v>1</v>
      </c>
      <c r="AI552" s="112">
        <v>9.090909090909092</v>
      </c>
      <c r="AJ552" s="111">
        <v>0</v>
      </c>
      <c r="AK552" s="112">
        <v>0</v>
      </c>
      <c r="AL552" s="111">
        <v>0</v>
      </c>
      <c r="AM552" s="112">
        <v>0</v>
      </c>
      <c r="AN552" s="111">
        <v>10</v>
      </c>
      <c r="AO552" s="112">
        <v>90.9090909090909</v>
      </c>
      <c r="AP552" s="111">
        <v>11</v>
      </c>
    </row>
    <row r="553" spans="1:42" ht="15">
      <c r="A553" s="65" t="s">
        <v>287</v>
      </c>
      <c r="B553" s="65" t="s">
        <v>591</v>
      </c>
      <c r="C553" s="66" t="s">
        <v>5345</v>
      </c>
      <c r="D553" s="67">
        <v>3</v>
      </c>
      <c r="E553" s="68"/>
      <c r="F553" s="69">
        <v>40</v>
      </c>
      <c r="G553" s="66"/>
      <c r="H553" s="70"/>
      <c r="I553" s="71"/>
      <c r="J553" s="71"/>
      <c r="K553" s="35" t="s">
        <v>66</v>
      </c>
      <c r="L553" s="79">
        <v>553</v>
      </c>
      <c r="M553" s="79"/>
      <c r="N553" s="73"/>
      <c r="O553" s="81" t="s">
        <v>761</v>
      </c>
      <c r="P553" s="81" t="s">
        <v>763</v>
      </c>
      <c r="Q553" s="84" t="s">
        <v>1294</v>
      </c>
      <c r="R553" s="81" t="s">
        <v>287</v>
      </c>
      <c r="S553" s="81" t="s">
        <v>1616</v>
      </c>
      <c r="T553" s="86" t="str">
        <f>HYPERLINK("http://www.youtube.com/channel/UCbUhO-tut97b5IQhZ3i7TMA")</f>
        <v>http://www.youtube.com/channel/UCbUhO-tut97b5IQhZ3i7TMA</v>
      </c>
      <c r="U553" s="81" t="s">
        <v>2227</v>
      </c>
      <c r="V553" s="81" t="s">
        <v>2319</v>
      </c>
      <c r="W553" s="86" t="str">
        <f>HYPERLINK("https://www.youtube.com/watch?v=7aRMkFHzJrc")</f>
        <v>https://www.youtube.com/watch?v=7aRMkFHzJrc</v>
      </c>
      <c r="X553" s="81" t="s">
        <v>2335</v>
      </c>
      <c r="Y553" s="81">
        <v>1</v>
      </c>
      <c r="Z553" s="88">
        <v>43168.00425925926</v>
      </c>
      <c r="AA553" s="88">
        <v>43168.00425925926</v>
      </c>
      <c r="AB553" s="81"/>
      <c r="AC553" s="81"/>
      <c r="AD553" s="84" t="s">
        <v>2782</v>
      </c>
      <c r="AE553" s="82">
        <v>1</v>
      </c>
      <c r="AF553" s="83" t="str">
        <f>REPLACE(INDEX(GroupVertices[Group],MATCH(Edges[[#This Row],[Vertex 1]],GroupVertices[Vertex],0)),1,1,"")</f>
        <v>1</v>
      </c>
      <c r="AG553" s="83" t="str">
        <f>REPLACE(INDEX(GroupVertices[Group],MATCH(Edges[[#This Row],[Vertex 2]],GroupVertices[Vertex],0)),1,1,"")</f>
        <v>1</v>
      </c>
      <c r="AH553" s="111">
        <v>1</v>
      </c>
      <c r="AI553" s="112">
        <v>20</v>
      </c>
      <c r="AJ553" s="111">
        <v>0</v>
      </c>
      <c r="AK553" s="112">
        <v>0</v>
      </c>
      <c r="AL553" s="111">
        <v>0</v>
      </c>
      <c r="AM553" s="112">
        <v>0</v>
      </c>
      <c r="AN553" s="111">
        <v>4</v>
      </c>
      <c r="AO553" s="112">
        <v>80</v>
      </c>
      <c r="AP553" s="111">
        <v>5</v>
      </c>
    </row>
    <row r="554" spans="1:42" ht="15">
      <c r="A554" s="65" t="s">
        <v>591</v>
      </c>
      <c r="B554" s="65" t="s">
        <v>287</v>
      </c>
      <c r="C554" s="66" t="s">
        <v>5345</v>
      </c>
      <c r="D554" s="67">
        <v>3</v>
      </c>
      <c r="E554" s="68"/>
      <c r="F554" s="69">
        <v>40</v>
      </c>
      <c r="G554" s="66"/>
      <c r="H554" s="70"/>
      <c r="I554" s="71"/>
      <c r="J554" s="71"/>
      <c r="K554" s="35" t="s">
        <v>66</v>
      </c>
      <c r="L554" s="79">
        <v>554</v>
      </c>
      <c r="M554" s="79"/>
      <c r="N554" s="73"/>
      <c r="O554" s="81" t="s">
        <v>760</v>
      </c>
      <c r="P554" s="81" t="s">
        <v>215</v>
      </c>
      <c r="Q554" s="84" t="s">
        <v>1295</v>
      </c>
      <c r="R554" s="81" t="s">
        <v>591</v>
      </c>
      <c r="S554" s="81" t="s">
        <v>1919</v>
      </c>
      <c r="T554" s="86" t="str">
        <f>HYPERLINK("http://www.youtube.com/channel/UCmA3Us6wQVig9X0N3atZnIA")</f>
        <v>http://www.youtube.com/channel/UCmA3Us6wQVig9X0N3atZnIA</v>
      </c>
      <c r="U554" s="81"/>
      <c r="V554" s="81" t="s">
        <v>2319</v>
      </c>
      <c r="W554" s="86" t="str">
        <f>HYPERLINK("https://www.youtube.com/watch?v=7aRMkFHzJrc")</f>
        <v>https://www.youtube.com/watch?v=7aRMkFHzJrc</v>
      </c>
      <c r="X554" s="81" t="s">
        <v>2335</v>
      </c>
      <c r="Y554" s="81">
        <v>0</v>
      </c>
      <c r="Z554" s="88">
        <v>43109.800416666665</v>
      </c>
      <c r="AA554" s="88">
        <v>43109.800416666665</v>
      </c>
      <c r="AB554" s="81"/>
      <c r="AC554" s="81"/>
      <c r="AD554" s="84" t="s">
        <v>2782</v>
      </c>
      <c r="AE554" s="82">
        <v>1</v>
      </c>
      <c r="AF554" s="83" t="str">
        <f>REPLACE(INDEX(GroupVertices[Group],MATCH(Edges[[#This Row],[Vertex 1]],GroupVertices[Vertex],0)),1,1,"")</f>
        <v>1</v>
      </c>
      <c r="AG554" s="83" t="str">
        <f>REPLACE(INDEX(GroupVertices[Group],MATCH(Edges[[#This Row],[Vertex 2]],GroupVertices[Vertex],0)),1,1,"")</f>
        <v>1</v>
      </c>
      <c r="AH554" s="111">
        <v>0</v>
      </c>
      <c r="AI554" s="112">
        <v>0</v>
      </c>
      <c r="AJ554" s="111">
        <v>0</v>
      </c>
      <c r="AK554" s="112">
        <v>0</v>
      </c>
      <c r="AL554" s="111">
        <v>0</v>
      </c>
      <c r="AM554" s="112">
        <v>0</v>
      </c>
      <c r="AN554" s="111">
        <v>18</v>
      </c>
      <c r="AO554" s="112">
        <v>100</v>
      </c>
      <c r="AP554" s="111">
        <v>18</v>
      </c>
    </row>
    <row r="555" spans="1:42" ht="15">
      <c r="A555" s="65" t="s">
        <v>592</v>
      </c>
      <c r="B555" s="65" t="s">
        <v>287</v>
      </c>
      <c r="C555" s="66" t="s">
        <v>5346</v>
      </c>
      <c r="D555" s="67">
        <v>10</v>
      </c>
      <c r="E555" s="68"/>
      <c r="F555" s="69">
        <v>15</v>
      </c>
      <c r="G555" s="66"/>
      <c r="H555" s="70"/>
      <c r="I555" s="71"/>
      <c r="J555" s="71"/>
      <c r="K555" s="35" t="s">
        <v>65</v>
      </c>
      <c r="L555" s="79">
        <v>555</v>
      </c>
      <c r="M555" s="79"/>
      <c r="N555" s="73"/>
      <c r="O555" s="81" t="s">
        <v>760</v>
      </c>
      <c r="P555" s="81" t="s">
        <v>215</v>
      </c>
      <c r="Q555" s="84" t="s">
        <v>1296</v>
      </c>
      <c r="R555" s="81" t="s">
        <v>592</v>
      </c>
      <c r="S555" s="81" t="s">
        <v>1920</v>
      </c>
      <c r="T555" s="86" t="str">
        <f>HYPERLINK("http://www.youtube.com/channel/UCDcQJ4BUxHni8Famng8EG8w")</f>
        <v>http://www.youtube.com/channel/UCDcQJ4BUxHni8Famng8EG8w</v>
      </c>
      <c r="U555" s="81"/>
      <c r="V555" s="81" t="s">
        <v>2319</v>
      </c>
      <c r="W555" s="86" t="str">
        <f>HYPERLINK("https://www.youtube.com/watch?v=7aRMkFHzJrc")</f>
        <v>https://www.youtube.com/watch?v=7aRMkFHzJrc</v>
      </c>
      <c r="X555" s="81" t="s">
        <v>2335</v>
      </c>
      <c r="Y555" s="81">
        <v>0</v>
      </c>
      <c r="Z555" s="88">
        <v>43140.22393518518</v>
      </c>
      <c r="AA555" s="88">
        <v>43140.22393518518</v>
      </c>
      <c r="AB555" s="81"/>
      <c r="AC555" s="81"/>
      <c r="AD555" s="84" t="s">
        <v>2782</v>
      </c>
      <c r="AE555" s="82">
        <v>2</v>
      </c>
      <c r="AF555" s="83" t="str">
        <f>REPLACE(INDEX(GroupVertices[Group],MATCH(Edges[[#This Row],[Vertex 1]],GroupVertices[Vertex],0)),1,1,"")</f>
        <v>1</v>
      </c>
      <c r="AG555" s="83" t="str">
        <f>REPLACE(INDEX(GroupVertices[Group],MATCH(Edges[[#This Row],[Vertex 2]],GroupVertices[Vertex],0)),1,1,"")</f>
        <v>1</v>
      </c>
      <c r="AH555" s="111">
        <v>0</v>
      </c>
      <c r="AI555" s="112">
        <v>0</v>
      </c>
      <c r="AJ555" s="111">
        <v>0</v>
      </c>
      <c r="AK555" s="112">
        <v>0</v>
      </c>
      <c r="AL555" s="111">
        <v>0</v>
      </c>
      <c r="AM555" s="112">
        <v>0</v>
      </c>
      <c r="AN555" s="111">
        <v>0</v>
      </c>
      <c r="AO555" s="112">
        <v>0</v>
      </c>
      <c r="AP555" s="111">
        <v>0</v>
      </c>
    </row>
    <row r="556" spans="1:42" ht="15">
      <c r="A556" s="65" t="s">
        <v>592</v>
      </c>
      <c r="B556" s="65" t="s">
        <v>287</v>
      </c>
      <c r="C556" s="66" t="s">
        <v>5346</v>
      </c>
      <c r="D556" s="67">
        <v>10</v>
      </c>
      <c r="E556" s="68"/>
      <c r="F556" s="69">
        <v>15</v>
      </c>
      <c r="G556" s="66"/>
      <c r="H556" s="70"/>
      <c r="I556" s="71"/>
      <c r="J556" s="71"/>
      <c r="K556" s="35" t="s">
        <v>65</v>
      </c>
      <c r="L556" s="79">
        <v>556</v>
      </c>
      <c r="M556" s="79"/>
      <c r="N556" s="73"/>
      <c r="O556" s="81" t="s">
        <v>760</v>
      </c>
      <c r="P556" s="81" t="s">
        <v>215</v>
      </c>
      <c r="Q556" s="84" t="s">
        <v>1297</v>
      </c>
      <c r="R556" s="81" t="s">
        <v>592</v>
      </c>
      <c r="S556" s="81" t="s">
        <v>1920</v>
      </c>
      <c r="T556" s="86" t="str">
        <f>HYPERLINK("http://www.youtube.com/channel/UCDcQJ4BUxHni8Famng8EG8w")</f>
        <v>http://www.youtube.com/channel/UCDcQJ4BUxHni8Famng8EG8w</v>
      </c>
      <c r="U556" s="81"/>
      <c r="V556" s="81" t="s">
        <v>2319</v>
      </c>
      <c r="W556" s="86" t="str">
        <f>HYPERLINK("https://www.youtube.com/watch?v=7aRMkFHzJrc")</f>
        <v>https://www.youtube.com/watch?v=7aRMkFHzJrc</v>
      </c>
      <c r="X556" s="81" t="s">
        <v>2335</v>
      </c>
      <c r="Y556" s="81">
        <v>0</v>
      </c>
      <c r="Z556" s="88">
        <v>43140.224583333336</v>
      </c>
      <c r="AA556" s="88">
        <v>43140.224583333336</v>
      </c>
      <c r="AB556" s="81"/>
      <c r="AC556" s="81"/>
      <c r="AD556" s="84" t="s">
        <v>2782</v>
      </c>
      <c r="AE556" s="82">
        <v>2</v>
      </c>
      <c r="AF556" s="83" t="str">
        <f>REPLACE(INDEX(GroupVertices[Group],MATCH(Edges[[#This Row],[Vertex 1]],GroupVertices[Vertex],0)),1,1,"")</f>
        <v>1</v>
      </c>
      <c r="AG556" s="83" t="str">
        <f>REPLACE(INDEX(GroupVertices[Group],MATCH(Edges[[#This Row],[Vertex 2]],GroupVertices[Vertex],0)),1,1,"")</f>
        <v>1</v>
      </c>
      <c r="AH556" s="111">
        <v>0</v>
      </c>
      <c r="AI556" s="112">
        <v>0</v>
      </c>
      <c r="AJ556" s="111">
        <v>0</v>
      </c>
      <c r="AK556" s="112">
        <v>0</v>
      </c>
      <c r="AL556" s="111">
        <v>0</v>
      </c>
      <c r="AM556" s="112">
        <v>0</v>
      </c>
      <c r="AN556" s="111">
        <v>13</v>
      </c>
      <c r="AO556" s="112">
        <v>100</v>
      </c>
      <c r="AP556" s="111">
        <v>13</v>
      </c>
    </row>
    <row r="557" spans="1:42" ht="15">
      <c r="A557" s="65" t="s">
        <v>593</v>
      </c>
      <c r="B557" s="65" t="s">
        <v>287</v>
      </c>
      <c r="C557" s="66" t="s">
        <v>5345</v>
      </c>
      <c r="D557" s="67">
        <v>3</v>
      </c>
      <c r="E557" s="68"/>
      <c r="F557" s="69">
        <v>40</v>
      </c>
      <c r="G557" s="66"/>
      <c r="H557" s="70"/>
      <c r="I557" s="71"/>
      <c r="J557" s="71"/>
      <c r="K557" s="35" t="s">
        <v>65</v>
      </c>
      <c r="L557" s="79">
        <v>557</v>
      </c>
      <c r="M557" s="79"/>
      <c r="N557" s="73"/>
      <c r="O557" s="81" t="s">
        <v>760</v>
      </c>
      <c r="P557" s="81" t="s">
        <v>215</v>
      </c>
      <c r="Q557" s="84" t="s">
        <v>1298</v>
      </c>
      <c r="R557" s="81" t="s">
        <v>593</v>
      </c>
      <c r="S557" s="81" t="s">
        <v>1921</v>
      </c>
      <c r="T557" s="86" t="str">
        <f>HYPERLINK("http://www.youtube.com/channel/UCB0EfpgE24o6_K-O9T-SRdQ")</f>
        <v>http://www.youtube.com/channel/UCB0EfpgE24o6_K-O9T-SRdQ</v>
      </c>
      <c r="U557" s="81"/>
      <c r="V557" s="81" t="s">
        <v>2319</v>
      </c>
      <c r="W557" s="86" t="str">
        <f>HYPERLINK("https://www.youtube.com/watch?v=7aRMkFHzJrc")</f>
        <v>https://www.youtube.com/watch?v=7aRMkFHzJrc</v>
      </c>
      <c r="X557" s="81" t="s">
        <v>2335</v>
      </c>
      <c r="Y557" s="81">
        <v>0</v>
      </c>
      <c r="Z557" s="88">
        <v>43290.366006944445</v>
      </c>
      <c r="AA557" s="88">
        <v>43290.366006944445</v>
      </c>
      <c r="AB557" s="81"/>
      <c r="AC557" s="81"/>
      <c r="AD557" s="84" t="s">
        <v>2782</v>
      </c>
      <c r="AE557" s="82">
        <v>1</v>
      </c>
      <c r="AF557" s="83" t="str">
        <f>REPLACE(INDEX(GroupVertices[Group],MATCH(Edges[[#This Row],[Vertex 1]],GroupVertices[Vertex],0)),1,1,"")</f>
        <v>1</v>
      </c>
      <c r="AG557" s="83" t="str">
        <f>REPLACE(INDEX(GroupVertices[Group],MATCH(Edges[[#This Row],[Vertex 2]],GroupVertices[Vertex],0)),1,1,"")</f>
        <v>1</v>
      </c>
      <c r="AH557" s="111">
        <v>1</v>
      </c>
      <c r="AI557" s="112">
        <v>100</v>
      </c>
      <c r="AJ557" s="111">
        <v>0</v>
      </c>
      <c r="AK557" s="112">
        <v>0</v>
      </c>
      <c r="AL557" s="111">
        <v>0</v>
      </c>
      <c r="AM557" s="112">
        <v>0</v>
      </c>
      <c r="AN557" s="111">
        <v>0</v>
      </c>
      <c r="AO557" s="112">
        <v>0</v>
      </c>
      <c r="AP557" s="111">
        <v>1</v>
      </c>
    </row>
    <row r="558" spans="1:42" ht="15">
      <c r="A558" s="65" t="s">
        <v>594</v>
      </c>
      <c r="B558" s="65" t="s">
        <v>287</v>
      </c>
      <c r="C558" s="66" t="s">
        <v>5349</v>
      </c>
      <c r="D558" s="67">
        <v>10</v>
      </c>
      <c r="E558" s="68"/>
      <c r="F558" s="69">
        <v>15</v>
      </c>
      <c r="G558" s="66"/>
      <c r="H558" s="70"/>
      <c r="I558" s="71"/>
      <c r="J558" s="71"/>
      <c r="K558" s="35" t="s">
        <v>65</v>
      </c>
      <c r="L558" s="79">
        <v>558</v>
      </c>
      <c r="M558" s="79"/>
      <c r="N558" s="73"/>
      <c r="O558" s="81" t="s">
        <v>760</v>
      </c>
      <c r="P558" s="81" t="s">
        <v>215</v>
      </c>
      <c r="Q558" s="84" t="s">
        <v>1299</v>
      </c>
      <c r="R558" s="81" t="s">
        <v>594</v>
      </c>
      <c r="S558" s="81" t="s">
        <v>1922</v>
      </c>
      <c r="T558" s="86" t="str">
        <f>HYPERLINK("http://www.youtube.com/channel/UCnWPKDhYdj8AZfYUdrOiS1Q")</f>
        <v>http://www.youtube.com/channel/UCnWPKDhYdj8AZfYUdrOiS1Q</v>
      </c>
      <c r="U558" s="81"/>
      <c r="V558" s="81" t="s">
        <v>2313</v>
      </c>
      <c r="W558" s="86" t="str">
        <f>HYPERLINK("https://www.youtube.com/watch?v=-EA6GvKa0EA")</f>
        <v>https://www.youtube.com/watch?v=-EA6GvKa0EA</v>
      </c>
      <c r="X558" s="81" t="s">
        <v>2335</v>
      </c>
      <c r="Y558" s="81">
        <v>0</v>
      </c>
      <c r="Z558" s="81" t="s">
        <v>2569</v>
      </c>
      <c r="AA558" s="81" t="s">
        <v>2569</v>
      </c>
      <c r="AB558" s="81"/>
      <c r="AC558" s="81"/>
      <c r="AD558" s="84" t="s">
        <v>2782</v>
      </c>
      <c r="AE558" s="82">
        <v>7</v>
      </c>
      <c r="AF558" s="83" t="str">
        <f>REPLACE(INDEX(GroupVertices[Group],MATCH(Edges[[#This Row],[Vertex 1]],GroupVertices[Vertex],0)),1,1,"")</f>
        <v>1</v>
      </c>
      <c r="AG558" s="83" t="str">
        <f>REPLACE(INDEX(GroupVertices[Group],MATCH(Edges[[#This Row],[Vertex 2]],GroupVertices[Vertex],0)),1,1,"")</f>
        <v>1</v>
      </c>
      <c r="AH558" s="111">
        <v>1</v>
      </c>
      <c r="AI558" s="112">
        <v>25</v>
      </c>
      <c r="AJ558" s="111">
        <v>0</v>
      </c>
      <c r="AK558" s="112">
        <v>0</v>
      </c>
      <c r="AL558" s="111">
        <v>0</v>
      </c>
      <c r="AM558" s="112">
        <v>0</v>
      </c>
      <c r="AN558" s="111">
        <v>3</v>
      </c>
      <c r="AO558" s="112">
        <v>75</v>
      </c>
      <c r="AP558" s="111">
        <v>4</v>
      </c>
    </row>
    <row r="559" spans="1:42" ht="15">
      <c r="A559" s="65" t="s">
        <v>594</v>
      </c>
      <c r="B559" s="65" t="s">
        <v>287</v>
      </c>
      <c r="C559" s="66" t="s">
        <v>5349</v>
      </c>
      <c r="D559" s="67">
        <v>10</v>
      </c>
      <c r="E559" s="68"/>
      <c r="F559" s="69">
        <v>15</v>
      </c>
      <c r="G559" s="66"/>
      <c r="H559" s="70"/>
      <c r="I559" s="71"/>
      <c r="J559" s="71"/>
      <c r="K559" s="35" t="s">
        <v>65</v>
      </c>
      <c r="L559" s="79">
        <v>559</v>
      </c>
      <c r="M559" s="79"/>
      <c r="N559" s="73"/>
      <c r="O559" s="81" t="s">
        <v>760</v>
      </c>
      <c r="P559" s="81" t="s">
        <v>215</v>
      </c>
      <c r="Q559" s="84" t="s">
        <v>895</v>
      </c>
      <c r="R559" s="81" t="s">
        <v>594</v>
      </c>
      <c r="S559" s="81" t="s">
        <v>1922</v>
      </c>
      <c r="T559" s="86" t="str">
        <f>HYPERLINK("http://www.youtube.com/channel/UCnWPKDhYdj8AZfYUdrOiS1Q")</f>
        <v>http://www.youtube.com/channel/UCnWPKDhYdj8AZfYUdrOiS1Q</v>
      </c>
      <c r="U559" s="81"/>
      <c r="V559" s="81" t="s">
        <v>2315</v>
      </c>
      <c r="W559" s="86" t="str">
        <f>HYPERLINK("https://www.youtube.com/watch?v=JCTlws1bpAY")</f>
        <v>https://www.youtube.com/watch?v=JCTlws1bpAY</v>
      </c>
      <c r="X559" s="81" t="s">
        <v>2335</v>
      </c>
      <c r="Y559" s="81">
        <v>0</v>
      </c>
      <c r="Z559" s="81" t="s">
        <v>2570</v>
      </c>
      <c r="AA559" s="81" t="s">
        <v>2570</v>
      </c>
      <c r="AB559" s="81"/>
      <c r="AC559" s="81"/>
      <c r="AD559" s="84" t="s">
        <v>2782</v>
      </c>
      <c r="AE559" s="82">
        <v>7</v>
      </c>
      <c r="AF559" s="83" t="str">
        <f>REPLACE(INDEX(GroupVertices[Group],MATCH(Edges[[#This Row],[Vertex 1]],GroupVertices[Vertex],0)),1,1,"")</f>
        <v>1</v>
      </c>
      <c r="AG559" s="83" t="str">
        <f>REPLACE(INDEX(GroupVertices[Group],MATCH(Edges[[#This Row],[Vertex 2]],GroupVertices[Vertex],0)),1,1,"")</f>
        <v>1</v>
      </c>
      <c r="AH559" s="111">
        <v>1</v>
      </c>
      <c r="AI559" s="112">
        <v>100</v>
      </c>
      <c r="AJ559" s="111">
        <v>0</v>
      </c>
      <c r="AK559" s="112">
        <v>0</v>
      </c>
      <c r="AL559" s="111">
        <v>0</v>
      </c>
      <c r="AM559" s="112">
        <v>0</v>
      </c>
      <c r="AN559" s="111">
        <v>0</v>
      </c>
      <c r="AO559" s="112">
        <v>0</v>
      </c>
      <c r="AP559" s="111">
        <v>1</v>
      </c>
    </row>
    <row r="560" spans="1:42" ht="15">
      <c r="A560" s="65" t="s">
        <v>594</v>
      </c>
      <c r="B560" s="65" t="s">
        <v>287</v>
      </c>
      <c r="C560" s="66" t="s">
        <v>5349</v>
      </c>
      <c r="D560" s="67">
        <v>10</v>
      </c>
      <c r="E560" s="68"/>
      <c r="F560" s="69">
        <v>15</v>
      </c>
      <c r="G560" s="66"/>
      <c r="H560" s="70"/>
      <c r="I560" s="71"/>
      <c r="J560" s="71"/>
      <c r="K560" s="35" t="s">
        <v>65</v>
      </c>
      <c r="L560" s="79">
        <v>560</v>
      </c>
      <c r="M560" s="79"/>
      <c r="N560" s="73"/>
      <c r="O560" s="81" t="s">
        <v>760</v>
      </c>
      <c r="P560" s="81" t="s">
        <v>215</v>
      </c>
      <c r="Q560" s="84" t="s">
        <v>1300</v>
      </c>
      <c r="R560" s="81" t="s">
        <v>594</v>
      </c>
      <c r="S560" s="81" t="s">
        <v>1922</v>
      </c>
      <c r="T560" s="86" t="str">
        <f>HYPERLINK("http://www.youtube.com/channel/UCnWPKDhYdj8AZfYUdrOiS1Q")</f>
        <v>http://www.youtube.com/channel/UCnWPKDhYdj8AZfYUdrOiS1Q</v>
      </c>
      <c r="U560" s="81"/>
      <c r="V560" s="81" t="s">
        <v>2315</v>
      </c>
      <c r="W560" s="86" t="str">
        <f>HYPERLINK("https://www.youtube.com/watch?v=JCTlws1bpAY")</f>
        <v>https://www.youtube.com/watch?v=JCTlws1bpAY</v>
      </c>
      <c r="X560" s="81" t="s">
        <v>2335</v>
      </c>
      <c r="Y560" s="81">
        <v>0</v>
      </c>
      <c r="Z560" s="81" t="s">
        <v>2571</v>
      </c>
      <c r="AA560" s="81" t="s">
        <v>2571</v>
      </c>
      <c r="AB560" s="81"/>
      <c r="AC560" s="81"/>
      <c r="AD560" s="84" t="s">
        <v>2782</v>
      </c>
      <c r="AE560" s="82">
        <v>7</v>
      </c>
      <c r="AF560" s="83" t="str">
        <f>REPLACE(INDEX(GroupVertices[Group],MATCH(Edges[[#This Row],[Vertex 1]],GroupVertices[Vertex],0)),1,1,"")</f>
        <v>1</v>
      </c>
      <c r="AG560" s="83" t="str">
        <f>REPLACE(INDEX(GroupVertices[Group],MATCH(Edges[[#This Row],[Vertex 2]],GroupVertices[Vertex],0)),1,1,"")</f>
        <v>1</v>
      </c>
      <c r="AH560" s="111">
        <v>1</v>
      </c>
      <c r="AI560" s="112">
        <v>16.666666666666668</v>
      </c>
      <c r="AJ560" s="111">
        <v>0</v>
      </c>
      <c r="AK560" s="112">
        <v>0</v>
      </c>
      <c r="AL560" s="111">
        <v>0</v>
      </c>
      <c r="AM560" s="112">
        <v>0</v>
      </c>
      <c r="AN560" s="111">
        <v>5</v>
      </c>
      <c r="AO560" s="112">
        <v>83.33333333333333</v>
      </c>
      <c r="AP560" s="111">
        <v>6</v>
      </c>
    </row>
    <row r="561" spans="1:42" ht="15">
      <c r="A561" s="65" t="s">
        <v>594</v>
      </c>
      <c r="B561" s="65" t="s">
        <v>287</v>
      </c>
      <c r="C561" s="66" t="s">
        <v>5349</v>
      </c>
      <c r="D561" s="67">
        <v>10</v>
      </c>
      <c r="E561" s="68"/>
      <c r="F561" s="69">
        <v>15</v>
      </c>
      <c r="G561" s="66"/>
      <c r="H561" s="70"/>
      <c r="I561" s="71"/>
      <c r="J561" s="71"/>
      <c r="K561" s="35" t="s">
        <v>65</v>
      </c>
      <c r="L561" s="79">
        <v>561</v>
      </c>
      <c r="M561" s="79"/>
      <c r="N561" s="73"/>
      <c r="O561" s="81" t="s">
        <v>760</v>
      </c>
      <c r="P561" s="81" t="s">
        <v>215</v>
      </c>
      <c r="Q561" s="84" t="s">
        <v>1301</v>
      </c>
      <c r="R561" s="81" t="s">
        <v>594</v>
      </c>
      <c r="S561" s="81" t="s">
        <v>1922</v>
      </c>
      <c r="T561" s="86" t="str">
        <f>HYPERLINK("http://www.youtube.com/channel/UCnWPKDhYdj8AZfYUdrOiS1Q")</f>
        <v>http://www.youtube.com/channel/UCnWPKDhYdj8AZfYUdrOiS1Q</v>
      </c>
      <c r="U561" s="81"/>
      <c r="V561" s="81" t="s">
        <v>2315</v>
      </c>
      <c r="W561" s="86" t="str">
        <f>HYPERLINK("https://www.youtube.com/watch?v=JCTlws1bpAY")</f>
        <v>https://www.youtube.com/watch?v=JCTlws1bpAY</v>
      </c>
      <c r="X561" s="81" t="s">
        <v>2335</v>
      </c>
      <c r="Y561" s="81">
        <v>0</v>
      </c>
      <c r="Z561" s="81" t="s">
        <v>2572</v>
      </c>
      <c r="AA561" s="81" t="s">
        <v>2572</v>
      </c>
      <c r="AB561" s="81"/>
      <c r="AC561" s="81"/>
      <c r="AD561" s="84" t="s">
        <v>2782</v>
      </c>
      <c r="AE561" s="82">
        <v>7</v>
      </c>
      <c r="AF561" s="83" t="str">
        <f>REPLACE(INDEX(GroupVertices[Group],MATCH(Edges[[#This Row],[Vertex 1]],GroupVertices[Vertex],0)),1,1,"")</f>
        <v>1</v>
      </c>
      <c r="AG561" s="83" t="str">
        <f>REPLACE(INDEX(GroupVertices[Group],MATCH(Edges[[#This Row],[Vertex 2]],GroupVertices[Vertex],0)),1,1,"")</f>
        <v>1</v>
      </c>
      <c r="AH561" s="111">
        <v>0</v>
      </c>
      <c r="AI561" s="112">
        <v>0</v>
      </c>
      <c r="AJ561" s="111">
        <v>0</v>
      </c>
      <c r="AK561" s="112">
        <v>0</v>
      </c>
      <c r="AL561" s="111">
        <v>0</v>
      </c>
      <c r="AM561" s="112">
        <v>0</v>
      </c>
      <c r="AN561" s="111">
        <v>1</v>
      </c>
      <c r="AO561" s="112">
        <v>100</v>
      </c>
      <c r="AP561" s="111">
        <v>1</v>
      </c>
    </row>
    <row r="562" spans="1:42" ht="15">
      <c r="A562" s="65" t="s">
        <v>594</v>
      </c>
      <c r="B562" s="65" t="s">
        <v>287</v>
      </c>
      <c r="C562" s="66" t="s">
        <v>5349</v>
      </c>
      <c r="D562" s="67">
        <v>10</v>
      </c>
      <c r="E562" s="68"/>
      <c r="F562" s="69">
        <v>15</v>
      </c>
      <c r="G562" s="66"/>
      <c r="H562" s="70"/>
      <c r="I562" s="71"/>
      <c r="J562" s="71"/>
      <c r="K562" s="35" t="s">
        <v>65</v>
      </c>
      <c r="L562" s="79">
        <v>562</v>
      </c>
      <c r="M562" s="79"/>
      <c r="N562" s="73"/>
      <c r="O562" s="81" t="s">
        <v>760</v>
      </c>
      <c r="P562" s="81" t="s">
        <v>215</v>
      </c>
      <c r="Q562" s="84" t="s">
        <v>1302</v>
      </c>
      <c r="R562" s="81" t="s">
        <v>594</v>
      </c>
      <c r="S562" s="81" t="s">
        <v>1922</v>
      </c>
      <c r="T562" s="86" t="str">
        <f>HYPERLINK("http://www.youtube.com/channel/UCnWPKDhYdj8AZfYUdrOiS1Q")</f>
        <v>http://www.youtube.com/channel/UCnWPKDhYdj8AZfYUdrOiS1Q</v>
      </c>
      <c r="U562" s="81"/>
      <c r="V562" s="81" t="s">
        <v>2319</v>
      </c>
      <c r="W562" s="86" t="str">
        <f>HYPERLINK("https://www.youtube.com/watch?v=7aRMkFHzJrc")</f>
        <v>https://www.youtube.com/watch?v=7aRMkFHzJrc</v>
      </c>
      <c r="X562" s="81" t="s">
        <v>2335</v>
      </c>
      <c r="Y562" s="81">
        <v>0</v>
      </c>
      <c r="Z562" s="81" t="s">
        <v>2573</v>
      </c>
      <c r="AA562" s="81" t="s">
        <v>2573</v>
      </c>
      <c r="AB562" s="81"/>
      <c r="AC562" s="81"/>
      <c r="AD562" s="84" t="s">
        <v>2782</v>
      </c>
      <c r="AE562" s="82">
        <v>7</v>
      </c>
      <c r="AF562" s="83" t="str">
        <f>REPLACE(INDEX(GroupVertices[Group],MATCH(Edges[[#This Row],[Vertex 1]],GroupVertices[Vertex],0)),1,1,"")</f>
        <v>1</v>
      </c>
      <c r="AG562" s="83" t="str">
        <f>REPLACE(INDEX(GroupVertices[Group],MATCH(Edges[[#This Row],[Vertex 2]],GroupVertices[Vertex],0)),1,1,"")</f>
        <v>1</v>
      </c>
      <c r="AH562" s="111">
        <v>1</v>
      </c>
      <c r="AI562" s="112">
        <v>25</v>
      </c>
      <c r="AJ562" s="111">
        <v>0</v>
      </c>
      <c r="AK562" s="112">
        <v>0</v>
      </c>
      <c r="AL562" s="111">
        <v>0</v>
      </c>
      <c r="AM562" s="112">
        <v>0</v>
      </c>
      <c r="AN562" s="111">
        <v>3</v>
      </c>
      <c r="AO562" s="112">
        <v>75</v>
      </c>
      <c r="AP562" s="111">
        <v>4</v>
      </c>
    </row>
    <row r="563" spans="1:42" ht="15">
      <c r="A563" s="65" t="s">
        <v>594</v>
      </c>
      <c r="B563" s="65" t="s">
        <v>287</v>
      </c>
      <c r="C563" s="66" t="s">
        <v>5349</v>
      </c>
      <c r="D563" s="67">
        <v>10</v>
      </c>
      <c r="E563" s="68"/>
      <c r="F563" s="69">
        <v>15</v>
      </c>
      <c r="G563" s="66"/>
      <c r="H563" s="70"/>
      <c r="I563" s="71"/>
      <c r="J563" s="71"/>
      <c r="K563" s="35" t="s">
        <v>65</v>
      </c>
      <c r="L563" s="79">
        <v>563</v>
      </c>
      <c r="M563" s="79"/>
      <c r="N563" s="73"/>
      <c r="O563" s="81" t="s">
        <v>760</v>
      </c>
      <c r="P563" s="81" t="s">
        <v>215</v>
      </c>
      <c r="Q563" s="84" t="s">
        <v>1303</v>
      </c>
      <c r="R563" s="81" t="s">
        <v>594</v>
      </c>
      <c r="S563" s="81" t="s">
        <v>1922</v>
      </c>
      <c r="T563" s="86" t="str">
        <f>HYPERLINK("http://www.youtube.com/channel/UCnWPKDhYdj8AZfYUdrOiS1Q")</f>
        <v>http://www.youtube.com/channel/UCnWPKDhYdj8AZfYUdrOiS1Q</v>
      </c>
      <c r="U563" s="81"/>
      <c r="V563" s="81" t="s">
        <v>2319</v>
      </c>
      <c r="W563" s="86" t="str">
        <f>HYPERLINK("https://www.youtube.com/watch?v=7aRMkFHzJrc")</f>
        <v>https://www.youtube.com/watch?v=7aRMkFHzJrc</v>
      </c>
      <c r="X563" s="81" t="s">
        <v>2335</v>
      </c>
      <c r="Y563" s="81">
        <v>0</v>
      </c>
      <c r="Z563" s="81" t="s">
        <v>2574</v>
      </c>
      <c r="AA563" s="81" t="s">
        <v>2574</v>
      </c>
      <c r="AB563" s="81"/>
      <c r="AC563" s="81"/>
      <c r="AD563" s="84" t="s">
        <v>2782</v>
      </c>
      <c r="AE563" s="82">
        <v>7</v>
      </c>
      <c r="AF563" s="83" t="str">
        <f>REPLACE(INDEX(GroupVertices[Group],MATCH(Edges[[#This Row],[Vertex 1]],GroupVertices[Vertex],0)),1,1,"")</f>
        <v>1</v>
      </c>
      <c r="AG563" s="83" t="str">
        <f>REPLACE(INDEX(GroupVertices[Group],MATCH(Edges[[#This Row],[Vertex 2]],GroupVertices[Vertex],0)),1,1,"")</f>
        <v>1</v>
      </c>
      <c r="AH563" s="111">
        <v>1</v>
      </c>
      <c r="AI563" s="112">
        <v>20</v>
      </c>
      <c r="AJ563" s="111">
        <v>0</v>
      </c>
      <c r="AK563" s="112">
        <v>0</v>
      </c>
      <c r="AL563" s="111">
        <v>0</v>
      </c>
      <c r="AM563" s="112">
        <v>0</v>
      </c>
      <c r="AN563" s="111">
        <v>4</v>
      </c>
      <c r="AO563" s="112">
        <v>80</v>
      </c>
      <c r="AP563" s="111">
        <v>5</v>
      </c>
    </row>
    <row r="564" spans="1:42" ht="15">
      <c r="A564" s="65" t="s">
        <v>594</v>
      </c>
      <c r="B564" s="65" t="s">
        <v>287</v>
      </c>
      <c r="C564" s="66" t="s">
        <v>5349</v>
      </c>
      <c r="D564" s="67">
        <v>10</v>
      </c>
      <c r="E564" s="68"/>
      <c r="F564" s="69">
        <v>15</v>
      </c>
      <c r="G564" s="66"/>
      <c r="H564" s="70"/>
      <c r="I564" s="71"/>
      <c r="J564" s="71"/>
      <c r="K564" s="35" t="s">
        <v>65</v>
      </c>
      <c r="L564" s="79">
        <v>564</v>
      </c>
      <c r="M564" s="79"/>
      <c r="N564" s="73"/>
      <c r="O564" s="81" t="s">
        <v>760</v>
      </c>
      <c r="P564" s="81" t="s">
        <v>215</v>
      </c>
      <c r="Q564" s="84" t="s">
        <v>1304</v>
      </c>
      <c r="R564" s="81" t="s">
        <v>594</v>
      </c>
      <c r="S564" s="81" t="s">
        <v>1922</v>
      </c>
      <c r="T564" s="86" t="str">
        <f>HYPERLINK("http://www.youtube.com/channel/UCnWPKDhYdj8AZfYUdrOiS1Q")</f>
        <v>http://www.youtube.com/channel/UCnWPKDhYdj8AZfYUdrOiS1Q</v>
      </c>
      <c r="U564" s="81"/>
      <c r="V564" s="81" t="s">
        <v>2319</v>
      </c>
      <c r="W564" s="86" t="str">
        <f>HYPERLINK("https://www.youtube.com/watch?v=7aRMkFHzJrc")</f>
        <v>https://www.youtube.com/watch?v=7aRMkFHzJrc</v>
      </c>
      <c r="X564" s="81" t="s">
        <v>2335</v>
      </c>
      <c r="Y564" s="81">
        <v>1</v>
      </c>
      <c r="Z564" s="81" t="s">
        <v>2575</v>
      </c>
      <c r="AA564" s="81" t="s">
        <v>2575</v>
      </c>
      <c r="AB564" s="81"/>
      <c r="AC564" s="81"/>
      <c r="AD564" s="84" t="s">
        <v>2782</v>
      </c>
      <c r="AE564" s="82">
        <v>7</v>
      </c>
      <c r="AF564" s="83" t="str">
        <f>REPLACE(INDEX(GroupVertices[Group],MATCH(Edges[[#This Row],[Vertex 1]],GroupVertices[Vertex],0)),1,1,"")</f>
        <v>1</v>
      </c>
      <c r="AG564" s="83" t="str">
        <f>REPLACE(INDEX(GroupVertices[Group],MATCH(Edges[[#This Row],[Vertex 2]],GroupVertices[Vertex],0)),1,1,"")</f>
        <v>1</v>
      </c>
      <c r="AH564" s="111">
        <v>0</v>
      </c>
      <c r="AI564" s="112">
        <v>0</v>
      </c>
      <c r="AJ564" s="111">
        <v>0</v>
      </c>
      <c r="AK564" s="112">
        <v>0</v>
      </c>
      <c r="AL564" s="111">
        <v>0</v>
      </c>
      <c r="AM564" s="112">
        <v>0</v>
      </c>
      <c r="AN564" s="111">
        <v>11</v>
      </c>
      <c r="AO564" s="112">
        <v>100</v>
      </c>
      <c r="AP564" s="111">
        <v>11</v>
      </c>
    </row>
    <row r="565" spans="1:42" ht="15">
      <c r="A565" s="65" t="s">
        <v>595</v>
      </c>
      <c r="B565" s="65" t="s">
        <v>287</v>
      </c>
      <c r="C565" s="66" t="s">
        <v>5346</v>
      </c>
      <c r="D565" s="67">
        <v>10</v>
      </c>
      <c r="E565" s="68"/>
      <c r="F565" s="69">
        <v>15</v>
      </c>
      <c r="G565" s="66"/>
      <c r="H565" s="70"/>
      <c r="I565" s="71"/>
      <c r="J565" s="71"/>
      <c r="K565" s="35" t="s">
        <v>65</v>
      </c>
      <c r="L565" s="79">
        <v>565</v>
      </c>
      <c r="M565" s="79"/>
      <c r="N565" s="73"/>
      <c r="O565" s="81" t="s">
        <v>760</v>
      </c>
      <c r="P565" s="81" t="s">
        <v>215</v>
      </c>
      <c r="Q565" s="84" t="s">
        <v>1305</v>
      </c>
      <c r="R565" s="81" t="s">
        <v>595</v>
      </c>
      <c r="S565" s="81" t="s">
        <v>1923</v>
      </c>
      <c r="T565" s="86" t="str">
        <f>HYPERLINK("http://www.youtube.com/channel/UCf1BiqlVYG876JqvDkv7isg")</f>
        <v>http://www.youtube.com/channel/UCf1BiqlVYG876JqvDkv7isg</v>
      </c>
      <c r="U565" s="81"/>
      <c r="V565" s="81" t="s">
        <v>2308</v>
      </c>
      <c r="W565" s="86" t="str">
        <f>HYPERLINK("https://www.youtube.com/watch?v=xZPSNornzmk")</f>
        <v>https://www.youtube.com/watch?v=xZPSNornzmk</v>
      </c>
      <c r="X565" s="81" t="s">
        <v>2335</v>
      </c>
      <c r="Y565" s="81">
        <v>0</v>
      </c>
      <c r="Z565" s="81" t="s">
        <v>2576</v>
      </c>
      <c r="AA565" s="81" t="s">
        <v>2576</v>
      </c>
      <c r="AB565" s="81"/>
      <c r="AC565" s="81"/>
      <c r="AD565" s="84" t="s">
        <v>2782</v>
      </c>
      <c r="AE565" s="82">
        <v>2</v>
      </c>
      <c r="AF565" s="83" t="str">
        <f>REPLACE(INDEX(GroupVertices[Group],MATCH(Edges[[#This Row],[Vertex 1]],GroupVertices[Vertex],0)),1,1,"")</f>
        <v>1</v>
      </c>
      <c r="AG565" s="83" t="str">
        <f>REPLACE(INDEX(GroupVertices[Group],MATCH(Edges[[#This Row],[Vertex 2]],GroupVertices[Vertex],0)),1,1,"")</f>
        <v>1</v>
      </c>
      <c r="AH565" s="111">
        <v>1</v>
      </c>
      <c r="AI565" s="112">
        <v>33.333333333333336</v>
      </c>
      <c r="AJ565" s="111">
        <v>0</v>
      </c>
      <c r="AK565" s="112">
        <v>0</v>
      </c>
      <c r="AL565" s="111">
        <v>0</v>
      </c>
      <c r="AM565" s="112">
        <v>0</v>
      </c>
      <c r="AN565" s="111">
        <v>2</v>
      </c>
      <c r="AO565" s="112">
        <v>66.66666666666667</v>
      </c>
      <c r="AP565" s="111">
        <v>3</v>
      </c>
    </row>
    <row r="566" spans="1:42" ht="15">
      <c r="A566" s="65" t="s">
        <v>595</v>
      </c>
      <c r="B566" s="65" t="s">
        <v>287</v>
      </c>
      <c r="C566" s="66" t="s">
        <v>5346</v>
      </c>
      <c r="D566" s="67">
        <v>10</v>
      </c>
      <c r="E566" s="68"/>
      <c r="F566" s="69">
        <v>15</v>
      </c>
      <c r="G566" s="66"/>
      <c r="H566" s="70"/>
      <c r="I566" s="71"/>
      <c r="J566" s="71"/>
      <c r="K566" s="35" t="s">
        <v>65</v>
      </c>
      <c r="L566" s="79">
        <v>566</v>
      </c>
      <c r="M566" s="79"/>
      <c r="N566" s="73"/>
      <c r="O566" s="81" t="s">
        <v>760</v>
      </c>
      <c r="P566" s="81" t="s">
        <v>215</v>
      </c>
      <c r="Q566" s="84" t="s">
        <v>1306</v>
      </c>
      <c r="R566" s="81" t="s">
        <v>595</v>
      </c>
      <c r="S566" s="81" t="s">
        <v>1923</v>
      </c>
      <c r="T566" s="86" t="str">
        <f>HYPERLINK("http://www.youtube.com/channel/UCf1BiqlVYG876JqvDkv7isg")</f>
        <v>http://www.youtube.com/channel/UCf1BiqlVYG876JqvDkv7isg</v>
      </c>
      <c r="U566" s="81"/>
      <c r="V566" s="81" t="s">
        <v>2319</v>
      </c>
      <c r="W566" s="86" t="str">
        <f>HYPERLINK("https://www.youtube.com/watch?v=7aRMkFHzJrc")</f>
        <v>https://www.youtube.com/watch?v=7aRMkFHzJrc</v>
      </c>
      <c r="X566" s="81" t="s">
        <v>2335</v>
      </c>
      <c r="Y566" s="81">
        <v>0</v>
      </c>
      <c r="Z566" s="81" t="s">
        <v>2577</v>
      </c>
      <c r="AA566" s="81" t="s">
        <v>2577</v>
      </c>
      <c r="AB566" s="81"/>
      <c r="AC566" s="81"/>
      <c r="AD566" s="84" t="s">
        <v>2782</v>
      </c>
      <c r="AE566" s="82">
        <v>2</v>
      </c>
      <c r="AF566" s="83" t="str">
        <f>REPLACE(INDEX(GroupVertices[Group],MATCH(Edges[[#This Row],[Vertex 1]],GroupVertices[Vertex],0)),1,1,"")</f>
        <v>1</v>
      </c>
      <c r="AG566" s="83" t="str">
        <f>REPLACE(INDEX(GroupVertices[Group],MATCH(Edges[[#This Row],[Vertex 2]],GroupVertices[Vertex],0)),1,1,"")</f>
        <v>1</v>
      </c>
      <c r="AH566" s="111">
        <v>1</v>
      </c>
      <c r="AI566" s="112">
        <v>16.666666666666668</v>
      </c>
      <c r="AJ566" s="111">
        <v>0</v>
      </c>
      <c r="AK566" s="112">
        <v>0</v>
      </c>
      <c r="AL566" s="111">
        <v>0</v>
      </c>
      <c r="AM566" s="112">
        <v>0</v>
      </c>
      <c r="AN566" s="111">
        <v>5</v>
      </c>
      <c r="AO566" s="112">
        <v>83.33333333333333</v>
      </c>
      <c r="AP566" s="111">
        <v>6</v>
      </c>
    </row>
    <row r="567" spans="1:42" ht="15">
      <c r="A567" s="65" t="s">
        <v>596</v>
      </c>
      <c r="B567" s="65" t="s">
        <v>287</v>
      </c>
      <c r="C567" s="66" t="s">
        <v>5345</v>
      </c>
      <c r="D567" s="67">
        <v>3</v>
      </c>
      <c r="E567" s="68"/>
      <c r="F567" s="69">
        <v>40</v>
      </c>
      <c r="G567" s="66"/>
      <c r="H567" s="70"/>
      <c r="I567" s="71"/>
      <c r="J567" s="71"/>
      <c r="K567" s="35" t="s">
        <v>65</v>
      </c>
      <c r="L567" s="79">
        <v>567</v>
      </c>
      <c r="M567" s="79"/>
      <c r="N567" s="73"/>
      <c r="O567" s="81" t="s">
        <v>760</v>
      </c>
      <c r="P567" s="81" t="s">
        <v>215</v>
      </c>
      <c r="Q567" s="84" t="s">
        <v>1307</v>
      </c>
      <c r="R567" s="81" t="s">
        <v>596</v>
      </c>
      <c r="S567" s="81" t="s">
        <v>1924</v>
      </c>
      <c r="T567" s="86" t="str">
        <f>HYPERLINK("http://www.youtube.com/channel/UCCw4uYL3ln_OigghAAjMMCg")</f>
        <v>http://www.youtube.com/channel/UCCw4uYL3ln_OigghAAjMMCg</v>
      </c>
      <c r="U567" s="81"/>
      <c r="V567" s="81" t="s">
        <v>2319</v>
      </c>
      <c r="W567" s="86" t="str">
        <f>HYPERLINK("https://www.youtube.com/watch?v=7aRMkFHzJrc")</f>
        <v>https://www.youtube.com/watch?v=7aRMkFHzJrc</v>
      </c>
      <c r="X567" s="81" t="s">
        <v>2335</v>
      </c>
      <c r="Y567" s="81">
        <v>1</v>
      </c>
      <c r="Z567" s="81" t="s">
        <v>2578</v>
      </c>
      <c r="AA567" s="81" t="s">
        <v>2578</v>
      </c>
      <c r="AB567" s="81"/>
      <c r="AC567" s="81"/>
      <c r="AD567" s="84" t="s">
        <v>2782</v>
      </c>
      <c r="AE567" s="82">
        <v>1</v>
      </c>
      <c r="AF567" s="83" t="str">
        <f>REPLACE(INDEX(GroupVertices[Group],MATCH(Edges[[#This Row],[Vertex 1]],GroupVertices[Vertex],0)),1,1,"")</f>
        <v>1</v>
      </c>
      <c r="AG567" s="83" t="str">
        <f>REPLACE(INDEX(GroupVertices[Group],MATCH(Edges[[#This Row],[Vertex 2]],GroupVertices[Vertex],0)),1,1,"")</f>
        <v>1</v>
      </c>
      <c r="AH567" s="111">
        <v>1</v>
      </c>
      <c r="AI567" s="112">
        <v>0.5681818181818182</v>
      </c>
      <c r="AJ567" s="111">
        <v>6</v>
      </c>
      <c r="AK567" s="112">
        <v>3.409090909090909</v>
      </c>
      <c r="AL567" s="111">
        <v>0</v>
      </c>
      <c r="AM567" s="112">
        <v>0</v>
      </c>
      <c r="AN567" s="111">
        <v>169</v>
      </c>
      <c r="AO567" s="112">
        <v>96.02272727272727</v>
      </c>
      <c r="AP567" s="111">
        <v>176</v>
      </c>
    </row>
    <row r="568" spans="1:42" ht="15">
      <c r="A568" s="65" t="s">
        <v>597</v>
      </c>
      <c r="B568" s="65" t="s">
        <v>605</v>
      </c>
      <c r="C568" s="66" t="s">
        <v>5345</v>
      </c>
      <c r="D568" s="67">
        <v>3</v>
      </c>
      <c r="E568" s="68"/>
      <c r="F568" s="69">
        <v>40</v>
      </c>
      <c r="G568" s="66"/>
      <c r="H568" s="70"/>
      <c r="I568" s="71"/>
      <c r="J568" s="71"/>
      <c r="K568" s="35" t="s">
        <v>65</v>
      </c>
      <c r="L568" s="79">
        <v>568</v>
      </c>
      <c r="M568" s="79"/>
      <c r="N568" s="73"/>
      <c r="O568" s="81" t="s">
        <v>760</v>
      </c>
      <c r="P568" s="81" t="s">
        <v>215</v>
      </c>
      <c r="Q568" s="84" t="s">
        <v>1308</v>
      </c>
      <c r="R568" s="81" t="s">
        <v>597</v>
      </c>
      <c r="S568" s="81" t="s">
        <v>1925</v>
      </c>
      <c r="T568" s="86" t="str">
        <f>HYPERLINK("http://www.youtube.com/channel/UCAKPH_3harNrzAiKrNEFWIw")</f>
        <v>http://www.youtube.com/channel/UCAKPH_3harNrzAiKrNEFWIw</v>
      </c>
      <c r="U568" s="81"/>
      <c r="V568" s="81" t="s">
        <v>2320</v>
      </c>
      <c r="W568" s="86" t="str">
        <f>HYPERLINK("https://www.youtube.com/watch?v=PzgmQp-7QuY")</f>
        <v>https://www.youtube.com/watch?v=PzgmQp-7QuY</v>
      </c>
      <c r="X568" s="81" t="s">
        <v>2335</v>
      </c>
      <c r="Y568" s="81">
        <v>0</v>
      </c>
      <c r="Z568" s="88">
        <v>42190.93074074074</v>
      </c>
      <c r="AA568" s="88">
        <v>42190.93074074074</v>
      </c>
      <c r="AB568" s="81" t="s">
        <v>2765</v>
      </c>
      <c r="AC568" s="81" t="s">
        <v>2776</v>
      </c>
      <c r="AD568" s="84" t="s">
        <v>2782</v>
      </c>
      <c r="AE568" s="82">
        <v>1</v>
      </c>
      <c r="AF568" s="83" t="str">
        <f>REPLACE(INDEX(GroupVertices[Group],MATCH(Edges[[#This Row],[Vertex 1]],GroupVertices[Vertex],0)),1,1,"")</f>
        <v>12</v>
      </c>
      <c r="AG568" s="83" t="str">
        <f>REPLACE(INDEX(GroupVertices[Group],MATCH(Edges[[#This Row],[Vertex 2]],GroupVertices[Vertex],0)),1,1,"")</f>
        <v>12</v>
      </c>
      <c r="AH568" s="111">
        <v>0</v>
      </c>
      <c r="AI568" s="112">
        <v>0</v>
      </c>
      <c r="AJ568" s="111">
        <v>0</v>
      </c>
      <c r="AK568" s="112">
        <v>0</v>
      </c>
      <c r="AL568" s="111">
        <v>0</v>
      </c>
      <c r="AM568" s="112">
        <v>0</v>
      </c>
      <c r="AN568" s="111">
        <v>12</v>
      </c>
      <c r="AO568" s="112">
        <v>100</v>
      </c>
      <c r="AP568" s="111">
        <v>12</v>
      </c>
    </row>
    <row r="569" spans="1:42" ht="15">
      <c r="A569" s="65" t="s">
        <v>598</v>
      </c>
      <c r="B569" s="65" t="s">
        <v>600</v>
      </c>
      <c r="C569" s="66" t="s">
        <v>5345</v>
      </c>
      <c r="D569" s="67">
        <v>3</v>
      </c>
      <c r="E569" s="68"/>
      <c r="F569" s="69">
        <v>40</v>
      </c>
      <c r="G569" s="66"/>
      <c r="H569" s="70"/>
      <c r="I569" s="71"/>
      <c r="J569" s="71"/>
      <c r="K569" s="35" t="s">
        <v>65</v>
      </c>
      <c r="L569" s="79">
        <v>569</v>
      </c>
      <c r="M569" s="79"/>
      <c r="N569" s="73"/>
      <c r="O569" s="81" t="s">
        <v>761</v>
      </c>
      <c r="P569" s="81" t="s">
        <v>763</v>
      </c>
      <c r="Q569" s="84" t="s">
        <v>1309</v>
      </c>
      <c r="R569" s="81" t="s">
        <v>598</v>
      </c>
      <c r="S569" s="81" t="s">
        <v>1926</v>
      </c>
      <c r="T569" s="86" t="str">
        <f>HYPERLINK("http://www.youtube.com/channel/UCd-BO4rHgpgVt-z0BSzVqMg")</f>
        <v>http://www.youtube.com/channel/UCd-BO4rHgpgVt-z0BSzVqMg</v>
      </c>
      <c r="U569" s="81" t="s">
        <v>2228</v>
      </c>
      <c r="V569" s="81" t="s">
        <v>2320</v>
      </c>
      <c r="W569" s="86" t="str">
        <f>HYPERLINK("https://www.youtube.com/watch?v=PzgmQp-7QuY")</f>
        <v>https://www.youtube.com/watch?v=PzgmQp-7QuY</v>
      </c>
      <c r="X569" s="81" t="s">
        <v>2335</v>
      </c>
      <c r="Y569" s="81">
        <v>0</v>
      </c>
      <c r="Z569" s="81" t="s">
        <v>2579</v>
      </c>
      <c r="AA569" s="81" t="s">
        <v>2579</v>
      </c>
      <c r="AB569" s="81"/>
      <c r="AC569" s="81"/>
      <c r="AD569" s="84" t="s">
        <v>2782</v>
      </c>
      <c r="AE569" s="82">
        <v>1</v>
      </c>
      <c r="AF569" s="83" t="str">
        <f>REPLACE(INDEX(GroupVertices[Group],MATCH(Edges[[#This Row],[Vertex 1]],GroupVertices[Vertex],0)),1,1,"")</f>
        <v>12</v>
      </c>
      <c r="AG569" s="83" t="str">
        <f>REPLACE(INDEX(GroupVertices[Group],MATCH(Edges[[#This Row],[Vertex 2]],GroupVertices[Vertex],0)),1,1,"")</f>
        <v>12</v>
      </c>
      <c r="AH569" s="111">
        <v>0</v>
      </c>
      <c r="AI569" s="112">
        <v>0</v>
      </c>
      <c r="AJ569" s="111">
        <v>2</v>
      </c>
      <c r="AK569" s="112">
        <v>25</v>
      </c>
      <c r="AL569" s="111">
        <v>0</v>
      </c>
      <c r="AM569" s="112">
        <v>0</v>
      </c>
      <c r="AN569" s="111">
        <v>6</v>
      </c>
      <c r="AO569" s="112">
        <v>75</v>
      </c>
      <c r="AP569" s="111">
        <v>8</v>
      </c>
    </row>
    <row r="570" spans="1:42" ht="15">
      <c r="A570" s="65" t="s">
        <v>599</v>
      </c>
      <c r="B570" s="65" t="s">
        <v>600</v>
      </c>
      <c r="C570" s="66" t="s">
        <v>5346</v>
      </c>
      <c r="D570" s="67">
        <v>10</v>
      </c>
      <c r="E570" s="68"/>
      <c r="F570" s="69">
        <v>15</v>
      </c>
      <c r="G570" s="66"/>
      <c r="H570" s="70"/>
      <c r="I570" s="71"/>
      <c r="J570" s="71"/>
      <c r="K570" s="35" t="s">
        <v>65</v>
      </c>
      <c r="L570" s="79">
        <v>570</v>
      </c>
      <c r="M570" s="79"/>
      <c r="N570" s="73"/>
      <c r="O570" s="81" t="s">
        <v>761</v>
      </c>
      <c r="P570" s="81" t="s">
        <v>763</v>
      </c>
      <c r="Q570" s="84" t="s">
        <v>1310</v>
      </c>
      <c r="R570" s="81" t="s">
        <v>599</v>
      </c>
      <c r="S570" s="81" t="s">
        <v>1927</v>
      </c>
      <c r="T570" s="86" t="str">
        <f>HYPERLINK("http://www.youtube.com/channel/UCKidRg7VCOkCWuALair2Q6A")</f>
        <v>http://www.youtube.com/channel/UCKidRg7VCOkCWuALair2Q6A</v>
      </c>
      <c r="U570" s="81" t="s">
        <v>2228</v>
      </c>
      <c r="V570" s="81" t="s">
        <v>2320</v>
      </c>
      <c r="W570" s="86" t="str">
        <f>HYPERLINK("https://www.youtube.com/watch?v=PzgmQp-7QuY")</f>
        <v>https://www.youtube.com/watch?v=PzgmQp-7QuY</v>
      </c>
      <c r="X570" s="81" t="s">
        <v>2335</v>
      </c>
      <c r="Y570" s="81">
        <v>0</v>
      </c>
      <c r="Z570" s="81" t="s">
        <v>2580</v>
      </c>
      <c r="AA570" s="81" t="s">
        <v>2580</v>
      </c>
      <c r="AB570" s="81"/>
      <c r="AC570" s="81"/>
      <c r="AD570" s="84" t="s">
        <v>2782</v>
      </c>
      <c r="AE570" s="82">
        <v>2</v>
      </c>
      <c r="AF570" s="83" t="str">
        <f>REPLACE(INDEX(GroupVertices[Group],MATCH(Edges[[#This Row],[Vertex 1]],GroupVertices[Vertex],0)),1,1,"")</f>
        <v>12</v>
      </c>
      <c r="AG570" s="83" t="str">
        <f>REPLACE(INDEX(GroupVertices[Group],MATCH(Edges[[#This Row],[Vertex 2]],GroupVertices[Vertex],0)),1,1,"")</f>
        <v>12</v>
      </c>
      <c r="AH570" s="111">
        <v>3</v>
      </c>
      <c r="AI570" s="112">
        <v>23.076923076923077</v>
      </c>
      <c r="AJ570" s="111">
        <v>1</v>
      </c>
      <c r="AK570" s="112">
        <v>7.6923076923076925</v>
      </c>
      <c r="AL570" s="111">
        <v>0</v>
      </c>
      <c r="AM570" s="112">
        <v>0</v>
      </c>
      <c r="AN570" s="111">
        <v>9</v>
      </c>
      <c r="AO570" s="112">
        <v>69.23076923076923</v>
      </c>
      <c r="AP570" s="111">
        <v>13</v>
      </c>
    </row>
    <row r="571" spans="1:42" ht="15">
      <c r="A571" s="65" t="s">
        <v>599</v>
      </c>
      <c r="B571" s="65" t="s">
        <v>600</v>
      </c>
      <c r="C571" s="66" t="s">
        <v>5346</v>
      </c>
      <c r="D571" s="67">
        <v>10</v>
      </c>
      <c r="E571" s="68"/>
      <c r="F571" s="69">
        <v>15</v>
      </c>
      <c r="G571" s="66"/>
      <c r="H571" s="70"/>
      <c r="I571" s="71"/>
      <c r="J571" s="71"/>
      <c r="K571" s="35" t="s">
        <v>65</v>
      </c>
      <c r="L571" s="79">
        <v>571</v>
      </c>
      <c r="M571" s="79"/>
      <c r="N571" s="73"/>
      <c r="O571" s="81" t="s">
        <v>761</v>
      </c>
      <c r="P571" s="81" t="s">
        <v>763</v>
      </c>
      <c r="Q571" s="84" t="s">
        <v>1311</v>
      </c>
      <c r="R571" s="81" t="s">
        <v>599</v>
      </c>
      <c r="S571" s="81" t="s">
        <v>1927</v>
      </c>
      <c r="T571" s="86" t="str">
        <f>HYPERLINK("http://www.youtube.com/channel/UCKidRg7VCOkCWuALair2Q6A")</f>
        <v>http://www.youtube.com/channel/UCKidRg7VCOkCWuALair2Q6A</v>
      </c>
      <c r="U571" s="81" t="s">
        <v>2228</v>
      </c>
      <c r="V571" s="81" t="s">
        <v>2320</v>
      </c>
      <c r="W571" s="86" t="str">
        <f>HYPERLINK("https://www.youtube.com/watch?v=PzgmQp-7QuY")</f>
        <v>https://www.youtube.com/watch?v=PzgmQp-7QuY</v>
      </c>
      <c r="X571" s="81" t="s">
        <v>2335</v>
      </c>
      <c r="Y571" s="81">
        <v>1</v>
      </c>
      <c r="Z571" s="81" t="s">
        <v>2581</v>
      </c>
      <c r="AA571" s="81" t="s">
        <v>2581</v>
      </c>
      <c r="AB571" s="81"/>
      <c r="AC571" s="81"/>
      <c r="AD571" s="84" t="s">
        <v>2782</v>
      </c>
      <c r="AE571" s="82">
        <v>2</v>
      </c>
      <c r="AF571" s="83" t="str">
        <f>REPLACE(INDEX(GroupVertices[Group],MATCH(Edges[[#This Row],[Vertex 1]],GroupVertices[Vertex],0)),1,1,"")</f>
        <v>12</v>
      </c>
      <c r="AG571" s="83" t="str">
        <f>REPLACE(INDEX(GroupVertices[Group],MATCH(Edges[[#This Row],[Vertex 2]],GroupVertices[Vertex],0)),1,1,"")</f>
        <v>12</v>
      </c>
      <c r="AH571" s="111">
        <v>0</v>
      </c>
      <c r="AI571" s="112">
        <v>0</v>
      </c>
      <c r="AJ571" s="111">
        <v>0</v>
      </c>
      <c r="AK571" s="112">
        <v>0</v>
      </c>
      <c r="AL571" s="111">
        <v>0</v>
      </c>
      <c r="AM571" s="112">
        <v>0</v>
      </c>
      <c r="AN571" s="111">
        <v>4</v>
      </c>
      <c r="AO571" s="112">
        <v>100</v>
      </c>
      <c r="AP571" s="111">
        <v>4</v>
      </c>
    </row>
    <row r="572" spans="1:42" ht="15">
      <c r="A572" s="65" t="s">
        <v>600</v>
      </c>
      <c r="B572" s="65" t="s">
        <v>605</v>
      </c>
      <c r="C572" s="66" t="s">
        <v>5345</v>
      </c>
      <c r="D572" s="67">
        <v>3</v>
      </c>
      <c r="E572" s="68"/>
      <c r="F572" s="69">
        <v>40</v>
      </c>
      <c r="G572" s="66"/>
      <c r="H572" s="70"/>
      <c r="I572" s="71"/>
      <c r="J572" s="71"/>
      <c r="K572" s="35" t="s">
        <v>65</v>
      </c>
      <c r="L572" s="79">
        <v>572</v>
      </c>
      <c r="M572" s="79"/>
      <c r="N572" s="73"/>
      <c r="O572" s="81" t="s">
        <v>760</v>
      </c>
      <c r="P572" s="81" t="s">
        <v>215</v>
      </c>
      <c r="Q572" s="84" t="s">
        <v>1312</v>
      </c>
      <c r="R572" s="81" t="s">
        <v>600</v>
      </c>
      <c r="S572" s="81" t="s">
        <v>1928</v>
      </c>
      <c r="T572" s="86" t="str">
        <f>HYPERLINK("http://www.youtube.com/channel/UCgRUUd0ZW-npzTNP4SadDng")</f>
        <v>http://www.youtube.com/channel/UCgRUUd0ZW-npzTNP4SadDng</v>
      </c>
      <c r="U572" s="81"/>
      <c r="V572" s="81" t="s">
        <v>2320</v>
      </c>
      <c r="W572" s="86" t="str">
        <f>HYPERLINK("https://www.youtube.com/watch?v=PzgmQp-7QuY")</f>
        <v>https://www.youtube.com/watch?v=PzgmQp-7QuY</v>
      </c>
      <c r="X572" s="81" t="s">
        <v>2335</v>
      </c>
      <c r="Y572" s="81">
        <v>0</v>
      </c>
      <c r="Z572" s="88">
        <v>43803.97825231482</v>
      </c>
      <c r="AA572" s="88">
        <v>43803.97825231482</v>
      </c>
      <c r="AB572" s="81"/>
      <c r="AC572" s="81"/>
      <c r="AD572" s="84" t="s">
        <v>2782</v>
      </c>
      <c r="AE572" s="82">
        <v>1</v>
      </c>
      <c r="AF572" s="83" t="str">
        <f>REPLACE(INDEX(GroupVertices[Group],MATCH(Edges[[#This Row],[Vertex 1]],GroupVertices[Vertex],0)),1,1,"")</f>
        <v>12</v>
      </c>
      <c r="AG572" s="83" t="str">
        <f>REPLACE(INDEX(GroupVertices[Group],MATCH(Edges[[#This Row],[Vertex 2]],GroupVertices[Vertex],0)),1,1,"")</f>
        <v>12</v>
      </c>
      <c r="AH572" s="111">
        <v>1</v>
      </c>
      <c r="AI572" s="112">
        <v>12.5</v>
      </c>
      <c r="AJ572" s="111">
        <v>0</v>
      </c>
      <c r="AK572" s="112">
        <v>0</v>
      </c>
      <c r="AL572" s="111">
        <v>0</v>
      </c>
      <c r="AM572" s="112">
        <v>0</v>
      </c>
      <c r="AN572" s="111">
        <v>7</v>
      </c>
      <c r="AO572" s="112">
        <v>87.5</v>
      </c>
      <c r="AP572" s="111">
        <v>8</v>
      </c>
    </row>
    <row r="573" spans="1:42" ht="15">
      <c r="A573" s="65" t="s">
        <v>601</v>
      </c>
      <c r="B573" s="65" t="s">
        <v>605</v>
      </c>
      <c r="C573" s="66" t="s">
        <v>5345</v>
      </c>
      <c r="D573" s="67">
        <v>3</v>
      </c>
      <c r="E573" s="68"/>
      <c r="F573" s="69">
        <v>40</v>
      </c>
      <c r="G573" s="66"/>
      <c r="H573" s="70"/>
      <c r="I573" s="71"/>
      <c r="J573" s="71"/>
      <c r="K573" s="35" t="s">
        <v>65</v>
      </c>
      <c r="L573" s="79">
        <v>573</v>
      </c>
      <c r="M573" s="79"/>
      <c r="N573" s="73"/>
      <c r="O573" s="81" t="s">
        <v>760</v>
      </c>
      <c r="P573" s="81" t="s">
        <v>215</v>
      </c>
      <c r="Q573" s="84" t="s">
        <v>1313</v>
      </c>
      <c r="R573" s="81" t="s">
        <v>601</v>
      </c>
      <c r="S573" s="81" t="s">
        <v>1929</v>
      </c>
      <c r="T573" s="86" t="str">
        <f>HYPERLINK("http://www.youtube.com/channel/UCR2w5d-fT7ft2VOMZZY9KQA")</f>
        <v>http://www.youtube.com/channel/UCR2w5d-fT7ft2VOMZZY9KQA</v>
      </c>
      <c r="U573" s="81"/>
      <c r="V573" s="81" t="s">
        <v>2320</v>
      </c>
      <c r="W573" s="86" t="str">
        <f>HYPERLINK("https://www.youtube.com/watch?v=PzgmQp-7QuY")</f>
        <v>https://www.youtube.com/watch?v=PzgmQp-7QuY</v>
      </c>
      <c r="X573" s="81" t="s">
        <v>2335</v>
      </c>
      <c r="Y573" s="81">
        <v>0</v>
      </c>
      <c r="Z573" s="81" t="s">
        <v>2582</v>
      </c>
      <c r="AA573" s="81" t="s">
        <v>2582</v>
      </c>
      <c r="AB573" s="81"/>
      <c r="AC573" s="81"/>
      <c r="AD573" s="84" t="s">
        <v>2782</v>
      </c>
      <c r="AE573" s="82">
        <v>1</v>
      </c>
      <c r="AF573" s="83" t="str">
        <f>REPLACE(INDEX(GroupVertices[Group],MATCH(Edges[[#This Row],[Vertex 1]],GroupVertices[Vertex],0)),1,1,"")</f>
        <v>12</v>
      </c>
      <c r="AG573" s="83" t="str">
        <f>REPLACE(INDEX(GroupVertices[Group],MATCH(Edges[[#This Row],[Vertex 2]],GroupVertices[Vertex],0)),1,1,"")</f>
        <v>12</v>
      </c>
      <c r="AH573" s="111">
        <v>0</v>
      </c>
      <c r="AI573" s="112">
        <v>0</v>
      </c>
      <c r="AJ573" s="111">
        <v>0</v>
      </c>
      <c r="AK573" s="112">
        <v>0</v>
      </c>
      <c r="AL573" s="111">
        <v>0</v>
      </c>
      <c r="AM573" s="112">
        <v>0</v>
      </c>
      <c r="AN573" s="111">
        <v>15</v>
      </c>
      <c r="AO573" s="112">
        <v>100</v>
      </c>
      <c r="AP573" s="111">
        <v>15</v>
      </c>
    </row>
    <row r="574" spans="1:42" ht="15">
      <c r="A574" s="65" t="s">
        <v>602</v>
      </c>
      <c r="B574" s="65" t="s">
        <v>605</v>
      </c>
      <c r="C574" s="66" t="s">
        <v>5345</v>
      </c>
      <c r="D574" s="67">
        <v>3</v>
      </c>
      <c r="E574" s="68"/>
      <c r="F574" s="69">
        <v>40</v>
      </c>
      <c r="G574" s="66"/>
      <c r="H574" s="70"/>
      <c r="I574" s="71"/>
      <c r="J574" s="71"/>
      <c r="K574" s="35" t="s">
        <v>65</v>
      </c>
      <c r="L574" s="79">
        <v>574</v>
      </c>
      <c r="M574" s="79"/>
      <c r="N574" s="73"/>
      <c r="O574" s="81" t="s">
        <v>760</v>
      </c>
      <c r="P574" s="81" t="s">
        <v>215</v>
      </c>
      <c r="Q574" s="84" t="s">
        <v>1314</v>
      </c>
      <c r="R574" s="81" t="s">
        <v>602</v>
      </c>
      <c r="S574" s="81" t="s">
        <v>1930</v>
      </c>
      <c r="T574" s="86" t="str">
        <f>HYPERLINK("http://www.youtube.com/channel/UCOJWlLG3zW9KTx_ctVXL9xw")</f>
        <v>http://www.youtube.com/channel/UCOJWlLG3zW9KTx_ctVXL9xw</v>
      </c>
      <c r="U574" s="81"/>
      <c r="V574" s="81" t="s">
        <v>2320</v>
      </c>
      <c r="W574" s="86" t="str">
        <f>HYPERLINK("https://www.youtube.com/watch?v=PzgmQp-7QuY")</f>
        <v>https://www.youtube.com/watch?v=PzgmQp-7QuY</v>
      </c>
      <c r="X574" s="81" t="s">
        <v>2335</v>
      </c>
      <c r="Y574" s="81">
        <v>4</v>
      </c>
      <c r="Z574" s="81" t="s">
        <v>2583</v>
      </c>
      <c r="AA574" s="81" t="s">
        <v>2583</v>
      </c>
      <c r="AB574" s="81"/>
      <c r="AC574" s="81"/>
      <c r="AD574" s="84" t="s">
        <v>2782</v>
      </c>
      <c r="AE574" s="82">
        <v>1</v>
      </c>
      <c r="AF574" s="83" t="str">
        <f>REPLACE(INDEX(GroupVertices[Group],MATCH(Edges[[#This Row],[Vertex 1]],GroupVertices[Vertex],0)),1,1,"")</f>
        <v>12</v>
      </c>
      <c r="AG574" s="83" t="str">
        <f>REPLACE(INDEX(GroupVertices[Group],MATCH(Edges[[#This Row],[Vertex 2]],GroupVertices[Vertex],0)),1,1,"")</f>
        <v>12</v>
      </c>
      <c r="AH574" s="111">
        <v>2</v>
      </c>
      <c r="AI574" s="112">
        <v>6.896551724137931</v>
      </c>
      <c r="AJ574" s="111">
        <v>0</v>
      </c>
      <c r="AK574" s="112">
        <v>0</v>
      </c>
      <c r="AL574" s="111">
        <v>0</v>
      </c>
      <c r="AM574" s="112">
        <v>0</v>
      </c>
      <c r="AN574" s="111">
        <v>27</v>
      </c>
      <c r="AO574" s="112">
        <v>93.10344827586206</v>
      </c>
      <c r="AP574" s="111">
        <v>29</v>
      </c>
    </row>
    <row r="575" spans="1:42" ht="15">
      <c r="A575" s="65" t="s">
        <v>603</v>
      </c>
      <c r="B575" s="65" t="s">
        <v>605</v>
      </c>
      <c r="C575" s="66" t="s">
        <v>5345</v>
      </c>
      <c r="D575" s="67">
        <v>3</v>
      </c>
      <c r="E575" s="68"/>
      <c r="F575" s="69">
        <v>40</v>
      </c>
      <c r="G575" s="66"/>
      <c r="H575" s="70"/>
      <c r="I575" s="71"/>
      <c r="J575" s="71"/>
      <c r="K575" s="35" t="s">
        <v>65</v>
      </c>
      <c r="L575" s="79">
        <v>575</v>
      </c>
      <c r="M575" s="79"/>
      <c r="N575" s="73"/>
      <c r="O575" s="81" t="s">
        <v>760</v>
      </c>
      <c r="P575" s="81" t="s">
        <v>215</v>
      </c>
      <c r="Q575" s="84" t="s">
        <v>1315</v>
      </c>
      <c r="R575" s="81" t="s">
        <v>603</v>
      </c>
      <c r="S575" s="81" t="s">
        <v>1931</v>
      </c>
      <c r="T575" s="86" t="str">
        <f>HYPERLINK("http://www.youtube.com/channel/UC_gDZk0R3Pt2hUc0zAIqCWA")</f>
        <v>http://www.youtube.com/channel/UC_gDZk0R3Pt2hUc0zAIqCWA</v>
      </c>
      <c r="U575" s="81"/>
      <c r="V575" s="81" t="s">
        <v>2320</v>
      </c>
      <c r="W575" s="86" t="str">
        <f>HYPERLINK("https://www.youtube.com/watch?v=PzgmQp-7QuY")</f>
        <v>https://www.youtube.com/watch?v=PzgmQp-7QuY</v>
      </c>
      <c r="X575" s="81" t="s">
        <v>2335</v>
      </c>
      <c r="Y575" s="81">
        <v>0</v>
      </c>
      <c r="Z575" s="88">
        <v>44018.60052083333</v>
      </c>
      <c r="AA575" s="88">
        <v>44018.60052083333</v>
      </c>
      <c r="AB575" s="81"/>
      <c r="AC575" s="81"/>
      <c r="AD575" s="84" t="s">
        <v>2782</v>
      </c>
      <c r="AE575" s="82">
        <v>1</v>
      </c>
      <c r="AF575" s="83" t="str">
        <f>REPLACE(INDEX(GroupVertices[Group],MATCH(Edges[[#This Row],[Vertex 1]],GroupVertices[Vertex],0)),1,1,"")</f>
        <v>12</v>
      </c>
      <c r="AG575" s="83" t="str">
        <f>REPLACE(INDEX(GroupVertices[Group],MATCH(Edges[[#This Row],[Vertex 2]],GroupVertices[Vertex],0)),1,1,"")</f>
        <v>12</v>
      </c>
      <c r="AH575" s="111">
        <v>1</v>
      </c>
      <c r="AI575" s="112">
        <v>50</v>
      </c>
      <c r="AJ575" s="111">
        <v>0</v>
      </c>
      <c r="AK575" s="112">
        <v>0</v>
      </c>
      <c r="AL575" s="111">
        <v>0</v>
      </c>
      <c r="AM575" s="112">
        <v>0</v>
      </c>
      <c r="AN575" s="111">
        <v>1</v>
      </c>
      <c r="AO575" s="112">
        <v>50</v>
      </c>
      <c r="AP575" s="111">
        <v>2</v>
      </c>
    </row>
    <row r="576" spans="1:42" ht="15">
      <c r="A576" s="65" t="s">
        <v>604</v>
      </c>
      <c r="B576" s="65" t="s">
        <v>605</v>
      </c>
      <c r="C576" s="66" t="s">
        <v>5345</v>
      </c>
      <c r="D576" s="67">
        <v>3</v>
      </c>
      <c r="E576" s="68"/>
      <c r="F576" s="69">
        <v>40</v>
      </c>
      <c r="G576" s="66"/>
      <c r="H576" s="70"/>
      <c r="I576" s="71"/>
      <c r="J576" s="71"/>
      <c r="K576" s="35" t="s">
        <v>65</v>
      </c>
      <c r="L576" s="79">
        <v>576</v>
      </c>
      <c r="M576" s="79"/>
      <c r="N576" s="73"/>
      <c r="O576" s="81" t="s">
        <v>760</v>
      </c>
      <c r="P576" s="81" t="s">
        <v>215</v>
      </c>
      <c r="Q576" s="84" t="s">
        <v>1316</v>
      </c>
      <c r="R576" s="81" t="s">
        <v>604</v>
      </c>
      <c r="S576" s="81" t="s">
        <v>1932</v>
      </c>
      <c r="T576" s="86" t="str">
        <f>HYPERLINK("http://www.youtube.com/channel/UCnJ9SRiMlFp8Dxy7RDs4Z-g")</f>
        <v>http://www.youtube.com/channel/UCnJ9SRiMlFp8Dxy7RDs4Z-g</v>
      </c>
      <c r="U576" s="81"/>
      <c r="V576" s="81" t="s">
        <v>2320</v>
      </c>
      <c r="W576" s="86" t="str">
        <f>HYPERLINK("https://www.youtube.com/watch?v=PzgmQp-7QuY")</f>
        <v>https://www.youtube.com/watch?v=PzgmQp-7QuY</v>
      </c>
      <c r="X576" s="81" t="s">
        <v>2335</v>
      </c>
      <c r="Y576" s="81">
        <v>1</v>
      </c>
      <c r="Z576" s="81" t="s">
        <v>2584</v>
      </c>
      <c r="AA576" s="81" t="s">
        <v>2584</v>
      </c>
      <c r="AB576" s="81"/>
      <c r="AC576" s="81"/>
      <c r="AD576" s="84" t="s">
        <v>2782</v>
      </c>
      <c r="AE576" s="82">
        <v>1</v>
      </c>
      <c r="AF576" s="83" t="str">
        <f>REPLACE(INDEX(GroupVertices[Group],MATCH(Edges[[#This Row],[Vertex 1]],GroupVertices[Vertex],0)),1,1,"")</f>
        <v>12</v>
      </c>
      <c r="AG576" s="83" t="str">
        <f>REPLACE(INDEX(GroupVertices[Group],MATCH(Edges[[#This Row],[Vertex 2]],GroupVertices[Vertex],0)),1,1,"")</f>
        <v>12</v>
      </c>
      <c r="AH576" s="111">
        <v>0</v>
      </c>
      <c r="AI576" s="112">
        <v>0</v>
      </c>
      <c r="AJ576" s="111">
        <v>0</v>
      </c>
      <c r="AK576" s="112">
        <v>0</v>
      </c>
      <c r="AL576" s="111">
        <v>0</v>
      </c>
      <c r="AM576" s="112">
        <v>0</v>
      </c>
      <c r="AN576" s="111">
        <v>8</v>
      </c>
      <c r="AO576" s="112">
        <v>100</v>
      </c>
      <c r="AP576" s="111">
        <v>8</v>
      </c>
    </row>
    <row r="577" spans="1:42" ht="15">
      <c r="A577" s="65" t="s">
        <v>605</v>
      </c>
      <c r="B577" s="65" t="s">
        <v>606</v>
      </c>
      <c r="C577" s="66" t="s">
        <v>5345</v>
      </c>
      <c r="D577" s="67">
        <v>3</v>
      </c>
      <c r="E577" s="68"/>
      <c r="F577" s="69">
        <v>40</v>
      </c>
      <c r="G577" s="66"/>
      <c r="H577" s="70"/>
      <c r="I577" s="71"/>
      <c r="J577" s="71"/>
      <c r="K577" s="35" t="s">
        <v>66</v>
      </c>
      <c r="L577" s="79">
        <v>577</v>
      </c>
      <c r="M577" s="79"/>
      <c r="N577" s="73"/>
      <c r="O577" s="81" t="s">
        <v>761</v>
      </c>
      <c r="P577" s="81" t="s">
        <v>763</v>
      </c>
      <c r="Q577" s="84" t="s">
        <v>1317</v>
      </c>
      <c r="R577" s="81" t="s">
        <v>605</v>
      </c>
      <c r="S577" s="81" t="s">
        <v>1933</v>
      </c>
      <c r="T577" s="86" t="str">
        <f>HYPERLINK("http://www.youtube.com/channel/UCtwQDg4rXfyYezi6PEk6IlQ")</f>
        <v>http://www.youtube.com/channel/UCtwQDg4rXfyYezi6PEk6IlQ</v>
      </c>
      <c r="U577" s="81" t="s">
        <v>2229</v>
      </c>
      <c r="V577" s="81" t="s">
        <v>2320</v>
      </c>
      <c r="W577" s="86" t="str">
        <f>HYPERLINK("https://www.youtube.com/watch?v=PzgmQp-7QuY")</f>
        <v>https://www.youtube.com/watch?v=PzgmQp-7QuY</v>
      </c>
      <c r="X577" s="81" t="s">
        <v>2335</v>
      </c>
      <c r="Y577" s="81">
        <v>1</v>
      </c>
      <c r="Z577" s="88">
        <v>44504.69069444444</v>
      </c>
      <c r="AA577" s="88">
        <v>44504.69069444444</v>
      </c>
      <c r="AB577" s="81"/>
      <c r="AC577" s="81"/>
      <c r="AD577" s="84" t="s">
        <v>2782</v>
      </c>
      <c r="AE577" s="82">
        <v>1</v>
      </c>
      <c r="AF577" s="83" t="str">
        <f>REPLACE(INDEX(GroupVertices[Group],MATCH(Edges[[#This Row],[Vertex 1]],GroupVertices[Vertex],0)),1,1,"")</f>
        <v>12</v>
      </c>
      <c r="AG577" s="83" t="str">
        <f>REPLACE(INDEX(GroupVertices[Group],MATCH(Edges[[#This Row],[Vertex 2]],GroupVertices[Vertex],0)),1,1,"")</f>
        <v>12</v>
      </c>
      <c r="AH577" s="111">
        <v>2</v>
      </c>
      <c r="AI577" s="112">
        <v>18.181818181818183</v>
      </c>
      <c r="AJ577" s="111">
        <v>0</v>
      </c>
      <c r="AK577" s="112">
        <v>0</v>
      </c>
      <c r="AL577" s="111">
        <v>0</v>
      </c>
      <c r="AM577" s="112">
        <v>0</v>
      </c>
      <c r="AN577" s="111">
        <v>9</v>
      </c>
      <c r="AO577" s="112">
        <v>81.81818181818181</v>
      </c>
      <c r="AP577" s="111">
        <v>11</v>
      </c>
    </row>
    <row r="578" spans="1:42" ht="15">
      <c r="A578" s="65" t="s">
        <v>606</v>
      </c>
      <c r="B578" s="65" t="s">
        <v>605</v>
      </c>
      <c r="C578" s="66" t="s">
        <v>5345</v>
      </c>
      <c r="D578" s="67">
        <v>3</v>
      </c>
      <c r="E578" s="68"/>
      <c r="F578" s="69">
        <v>40</v>
      </c>
      <c r="G578" s="66"/>
      <c r="H578" s="70"/>
      <c r="I578" s="71"/>
      <c r="J578" s="71"/>
      <c r="K578" s="35" t="s">
        <v>66</v>
      </c>
      <c r="L578" s="79">
        <v>578</v>
      </c>
      <c r="M578" s="79"/>
      <c r="N578" s="73"/>
      <c r="O578" s="81" t="s">
        <v>760</v>
      </c>
      <c r="P578" s="81" t="s">
        <v>215</v>
      </c>
      <c r="Q578" s="84" t="s">
        <v>1318</v>
      </c>
      <c r="R578" s="81" t="s">
        <v>606</v>
      </c>
      <c r="S578" s="81" t="s">
        <v>1934</v>
      </c>
      <c r="T578" s="86" t="str">
        <f>HYPERLINK("http://www.youtube.com/channel/UC4pzPMhXszpN8yBq9BtJRFg")</f>
        <v>http://www.youtube.com/channel/UC4pzPMhXszpN8yBq9BtJRFg</v>
      </c>
      <c r="U578" s="81"/>
      <c r="V578" s="81" t="s">
        <v>2320</v>
      </c>
      <c r="W578" s="86" t="str">
        <f>HYPERLINK("https://www.youtube.com/watch?v=PzgmQp-7QuY")</f>
        <v>https://www.youtube.com/watch?v=PzgmQp-7QuY</v>
      </c>
      <c r="X578" s="81" t="s">
        <v>2335</v>
      </c>
      <c r="Y578" s="81">
        <v>0</v>
      </c>
      <c r="Z578" s="88">
        <v>44504.575370370374</v>
      </c>
      <c r="AA578" s="88">
        <v>44504.575370370374</v>
      </c>
      <c r="AB578" s="81"/>
      <c r="AC578" s="81"/>
      <c r="AD578" s="84" t="s">
        <v>2782</v>
      </c>
      <c r="AE578" s="82">
        <v>1</v>
      </c>
      <c r="AF578" s="83" t="str">
        <f>REPLACE(INDEX(GroupVertices[Group],MATCH(Edges[[#This Row],[Vertex 1]],GroupVertices[Vertex],0)),1,1,"")</f>
        <v>12</v>
      </c>
      <c r="AG578" s="83" t="str">
        <f>REPLACE(INDEX(GroupVertices[Group],MATCH(Edges[[#This Row],[Vertex 2]],GroupVertices[Vertex],0)),1,1,"")</f>
        <v>12</v>
      </c>
      <c r="AH578" s="111">
        <v>1</v>
      </c>
      <c r="AI578" s="112">
        <v>6.25</v>
      </c>
      <c r="AJ578" s="111">
        <v>0</v>
      </c>
      <c r="AK578" s="112">
        <v>0</v>
      </c>
      <c r="AL578" s="111">
        <v>0</v>
      </c>
      <c r="AM578" s="112">
        <v>0</v>
      </c>
      <c r="AN578" s="111">
        <v>15</v>
      </c>
      <c r="AO578" s="112">
        <v>93.75</v>
      </c>
      <c r="AP578" s="111">
        <v>16</v>
      </c>
    </row>
    <row r="579" spans="1:42" ht="15">
      <c r="A579" s="65" t="s">
        <v>607</v>
      </c>
      <c r="B579" s="65" t="s">
        <v>608</v>
      </c>
      <c r="C579" s="66" t="s">
        <v>5345</v>
      </c>
      <c r="D579" s="67">
        <v>3</v>
      </c>
      <c r="E579" s="68"/>
      <c r="F579" s="69">
        <v>40</v>
      </c>
      <c r="G579" s="66"/>
      <c r="H579" s="70"/>
      <c r="I579" s="71"/>
      <c r="J579" s="71"/>
      <c r="K579" s="35" t="s">
        <v>66</v>
      </c>
      <c r="L579" s="79">
        <v>579</v>
      </c>
      <c r="M579" s="79"/>
      <c r="N579" s="73"/>
      <c r="O579" s="81" t="s">
        <v>761</v>
      </c>
      <c r="P579" s="81" t="s">
        <v>763</v>
      </c>
      <c r="Q579" s="84" t="s">
        <v>765</v>
      </c>
      <c r="R579" s="81" t="s">
        <v>607</v>
      </c>
      <c r="S579" s="81" t="s">
        <v>1935</v>
      </c>
      <c r="T579" s="86" t="str">
        <f>HYPERLINK("http://www.youtube.com/channel/UCU29V2Jl2unpcOxm1kPDqmw")</f>
        <v>http://www.youtube.com/channel/UCU29V2Jl2unpcOxm1kPDqmw</v>
      </c>
      <c r="U579" s="81" t="s">
        <v>2230</v>
      </c>
      <c r="V579" s="81" t="s">
        <v>2321</v>
      </c>
      <c r="W579" s="86" t="str">
        <f>HYPERLINK("https://www.youtube.com/watch?v=i3Ac89nZ_tI")</f>
        <v>https://www.youtube.com/watch?v=i3Ac89nZ_tI</v>
      </c>
      <c r="X579" s="81" t="s">
        <v>2335</v>
      </c>
      <c r="Y579" s="81">
        <v>0</v>
      </c>
      <c r="Z579" s="88">
        <v>44146.51899305556</v>
      </c>
      <c r="AA579" s="88">
        <v>44146.51899305556</v>
      </c>
      <c r="AB579" s="81"/>
      <c r="AC579" s="81"/>
      <c r="AD579" s="84" t="s">
        <v>2782</v>
      </c>
      <c r="AE579" s="82">
        <v>1</v>
      </c>
      <c r="AF579" s="83" t="str">
        <f>REPLACE(INDEX(GroupVertices[Group],MATCH(Edges[[#This Row],[Vertex 1]],GroupVertices[Vertex],0)),1,1,"")</f>
        <v>9</v>
      </c>
      <c r="AG579" s="83" t="str">
        <f>REPLACE(INDEX(GroupVertices[Group],MATCH(Edges[[#This Row],[Vertex 2]],GroupVertices[Vertex],0)),1,1,"")</f>
        <v>9</v>
      </c>
      <c r="AH579" s="111">
        <v>0</v>
      </c>
      <c r="AI579" s="112">
        <v>0</v>
      </c>
      <c r="AJ579" s="111">
        <v>0</v>
      </c>
      <c r="AK579" s="112">
        <v>0</v>
      </c>
      <c r="AL579" s="111">
        <v>0</v>
      </c>
      <c r="AM579" s="112">
        <v>0</v>
      </c>
      <c r="AN579" s="111">
        <v>3</v>
      </c>
      <c r="AO579" s="112">
        <v>100</v>
      </c>
      <c r="AP579" s="111">
        <v>3</v>
      </c>
    </row>
    <row r="580" spans="1:42" ht="15">
      <c r="A580" s="65" t="s">
        <v>608</v>
      </c>
      <c r="B580" s="65" t="s">
        <v>607</v>
      </c>
      <c r="C580" s="66" t="s">
        <v>5345</v>
      </c>
      <c r="D580" s="67">
        <v>3</v>
      </c>
      <c r="E580" s="68"/>
      <c r="F580" s="69">
        <v>40</v>
      </c>
      <c r="G580" s="66"/>
      <c r="H580" s="70"/>
      <c r="I580" s="71"/>
      <c r="J580" s="71"/>
      <c r="K580" s="35" t="s">
        <v>66</v>
      </c>
      <c r="L580" s="79">
        <v>580</v>
      </c>
      <c r="M580" s="79"/>
      <c r="N580" s="73"/>
      <c r="O580" s="81" t="s">
        <v>760</v>
      </c>
      <c r="P580" s="81" t="s">
        <v>215</v>
      </c>
      <c r="Q580" s="84" t="s">
        <v>1319</v>
      </c>
      <c r="R580" s="81" t="s">
        <v>608</v>
      </c>
      <c r="S580" s="81" t="s">
        <v>1936</v>
      </c>
      <c r="T580" s="86" t="str">
        <f>HYPERLINK("http://www.youtube.com/channel/UCeRGeymjMqtEP54ltDnyHjg")</f>
        <v>http://www.youtube.com/channel/UCeRGeymjMqtEP54ltDnyHjg</v>
      </c>
      <c r="U580" s="81"/>
      <c r="V580" s="81" t="s">
        <v>2321</v>
      </c>
      <c r="W580" s="86" t="str">
        <f>HYPERLINK("https://www.youtube.com/watch?v=i3Ac89nZ_tI")</f>
        <v>https://www.youtube.com/watch?v=i3Ac89nZ_tI</v>
      </c>
      <c r="X580" s="81" t="s">
        <v>2335</v>
      </c>
      <c r="Y580" s="81">
        <v>0</v>
      </c>
      <c r="Z580" s="88">
        <v>44115.48743055556</v>
      </c>
      <c r="AA580" s="88">
        <v>44115.48743055556</v>
      </c>
      <c r="AB580" s="81"/>
      <c r="AC580" s="81"/>
      <c r="AD580" s="84" t="s">
        <v>2782</v>
      </c>
      <c r="AE580" s="82">
        <v>1</v>
      </c>
      <c r="AF580" s="83" t="str">
        <f>REPLACE(INDEX(GroupVertices[Group],MATCH(Edges[[#This Row],[Vertex 1]],GroupVertices[Vertex],0)),1,1,"")</f>
        <v>9</v>
      </c>
      <c r="AG580" s="83" t="str">
        <f>REPLACE(INDEX(GroupVertices[Group],MATCH(Edges[[#This Row],[Vertex 2]],GroupVertices[Vertex],0)),1,1,"")</f>
        <v>9</v>
      </c>
      <c r="AH580" s="111">
        <v>2</v>
      </c>
      <c r="AI580" s="112">
        <v>15.384615384615385</v>
      </c>
      <c r="AJ580" s="111">
        <v>0</v>
      </c>
      <c r="AK580" s="112">
        <v>0</v>
      </c>
      <c r="AL580" s="111">
        <v>0</v>
      </c>
      <c r="AM580" s="112">
        <v>0</v>
      </c>
      <c r="AN580" s="111">
        <v>11</v>
      </c>
      <c r="AO580" s="112">
        <v>84.61538461538461</v>
      </c>
      <c r="AP580" s="111">
        <v>13</v>
      </c>
    </row>
    <row r="581" spans="1:42" ht="15">
      <c r="A581" s="65" t="s">
        <v>607</v>
      </c>
      <c r="B581" s="65" t="s">
        <v>609</v>
      </c>
      <c r="C581" s="66" t="s">
        <v>5345</v>
      </c>
      <c r="D581" s="67">
        <v>3</v>
      </c>
      <c r="E581" s="68"/>
      <c r="F581" s="69">
        <v>40</v>
      </c>
      <c r="G581" s="66"/>
      <c r="H581" s="70"/>
      <c r="I581" s="71"/>
      <c r="J581" s="71"/>
      <c r="K581" s="35" t="s">
        <v>66</v>
      </c>
      <c r="L581" s="79">
        <v>581</v>
      </c>
      <c r="M581" s="79"/>
      <c r="N581" s="73"/>
      <c r="O581" s="81" t="s">
        <v>761</v>
      </c>
      <c r="P581" s="81" t="s">
        <v>763</v>
      </c>
      <c r="Q581" s="84" t="s">
        <v>1320</v>
      </c>
      <c r="R581" s="81" t="s">
        <v>607</v>
      </c>
      <c r="S581" s="81" t="s">
        <v>1935</v>
      </c>
      <c r="T581" s="86" t="str">
        <f>HYPERLINK("http://www.youtube.com/channel/UCU29V2Jl2unpcOxm1kPDqmw")</f>
        <v>http://www.youtube.com/channel/UCU29V2Jl2unpcOxm1kPDqmw</v>
      </c>
      <c r="U581" s="81" t="s">
        <v>2231</v>
      </c>
      <c r="V581" s="81" t="s">
        <v>2321</v>
      </c>
      <c r="W581" s="86" t="str">
        <f>HYPERLINK("https://www.youtube.com/watch?v=i3Ac89nZ_tI")</f>
        <v>https://www.youtube.com/watch?v=i3Ac89nZ_tI</v>
      </c>
      <c r="X581" s="81" t="s">
        <v>2335</v>
      </c>
      <c r="Y581" s="81">
        <v>0</v>
      </c>
      <c r="Z581" s="88">
        <v>44146.51863425926</v>
      </c>
      <c r="AA581" s="88">
        <v>44146.51863425926</v>
      </c>
      <c r="AB581" s="81"/>
      <c r="AC581" s="81"/>
      <c r="AD581" s="84" t="s">
        <v>2782</v>
      </c>
      <c r="AE581" s="82">
        <v>1</v>
      </c>
      <c r="AF581" s="83" t="str">
        <f>REPLACE(INDEX(GroupVertices[Group],MATCH(Edges[[#This Row],[Vertex 1]],GroupVertices[Vertex],0)),1,1,"")</f>
        <v>9</v>
      </c>
      <c r="AG581" s="83" t="str">
        <f>REPLACE(INDEX(GroupVertices[Group],MATCH(Edges[[#This Row],[Vertex 2]],GroupVertices[Vertex],0)),1,1,"")</f>
        <v>9</v>
      </c>
      <c r="AH581" s="111">
        <v>1</v>
      </c>
      <c r="AI581" s="112">
        <v>50</v>
      </c>
      <c r="AJ581" s="111">
        <v>0</v>
      </c>
      <c r="AK581" s="112">
        <v>0</v>
      </c>
      <c r="AL581" s="111">
        <v>0</v>
      </c>
      <c r="AM581" s="112">
        <v>0</v>
      </c>
      <c r="AN581" s="111">
        <v>1</v>
      </c>
      <c r="AO581" s="112">
        <v>50</v>
      </c>
      <c r="AP581" s="111">
        <v>2</v>
      </c>
    </row>
    <row r="582" spans="1:42" ht="15">
      <c r="A582" s="65" t="s">
        <v>609</v>
      </c>
      <c r="B582" s="65" t="s">
        <v>607</v>
      </c>
      <c r="C582" s="66" t="s">
        <v>5345</v>
      </c>
      <c r="D582" s="67">
        <v>3</v>
      </c>
      <c r="E582" s="68"/>
      <c r="F582" s="69">
        <v>40</v>
      </c>
      <c r="G582" s="66"/>
      <c r="H582" s="70"/>
      <c r="I582" s="71"/>
      <c r="J582" s="71"/>
      <c r="K582" s="35" t="s">
        <v>66</v>
      </c>
      <c r="L582" s="79">
        <v>582</v>
      </c>
      <c r="M582" s="79"/>
      <c r="N582" s="73"/>
      <c r="O582" s="81" t="s">
        <v>760</v>
      </c>
      <c r="P582" s="81" t="s">
        <v>215</v>
      </c>
      <c r="Q582" s="84" t="s">
        <v>1321</v>
      </c>
      <c r="R582" s="81" t="s">
        <v>609</v>
      </c>
      <c r="S582" s="81" t="s">
        <v>1937</v>
      </c>
      <c r="T582" s="86" t="str">
        <f>HYPERLINK("http://www.youtube.com/channel/UCx8-g0ntcsj12vZ9eHA2qYQ")</f>
        <v>http://www.youtube.com/channel/UCx8-g0ntcsj12vZ9eHA2qYQ</v>
      </c>
      <c r="U582" s="81"/>
      <c r="V582" s="81" t="s">
        <v>2321</v>
      </c>
      <c r="W582" s="86" t="str">
        <f>HYPERLINK("https://www.youtube.com/watch?v=i3Ac89nZ_tI")</f>
        <v>https://www.youtube.com/watch?v=i3Ac89nZ_tI</v>
      </c>
      <c r="X582" s="81" t="s">
        <v>2335</v>
      </c>
      <c r="Y582" s="81">
        <v>0</v>
      </c>
      <c r="Z582" s="88">
        <v>44115.498761574076</v>
      </c>
      <c r="AA582" s="88">
        <v>44115.498761574076</v>
      </c>
      <c r="AB582" s="81"/>
      <c r="AC582" s="81"/>
      <c r="AD582" s="84" t="s">
        <v>2782</v>
      </c>
      <c r="AE582" s="82">
        <v>1</v>
      </c>
      <c r="AF582" s="83" t="str">
        <f>REPLACE(INDEX(GroupVertices[Group],MATCH(Edges[[#This Row],[Vertex 1]],GroupVertices[Vertex],0)),1,1,"")</f>
        <v>9</v>
      </c>
      <c r="AG582" s="83" t="str">
        <f>REPLACE(INDEX(GroupVertices[Group],MATCH(Edges[[#This Row],[Vertex 2]],GroupVertices[Vertex],0)),1,1,"")</f>
        <v>9</v>
      </c>
      <c r="AH582" s="111">
        <v>1</v>
      </c>
      <c r="AI582" s="112">
        <v>50</v>
      </c>
      <c r="AJ582" s="111">
        <v>0</v>
      </c>
      <c r="AK582" s="112">
        <v>0</v>
      </c>
      <c r="AL582" s="111">
        <v>0</v>
      </c>
      <c r="AM582" s="112">
        <v>0</v>
      </c>
      <c r="AN582" s="111">
        <v>1</v>
      </c>
      <c r="AO582" s="112">
        <v>50</v>
      </c>
      <c r="AP582" s="111">
        <v>2</v>
      </c>
    </row>
    <row r="583" spans="1:42" ht="15">
      <c r="A583" s="65" t="s">
        <v>610</v>
      </c>
      <c r="B583" s="65" t="s">
        <v>611</v>
      </c>
      <c r="C583" s="66" t="s">
        <v>5345</v>
      </c>
      <c r="D583" s="67">
        <v>3</v>
      </c>
      <c r="E583" s="68"/>
      <c r="F583" s="69">
        <v>40</v>
      </c>
      <c r="G583" s="66"/>
      <c r="H583" s="70"/>
      <c r="I583" s="71"/>
      <c r="J583" s="71"/>
      <c r="K583" s="35" t="s">
        <v>65</v>
      </c>
      <c r="L583" s="79">
        <v>583</v>
      </c>
      <c r="M583" s="79"/>
      <c r="N583" s="73"/>
      <c r="O583" s="81" t="s">
        <v>761</v>
      </c>
      <c r="P583" s="81" t="s">
        <v>763</v>
      </c>
      <c r="Q583" s="84" t="s">
        <v>1322</v>
      </c>
      <c r="R583" s="81" t="s">
        <v>610</v>
      </c>
      <c r="S583" s="81" t="s">
        <v>1938</v>
      </c>
      <c r="T583" s="86" t="str">
        <f>HYPERLINK("http://www.youtube.com/channel/UCvW5HZMqEQoN6JOz7h611Hg")</f>
        <v>http://www.youtube.com/channel/UCvW5HZMqEQoN6JOz7h611Hg</v>
      </c>
      <c r="U583" s="81" t="s">
        <v>2232</v>
      </c>
      <c r="V583" s="81" t="s">
        <v>2321</v>
      </c>
      <c r="W583" s="86" t="str">
        <f>HYPERLINK("https://www.youtube.com/watch?v=i3Ac89nZ_tI")</f>
        <v>https://www.youtube.com/watch?v=i3Ac89nZ_tI</v>
      </c>
      <c r="X583" s="81" t="s">
        <v>2335</v>
      </c>
      <c r="Y583" s="81">
        <v>2</v>
      </c>
      <c r="Z583" s="88">
        <v>44115.678506944445</v>
      </c>
      <c r="AA583" s="88">
        <v>44115.678506944445</v>
      </c>
      <c r="AB583" s="81"/>
      <c r="AC583" s="81"/>
      <c r="AD583" s="84" t="s">
        <v>2782</v>
      </c>
      <c r="AE583" s="82">
        <v>1</v>
      </c>
      <c r="AF583" s="83" t="str">
        <f>REPLACE(INDEX(GroupVertices[Group],MATCH(Edges[[#This Row],[Vertex 1]],GroupVertices[Vertex],0)),1,1,"")</f>
        <v>9</v>
      </c>
      <c r="AG583" s="83" t="str">
        <f>REPLACE(INDEX(GroupVertices[Group],MATCH(Edges[[#This Row],[Vertex 2]],GroupVertices[Vertex],0)),1,1,"")</f>
        <v>9</v>
      </c>
      <c r="AH583" s="111">
        <v>0</v>
      </c>
      <c r="AI583" s="112">
        <v>0</v>
      </c>
      <c r="AJ583" s="111">
        <v>0</v>
      </c>
      <c r="AK583" s="112">
        <v>0</v>
      </c>
      <c r="AL583" s="111">
        <v>0</v>
      </c>
      <c r="AM583" s="112">
        <v>0</v>
      </c>
      <c r="AN583" s="111">
        <v>10</v>
      </c>
      <c r="AO583" s="112">
        <v>100</v>
      </c>
      <c r="AP583" s="111">
        <v>10</v>
      </c>
    </row>
    <row r="584" spans="1:42" ht="15">
      <c r="A584" s="65" t="s">
        <v>607</v>
      </c>
      <c r="B584" s="65" t="s">
        <v>611</v>
      </c>
      <c r="C584" s="66" t="s">
        <v>5346</v>
      </c>
      <c r="D584" s="67">
        <v>10</v>
      </c>
      <c r="E584" s="68"/>
      <c r="F584" s="69">
        <v>15</v>
      </c>
      <c r="G584" s="66"/>
      <c r="H584" s="70"/>
      <c r="I584" s="71"/>
      <c r="J584" s="71"/>
      <c r="K584" s="35" t="s">
        <v>66</v>
      </c>
      <c r="L584" s="79">
        <v>584</v>
      </c>
      <c r="M584" s="79"/>
      <c r="N584" s="73"/>
      <c r="O584" s="81" t="s">
        <v>761</v>
      </c>
      <c r="P584" s="81" t="s">
        <v>763</v>
      </c>
      <c r="Q584" s="84" t="s">
        <v>1323</v>
      </c>
      <c r="R584" s="81" t="s">
        <v>607</v>
      </c>
      <c r="S584" s="81" t="s">
        <v>1935</v>
      </c>
      <c r="T584" s="86" t="str">
        <f>HYPERLINK("http://www.youtube.com/channel/UCU29V2Jl2unpcOxm1kPDqmw")</f>
        <v>http://www.youtube.com/channel/UCU29V2Jl2unpcOxm1kPDqmw</v>
      </c>
      <c r="U584" s="81" t="s">
        <v>2232</v>
      </c>
      <c r="V584" s="81" t="s">
        <v>2321</v>
      </c>
      <c r="W584" s="86" t="str">
        <f>HYPERLINK("https://www.youtube.com/watch?v=i3Ac89nZ_tI")</f>
        <v>https://www.youtube.com/watch?v=i3Ac89nZ_tI</v>
      </c>
      <c r="X584" s="81" t="s">
        <v>2335</v>
      </c>
      <c r="Y584" s="81">
        <v>0</v>
      </c>
      <c r="Z584" s="88">
        <v>44146.98517361111</v>
      </c>
      <c r="AA584" s="88">
        <v>44146.98517361111</v>
      </c>
      <c r="AB584" s="81"/>
      <c r="AC584" s="81"/>
      <c r="AD584" s="84" t="s">
        <v>2782</v>
      </c>
      <c r="AE584" s="82">
        <v>2</v>
      </c>
      <c r="AF584" s="83" t="str">
        <f>REPLACE(INDEX(GroupVertices[Group],MATCH(Edges[[#This Row],[Vertex 1]],GroupVertices[Vertex],0)),1,1,"")</f>
        <v>9</v>
      </c>
      <c r="AG584" s="83" t="str">
        <f>REPLACE(INDEX(GroupVertices[Group],MATCH(Edges[[#This Row],[Vertex 2]],GroupVertices[Vertex],0)),1,1,"")</f>
        <v>9</v>
      </c>
      <c r="AH584" s="111">
        <v>0</v>
      </c>
      <c r="AI584" s="112">
        <v>0</v>
      </c>
      <c r="AJ584" s="111">
        <v>0</v>
      </c>
      <c r="AK584" s="112">
        <v>0</v>
      </c>
      <c r="AL584" s="111">
        <v>0</v>
      </c>
      <c r="AM584" s="112">
        <v>0</v>
      </c>
      <c r="AN584" s="111">
        <v>0</v>
      </c>
      <c r="AO584" s="112">
        <v>0</v>
      </c>
      <c r="AP584" s="111">
        <v>0</v>
      </c>
    </row>
    <row r="585" spans="1:42" ht="15">
      <c r="A585" s="65" t="s">
        <v>607</v>
      </c>
      <c r="B585" s="65" t="s">
        <v>611</v>
      </c>
      <c r="C585" s="66" t="s">
        <v>5346</v>
      </c>
      <c r="D585" s="67">
        <v>10</v>
      </c>
      <c r="E585" s="68"/>
      <c r="F585" s="69">
        <v>15</v>
      </c>
      <c r="G585" s="66"/>
      <c r="H585" s="70"/>
      <c r="I585" s="71"/>
      <c r="J585" s="71"/>
      <c r="K585" s="35" t="s">
        <v>66</v>
      </c>
      <c r="L585" s="79">
        <v>585</v>
      </c>
      <c r="M585" s="79"/>
      <c r="N585" s="73"/>
      <c r="O585" s="81" t="s">
        <v>761</v>
      </c>
      <c r="P585" s="81" t="s">
        <v>763</v>
      </c>
      <c r="Q585" s="84" t="s">
        <v>1323</v>
      </c>
      <c r="R585" s="81" t="s">
        <v>607</v>
      </c>
      <c r="S585" s="81" t="s">
        <v>1935</v>
      </c>
      <c r="T585" s="86" t="str">
        <f>HYPERLINK("http://www.youtube.com/channel/UCU29V2Jl2unpcOxm1kPDqmw")</f>
        <v>http://www.youtube.com/channel/UCU29V2Jl2unpcOxm1kPDqmw</v>
      </c>
      <c r="U585" s="81" t="s">
        <v>2232</v>
      </c>
      <c r="V585" s="81" t="s">
        <v>2321</v>
      </c>
      <c r="W585" s="86" t="str">
        <f>HYPERLINK("https://www.youtube.com/watch?v=i3Ac89nZ_tI")</f>
        <v>https://www.youtube.com/watch?v=i3Ac89nZ_tI</v>
      </c>
      <c r="X585" s="81" t="s">
        <v>2335</v>
      </c>
      <c r="Y585" s="81">
        <v>0</v>
      </c>
      <c r="Z585" s="88">
        <v>44146.98519675926</v>
      </c>
      <c r="AA585" s="88">
        <v>44146.98519675926</v>
      </c>
      <c r="AB585" s="81"/>
      <c r="AC585" s="81"/>
      <c r="AD585" s="84" t="s">
        <v>2782</v>
      </c>
      <c r="AE585" s="82">
        <v>2</v>
      </c>
      <c r="AF585" s="83" t="str">
        <f>REPLACE(INDEX(GroupVertices[Group],MATCH(Edges[[#This Row],[Vertex 1]],GroupVertices[Vertex],0)),1,1,"")</f>
        <v>9</v>
      </c>
      <c r="AG585" s="83" t="str">
        <f>REPLACE(INDEX(GroupVertices[Group],MATCH(Edges[[#This Row],[Vertex 2]],GroupVertices[Vertex],0)),1,1,"")</f>
        <v>9</v>
      </c>
      <c r="AH585" s="111">
        <v>0</v>
      </c>
      <c r="AI585" s="112">
        <v>0</v>
      </c>
      <c r="AJ585" s="111">
        <v>0</v>
      </c>
      <c r="AK585" s="112">
        <v>0</v>
      </c>
      <c r="AL585" s="111">
        <v>0</v>
      </c>
      <c r="AM585" s="112">
        <v>0</v>
      </c>
      <c r="AN585" s="111">
        <v>0</v>
      </c>
      <c r="AO585" s="112">
        <v>0</v>
      </c>
      <c r="AP585" s="111">
        <v>0</v>
      </c>
    </row>
    <row r="586" spans="1:42" ht="15">
      <c r="A586" s="65" t="s">
        <v>611</v>
      </c>
      <c r="B586" s="65" t="s">
        <v>607</v>
      </c>
      <c r="C586" s="66" t="s">
        <v>5345</v>
      </c>
      <c r="D586" s="67">
        <v>3</v>
      </c>
      <c r="E586" s="68"/>
      <c r="F586" s="69">
        <v>40</v>
      </c>
      <c r="G586" s="66"/>
      <c r="H586" s="70"/>
      <c r="I586" s="71"/>
      <c r="J586" s="71"/>
      <c r="K586" s="35" t="s">
        <v>66</v>
      </c>
      <c r="L586" s="79">
        <v>586</v>
      </c>
      <c r="M586" s="79"/>
      <c r="N586" s="73"/>
      <c r="O586" s="81" t="s">
        <v>760</v>
      </c>
      <c r="P586" s="81" t="s">
        <v>215</v>
      </c>
      <c r="Q586" s="84" t="s">
        <v>1324</v>
      </c>
      <c r="R586" s="81" t="s">
        <v>611</v>
      </c>
      <c r="S586" s="81" t="s">
        <v>1939</v>
      </c>
      <c r="T586" s="86" t="str">
        <f>HYPERLINK("http://www.youtube.com/channel/UCza8Jbus7GND3s3oCDVTJhA")</f>
        <v>http://www.youtube.com/channel/UCza8Jbus7GND3s3oCDVTJhA</v>
      </c>
      <c r="U586" s="81"/>
      <c r="V586" s="81" t="s">
        <v>2321</v>
      </c>
      <c r="W586" s="86" t="str">
        <f>HYPERLINK("https://www.youtube.com/watch?v=i3Ac89nZ_tI")</f>
        <v>https://www.youtube.com/watch?v=i3Ac89nZ_tI</v>
      </c>
      <c r="X586" s="81" t="s">
        <v>2335</v>
      </c>
      <c r="Y586" s="81">
        <v>0</v>
      </c>
      <c r="Z586" s="88">
        <v>44115.509560185186</v>
      </c>
      <c r="AA586" s="88">
        <v>44115.509560185186</v>
      </c>
      <c r="AB586" s="81"/>
      <c r="AC586" s="81"/>
      <c r="AD586" s="84" t="s">
        <v>2782</v>
      </c>
      <c r="AE586" s="82">
        <v>1</v>
      </c>
      <c r="AF586" s="83" t="str">
        <f>REPLACE(INDEX(GroupVertices[Group],MATCH(Edges[[#This Row],[Vertex 1]],GroupVertices[Vertex],0)),1,1,"")</f>
        <v>9</v>
      </c>
      <c r="AG586" s="83" t="str">
        <f>REPLACE(INDEX(GroupVertices[Group],MATCH(Edges[[#This Row],[Vertex 2]],GroupVertices[Vertex],0)),1,1,"")</f>
        <v>9</v>
      </c>
      <c r="AH586" s="111">
        <v>0</v>
      </c>
      <c r="AI586" s="112">
        <v>0</v>
      </c>
      <c r="AJ586" s="111">
        <v>0</v>
      </c>
      <c r="AK586" s="112">
        <v>0</v>
      </c>
      <c r="AL586" s="111">
        <v>0</v>
      </c>
      <c r="AM586" s="112">
        <v>0</v>
      </c>
      <c r="AN586" s="111">
        <v>9</v>
      </c>
      <c r="AO586" s="112">
        <v>100</v>
      </c>
      <c r="AP586" s="111">
        <v>9</v>
      </c>
    </row>
    <row r="587" spans="1:42" ht="15">
      <c r="A587" s="65" t="s">
        <v>607</v>
      </c>
      <c r="B587" s="65" t="s">
        <v>612</v>
      </c>
      <c r="C587" s="66" t="s">
        <v>5345</v>
      </c>
      <c r="D587" s="67">
        <v>3</v>
      </c>
      <c r="E587" s="68"/>
      <c r="F587" s="69">
        <v>40</v>
      </c>
      <c r="G587" s="66"/>
      <c r="H587" s="70"/>
      <c r="I587" s="71"/>
      <c r="J587" s="71"/>
      <c r="K587" s="35" t="s">
        <v>66</v>
      </c>
      <c r="L587" s="79">
        <v>587</v>
      </c>
      <c r="M587" s="79"/>
      <c r="N587" s="73"/>
      <c r="O587" s="81" t="s">
        <v>761</v>
      </c>
      <c r="P587" s="81" t="s">
        <v>763</v>
      </c>
      <c r="Q587" s="84" t="s">
        <v>1325</v>
      </c>
      <c r="R587" s="81" t="s">
        <v>607</v>
      </c>
      <c r="S587" s="81" t="s">
        <v>1935</v>
      </c>
      <c r="T587" s="86" t="str">
        <f>HYPERLINK("http://www.youtube.com/channel/UCU29V2Jl2unpcOxm1kPDqmw")</f>
        <v>http://www.youtube.com/channel/UCU29V2Jl2unpcOxm1kPDqmw</v>
      </c>
      <c r="U587" s="81" t="s">
        <v>2233</v>
      </c>
      <c r="V587" s="81" t="s">
        <v>2321</v>
      </c>
      <c r="W587" s="86" t="str">
        <f>HYPERLINK("https://www.youtube.com/watch?v=i3Ac89nZ_tI")</f>
        <v>https://www.youtube.com/watch?v=i3Ac89nZ_tI</v>
      </c>
      <c r="X587" s="81" t="s">
        <v>2335</v>
      </c>
      <c r="Y587" s="81">
        <v>0</v>
      </c>
      <c r="Z587" s="88">
        <v>44146.51829861111</v>
      </c>
      <c r="AA587" s="88">
        <v>44146.51829861111</v>
      </c>
      <c r="AB587" s="81"/>
      <c r="AC587" s="81"/>
      <c r="AD587" s="84" t="s">
        <v>2782</v>
      </c>
      <c r="AE587" s="82">
        <v>1</v>
      </c>
      <c r="AF587" s="83" t="str">
        <f>REPLACE(INDEX(GroupVertices[Group],MATCH(Edges[[#This Row],[Vertex 1]],GroupVertices[Vertex],0)),1,1,"")</f>
        <v>9</v>
      </c>
      <c r="AG587" s="83" t="str">
        <f>REPLACE(INDEX(GroupVertices[Group],MATCH(Edges[[#This Row],[Vertex 2]],GroupVertices[Vertex],0)),1,1,"")</f>
        <v>9</v>
      </c>
      <c r="AH587" s="111">
        <v>2</v>
      </c>
      <c r="AI587" s="112">
        <v>50</v>
      </c>
      <c r="AJ587" s="111">
        <v>0</v>
      </c>
      <c r="AK587" s="112">
        <v>0</v>
      </c>
      <c r="AL587" s="111">
        <v>0</v>
      </c>
      <c r="AM587" s="112">
        <v>0</v>
      </c>
      <c r="AN587" s="111">
        <v>2</v>
      </c>
      <c r="AO587" s="112">
        <v>50</v>
      </c>
      <c r="AP587" s="111">
        <v>4</v>
      </c>
    </row>
    <row r="588" spans="1:42" ht="15">
      <c r="A588" s="65" t="s">
        <v>612</v>
      </c>
      <c r="B588" s="65" t="s">
        <v>607</v>
      </c>
      <c r="C588" s="66" t="s">
        <v>5345</v>
      </c>
      <c r="D588" s="67">
        <v>3</v>
      </c>
      <c r="E588" s="68"/>
      <c r="F588" s="69">
        <v>40</v>
      </c>
      <c r="G588" s="66"/>
      <c r="H588" s="70"/>
      <c r="I588" s="71"/>
      <c r="J588" s="71"/>
      <c r="K588" s="35" t="s">
        <v>66</v>
      </c>
      <c r="L588" s="79">
        <v>588</v>
      </c>
      <c r="M588" s="79"/>
      <c r="N588" s="73"/>
      <c r="O588" s="81" t="s">
        <v>760</v>
      </c>
      <c r="P588" s="81" t="s">
        <v>215</v>
      </c>
      <c r="Q588" s="84" t="s">
        <v>1326</v>
      </c>
      <c r="R588" s="81" t="s">
        <v>612</v>
      </c>
      <c r="S588" s="81" t="s">
        <v>1940</v>
      </c>
      <c r="T588" s="86" t="str">
        <f>HYPERLINK("http://www.youtube.com/channel/UC_z4oJziNx-b_14cMN4j5SQ")</f>
        <v>http://www.youtube.com/channel/UC_z4oJziNx-b_14cMN4j5SQ</v>
      </c>
      <c r="U588" s="81"/>
      <c r="V588" s="81" t="s">
        <v>2321</v>
      </c>
      <c r="W588" s="86" t="str">
        <f>HYPERLINK("https://www.youtube.com/watch?v=i3Ac89nZ_tI")</f>
        <v>https://www.youtube.com/watch?v=i3Ac89nZ_tI</v>
      </c>
      <c r="X588" s="81" t="s">
        <v>2335</v>
      </c>
      <c r="Y588" s="81">
        <v>0</v>
      </c>
      <c r="Z588" s="88">
        <v>44115.57517361111</v>
      </c>
      <c r="AA588" s="88">
        <v>44115.57517361111</v>
      </c>
      <c r="AB588" s="81"/>
      <c r="AC588" s="81"/>
      <c r="AD588" s="84" t="s">
        <v>2782</v>
      </c>
      <c r="AE588" s="82">
        <v>1</v>
      </c>
      <c r="AF588" s="83" t="str">
        <f>REPLACE(INDEX(GroupVertices[Group],MATCH(Edges[[#This Row],[Vertex 1]],GroupVertices[Vertex],0)),1,1,"")</f>
        <v>9</v>
      </c>
      <c r="AG588" s="83" t="str">
        <f>REPLACE(INDEX(GroupVertices[Group],MATCH(Edges[[#This Row],[Vertex 2]],GroupVertices[Vertex],0)),1,1,"")</f>
        <v>9</v>
      </c>
      <c r="AH588" s="111">
        <v>1</v>
      </c>
      <c r="AI588" s="112">
        <v>3.5714285714285716</v>
      </c>
      <c r="AJ588" s="111">
        <v>0</v>
      </c>
      <c r="AK588" s="112">
        <v>0</v>
      </c>
      <c r="AL588" s="111">
        <v>0</v>
      </c>
      <c r="AM588" s="112">
        <v>0</v>
      </c>
      <c r="AN588" s="111">
        <v>27</v>
      </c>
      <c r="AO588" s="112">
        <v>96.42857142857143</v>
      </c>
      <c r="AP588" s="111">
        <v>28</v>
      </c>
    </row>
    <row r="589" spans="1:42" ht="15">
      <c r="A589" s="65" t="s">
        <v>607</v>
      </c>
      <c r="B589" s="65" t="s">
        <v>613</v>
      </c>
      <c r="C589" s="66" t="s">
        <v>5345</v>
      </c>
      <c r="D589" s="67">
        <v>3</v>
      </c>
      <c r="E589" s="68"/>
      <c r="F589" s="69">
        <v>40</v>
      </c>
      <c r="G589" s="66"/>
      <c r="H589" s="70"/>
      <c r="I589" s="71"/>
      <c r="J589" s="71"/>
      <c r="K589" s="35" t="s">
        <v>66</v>
      </c>
      <c r="L589" s="79">
        <v>589</v>
      </c>
      <c r="M589" s="79"/>
      <c r="N589" s="73"/>
      <c r="O589" s="81" t="s">
        <v>761</v>
      </c>
      <c r="P589" s="81" t="s">
        <v>763</v>
      </c>
      <c r="Q589" s="84" t="s">
        <v>1327</v>
      </c>
      <c r="R589" s="81" t="s">
        <v>607</v>
      </c>
      <c r="S589" s="81" t="s">
        <v>1935</v>
      </c>
      <c r="T589" s="86" t="str">
        <f>HYPERLINK("http://www.youtube.com/channel/UCU29V2Jl2unpcOxm1kPDqmw")</f>
        <v>http://www.youtube.com/channel/UCU29V2Jl2unpcOxm1kPDqmw</v>
      </c>
      <c r="U589" s="81" t="s">
        <v>2234</v>
      </c>
      <c r="V589" s="81" t="s">
        <v>2321</v>
      </c>
      <c r="W589" s="86" t="str">
        <f>HYPERLINK("https://www.youtube.com/watch?v=i3Ac89nZ_tI")</f>
        <v>https://www.youtube.com/watch?v=i3Ac89nZ_tI</v>
      </c>
      <c r="X589" s="81" t="s">
        <v>2335</v>
      </c>
      <c r="Y589" s="81">
        <v>0</v>
      </c>
      <c r="Z589" s="88">
        <v>44146.51636574074</v>
      </c>
      <c r="AA589" s="88">
        <v>44146.51636574074</v>
      </c>
      <c r="AB589" s="81"/>
      <c r="AC589" s="81"/>
      <c r="AD589" s="84" t="s">
        <v>2782</v>
      </c>
      <c r="AE589" s="82">
        <v>1</v>
      </c>
      <c r="AF589" s="83" t="str">
        <f>REPLACE(INDEX(GroupVertices[Group],MATCH(Edges[[#This Row],[Vertex 1]],GroupVertices[Vertex],0)),1,1,"")</f>
        <v>9</v>
      </c>
      <c r="AG589" s="83" t="str">
        <f>REPLACE(INDEX(GroupVertices[Group],MATCH(Edges[[#This Row],[Vertex 2]],GroupVertices[Vertex],0)),1,1,"")</f>
        <v>9</v>
      </c>
      <c r="AH589" s="111">
        <v>1</v>
      </c>
      <c r="AI589" s="112">
        <v>25</v>
      </c>
      <c r="AJ589" s="111">
        <v>0</v>
      </c>
      <c r="AK589" s="112">
        <v>0</v>
      </c>
      <c r="AL589" s="111">
        <v>0</v>
      </c>
      <c r="AM589" s="112">
        <v>0</v>
      </c>
      <c r="AN589" s="111">
        <v>3</v>
      </c>
      <c r="AO589" s="112">
        <v>75</v>
      </c>
      <c r="AP589" s="111">
        <v>4</v>
      </c>
    </row>
    <row r="590" spans="1:42" ht="15">
      <c r="A590" s="65" t="s">
        <v>613</v>
      </c>
      <c r="B590" s="65" t="s">
        <v>607</v>
      </c>
      <c r="C590" s="66" t="s">
        <v>5345</v>
      </c>
      <c r="D590" s="67">
        <v>3</v>
      </c>
      <c r="E590" s="68"/>
      <c r="F590" s="69">
        <v>40</v>
      </c>
      <c r="G590" s="66"/>
      <c r="H590" s="70"/>
      <c r="I590" s="71"/>
      <c r="J590" s="71"/>
      <c r="K590" s="35" t="s">
        <v>66</v>
      </c>
      <c r="L590" s="79">
        <v>590</v>
      </c>
      <c r="M590" s="79"/>
      <c r="N590" s="73"/>
      <c r="O590" s="81" t="s">
        <v>760</v>
      </c>
      <c r="P590" s="81" t="s">
        <v>215</v>
      </c>
      <c r="Q590" s="84" t="s">
        <v>1328</v>
      </c>
      <c r="R590" s="81" t="s">
        <v>613</v>
      </c>
      <c r="S590" s="81" t="s">
        <v>1941</v>
      </c>
      <c r="T590" s="86" t="str">
        <f>HYPERLINK("http://www.youtube.com/channel/UC0-2AlkyVVIDIl20zMFzWXw")</f>
        <v>http://www.youtube.com/channel/UC0-2AlkyVVIDIl20zMFzWXw</v>
      </c>
      <c r="U590" s="81"/>
      <c r="V590" s="81" t="s">
        <v>2321</v>
      </c>
      <c r="W590" s="86" t="str">
        <f>HYPERLINK("https://www.youtube.com/watch?v=i3Ac89nZ_tI")</f>
        <v>https://www.youtube.com/watch?v=i3Ac89nZ_tI</v>
      </c>
      <c r="X590" s="81" t="s">
        <v>2335</v>
      </c>
      <c r="Y590" s="81">
        <v>0</v>
      </c>
      <c r="Z590" s="88">
        <v>44115.728483796294</v>
      </c>
      <c r="AA590" s="88">
        <v>44115.728483796294</v>
      </c>
      <c r="AB590" s="81"/>
      <c r="AC590" s="81"/>
      <c r="AD590" s="84" t="s">
        <v>2782</v>
      </c>
      <c r="AE590" s="82">
        <v>1</v>
      </c>
      <c r="AF590" s="83" t="str">
        <f>REPLACE(INDEX(GroupVertices[Group],MATCH(Edges[[#This Row],[Vertex 1]],GroupVertices[Vertex],0)),1,1,"")</f>
        <v>9</v>
      </c>
      <c r="AG590" s="83" t="str">
        <f>REPLACE(INDEX(GroupVertices[Group],MATCH(Edges[[#This Row],[Vertex 2]],GroupVertices[Vertex],0)),1,1,"")</f>
        <v>9</v>
      </c>
      <c r="AH590" s="111">
        <v>2</v>
      </c>
      <c r="AI590" s="112">
        <v>25</v>
      </c>
      <c r="AJ590" s="111">
        <v>0</v>
      </c>
      <c r="AK590" s="112">
        <v>0</v>
      </c>
      <c r="AL590" s="111">
        <v>0</v>
      </c>
      <c r="AM590" s="112">
        <v>0</v>
      </c>
      <c r="AN590" s="111">
        <v>6</v>
      </c>
      <c r="AO590" s="112">
        <v>75</v>
      </c>
      <c r="AP590" s="111">
        <v>8</v>
      </c>
    </row>
    <row r="591" spans="1:42" ht="15">
      <c r="A591" s="65" t="s">
        <v>467</v>
      </c>
      <c r="B591" s="65" t="s">
        <v>614</v>
      </c>
      <c r="C591" s="66" t="s">
        <v>5345</v>
      </c>
      <c r="D591" s="67">
        <v>3</v>
      </c>
      <c r="E591" s="68"/>
      <c r="F591" s="69">
        <v>40</v>
      </c>
      <c r="G591" s="66"/>
      <c r="H591" s="70"/>
      <c r="I591" s="71"/>
      <c r="J591" s="71"/>
      <c r="K591" s="35" t="s">
        <v>66</v>
      </c>
      <c r="L591" s="79">
        <v>591</v>
      </c>
      <c r="M591" s="79"/>
      <c r="N591" s="73"/>
      <c r="O591" s="81" t="s">
        <v>761</v>
      </c>
      <c r="P591" s="81" t="s">
        <v>763</v>
      </c>
      <c r="Q591" s="84" t="s">
        <v>1052</v>
      </c>
      <c r="R591" s="81" t="s">
        <v>467</v>
      </c>
      <c r="S591" s="81" t="s">
        <v>1796</v>
      </c>
      <c r="T591" s="86" t="str">
        <f>HYPERLINK("http://www.youtube.com/channel/UCgnm8eOSP2muRSWY3JJqZ6Q")</f>
        <v>http://www.youtube.com/channel/UCgnm8eOSP2muRSWY3JJqZ6Q</v>
      </c>
      <c r="U591" s="81" t="s">
        <v>2235</v>
      </c>
      <c r="V591" s="81" t="s">
        <v>2314</v>
      </c>
      <c r="W591" s="86" t="str">
        <f>HYPERLINK("https://www.youtube.com/watch?v=z_W3kQxvRqY")</f>
        <v>https://www.youtube.com/watch?v=z_W3kQxvRqY</v>
      </c>
      <c r="X591" s="81" t="s">
        <v>2335</v>
      </c>
      <c r="Y591" s="81">
        <v>0</v>
      </c>
      <c r="Z591" s="81" t="s">
        <v>2585</v>
      </c>
      <c r="AA591" s="81" t="s">
        <v>2585</v>
      </c>
      <c r="AB591" s="81"/>
      <c r="AC591" s="81"/>
      <c r="AD591" s="84" t="s">
        <v>2782</v>
      </c>
      <c r="AE591" s="82">
        <v>1</v>
      </c>
      <c r="AF591" s="83" t="str">
        <f>REPLACE(INDEX(GroupVertices[Group],MATCH(Edges[[#This Row],[Vertex 1]],GroupVertices[Vertex],0)),1,1,"")</f>
        <v>9</v>
      </c>
      <c r="AG591" s="83" t="str">
        <f>REPLACE(INDEX(GroupVertices[Group],MATCH(Edges[[#This Row],[Vertex 2]],GroupVertices[Vertex],0)),1,1,"")</f>
        <v>9</v>
      </c>
      <c r="AH591" s="111">
        <v>1</v>
      </c>
      <c r="AI591" s="112">
        <v>50</v>
      </c>
      <c r="AJ591" s="111">
        <v>0</v>
      </c>
      <c r="AK591" s="112">
        <v>0</v>
      </c>
      <c r="AL591" s="111">
        <v>0</v>
      </c>
      <c r="AM591" s="112">
        <v>0</v>
      </c>
      <c r="AN591" s="111">
        <v>1</v>
      </c>
      <c r="AO591" s="112">
        <v>50</v>
      </c>
      <c r="AP591" s="111">
        <v>2</v>
      </c>
    </row>
    <row r="592" spans="1:42" ht="15">
      <c r="A592" s="65" t="s">
        <v>614</v>
      </c>
      <c r="B592" s="65" t="s">
        <v>467</v>
      </c>
      <c r="C592" s="66" t="s">
        <v>5345</v>
      </c>
      <c r="D592" s="67">
        <v>3</v>
      </c>
      <c r="E592" s="68"/>
      <c r="F592" s="69">
        <v>40</v>
      </c>
      <c r="G592" s="66"/>
      <c r="H592" s="70"/>
      <c r="I592" s="71"/>
      <c r="J592" s="71"/>
      <c r="K592" s="35" t="s">
        <v>66</v>
      </c>
      <c r="L592" s="79">
        <v>592</v>
      </c>
      <c r="M592" s="79"/>
      <c r="N592" s="73"/>
      <c r="O592" s="81" t="s">
        <v>760</v>
      </c>
      <c r="P592" s="81" t="s">
        <v>215</v>
      </c>
      <c r="Q592" s="84" t="s">
        <v>1329</v>
      </c>
      <c r="R592" s="81" t="s">
        <v>614</v>
      </c>
      <c r="S592" s="81" t="s">
        <v>1942</v>
      </c>
      <c r="T592" s="86" t="str">
        <f>HYPERLINK("http://www.youtube.com/channel/UCpGstId4PMmF5RGEavbz95A")</f>
        <v>http://www.youtube.com/channel/UCpGstId4PMmF5RGEavbz95A</v>
      </c>
      <c r="U592" s="81"/>
      <c r="V592" s="81" t="s">
        <v>2314</v>
      </c>
      <c r="W592" s="86" t="str">
        <f>HYPERLINK("https://www.youtube.com/watch?v=z_W3kQxvRqY")</f>
        <v>https://www.youtube.com/watch?v=z_W3kQxvRqY</v>
      </c>
      <c r="X592" s="81" t="s">
        <v>2335</v>
      </c>
      <c r="Y592" s="81">
        <v>1</v>
      </c>
      <c r="Z592" s="81" t="s">
        <v>2586</v>
      </c>
      <c r="AA592" s="81" t="s">
        <v>2586</v>
      </c>
      <c r="AB592" s="81"/>
      <c r="AC592" s="81"/>
      <c r="AD592" s="84" t="s">
        <v>2782</v>
      </c>
      <c r="AE592" s="82">
        <v>1</v>
      </c>
      <c r="AF592" s="83" t="str">
        <f>REPLACE(INDEX(GroupVertices[Group],MATCH(Edges[[#This Row],[Vertex 1]],GroupVertices[Vertex],0)),1,1,"")</f>
        <v>9</v>
      </c>
      <c r="AG592" s="83" t="str">
        <f>REPLACE(INDEX(GroupVertices[Group],MATCH(Edges[[#This Row],[Vertex 2]],GroupVertices[Vertex],0)),1,1,"")</f>
        <v>9</v>
      </c>
      <c r="AH592" s="111">
        <v>2</v>
      </c>
      <c r="AI592" s="112">
        <v>66.66666666666667</v>
      </c>
      <c r="AJ592" s="111">
        <v>0</v>
      </c>
      <c r="AK592" s="112">
        <v>0</v>
      </c>
      <c r="AL592" s="111">
        <v>0</v>
      </c>
      <c r="AM592" s="112">
        <v>0</v>
      </c>
      <c r="AN592" s="111">
        <v>1</v>
      </c>
      <c r="AO592" s="112">
        <v>33.333333333333336</v>
      </c>
      <c r="AP592" s="111">
        <v>3</v>
      </c>
    </row>
    <row r="593" spans="1:42" ht="15">
      <c r="A593" s="65" t="s">
        <v>607</v>
      </c>
      <c r="B593" s="65" t="s">
        <v>614</v>
      </c>
      <c r="C593" s="66" t="s">
        <v>5345</v>
      </c>
      <c r="D593" s="67">
        <v>3</v>
      </c>
      <c r="E593" s="68"/>
      <c r="F593" s="69">
        <v>40</v>
      </c>
      <c r="G593" s="66"/>
      <c r="H593" s="70"/>
      <c r="I593" s="71"/>
      <c r="J593" s="71"/>
      <c r="K593" s="35" t="s">
        <v>66</v>
      </c>
      <c r="L593" s="79">
        <v>593</v>
      </c>
      <c r="M593" s="79"/>
      <c r="N593" s="73"/>
      <c r="O593" s="81" t="s">
        <v>761</v>
      </c>
      <c r="P593" s="81" t="s">
        <v>763</v>
      </c>
      <c r="Q593" s="84" t="s">
        <v>1330</v>
      </c>
      <c r="R593" s="81" t="s">
        <v>607</v>
      </c>
      <c r="S593" s="81" t="s">
        <v>1935</v>
      </c>
      <c r="T593" s="86" t="str">
        <f>HYPERLINK("http://www.youtube.com/channel/UCU29V2Jl2unpcOxm1kPDqmw")</f>
        <v>http://www.youtube.com/channel/UCU29V2Jl2unpcOxm1kPDqmw</v>
      </c>
      <c r="U593" s="81" t="s">
        <v>2236</v>
      </c>
      <c r="V593" s="81" t="s">
        <v>2321</v>
      </c>
      <c r="W593" s="86" t="str">
        <f>HYPERLINK("https://www.youtube.com/watch?v=i3Ac89nZ_tI")</f>
        <v>https://www.youtube.com/watch?v=i3Ac89nZ_tI</v>
      </c>
      <c r="X593" s="81" t="s">
        <v>2335</v>
      </c>
      <c r="Y593" s="81">
        <v>0</v>
      </c>
      <c r="Z593" s="88">
        <v>44146.508263888885</v>
      </c>
      <c r="AA593" s="88">
        <v>44146.508263888885</v>
      </c>
      <c r="AB593" s="81"/>
      <c r="AC593" s="81"/>
      <c r="AD593" s="84" t="s">
        <v>2782</v>
      </c>
      <c r="AE593" s="82">
        <v>1</v>
      </c>
      <c r="AF593" s="83" t="str">
        <f>REPLACE(INDEX(GroupVertices[Group],MATCH(Edges[[#This Row],[Vertex 1]],GroupVertices[Vertex],0)),1,1,"")</f>
        <v>9</v>
      </c>
      <c r="AG593" s="83" t="str">
        <f>REPLACE(INDEX(GroupVertices[Group],MATCH(Edges[[#This Row],[Vertex 2]],GroupVertices[Vertex],0)),1,1,"")</f>
        <v>9</v>
      </c>
      <c r="AH593" s="111">
        <v>0</v>
      </c>
      <c r="AI593" s="112">
        <v>0</v>
      </c>
      <c r="AJ593" s="111">
        <v>0</v>
      </c>
      <c r="AK593" s="112">
        <v>0</v>
      </c>
      <c r="AL593" s="111">
        <v>0</v>
      </c>
      <c r="AM593" s="112">
        <v>0</v>
      </c>
      <c r="AN593" s="111">
        <v>3</v>
      </c>
      <c r="AO593" s="112">
        <v>100</v>
      </c>
      <c r="AP593" s="111">
        <v>3</v>
      </c>
    </row>
    <row r="594" spans="1:42" ht="15">
      <c r="A594" s="65" t="s">
        <v>614</v>
      </c>
      <c r="B594" s="65" t="s">
        <v>607</v>
      </c>
      <c r="C594" s="66" t="s">
        <v>5345</v>
      </c>
      <c r="D594" s="67">
        <v>3</v>
      </c>
      <c r="E594" s="68"/>
      <c r="F594" s="69">
        <v>40</v>
      </c>
      <c r="G594" s="66"/>
      <c r="H594" s="70"/>
      <c r="I594" s="71"/>
      <c r="J594" s="71"/>
      <c r="K594" s="35" t="s">
        <v>66</v>
      </c>
      <c r="L594" s="79">
        <v>594</v>
      </c>
      <c r="M594" s="79"/>
      <c r="N594" s="73"/>
      <c r="O594" s="81" t="s">
        <v>760</v>
      </c>
      <c r="P594" s="81" t="s">
        <v>215</v>
      </c>
      <c r="Q594" s="84" t="s">
        <v>1331</v>
      </c>
      <c r="R594" s="81" t="s">
        <v>614</v>
      </c>
      <c r="S594" s="81" t="s">
        <v>1942</v>
      </c>
      <c r="T594" s="86" t="str">
        <f>HYPERLINK("http://www.youtube.com/channel/UCpGstId4PMmF5RGEavbz95A")</f>
        <v>http://www.youtube.com/channel/UCpGstId4PMmF5RGEavbz95A</v>
      </c>
      <c r="U594" s="81"/>
      <c r="V594" s="81" t="s">
        <v>2321</v>
      </c>
      <c r="W594" s="86" t="str">
        <f>HYPERLINK("https://www.youtube.com/watch?v=i3Ac89nZ_tI")</f>
        <v>https://www.youtube.com/watch?v=i3Ac89nZ_tI</v>
      </c>
      <c r="X594" s="81" t="s">
        <v>2335</v>
      </c>
      <c r="Y594" s="81">
        <v>0</v>
      </c>
      <c r="Z594" s="88">
        <v>44146.20849537037</v>
      </c>
      <c r="AA594" s="88">
        <v>44146.20849537037</v>
      </c>
      <c r="AB594" s="81"/>
      <c r="AC594" s="81"/>
      <c r="AD594" s="84" t="s">
        <v>2782</v>
      </c>
      <c r="AE594" s="82">
        <v>1</v>
      </c>
      <c r="AF594" s="83" t="str">
        <f>REPLACE(INDEX(GroupVertices[Group],MATCH(Edges[[#This Row],[Vertex 1]],GroupVertices[Vertex],0)),1,1,"")</f>
        <v>9</v>
      </c>
      <c r="AG594" s="83" t="str">
        <f>REPLACE(INDEX(GroupVertices[Group],MATCH(Edges[[#This Row],[Vertex 2]],GroupVertices[Vertex],0)),1,1,"")</f>
        <v>9</v>
      </c>
      <c r="AH594" s="111">
        <v>1</v>
      </c>
      <c r="AI594" s="112">
        <v>33.333333333333336</v>
      </c>
      <c r="AJ594" s="111">
        <v>0</v>
      </c>
      <c r="AK594" s="112">
        <v>0</v>
      </c>
      <c r="AL594" s="111">
        <v>0</v>
      </c>
      <c r="AM594" s="112">
        <v>0</v>
      </c>
      <c r="AN594" s="111">
        <v>2</v>
      </c>
      <c r="AO594" s="112">
        <v>66.66666666666667</v>
      </c>
      <c r="AP594" s="111">
        <v>3</v>
      </c>
    </row>
    <row r="595" spans="1:42" ht="15">
      <c r="A595" s="65" t="s">
        <v>607</v>
      </c>
      <c r="B595" s="65" t="s">
        <v>615</v>
      </c>
      <c r="C595" s="66" t="s">
        <v>5345</v>
      </c>
      <c r="D595" s="67">
        <v>3</v>
      </c>
      <c r="E595" s="68"/>
      <c r="F595" s="69">
        <v>40</v>
      </c>
      <c r="G595" s="66"/>
      <c r="H595" s="70"/>
      <c r="I595" s="71"/>
      <c r="J595" s="71"/>
      <c r="K595" s="35" t="s">
        <v>66</v>
      </c>
      <c r="L595" s="79">
        <v>595</v>
      </c>
      <c r="M595" s="79"/>
      <c r="N595" s="73"/>
      <c r="O595" s="81" t="s">
        <v>761</v>
      </c>
      <c r="P595" s="81" t="s">
        <v>763</v>
      </c>
      <c r="Q595" s="84" t="s">
        <v>1332</v>
      </c>
      <c r="R595" s="81" t="s">
        <v>607</v>
      </c>
      <c r="S595" s="81" t="s">
        <v>1935</v>
      </c>
      <c r="T595" s="86" t="str">
        <f>HYPERLINK("http://www.youtube.com/channel/UCU29V2Jl2unpcOxm1kPDqmw")</f>
        <v>http://www.youtube.com/channel/UCU29V2Jl2unpcOxm1kPDqmw</v>
      </c>
      <c r="U595" s="81" t="s">
        <v>2237</v>
      </c>
      <c r="V595" s="81" t="s">
        <v>2321</v>
      </c>
      <c r="W595" s="86" t="str">
        <f>HYPERLINK("https://www.youtube.com/watch?v=i3Ac89nZ_tI")</f>
        <v>https://www.youtube.com/watch?v=i3Ac89nZ_tI</v>
      </c>
      <c r="X595" s="81" t="s">
        <v>2335</v>
      </c>
      <c r="Y595" s="81">
        <v>0</v>
      </c>
      <c r="Z595" s="81" t="s">
        <v>2587</v>
      </c>
      <c r="AA595" s="81" t="s">
        <v>2587</v>
      </c>
      <c r="AB595" s="81"/>
      <c r="AC595" s="81"/>
      <c r="AD595" s="84" t="s">
        <v>2782</v>
      </c>
      <c r="AE595" s="82">
        <v>1</v>
      </c>
      <c r="AF595" s="83" t="str">
        <f>REPLACE(INDEX(GroupVertices[Group],MATCH(Edges[[#This Row],[Vertex 1]],GroupVertices[Vertex],0)),1,1,"")</f>
        <v>9</v>
      </c>
      <c r="AG595" s="83" t="str">
        <f>REPLACE(INDEX(GroupVertices[Group],MATCH(Edges[[#This Row],[Vertex 2]],GroupVertices[Vertex],0)),1,1,"")</f>
        <v>9</v>
      </c>
      <c r="AH595" s="111">
        <v>1</v>
      </c>
      <c r="AI595" s="112">
        <v>33.333333333333336</v>
      </c>
      <c r="AJ595" s="111">
        <v>0</v>
      </c>
      <c r="AK595" s="112">
        <v>0</v>
      </c>
      <c r="AL595" s="111">
        <v>0</v>
      </c>
      <c r="AM595" s="112">
        <v>0</v>
      </c>
      <c r="AN595" s="111">
        <v>2</v>
      </c>
      <c r="AO595" s="112">
        <v>66.66666666666667</v>
      </c>
      <c r="AP595" s="111">
        <v>3</v>
      </c>
    </row>
    <row r="596" spans="1:42" ht="15">
      <c r="A596" s="65" t="s">
        <v>615</v>
      </c>
      <c r="B596" s="65" t="s">
        <v>607</v>
      </c>
      <c r="C596" s="66" t="s">
        <v>5345</v>
      </c>
      <c r="D596" s="67">
        <v>3</v>
      </c>
      <c r="E596" s="68"/>
      <c r="F596" s="69">
        <v>40</v>
      </c>
      <c r="G596" s="66"/>
      <c r="H596" s="70"/>
      <c r="I596" s="71"/>
      <c r="J596" s="71"/>
      <c r="K596" s="35" t="s">
        <v>66</v>
      </c>
      <c r="L596" s="79">
        <v>596</v>
      </c>
      <c r="M596" s="79"/>
      <c r="N596" s="73"/>
      <c r="O596" s="81" t="s">
        <v>760</v>
      </c>
      <c r="P596" s="81" t="s">
        <v>215</v>
      </c>
      <c r="Q596" s="84" t="s">
        <v>1333</v>
      </c>
      <c r="R596" s="81" t="s">
        <v>615</v>
      </c>
      <c r="S596" s="81" t="s">
        <v>1943</v>
      </c>
      <c r="T596" s="86" t="str">
        <f>HYPERLINK("http://www.youtube.com/channel/UC9aYwZBu_tBNxOMz2UKTOrw")</f>
        <v>http://www.youtube.com/channel/UC9aYwZBu_tBNxOMz2UKTOrw</v>
      </c>
      <c r="U596" s="81"/>
      <c r="V596" s="81" t="s">
        <v>2321</v>
      </c>
      <c r="W596" s="86" t="str">
        <f>HYPERLINK("https://www.youtube.com/watch?v=i3Ac89nZ_tI")</f>
        <v>https://www.youtube.com/watch?v=i3Ac89nZ_tI</v>
      </c>
      <c r="X596" s="81" t="s">
        <v>2335</v>
      </c>
      <c r="Y596" s="81">
        <v>0</v>
      </c>
      <c r="Z596" s="88">
        <v>44176.50341435185</v>
      </c>
      <c r="AA596" s="88">
        <v>44176.50341435185</v>
      </c>
      <c r="AB596" s="81"/>
      <c r="AC596" s="81"/>
      <c r="AD596" s="84" t="s">
        <v>2782</v>
      </c>
      <c r="AE596" s="82">
        <v>1</v>
      </c>
      <c r="AF596" s="83" t="str">
        <f>REPLACE(INDEX(GroupVertices[Group],MATCH(Edges[[#This Row],[Vertex 1]],GroupVertices[Vertex],0)),1,1,"")</f>
        <v>9</v>
      </c>
      <c r="AG596" s="83" t="str">
        <f>REPLACE(INDEX(GroupVertices[Group],MATCH(Edges[[#This Row],[Vertex 2]],GroupVertices[Vertex],0)),1,1,"")</f>
        <v>9</v>
      </c>
      <c r="AH596" s="111">
        <v>1</v>
      </c>
      <c r="AI596" s="112">
        <v>16.666666666666668</v>
      </c>
      <c r="AJ596" s="111">
        <v>0</v>
      </c>
      <c r="AK596" s="112">
        <v>0</v>
      </c>
      <c r="AL596" s="111">
        <v>0</v>
      </c>
      <c r="AM596" s="112">
        <v>0</v>
      </c>
      <c r="AN596" s="111">
        <v>5</v>
      </c>
      <c r="AO596" s="112">
        <v>83.33333333333333</v>
      </c>
      <c r="AP596" s="111">
        <v>6</v>
      </c>
    </row>
    <row r="597" spans="1:42" ht="15">
      <c r="A597" s="65" t="s">
        <v>607</v>
      </c>
      <c r="B597" s="65" t="s">
        <v>616</v>
      </c>
      <c r="C597" s="66" t="s">
        <v>5345</v>
      </c>
      <c r="D597" s="67">
        <v>3</v>
      </c>
      <c r="E597" s="68"/>
      <c r="F597" s="69">
        <v>40</v>
      </c>
      <c r="G597" s="66"/>
      <c r="H597" s="70"/>
      <c r="I597" s="71"/>
      <c r="J597" s="71"/>
      <c r="K597" s="35" t="s">
        <v>66</v>
      </c>
      <c r="L597" s="79">
        <v>597</v>
      </c>
      <c r="M597" s="79"/>
      <c r="N597" s="73"/>
      <c r="O597" s="81" t="s">
        <v>761</v>
      </c>
      <c r="P597" s="81" t="s">
        <v>763</v>
      </c>
      <c r="Q597" s="84" t="s">
        <v>1334</v>
      </c>
      <c r="R597" s="81" t="s">
        <v>607</v>
      </c>
      <c r="S597" s="81" t="s">
        <v>1935</v>
      </c>
      <c r="T597" s="86" t="str">
        <f>HYPERLINK("http://www.youtube.com/channel/UCU29V2Jl2unpcOxm1kPDqmw")</f>
        <v>http://www.youtube.com/channel/UCU29V2Jl2unpcOxm1kPDqmw</v>
      </c>
      <c r="U597" s="81" t="s">
        <v>2238</v>
      </c>
      <c r="V597" s="81" t="s">
        <v>2321</v>
      </c>
      <c r="W597" s="86" t="str">
        <f>HYPERLINK("https://www.youtube.com/watch?v=i3Ac89nZ_tI")</f>
        <v>https://www.youtube.com/watch?v=i3Ac89nZ_tI</v>
      </c>
      <c r="X597" s="81" t="s">
        <v>2335</v>
      </c>
      <c r="Y597" s="81">
        <v>1</v>
      </c>
      <c r="Z597" s="81" t="s">
        <v>2588</v>
      </c>
      <c r="AA597" s="81" t="s">
        <v>2588</v>
      </c>
      <c r="AB597" s="81"/>
      <c r="AC597" s="81"/>
      <c r="AD597" s="84" t="s">
        <v>2782</v>
      </c>
      <c r="AE597" s="82">
        <v>1</v>
      </c>
      <c r="AF597" s="83" t="str">
        <f>REPLACE(INDEX(GroupVertices[Group],MATCH(Edges[[#This Row],[Vertex 1]],GroupVertices[Vertex],0)),1,1,"")</f>
        <v>9</v>
      </c>
      <c r="AG597" s="83" t="str">
        <f>REPLACE(INDEX(GroupVertices[Group],MATCH(Edges[[#This Row],[Vertex 2]],GroupVertices[Vertex],0)),1,1,"")</f>
        <v>9</v>
      </c>
      <c r="AH597" s="111">
        <v>0</v>
      </c>
      <c r="AI597" s="112">
        <v>0</v>
      </c>
      <c r="AJ597" s="111">
        <v>0</v>
      </c>
      <c r="AK597" s="112">
        <v>0</v>
      </c>
      <c r="AL597" s="111">
        <v>0</v>
      </c>
      <c r="AM597" s="112">
        <v>0</v>
      </c>
      <c r="AN597" s="111">
        <v>13</v>
      </c>
      <c r="AO597" s="112">
        <v>100</v>
      </c>
      <c r="AP597" s="111">
        <v>13</v>
      </c>
    </row>
    <row r="598" spans="1:42" ht="15">
      <c r="A598" s="65" t="s">
        <v>616</v>
      </c>
      <c r="B598" s="65" t="s">
        <v>616</v>
      </c>
      <c r="C598" s="66" t="s">
        <v>5345</v>
      </c>
      <c r="D598" s="67">
        <v>3</v>
      </c>
      <c r="E598" s="68"/>
      <c r="F598" s="69">
        <v>40</v>
      </c>
      <c r="G598" s="66"/>
      <c r="H598" s="70"/>
      <c r="I598" s="71"/>
      <c r="J598" s="71"/>
      <c r="K598" s="35" t="s">
        <v>65</v>
      </c>
      <c r="L598" s="79">
        <v>598</v>
      </c>
      <c r="M598" s="79"/>
      <c r="N598" s="73"/>
      <c r="O598" s="81" t="s">
        <v>761</v>
      </c>
      <c r="P598" s="81" t="s">
        <v>763</v>
      </c>
      <c r="Q598" s="84" t="s">
        <v>1335</v>
      </c>
      <c r="R598" s="81" t="s">
        <v>616</v>
      </c>
      <c r="S598" s="81" t="s">
        <v>1944</v>
      </c>
      <c r="T598" s="86" t="str">
        <f>HYPERLINK("http://www.youtube.com/channel/UCAp5XEq385osuzaIt6UNPkQ")</f>
        <v>http://www.youtube.com/channel/UCAp5XEq385osuzaIt6UNPkQ</v>
      </c>
      <c r="U598" s="81" t="s">
        <v>2238</v>
      </c>
      <c r="V598" s="81" t="s">
        <v>2321</v>
      </c>
      <c r="W598" s="86" t="str">
        <f>HYPERLINK("https://www.youtube.com/watch?v=i3Ac89nZ_tI")</f>
        <v>https://www.youtube.com/watch?v=i3Ac89nZ_tI</v>
      </c>
      <c r="X598" s="81" t="s">
        <v>2335</v>
      </c>
      <c r="Y598" s="81">
        <v>0</v>
      </c>
      <c r="Z598" s="81" t="s">
        <v>2589</v>
      </c>
      <c r="AA598" s="81" t="s">
        <v>2589</v>
      </c>
      <c r="AB598" s="81"/>
      <c r="AC598" s="81"/>
      <c r="AD598" s="84" t="s">
        <v>2782</v>
      </c>
      <c r="AE598" s="82">
        <v>1</v>
      </c>
      <c r="AF598" s="83" t="str">
        <f>REPLACE(INDEX(GroupVertices[Group],MATCH(Edges[[#This Row],[Vertex 1]],GroupVertices[Vertex],0)),1,1,"")</f>
        <v>9</v>
      </c>
      <c r="AG598" s="83" t="str">
        <f>REPLACE(INDEX(GroupVertices[Group],MATCH(Edges[[#This Row],[Vertex 2]],GroupVertices[Vertex],0)),1,1,"")</f>
        <v>9</v>
      </c>
      <c r="AH598" s="111">
        <v>2</v>
      </c>
      <c r="AI598" s="112">
        <v>16.666666666666668</v>
      </c>
      <c r="AJ598" s="111">
        <v>0</v>
      </c>
      <c r="AK598" s="112">
        <v>0</v>
      </c>
      <c r="AL598" s="111">
        <v>0</v>
      </c>
      <c r="AM598" s="112">
        <v>0</v>
      </c>
      <c r="AN598" s="111">
        <v>10</v>
      </c>
      <c r="AO598" s="112">
        <v>83.33333333333333</v>
      </c>
      <c r="AP598" s="111">
        <v>12</v>
      </c>
    </row>
    <row r="599" spans="1:42" ht="15">
      <c r="A599" s="65" t="s">
        <v>616</v>
      </c>
      <c r="B599" s="65" t="s">
        <v>607</v>
      </c>
      <c r="C599" s="66" t="s">
        <v>5345</v>
      </c>
      <c r="D599" s="67">
        <v>3</v>
      </c>
      <c r="E599" s="68"/>
      <c r="F599" s="69">
        <v>40</v>
      </c>
      <c r="G599" s="66"/>
      <c r="H599" s="70"/>
      <c r="I599" s="71"/>
      <c r="J599" s="71"/>
      <c r="K599" s="35" t="s">
        <v>66</v>
      </c>
      <c r="L599" s="79">
        <v>599</v>
      </c>
      <c r="M599" s="79"/>
      <c r="N599" s="73"/>
      <c r="O599" s="81" t="s">
        <v>760</v>
      </c>
      <c r="P599" s="81" t="s">
        <v>215</v>
      </c>
      <c r="Q599" s="84" t="s">
        <v>1336</v>
      </c>
      <c r="R599" s="81" t="s">
        <v>616</v>
      </c>
      <c r="S599" s="81" t="s">
        <v>1944</v>
      </c>
      <c r="T599" s="86" t="str">
        <f>HYPERLINK("http://www.youtube.com/channel/UCAp5XEq385osuzaIt6UNPkQ")</f>
        <v>http://www.youtube.com/channel/UCAp5XEq385osuzaIt6UNPkQ</v>
      </c>
      <c r="U599" s="81"/>
      <c r="V599" s="81" t="s">
        <v>2321</v>
      </c>
      <c r="W599" s="86" t="str">
        <f>HYPERLINK("https://www.youtube.com/watch?v=i3Ac89nZ_tI")</f>
        <v>https://www.youtube.com/watch?v=i3Ac89nZ_tI</v>
      </c>
      <c r="X599" s="81" t="s">
        <v>2335</v>
      </c>
      <c r="Y599" s="81">
        <v>0</v>
      </c>
      <c r="Z599" s="88">
        <v>44176.61844907407</v>
      </c>
      <c r="AA599" s="88">
        <v>44176.61844907407</v>
      </c>
      <c r="AB599" s="81"/>
      <c r="AC599" s="81"/>
      <c r="AD599" s="84" t="s">
        <v>2782</v>
      </c>
      <c r="AE599" s="82">
        <v>1</v>
      </c>
      <c r="AF599" s="83" t="str">
        <f>REPLACE(INDEX(GroupVertices[Group],MATCH(Edges[[#This Row],[Vertex 1]],GroupVertices[Vertex],0)),1,1,"")</f>
        <v>9</v>
      </c>
      <c r="AG599" s="83" t="str">
        <f>REPLACE(INDEX(GroupVertices[Group],MATCH(Edges[[#This Row],[Vertex 2]],GroupVertices[Vertex],0)),1,1,"")</f>
        <v>9</v>
      </c>
      <c r="AH599" s="111">
        <v>2</v>
      </c>
      <c r="AI599" s="112">
        <v>5.555555555555555</v>
      </c>
      <c r="AJ599" s="111">
        <v>1</v>
      </c>
      <c r="AK599" s="112">
        <v>2.7777777777777777</v>
      </c>
      <c r="AL599" s="111">
        <v>0</v>
      </c>
      <c r="AM599" s="112">
        <v>0</v>
      </c>
      <c r="AN599" s="111">
        <v>33</v>
      </c>
      <c r="AO599" s="112">
        <v>91.66666666666667</v>
      </c>
      <c r="AP599" s="111">
        <v>36</v>
      </c>
    </row>
    <row r="600" spans="1:42" ht="15">
      <c r="A600" s="65" t="s">
        <v>607</v>
      </c>
      <c r="B600" s="65" t="s">
        <v>617</v>
      </c>
      <c r="C600" s="66" t="s">
        <v>5345</v>
      </c>
      <c r="D600" s="67">
        <v>3</v>
      </c>
      <c r="E600" s="68"/>
      <c r="F600" s="69">
        <v>40</v>
      </c>
      <c r="G600" s="66"/>
      <c r="H600" s="70"/>
      <c r="I600" s="71"/>
      <c r="J600" s="71"/>
      <c r="K600" s="35" t="s">
        <v>66</v>
      </c>
      <c r="L600" s="79">
        <v>600</v>
      </c>
      <c r="M600" s="79"/>
      <c r="N600" s="73"/>
      <c r="O600" s="81" t="s">
        <v>761</v>
      </c>
      <c r="P600" s="81" t="s">
        <v>763</v>
      </c>
      <c r="Q600" s="84" t="s">
        <v>1325</v>
      </c>
      <c r="R600" s="81" t="s">
        <v>607</v>
      </c>
      <c r="S600" s="81" t="s">
        <v>1935</v>
      </c>
      <c r="T600" s="86" t="str">
        <f>HYPERLINK("http://www.youtube.com/channel/UCU29V2Jl2unpcOxm1kPDqmw")</f>
        <v>http://www.youtube.com/channel/UCU29V2Jl2unpcOxm1kPDqmw</v>
      </c>
      <c r="U600" s="81" t="s">
        <v>2239</v>
      </c>
      <c r="V600" s="81" t="s">
        <v>2321</v>
      </c>
      <c r="W600" s="86" t="str">
        <f>HYPERLINK("https://www.youtube.com/watch?v=i3Ac89nZ_tI")</f>
        <v>https://www.youtube.com/watch?v=i3Ac89nZ_tI</v>
      </c>
      <c r="X600" s="81" t="s">
        <v>2335</v>
      </c>
      <c r="Y600" s="81">
        <v>0</v>
      </c>
      <c r="Z600" s="81" t="s">
        <v>2590</v>
      </c>
      <c r="AA600" s="81" t="s">
        <v>2590</v>
      </c>
      <c r="AB600" s="81"/>
      <c r="AC600" s="81"/>
      <c r="AD600" s="84" t="s">
        <v>2782</v>
      </c>
      <c r="AE600" s="82">
        <v>1</v>
      </c>
      <c r="AF600" s="83" t="str">
        <f>REPLACE(INDEX(GroupVertices[Group],MATCH(Edges[[#This Row],[Vertex 1]],GroupVertices[Vertex],0)),1,1,"")</f>
        <v>9</v>
      </c>
      <c r="AG600" s="83" t="str">
        <f>REPLACE(INDEX(GroupVertices[Group],MATCH(Edges[[#This Row],[Vertex 2]],GroupVertices[Vertex],0)),1,1,"")</f>
        <v>9</v>
      </c>
      <c r="AH600" s="111">
        <v>2</v>
      </c>
      <c r="AI600" s="112">
        <v>50</v>
      </c>
      <c r="AJ600" s="111">
        <v>0</v>
      </c>
      <c r="AK600" s="112">
        <v>0</v>
      </c>
      <c r="AL600" s="111">
        <v>0</v>
      </c>
      <c r="AM600" s="112">
        <v>0</v>
      </c>
      <c r="AN600" s="111">
        <v>2</v>
      </c>
      <c r="AO600" s="112">
        <v>50</v>
      </c>
      <c r="AP600" s="111">
        <v>4</v>
      </c>
    </row>
    <row r="601" spans="1:42" ht="15">
      <c r="A601" s="65" t="s">
        <v>617</v>
      </c>
      <c r="B601" s="65" t="s">
        <v>607</v>
      </c>
      <c r="C601" s="66" t="s">
        <v>5345</v>
      </c>
      <c r="D601" s="67">
        <v>3</v>
      </c>
      <c r="E601" s="68"/>
      <c r="F601" s="69">
        <v>40</v>
      </c>
      <c r="G601" s="66"/>
      <c r="H601" s="70"/>
      <c r="I601" s="71"/>
      <c r="J601" s="71"/>
      <c r="K601" s="35" t="s">
        <v>66</v>
      </c>
      <c r="L601" s="79">
        <v>601</v>
      </c>
      <c r="M601" s="79"/>
      <c r="N601" s="73"/>
      <c r="O601" s="81" t="s">
        <v>760</v>
      </c>
      <c r="P601" s="81" t="s">
        <v>215</v>
      </c>
      <c r="Q601" s="84" t="s">
        <v>1337</v>
      </c>
      <c r="R601" s="81" t="s">
        <v>617</v>
      </c>
      <c r="S601" s="81" t="s">
        <v>1945</v>
      </c>
      <c r="T601" s="86" t="str">
        <f>HYPERLINK("http://www.youtube.com/channel/UCEIFtzIuCgX9eaBh1mcf0uw")</f>
        <v>http://www.youtube.com/channel/UCEIFtzIuCgX9eaBh1mcf0uw</v>
      </c>
      <c r="U601" s="81"/>
      <c r="V601" s="81" t="s">
        <v>2321</v>
      </c>
      <c r="W601" s="86" t="str">
        <f>HYPERLINK("https://www.youtube.com/watch?v=i3Ac89nZ_tI")</f>
        <v>https://www.youtube.com/watch?v=i3Ac89nZ_tI</v>
      </c>
      <c r="X601" s="81" t="s">
        <v>2335</v>
      </c>
      <c r="Y601" s="81">
        <v>1</v>
      </c>
      <c r="Z601" s="81" t="s">
        <v>2591</v>
      </c>
      <c r="AA601" s="81" t="s">
        <v>2591</v>
      </c>
      <c r="AB601" s="81"/>
      <c r="AC601" s="81"/>
      <c r="AD601" s="84" t="s">
        <v>2782</v>
      </c>
      <c r="AE601" s="82">
        <v>1</v>
      </c>
      <c r="AF601" s="83" t="str">
        <f>REPLACE(INDEX(GroupVertices[Group],MATCH(Edges[[#This Row],[Vertex 1]],GroupVertices[Vertex],0)),1,1,"")</f>
        <v>9</v>
      </c>
      <c r="AG601" s="83" t="str">
        <f>REPLACE(INDEX(GroupVertices[Group],MATCH(Edges[[#This Row],[Vertex 2]],GroupVertices[Vertex],0)),1,1,"")</f>
        <v>9</v>
      </c>
      <c r="AH601" s="111">
        <v>1</v>
      </c>
      <c r="AI601" s="112">
        <v>14.285714285714286</v>
      </c>
      <c r="AJ601" s="111">
        <v>0</v>
      </c>
      <c r="AK601" s="112">
        <v>0</v>
      </c>
      <c r="AL601" s="111">
        <v>0</v>
      </c>
      <c r="AM601" s="112">
        <v>0</v>
      </c>
      <c r="AN601" s="111">
        <v>6</v>
      </c>
      <c r="AO601" s="112">
        <v>85.71428571428571</v>
      </c>
      <c r="AP601" s="111">
        <v>7</v>
      </c>
    </row>
    <row r="602" spans="1:42" ht="15">
      <c r="A602" s="65" t="s">
        <v>230</v>
      </c>
      <c r="B602" s="65" t="s">
        <v>618</v>
      </c>
      <c r="C602" s="66" t="s">
        <v>5345</v>
      </c>
      <c r="D602" s="67">
        <v>3</v>
      </c>
      <c r="E602" s="68"/>
      <c r="F602" s="69">
        <v>40</v>
      </c>
      <c r="G602" s="66"/>
      <c r="H602" s="70"/>
      <c r="I602" s="71"/>
      <c r="J602" s="71"/>
      <c r="K602" s="35" t="s">
        <v>66</v>
      </c>
      <c r="L602" s="79">
        <v>602</v>
      </c>
      <c r="M602" s="79"/>
      <c r="N602" s="73"/>
      <c r="O602" s="81" t="s">
        <v>761</v>
      </c>
      <c r="P602" s="81" t="s">
        <v>763</v>
      </c>
      <c r="Q602" s="84" t="s">
        <v>783</v>
      </c>
      <c r="R602" s="81" t="s">
        <v>230</v>
      </c>
      <c r="S602" s="81" t="s">
        <v>1559</v>
      </c>
      <c r="T602" s="86" t="str">
        <f>HYPERLINK("http://www.youtube.com/channel/UCbbx7msYKamwOeRUkaqCTAQ")</f>
        <v>http://www.youtube.com/channel/UCbbx7msYKamwOeRUkaqCTAQ</v>
      </c>
      <c r="U602" s="81" t="s">
        <v>2240</v>
      </c>
      <c r="V602" s="81" t="s">
        <v>2306</v>
      </c>
      <c r="W602" s="86" t="str">
        <f>HYPERLINK("https://www.youtube.com/watch?v=-0Iauhp_Kug")</f>
        <v>https://www.youtube.com/watch?v=-0Iauhp_Kug</v>
      </c>
      <c r="X602" s="81" t="s">
        <v>2335</v>
      </c>
      <c r="Y602" s="81">
        <v>0</v>
      </c>
      <c r="Z602" s="88">
        <v>44170.932916666665</v>
      </c>
      <c r="AA602" s="88">
        <v>44170.932916666665</v>
      </c>
      <c r="AB602" s="81"/>
      <c r="AC602" s="81"/>
      <c r="AD602" s="84" t="s">
        <v>2782</v>
      </c>
      <c r="AE602" s="82">
        <v>1</v>
      </c>
      <c r="AF602" s="83" t="str">
        <f>REPLACE(INDEX(GroupVertices[Group],MATCH(Edges[[#This Row],[Vertex 1]],GroupVertices[Vertex],0)),1,1,"")</f>
        <v>5</v>
      </c>
      <c r="AG602" s="83" t="str">
        <f>REPLACE(INDEX(GroupVertices[Group],MATCH(Edges[[#This Row],[Vertex 2]],GroupVertices[Vertex],0)),1,1,"")</f>
        <v>9</v>
      </c>
      <c r="AH602" s="111">
        <v>0</v>
      </c>
      <c r="AI602" s="112">
        <v>0</v>
      </c>
      <c r="AJ602" s="111">
        <v>0</v>
      </c>
      <c r="AK602" s="112">
        <v>0</v>
      </c>
      <c r="AL602" s="111">
        <v>0</v>
      </c>
      <c r="AM602" s="112">
        <v>0</v>
      </c>
      <c r="AN602" s="111">
        <v>4</v>
      </c>
      <c r="AO602" s="112">
        <v>100</v>
      </c>
      <c r="AP602" s="111">
        <v>4</v>
      </c>
    </row>
    <row r="603" spans="1:42" ht="15">
      <c r="A603" s="65" t="s">
        <v>618</v>
      </c>
      <c r="B603" s="65" t="s">
        <v>618</v>
      </c>
      <c r="C603" s="66" t="s">
        <v>5345</v>
      </c>
      <c r="D603" s="67">
        <v>3</v>
      </c>
      <c r="E603" s="68"/>
      <c r="F603" s="69">
        <v>40</v>
      </c>
      <c r="G603" s="66"/>
      <c r="H603" s="70"/>
      <c r="I603" s="71"/>
      <c r="J603" s="71"/>
      <c r="K603" s="35" t="s">
        <v>65</v>
      </c>
      <c r="L603" s="79">
        <v>603</v>
      </c>
      <c r="M603" s="79"/>
      <c r="N603" s="73"/>
      <c r="O603" s="81" t="s">
        <v>761</v>
      </c>
      <c r="P603" s="81" t="s">
        <v>763</v>
      </c>
      <c r="Q603" s="84" t="s">
        <v>1338</v>
      </c>
      <c r="R603" s="81" t="s">
        <v>618</v>
      </c>
      <c r="S603" s="81" t="s">
        <v>1946</v>
      </c>
      <c r="T603" s="86" t="str">
        <f>HYPERLINK("http://www.youtube.com/channel/UCAjXxpardFUDo42i7VFrDew")</f>
        <v>http://www.youtube.com/channel/UCAjXxpardFUDo42i7VFrDew</v>
      </c>
      <c r="U603" s="81" t="s">
        <v>2240</v>
      </c>
      <c r="V603" s="81" t="s">
        <v>2306</v>
      </c>
      <c r="W603" s="86" t="str">
        <f>HYPERLINK("https://www.youtube.com/watch?v=-0Iauhp_Kug")</f>
        <v>https://www.youtube.com/watch?v=-0Iauhp_Kug</v>
      </c>
      <c r="X603" s="81" t="s">
        <v>2335</v>
      </c>
      <c r="Y603" s="81">
        <v>0</v>
      </c>
      <c r="Z603" s="81" t="s">
        <v>2592</v>
      </c>
      <c r="AA603" s="81" t="s">
        <v>2592</v>
      </c>
      <c r="AB603" s="81"/>
      <c r="AC603" s="81"/>
      <c r="AD603" s="84" t="s">
        <v>2782</v>
      </c>
      <c r="AE603" s="82">
        <v>1</v>
      </c>
      <c r="AF603" s="83" t="str">
        <f>REPLACE(INDEX(GroupVertices[Group],MATCH(Edges[[#This Row],[Vertex 1]],GroupVertices[Vertex],0)),1,1,"")</f>
        <v>9</v>
      </c>
      <c r="AG603" s="83" t="str">
        <f>REPLACE(INDEX(GroupVertices[Group],MATCH(Edges[[#This Row],[Vertex 2]],GroupVertices[Vertex],0)),1,1,"")</f>
        <v>9</v>
      </c>
      <c r="AH603" s="111">
        <v>1</v>
      </c>
      <c r="AI603" s="112">
        <v>14.285714285714286</v>
      </c>
      <c r="AJ603" s="111">
        <v>0</v>
      </c>
      <c r="AK603" s="112">
        <v>0</v>
      </c>
      <c r="AL603" s="111">
        <v>0</v>
      </c>
      <c r="AM603" s="112">
        <v>0</v>
      </c>
      <c r="AN603" s="111">
        <v>6</v>
      </c>
      <c r="AO603" s="112">
        <v>85.71428571428571</v>
      </c>
      <c r="AP603" s="111">
        <v>7</v>
      </c>
    </row>
    <row r="604" spans="1:42" ht="15">
      <c r="A604" s="65" t="s">
        <v>618</v>
      </c>
      <c r="B604" s="65" t="s">
        <v>230</v>
      </c>
      <c r="C604" s="66" t="s">
        <v>5345</v>
      </c>
      <c r="D604" s="67">
        <v>3</v>
      </c>
      <c r="E604" s="68"/>
      <c r="F604" s="69">
        <v>40</v>
      </c>
      <c r="G604" s="66"/>
      <c r="H604" s="70"/>
      <c r="I604" s="71"/>
      <c r="J604" s="71"/>
      <c r="K604" s="35" t="s">
        <v>66</v>
      </c>
      <c r="L604" s="79">
        <v>604</v>
      </c>
      <c r="M604" s="79"/>
      <c r="N604" s="73"/>
      <c r="O604" s="81" t="s">
        <v>760</v>
      </c>
      <c r="P604" s="81" t="s">
        <v>215</v>
      </c>
      <c r="Q604" s="84" t="s">
        <v>1339</v>
      </c>
      <c r="R604" s="81" t="s">
        <v>618</v>
      </c>
      <c r="S604" s="81" t="s">
        <v>1946</v>
      </c>
      <c r="T604" s="86" t="str">
        <f>HYPERLINK("http://www.youtube.com/channel/UCAjXxpardFUDo42i7VFrDew")</f>
        <v>http://www.youtube.com/channel/UCAjXxpardFUDo42i7VFrDew</v>
      </c>
      <c r="U604" s="81"/>
      <c r="V604" s="81" t="s">
        <v>2306</v>
      </c>
      <c r="W604" s="86" t="str">
        <f>HYPERLINK("https://www.youtube.com/watch?v=-0Iauhp_Kug")</f>
        <v>https://www.youtube.com/watch?v=-0Iauhp_Kug</v>
      </c>
      <c r="X604" s="81" t="s">
        <v>2335</v>
      </c>
      <c r="Y604" s="81">
        <v>1</v>
      </c>
      <c r="Z604" s="88">
        <v>44140.44747685185</v>
      </c>
      <c r="AA604" s="88">
        <v>44140.44747685185</v>
      </c>
      <c r="AB604" s="81"/>
      <c r="AC604" s="81"/>
      <c r="AD604" s="84" t="s">
        <v>2782</v>
      </c>
      <c r="AE604" s="82">
        <v>1</v>
      </c>
      <c r="AF604" s="83" t="str">
        <f>REPLACE(INDEX(GroupVertices[Group],MATCH(Edges[[#This Row],[Vertex 1]],GroupVertices[Vertex],0)),1,1,"")</f>
        <v>9</v>
      </c>
      <c r="AG604" s="83" t="str">
        <f>REPLACE(INDEX(GroupVertices[Group],MATCH(Edges[[#This Row],[Vertex 2]],GroupVertices[Vertex],0)),1,1,"")</f>
        <v>5</v>
      </c>
      <c r="AH604" s="111">
        <v>5</v>
      </c>
      <c r="AI604" s="112">
        <v>31.25</v>
      </c>
      <c r="AJ604" s="111">
        <v>0</v>
      </c>
      <c r="AK604" s="112">
        <v>0</v>
      </c>
      <c r="AL604" s="111">
        <v>0</v>
      </c>
      <c r="AM604" s="112">
        <v>0</v>
      </c>
      <c r="AN604" s="111">
        <v>11</v>
      </c>
      <c r="AO604" s="112">
        <v>68.75</v>
      </c>
      <c r="AP604" s="111">
        <v>16</v>
      </c>
    </row>
    <row r="605" spans="1:42" ht="15">
      <c r="A605" s="65" t="s">
        <v>607</v>
      </c>
      <c r="B605" s="65" t="s">
        <v>618</v>
      </c>
      <c r="C605" s="66" t="s">
        <v>5345</v>
      </c>
      <c r="D605" s="67">
        <v>3</v>
      </c>
      <c r="E605" s="68"/>
      <c r="F605" s="69">
        <v>40</v>
      </c>
      <c r="G605" s="66"/>
      <c r="H605" s="70"/>
      <c r="I605" s="71"/>
      <c r="J605" s="71"/>
      <c r="K605" s="35" t="s">
        <v>66</v>
      </c>
      <c r="L605" s="79">
        <v>605</v>
      </c>
      <c r="M605" s="79"/>
      <c r="N605" s="73"/>
      <c r="O605" s="81" t="s">
        <v>761</v>
      </c>
      <c r="P605" s="81" t="s">
        <v>763</v>
      </c>
      <c r="Q605" s="84" t="s">
        <v>1340</v>
      </c>
      <c r="R605" s="81" t="s">
        <v>607</v>
      </c>
      <c r="S605" s="81" t="s">
        <v>1935</v>
      </c>
      <c r="T605" s="86" t="str">
        <f>HYPERLINK("http://www.youtube.com/channel/UCU29V2Jl2unpcOxm1kPDqmw")</f>
        <v>http://www.youtube.com/channel/UCU29V2Jl2unpcOxm1kPDqmw</v>
      </c>
      <c r="U605" s="81" t="s">
        <v>2241</v>
      </c>
      <c r="V605" s="81" t="s">
        <v>2321</v>
      </c>
      <c r="W605" s="86" t="str">
        <f>HYPERLINK("https://www.youtube.com/watch?v=i3Ac89nZ_tI")</f>
        <v>https://www.youtube.com/watch?v=i3Ac89nZ_tI</v>
      </c>
      <c r="X605" s="81" t="s">
        <v>2335</v>
      </c>
      <c r="Y605" s="81">
        <v>0</v>
      </c>
      <c r="Z605" s="81" t="s">
        <v>2593</v>
      </c>
      <c r="AA605" s="81" t="s">
        <v>2593</v>
      </c>
      <c r="AB605" s="81"/>
      <c r="AC605" s="81"/>
      <c r="AD605" s="84" t="s">
        <v>2782</v>
      </c>
      <c r="AE605" s="82">
        <v>1</v>
      </c>
      <c r="AF605" s="83" t="str">
        <f>REPLACE(INDEX(GroupVertices[Group],MATCH(Edges[[#This Row],[Vertex 1]],GroupVertices[Vertex],0)),1,1,"")</f>
        <v>9</v>
      </c>
      <c r="AG605" s="83" t="str">
        <f>REPLACE(INDEX(GroupVertices[Group],MATCH(Edges[[#This Row],[Vertex 2]],GroupVertices[Vertex],0)),1,1,"")</f>
        <v>9</v>
      </c>
      <c r="AH605" s="111">
        <v>1</v>
      </c>
      <c r="AI605" s="112">
        <v>25</v>
      </c>
      <c r="AJ605" s="111">
        <v>0</v>
      </c>
      <c r="AK605" s="112">
        <v>0</v>
      </c>
      <c r="AL605" s="111">
        <v>0</v>
      </c>
      <c r="AM605" s="112">
        <v>0</v>
      </c>
      <c r="AN605" s="111">
        <v>3</v>
      </c>
      <c r="AO605" s="112">
        <v>75</v>
      </c>
      <c r="AP605" s="111">
        <v>4</v>
      </c>
    </row>
    <row r="606" spans="1:42" ht="15">
      <c r="A606" s="65" t="s">
        <v>618</v>
      </c>
      <c r="B606" s="65" t="s">
        <v>607</v>
      </c>
      <c r="C606" s="66" t="s">
        <v>5345</v>
      </c>
      <c r="D606" s="67">
        <v>3</v>
      </c>
      <c r="E606" s="68"/>
      <c r="F606" s="69">
        <v>40</v>
      </c>
      <c r="G606" s="66"/>
      <c r="H606" s="70"/>
      <c r="I606" s="71"/>
      <c r="J606" s="71"/>
      <c r="K606" s="35" t="s">
        <v>66</v>
      </c>
      <c r="L606" s="79">
        <v>606</v>
      </c>
      <c r="M606" s="79"/>
      <c r="N606" s="73"/>
      <c r="O606" s="81" t="s">
        <v>760</v>
      </c>
      <c r="P606" s="81" t="s">
        <v>215</v>
      </c>
      <c r="Q606" s="84" t="s">
        <v>1341</v>
      </c>
      <c r="R606" s="81" t="s">
        <v>618</v>
      </c>
      <c r="S606" s="81" t="s">
        <v>1946</v>
      </c>
      <c r="T606" s="86" t="str">
        <f>HYPERLINK("http://www.youtube.com/channel/UCAjXxpardFUDo42i7VFrDew")</f>
        <v>http://www.youtube.com/channel/UCAjXxpardFUDo42i7VFrDew</v>
      </c>
      <c r="U606" s="81"/>
      <c r="V606" s="81" t="s">
        <v>2321</v>
      </c>
      <c r="W606" s="86" t="str">
        <f>HYPERLINK("https://www.youtube.com/watch?v=i3Ac89nZ_tI")</f>
        <v>https://www.youtube.com/watch?v=i3Ac89nZ_tI</v>
      </c>
      <c r="X606" s="81" t="s">
        <v>2335</v>
      </c>
      <c r="Y606" s="81">
        <v>1</v>
      </c>
      <c r="Z606" s="81" t="s">
        <v>2594</v>
      </c>
      <c r="AA606" s="81" t="s">
        <v>2594</v>
      </c>
      <c r="AB606" s="81"/>
      <c r="AC606" s="81"/>
      <c r="AD606" s="84" t="s">
        <v>2782</v>
      </c>
      <c r="AE606" s="82">
        <v>1</v>
      </c>
      <c r="AF606" s="83" t="str">
        <f>REPLACE(INDEX(GroupVertices[Group],MATCH(Edges[[#This Row],[Vertex 1]],GroupVertices[Vertex],0)),1,1,"")</f>
        <v>9</v>
      </c>
      <c r="AG606" s="83" t="str">
        <f>REPLACE(INDEX(GroupVertices[Group],MATCH(Edges[[#This Row],[Vertex 2]],GroupVertices[Vertex],0)),1,1,"")</f>
        <v>9</v>
      </c>
      <c r="AH606" s="111">
        <v>4</v>
      </c>
      <c r="AI606" s="112">
        <v>33.333333333333336</v>
      </c>
      <c r="AJ606" s="111">
        <v>0</v>
      </c>
      <c r="AK606" s="112">
        <v>0</v>
      </c>
      <c r="AL606" s="111">
        <v>0</v>
      </c>
      <c r="AM606" s="112">
        <v>0</v>
      </c>
      <c r="AN606" s="111">
        <v>8</v>
      </c>
      <c r="AO606" s="112">
        <v>66.66666666666667</v>
      </c>
      <c r="AP606" s="111">
        <v>12</v>
      </c>
    </row>
    <row r="607" spans="1:42" ht="15">
      <c r="A607" s="65" t="s">
        <v>607</v>
      </c>
      <c r="B607" s="65" t="s">
        <v>619</v>
      </c>
      <c r="C607" s="66" t="s">
        <v>5345</v>
      </c>
      <c r="D607" s="67">
        <v>3</v>
      </c>
      <c r="E607" s="68"/>
      <c r="F607" s="69">
        <v>40</v>
      </c>
      <c r="G607" s="66"/>
      <c r="H607" s="70"/>
      <c r="I607" s="71"/>
      <c r="J607" s="71"/>
      <c r="K607" s="35" t="s">
        <v>66</v>
      </c>
      <c r="L607" s="79">
        <v>607</v>
      </c>
      <c r="M607" s="79"/>
      <c r="N607" s="73"/>
      <c r="O607" s="81" t="s">
        <v>761</v>
      </c>
      <c r="P607" s="81" t="s">
        <v>763</v>
      </c>
      <c r="Q607" s="84" t="s">
        <v>1342</v>
      </c>
      <c r="R607" s="81" t="s">
        <v>607</v>
      </c>
      <c r="S607" s="81" t="s">
        <v>1935</v>
      </c>
      <c r="T607" s="86" t="str">
        <f>HYPERLINK("http://www.youtube.com/channel/UCU29V2Jl2unpcOxm1kPDqmw")</f>
        <v>http://www.youtube.com/channel/UCU29V2Jl2unpcOxm1kPDqmw</v>
      </c>
      <c r="U607" s="81" t="s">
        <v>2242</v>
      </c>
      <c r="V607" s="81" t="s">
        <v>2321</v>
      </c>
      <c r="W607" s="86" t="str">
        <f>HYPERLINK("https://www.youtube.com/watch?v=i3Ac89nZ_tI")</f>
        <v>https://www.youtube.com/watch?v=i3Ac89nZ_tI</v>
      </c>
      <c r="X607" s="81" t="s">
        <v>2335</v>
      </c>
      <c r="Y607" s="81">
        <v>1</v>
      </c>
      <c r="Z607" s="81" t="s">
        <v>2595</v>
      </c>
      <c r="AA607" s="81" t="s">
        <v>2595</v>
      </c>
      <c r="AB607" s="81"/>
      <c r="AC607" s="81"/>
      <c r="AD607" s="84" t="s">
        <v>2782</v>
      </c>
      <c r="AE607" s="82">
        <v>1</v>
      </c>
      <c r="AF607" s="83" t="str">
        <f>REPLACE(INDEX(GroupVertices[Group],MATCH(Edges[[#This Row],[Vertex 1]],GroupVertices[Vertex],0)),1,1,"")</f>
        <v>9</v>
      </c>
      <c r="AG607" s="83" t="str">
        <f>REPLACE(INDEX(GroupVertices[Group],MATCH(Edges[[#This Row],[Vertex 2]],GroupVertices[Vertex],0)),1,1,"")</f>
        <v>9</v>
      </c>
      <c r="AH607" s="111">
        <v>1</v>
      </c>
      <c r="AI607" s="112">
        <v>33.333333333333336</v>
      </c>
      <c r="AJ607" s="111">
        <v>0</v>
      </c>
      <c r="AK607" s="112">
        <v>0</v>
      </c>
      <c r="AL607" s="111">
        <v>0</v>
      </c>
      <c r="AM607" s="112">
        <v>0</v>
      </c>
      <c r="AN607" s="111">
        <v>2</v>
      </c>
      <c r="AO607" s="112">
        <v>66.66666666666667</v>
      </c>
      <c r="AP607" s="111">
        <v>3</v>
      </c>
    </row>
    <row r="608" spans="1:42" ht="15">
      <c r="A608" s="65" t="s">
        <v>619</v>
      </c>
      <c r="B608" s="65" t="s">
        <v>607</v>
      </c>
      <c r="C608" s="66" t="s">
        <v>5345</v>
      </c>
      <c r="D608" s="67">
        <v>3</v>
      </c>
      <c r="E608" s="68"/>
      <c r="F608" s="69">
        <v>40</v>
      </c>
      <c r="G608" s="66"/>
      <c r="H608" s="70"/>
      <c r="I608" s="71"/>
      <c r="J608" s="71"/>
      <c r="K608" s="35" t="s">
        <v>66</v>
      </c>
      <c r="L608" s="79">
        <v>608</v>
      </c>
      <c r="M608" s="79"/>
      <c r="N608" s="73"/>
      <c r="O608" s="81" t="s">
        <v>760</v>
      </c>
      <c r="P608" s="81" t="s">
        <v>215</v>
      </c>
      <c r="Q608" s="84" t="s">
        <v>1343</v>
      </c>
      <c r="R608" s="81" t="s">
        <v>619</v>
      </c>
      <c r="S608" s="81" t="s">
        <v>1947</v>
      </c>
      <c r="T608" s="86" t="str">
        <f>HYPERLINK("http://www.youtube.com/channel/UCsfazTT7oD8it_nvwSmxI1w")</f>
        <v>http://www.youtube.com/channel/UCsfazTT7oD8it_nvwSmxI1w</v>
      </c>
      <c r="U608" s="81"/>
      <c r="V608" s="81" t="s">
        <v>2321</v>
      </c>
      <c r="W608" s="86" t="str">
        <f>HYPERLINK("https://www.youtube.com/watch?v=i3Ac89nZ_tI")</f>
        <v>https://www.youtube.com/watch?v=i3Ac89nZ_tI</v>
      </c>
      <c r="X608" s="81" t="s">
        <v>2335</v>
      </c>
      <c r="Y608" s="81">
        <v>1</v>
      </c>
      <c r="Z608" s="81" t="s">
        <v>2596</v>
      </c>
      <c r="AA608" s="81" t="s">
        <v>2596</v>
      </c>
      <c r="AB608" s="81"/>
      <c r="AC608" s="81"/>
      <c r="AD608" s="84" t="s">
        <v>2782</v>
      </c>
      <c r="AE608" s="82">
        <v>1</v>
      </c>
      <c r="AF608" s="83" t="str">
        <f>REPLACE(INDEX(GroupVertices[Group],MATCH(Edges[[#This Row],[Vertex 1]],GroupVertices[Vertex],0)),1,1,"")</f>
        <v>9</v>
      </c>
      <c r="AG608" s="83" t="str">
        <f>REPLACE(INDEX(GroupVertices[Group],MATCH(Edges[[#This Row],[Vertex 2]],GroupVertices[Vertex],0)),1,1,"")</f>
        <v>9</v>
      </c>
      <c r="AH608" s="111">
        <v>0</v>
      </c>
      <c r="AI608" s="112">
        <v>0</v>
      </c>
      <c r="AJ608" s="111">
        <v>0</v>
      </c>
      <c r="AK608" s="112">
        <v>0</v>
      </c>
      <c r="AL608" s="111">
        <v>0</v>
      </c>
      <c r="AM608" s="112">
        <v>0</v>
      </c>
      <c r="AN608" s="111">
        <v>25</v>
      </c>
      <c r="AO608" s="112">
        <v>100</v>
      </c>
      <c r="AP608" s="111">
        <v>25</v>
      </c>
    </row>
    <row r="609" spans="1:42" ht="15">
      <c r="A609" s="65" t="s">
        <v>607</v>
      </c>
      <c r="B609" s="65" t="s">
        <v>620</v>
      </c>
      <c r="C609" s="66" t="s">
        <v>5345</v>
      </c>
      <c r="D609" s="67">
        <v>3</v>
      </c>
      <c r="E609" s="68"/>
      <c r="F609" s="69">
        <v>40</v>
      </c>
      <c r="G609" s="66"/>
      <c r="H609" s="70"/>
      <c r="I609" s="71"/>
      <c r="J609" s="71"/>
      <c r="K609" s="35" t="s">
        <v>66</v>
      </c>
      <c r="L609" s="79">
        <v>609</v>
      </c>
      <c r="M609" s="79"/>
      <c r="N609" s="73"/>
      <c r="O609" s="81" t="s">
        <v>761</v>
      </c>
      <c r="P609" s="81" t="s">
        <v>763</v>
      </c>
      <c r="Q609" s="84" t="s">
        <v>1344</v>
      </c>
      <c r="R609" s="81" t="s">
        <v>607</v>
      </c>
      <c r="S609" s="81" t="s">
        <v>1935</v>
      </c>
      <c r="T609" s="86" t="str">
        <f>HYPERLINK("http://www.youtube.com/channel/UCU29V2Jl2unpcOxm1kPDqmw")</f>
        <v>http://www.youtube.com/channel/UCU29V2Jl2unpcOxm1kPDqmw</v>
      </c>
      <c r="U609" s="81" t="s">
        <v>2243</v>
      </c>
      <c r="V609" s="81" t="s">
        <v>2321</v>
      </c>
      <c r="W609" s="86" t="str">
        <f>HYPERLINK("https://www.youtube.com/watch?v=i3Ac89nZ_tI")</f>
        <v>https://www.youtube.com/watch?v=i3Ac89nZ_tI</v>
      </c>
      <c r="X609" s="81" t="s">
        <v>2335</v>
      </c>
      <c r="Y609" s="81">
        <v>0</v>
      </c>
      <c r="Z609" s="81" t="s">
        <v>2597</v>
      </c>
      <c r="AA609" s="81" t="s">
        <v>2597</v>
      </c>
      <c r="AB609" s="81"/>
      <c r="AC609" s="81"/>
      <c r="AD609" s="84" t="s">
        <v>2782</v>
      </c>
      <c r="AE609" s="82">
        <v>1</v>
      </c>
      <c r="AF609" s="83" t="str">
        <f>REPLACE(INDEX(GroupVertices[Group],MATCH(Edges[[#This Row],[Vertex 1]],GroupVertices[Vertex],0)),1,1,"")</f>
        <v>9</v>
      </c>
      <c r="AG609" s="83" t="str">
        <f>REPLACE(INDEX(GroupVertices[Group],MATCH(Edges[[#This Row],[Vertex 2]],GroupVertices[Vertex],0)),1,1,"")</f>
        <v>9</v>
      </c>
      <c r="AH609" s="111">
        <v>2</v>
      </c>
      <c r="AI609" s="112">
        <v>22.22222222222222</v>
      </c>
      <c r="AJ609" s="111">
        <v>0</v>
      </c>
      <c r="AK609" s="112">
        <v>0</v>
      </c>
      <c r="AL609" s="111">
        <v>0</v>
      </c>
      <c r="AM609" s="112">
        <v>0</v>
      </c>
      <c r="AN609" s="111">
        <v>7</v>
      </c>
      <c r="AO609" s="112">
        <v>77.77777777777777</v>
      </c>
      <c r="AP609" s="111">
        <v>9</v>
      </c>
    </row>
    <row r="610" spans="1:42" ht="15">
      <c r="A610" s="65" t="s">
        <v>620</v>
      </c>
      <c r="B610" s="65" t="s">
        <v>607</v>
      </c>
      <c r="C610" s="66" t="s">
        <v>5345</v>
      </c>
      <c r="D610" s="67">
        <v>3</v>
      </c>
      <c r="E610" s="68"/>
      <c r="F610" s="69">
        <v>40</v>
      </c>
      <c r="G610" s="66"/>
      <c r="H610" s="70"/>
      <c r="I610" s="71"/>
      <c r="J610" s="71"/>
      <c r="K610" s="35" t="s">
        <v>66</v>
      </c>
      <c r="L610" s="79">
        <v>610</v>
      </c>
      <c r="M610" s="79"/>
      <c r="N610" s="73"/>
      <c r="O610" s="81" t="s">
        <v>760</v>
      </c>
      <c r="P610" s="81" t="s">
        <v>215</v>
      </c>
      <c r="Q610" s="84" t="s">
        <v>1345</v>
      </c>
      <c r="R610" s="81" t="s">
        <v>620</v>
      </c>
      <c r="S610" s="81" t="s">
        <v>1948</v>
      </c>
      <c r="T610" s="86" t="str">
        <f>HYPERLINK("http://www.youtube.com/channel/UCUxKLrOoCtzXeIrj26RBhRg")</f>
        <v>http://www.youtube.com/channel/UCUxKLrOoCtzXeIrj26RBhRg</v>
      </c>
      <c r="U610" s="81"/>
      <c r="V610" s="81" t="s">
        <v>2321</v>
      </c>
      <c r="W610" s="86" t="str">
        <f>HYPERLINK("https://www.youtube.com/watch?v=i3Ac89nZ_tI")</f>
        <v>https://www.youtube.com/watch?v=i3Ac89nZ_tI</v>
      </c>
      <c r="X610" s="81" t="s">
        <v>2335</v>
      </c>
      <c r="Y610" s="81">
        <v>0</v>
      </c>
      <c r="Z610" s="81" t="s">
        <v>2598</v>
      </c>
      <c r="AA610" s="81" t="s">
        <v>2598</v>
      </c>
      <c r="AB610" s="81"/>
      <c r="AC610" s="81"/>
      <c r="AD610" s="84" t="s">
        <v>2782</v>
      </c>
      <c r="AE610" s="82">
        <v>1</v>
      </c>
      <c r="AF610" s="83" t="str">
        <f>REPLACE(INDEX(GroupVertices[Group],MATCH(Edges[[#This Row],[Vertex 1]],GroupVertices[Vertex],0)),1,1,"")</f>
        <v>9</v>
      </c>
      <c r="AG610" s="83" t="str">
        <f>REPLACE(INDEX(GroupVertices[Group],MATCH(Edges[[#This Row],[Vertex 2]],GroupVertices[Vertex],0)),1,1,"")</f>
        <v>9</v>
      </c>
      <c r="AH610" s="111">
        <v>1</v>
      </c>
      <c r="AI610" s="112">
        <v>14.285714285714286</v>
      </c>
      <c r="AJ610" s="111">
        <v>0</v>
      </c>
      <c r="AK610" s="112">
        <v>0</v>
      </c>
      <c r="AL610" s="111">
        <v>0</v>
      </c>
      <c r="AM610" s="112">
        <v>0</v>
      </c>
      <c r="AN610" s="111">
        <v>6</v>
      </c>
      <c r="AO610" s="112">
        <v>85.71428571428571</v>
      </c>
      <c r="AP610" s="111">
        <v>7</v>
      </c>
    </row>
    <row r="611" spans="1:42" ht="15">
      <c r="A611" s="65" t="s">
        <v>621</v>
      </c>
      <c r="B611" s="65" t="s">
        <v>607</v>
      </c>
      <c r="C611" s="66" t="s">
        <v>5345</v>
      </c>
      <c r="D611" s="67">
        <v>3</v>
      </c>
      <c r="E611" s="68"/>
      <c r="F611" s="69">
        <v>40</v>
      </c>
      <c r="G611" s="66"/>
      <c r="H611" s="70"/>
      <c r="I611" s="71"/>
      <c r="J611" s="71"/>
      <c r="K611" s="35" t="s">
        <v>65</v>
      </c>
      <c r="L611" s="79">
        <v>611</v>
      </c>
      <c r="M611" s="79"/>
      <c r="N611" s="73"/>
      <c r="O611" s="81" t="s">
        <v>760</v>
      </c>
      <c r="P611" s="81" t="s">
        <v>215</v>
      </c>
      <c r="Q611" s="84" t="s">
        <v>1346</v>
      </c>
      <c r="R611" s="81" t="s">
        <v>621</v>
      </c>
      <c r="S611" s="81" t="s">
        <v>1949</v>
      </c>
      <c r="T611" s="86" t="str">
        <f>HYPERLINK("http://www.youtube.com/channel/UCkV5aB0866koPMXuqWaUK5A")</f>
        <v>http://www.youtube.com/channel/UCkV5aB0866koPMXuqWaUK5A</v>
      </c>
      <c r="U611" s="81"/>
      <c r="V611" s="81" t="s">
        <v>2321</v>
      </c>
      <c r="W611" s="86" t="str">
        <f>HYPERLINK("https://www.youtube.com/watch?v=i3Ac89nZ_tI")</f>
        <v>https://www.youtube.com/watch?v=i3Ac89nZ_tI</v>
      </c>
      <c r="X611" s="81" t="s">
        <v>2335</v>
      </c>
      <c r="Y611" s="81">
        <v>0</v>
      </c>
      <c r="Z611" s="81" t="s">
        <v>2599</v>
      </c>
      <c r="AA611" s="81" t="s">
        <v>2599</v>
      </c>
      <c r="AB611" s="81"/>
      <c r="AC611" s="81"/>
      <c r="AD611" s="84" t="s">
        <v>2782</v>
      </c>
      <c r="AE611" s="82">
        <v>1</v>
      </c>
      <c r="AF611" s="83" t="str">
        <f>REPLACE(INDEX(GroupVertices[Group],MATCH(Edges[[#This Row],[Vertex 1]],GroupVertices[Vertex],0)),1,1,"")</f>
        <v>9</v>
      </c>
      <c r="AG611" s="83" t="str">
        <f>REPLACE(INDEX(GroupVertices[Group],MATCH(Edges[[#This Row],[Vertex 2]],GroupVertices[Vertex],0)),1,1,"")</f>
        <v>9</v>
      </c>
      <c r="AH611" s="111">
        <v>1</v>
      </c>
      <c r="AI611" s="112">
        <v>25</v>
      </c>
      <c r="AJ611" s="111">
        <v>0</v>
      </c>
      <c r="AK611" s="112">
        <v>0</v>
      </c>
      <c r="AL611" s="111">
        <v>0</v>
      </c>
      <c r="AM611" s="112">
        <v>0</v>
      </c>
      <c r="AN611" s="111">
        <v>3</v>
      </c>
      <c r="AO611" s="112">
        <v>75</v>
      </c>
      <c r="AP611" s="111">
        <v>4</v>
      </c>
    </row>
    <row r="612" spans="1:42" ht="15">
      <c r="A612" s="65" t="s">
        <v>622</v>
      </c>
      <c r="B612" s="65" t="s">
        <v>623</v>
      </c>
      <c r="C612" s="66" t="s">
        <v>5345</v>
      </c>
      <c r="D612" s="67">
        <v>3</v>
      </c>
      <c r="E612" s="68"/>
      <c r="F612" s="69">
        <v>40</v>
      </c>
      <c r="G612" s="66"/>
      <c r="H612" s="70"/>
      <c r="I612" s="71"/>
      <c r="J612" s="71"/>
      <c r="K612" s="35" t="s">
        <v>65</v>
      </c>
      <c r="L612" s="79">
        <v>612</v>
      </c>
      <c r="M612" s="79"/>
      <c r="N612" s="73"/>
      <c r="O612" s="81" t="s">
        <v>760</v>
      </c>
      <c r="P612" s="81" t="s">
        <v>215</v>
      </c>
      <c r="Q612" s="84" t="s">
        <v>1347</v>
      </c>
      <c r="R612" s="81" t="s">
        <v>622</v>
      </c>
      <c r="S612" s="81" t="s">
        <v>1950</v>
      </c>
      <c r="T612" s="86" t="str">
        <f>HYPERLINK("http://www.youtube.com/channel/UCF0lvofNehz94_Ve-leaFOg")</f>
        <v>http://www.youtube.com/channel/UCF0lvofNehz94_Ve-leaFOg</v>
      </c>
      <c r="U612" s="81"/>
      <c r="V612" s="81" t="s">
        <v>2322</v>
      </c>
      <c r="W612" s="86" t="str">
        <f>HYPERLINK("https://www.youtube.com/watch?v=80f3JVN05YQ")</f>
        <v>https://www.youtube.com/watch?v=80f3JVN05YQ</v>
      </c>
      <c r="X612" s="81" t="s">
        <v>2335</v>
      </c>
      <c r="Y612" s="81">
        <v>2</v>
      </c>
      <c r="Z612" s="81" t="s">
        <v>2600</v>
      </c>
      <c r="AA612" s="81" t="s">
        <v>2600</v>
      </c>
      <c r="AB612" s="81"/>
      <c r="AC612" s="81"/>
      <c r="AD612" s="84" t="s">
        <v>2782</v>
      </c>
      <c r="AE612" s="82">
        <v>1</v>
      </c>
      <c r="AF612" s="83" t="str">
        <f>REPLACE(INDEX(GroupVertices[Group],MATCH(Edges[[#This Row],[Vertex 1]],GroupVertices[Vertex],0)),1,1,"")</f>
        <v>3</v>
      </c>
      <c r="AG612" s="83" t="str">
        <f>REPLACE(INDEX(GroupVertices[Group],MATCH(Edges[[#This Row],[Vertex 2]],GroupVertices[Vertex],0)),1,1,"")</f>
        <v>3</v>
      </c>
      <c r="AH612" s="111">
        <v>0</v>
      </c>
      <c r="AI612" s="112">
        <v>0</v>
      </c>
      <c r="AJ612" s="111">
        <v>0</v>
      </c>
      <c r="AK612" s="112">
        <v>0</v>
      </c>
      <c r="AL612" s="111">
        <v>0</v>
      </c>
      <c r="AM612" s="112">
        <v>0</v>
      </c>
      <c r="AN612" s="111">
        <v>6</v>
      </c>
      <c r="AO612" s="112">
        <v>100</v>
      </c>
      <c r="AP612" s="111">
        <v>6</v>
      </c>
    </row>
    <row r="613" spans="1:42" ht="15">
      <c r="A613" s="65" t="s">
        <v>623</v>
      </c>
      <c r="B613" s="65" t="s">
        <v>624</v>
      </c>
      <c r="C613" s="66" t="s">
        <v>5345</v>
      </c>
      <c r="D613" s="67">
        <v>3</v>
      </c>
      <c r="E613" s="68"/>
      <c r="F613" s="69">
        <v>40</v>
      </c>
      <c r="G613" s="66"/>
      <c r="H613" s="70"/>
      <c r="I613" s="71"/>
      <c r="J613" s="71"/>
      <c r="K613" s="35" t="s">
        <v>66</v>
      </c>
      <c r="L613" s="79">
        <v>613</v>
      </c>
      <c r="M613" s="79"/>
      <c r="N613" s="73"/>
      <c r="O613" s="81" t="s">
        <v>761</v>
      </c>
      <c r="P613" s="81" t="s">
        <v>763</v>
      </c>
      <c r="Q613" s="84" t="s">
        <v>1348</v>
      </c>
      <c r="R613" s="81" t="s">
        <v>623</v>
      </c>
      <c r="S613" s="81" t="s">
        <v>1951</v>
      </c>
      <c r="T613" s="86" t="str">
        <f>HYPERLINK("http://www.youtube.com/channel/UC2n4MvLJDH2-GWzjJrC58Zw")</f>
        <v>http://www.youtube.com/channel/UC2n4MvLJDH2-GWzjJrC58Zw</v>
      </c>
      <c r="U613" s="81" t="s">
        <v>2244</v>
      </c>
      <c r="V613" s="81" t="s">
        <v>2322</v>
      </c>
      <c r="W613" s="86" t="str">
        <f>HYPERLINK("https://www.youtube.com/watch?v=80f3JVN05YQ")</f>
        <v>https://www.youtube.com/watch?v=80f3JVN05YQ</v>
      </c>
      <c r="X613" s="81" t="s">
        <v>2335</v>
      </c>
      <c r="Y613" s="81">
        <v>0</v>
      </c>
      <c r="Z613" s="81" t="s">
        <v>2601</v>
      </c>
      <c r="AA613" s="81" t="s">
        <v>2601</v>
      </c>
      <c r="AB613" s="81"/>
      <c r="AC613" s="81"/>
      <c r="AD613" s="84" t="s">
        <v>2782</v>
      </c>
      <c r="AE613" s="82">
        <v>1</v>
      </c>
      <c r="AF613" s="83" t="str">
        <f>REPLACE(INDEX(GroupVertices[Group],MATCH(Edges[[#This Row],[Vertex 1]],GroupVertices[Vertex],0)),1,1,"")</f>
        <v>3</v>
      </c>
      <c r="AG613" s="83" t="str">
        <f>REPLACE(INDEX(GroupVertices[Group],MATCH(Edges[[#This Row],[Vertex 2]],GroupVertices[Vertex],0)),1,1,"")</f>
        <v>3</v>
      </c>
      <c r="AH613" s="111">
        <v>0</v>
      </c>
      <c r="AI613" s="112">
        <v>0</v>
      </c>
      <c r="AJ613" s="111">
        <v>0</v>
      </c>
      <c r="AK613" s="112">
        <v>0</v>
      </c>
      <c r="AL613" s="111">
        <v>0</v>
      </c>
      <c r="AM613" s="112">
        <v>0</v>
      </c>
      <c r="AN613" s="111">
        <v>1</v>
      </c>
      <c r="AO613" s="112">
        <v>100</v>
      </c>
      <c r="AP613" s="111">
        <v>1</v>
      </c>
    </row>
    <row r="614" spans="1:42" ht="15">
      <c r="A614" s="65" t="s">
        <v>624</v>
      </c>
      <c r="B614" s="65" t="s">
        <v>623</v>
      </c>
      <c r="C614" s="66" t="s">
        <v>5345</v>
      </c>
      <c r="D614" s="67">
        <v>3</v>
      </c>
      <c r="E614" s="68"/>
      <c r="F614" s="69">
        <v>40</v>
      </c>
      <c r="G614" s="66"/>
      <c r="H614" s="70"/>
      <c r="I614" s="71"/>
      <c r="J614" s="71"/>
      <c r="K614" s="35" t="s">
        <v>66</v>
      </c>
      <c r="L614" s="79">
        <v>614</v>
      </c>
      <c r="M614" s="79"/>
      <c r="N614" s="73"/>
      <c r="O614" s="81" t="s">
        <v>760</v>
      </c>
      <c r="P614" s="81" t="s">
        <v>215</v>
      </c>
      <c r="Q614" s="84" t="s">
        <v>1349</v>
      </c>
      <c r="R614" s="81" t="s">
        <v>624</v>
      </c>
      <c r="S614" s="81" t="s">
        <v>1952</v>
      </c>
      <c r="T614" s="86" t="str">
        <f>HYPERLINK("http://www.youtube.com/channel/UCwWgsffHym9QQvqk9Okygfg")</f>
        <v>http://www.youtube.com/channel/UCwWgsffHym9QQvqk9Okygfg</v>
      </c>
      <c r="U614" s="81"/>
      <c r="V614" s="81" t="s">
        <v>2322</v>
      </c>
      <c r="W614" s="86" t="str">
        <f>HYPERLINK("https://www.youtube.com/watch?v=80f3JVN05YQ")</f>
        <v>https://www.youtube.com/watch?v=80f3JVN05YQ</v>
      </c>
      <c r="X614" s="81" t="s">
        <v>2335</v>
      </c>
      <c r="Y614" s="81">
        <v>0</v>
      </c>
      <c r="Z614" s="81" t="s">
        <v>2602</v>
      </c>
      <c r="AA614" s="81" t="s">
        <v>2754</v>
      </c>
      <c r="AB614" s="81"/>
      <c r="AC614" s="81"/>
      <c r="AD614" s="84" t="s">
        <v>2782</v>
      </c>
      <c r="AE614" s="82">
        <v>1</v>
      </c>
      <c r="AF614" s="83" t="str">
        <f>REPLACE(INDEX(GroupVertices[Group],MATCH(Edges[[#This Row],[Vertex 1]],GroupVertices[Vertex],0)),1,1,"")</f>
        <v>3</v>
      </c>
      <c r="AG614" s="83" t="str">
        <f>REPLACE(INDEX(GroupVertices[Group],MATCH(Edges[[#This Row],[Vertex 2]],GroupVertices[Vertex],0)),1,1,"")</f>
        <v>3</v>
      </c>
      <c r="AH614" s="111">
        <v>2</v>
      </c>
      <c r="AI614" s="112">
        <v>9.523809523809524</v>
      </c>
      <c r="AJ614" s="111">
        <v>0</v>
      </c>
      <c r="AK614" s="112">
        <v>0</v>
      </c>
      <c r="AL614" s="111">
        <v>0</v>
      </c>
      <c r="AM614" s="112">
        <v>0</v>
      </c>
      <c r="AN614" s="111">
        <v>19</v>
      </c>
      <c r="AO614" s="112">
        <v>90.47619047619048</v>
      </c>
      <c r="AP614" s="111">
        <v>21</v>
      </c>
    </row>
    <row r="615" spans="1:42" ht="15">
      <c r="A615" s="65" t="s">
        <v>623</v>
      </c>
      <c r="B615" s="65" t="s">
        <v>625</v>
      </c>
      <c r="C615" s="66" t="s">
        <v>5345</v>
      </c>
      <c r="D615" s="67">
        <v>3</v>
      </c>
      <c r="E615" s="68"/>
      <c r="F615" s="69">
        <v>40</v>
      </c>
      <c r="G615" s="66"/>
      <c r="H615" s="70"/>
      <c r="I615" s="71"/>
      <c r="J615" s="71"/>
      <c r="K615" s="35" t="s">
        <v>66</v>
      </c>
      <c r="L615" s="79">
        <v>615</v>
      </c>
      <c r="M615" s="79"/>
      <c r="N615" s="73"/>
      <c r="O615" s="81" t="s">
        <v>761</v>
      </c>
      <c r="P615" s="81" t="s">
        <v>763</v>
      </c>
      <c r="Q615" s="84" t="s">
        <v>769</v>
      </c>
      <c r="R615" s="81" t="s">
        <v>623</v>
      </c>
      <c r="S615" s="81" t="s">
        <v>1951</v>
      </c>
      <c r="T615" s="86" t="str">
        <f>HYPERLINK("http://www.youtube.com/channel/UC2n4MvLJDH2-GWzjJrC58Zw")</f>
        <v>http://www.youtube.com/channel/UC2n4MvLJDH2-GWzjJrC58Zw</v>
      </c>
      <c r="U615" s="81" t="s">
        <v>2245</v>
      </c>
      <c r="V615" s="81" t="s">
        <v>2322</v>
      </c>
      <c r="W615" s="86" t="str">
        <f>HYPERLINK("https://www.youtube.com/watch?v=80f3JVN05YQ")</f>
        <v>https://www.youtube.com/watch?v=80f3JVN05YQ</v>
      </c>
      <c r="X615" s="81" t="s">
        <v>2335</v>
      </c>
      <c r="Y615" s="81">
        <v>0</v>
      </c>
      <c r="Z615" s="81" t="s">
        <v>2603</v>
      </c>
      <c r="AA615" s="81" t="s">
        <v>2603</v>
      </c>
      <c r="AB615" s="81"/>
      <c r="AC615" s="81"/>
      <c r="AD615" s="84" t="s">
        <v>2782</v>
      </c>
      <c r="AE615" s="82">
        <v>1</v>
      </c>
      <c r="AF615" s="83" t="str">
        <f>REPLACE(INDEX(GroupVertices[Group],MATCH(Edges[[#This Row],[Vertex 1]],GroupVertices[Vertex],0)),1,1,"")</f>
        <v>3</v>
      </c>
      <c r="AG615" s="83" t="str">
        <f>REPLACE(INDEX(GroupVertices[Group],MATCH(Edges[[#This Row],[Vertex 2]],GroupVertices[Vertex],0)),1,1,"")</f>
        <v>3</v>
      </c>
      <c r="AH615" s="111">
        <v>0</v>
      </c>
      <c r="AI615" s="112">
        <v>0</v>
      </c>
      <c r="AJ615" s="111">
        <v>0</v>
      </c>
      <c r="AK615" s="112">
        <v>0</v>
      </c>
      <c r="AL615" s="111">
        <v>0</v>
      </c>
      <c r="AM615" s="112">
        <v>0</v>
      </c>
      <c r="AN615" s="111">
        <v>1</v>
      </c>
      <c r="AO615" s="112">
        <v>100</v>
      </c>
      <c r="AP615" s="111">
        <v>1</v>
      </c>
    </row>
    <row r="616" spans="1:42" ht="15">
      <c r="A616" s="65" t="s">
        <v>625</v>
      </c>
      <c r="B616" s="65" t="s">
        <v>623</v>
      </c>
      <c r="C616" s="66" t="s">
        <v>5345</v>
      </c>
      <c r="D616" s="67">
        <v>3</v>
      </c>
      <c r="E616" s="68"/>
      <c r="F616" s="69">
        <v>40</v>
      </c>
      <c r="G616" s="66"/>
      <c r="H616" s="70"/>
      <c r="I616" s="71"/>
      <c r="J616" s="71"/>
      <c r="K616" s="35" t="s">
        <v>66</v>
      </c>
      <c r="L616" s="79">
        <v>616</v>
      </c>
      <c r="M616" s="79"/>
      <c r="N616" s="73"/>
      <c r="O616" s="81" t="s">
        <v>760</v>
      </c>
      <c r="P616" s="81" t="s">
        <v>215</v>
      </c>
      <c r="Q616" s="84" t="s">
        <v>1350</v>
      </c>
      <c r="R616" s="81" t="s">
        <v>625</v>
      </c>
      <c r="S616" s="81" t="s">
        <v>1953</v>
      </c>
      <c r="T616" s="86" t="str">
        <f>HYPERLINK("http://www.youtube.com/channel/UCAFg786w2v991zsc8BNQagA")</f>
        <v>http://www.youtube.com/channel/UCAFg786w2v991zsc8BNQagA</v>
      </c>
      <c r="U616" s="81"/>
      <c r="V616" s="81" t="s">
        <v>2322</v>
      </c>
      <c r="W616" s="86" t="str">
        <f>HYPERLINK("https://www.youtube.com/watch?v=80f3JVN05YQ")</f>
        <v>https://www.youtube.com/watch?v=80f3JVN05YQ</v>
      </c>
      <c r="X616" s="81" t="s">
        <v>2335</v>
      </c>
      <c r="Y616" s="81">
        <v>3</v>
      </c>
      <c r="Z616" s="81" t="s">
        <v>2604</v>
      </c>
      <c r="AA616" s="81" t="s">
        <v>2604</v>
      </c>
      <c r="AB616" s="81"/>
      <c r="AC616" s="81"/>
      <c r="AD616" s="84" t="s">
        <v>2782</v>
      </c>
      <c r="AE616" s="82">
        <v>1</v>
      </c>
      <c r="AF616" s="83" t="str">
        <f>REPLACE(INDEX(GroupVertices[Group],MATCH(Edges[[#This Row],[Vertex 1]],GroupVertices[Vertex],0)),1,1,"")</f>
        <v>3</v>
      </c>
      <c r="AG616" s="83" t="str">
        <f>REPLACE(INDEX(GroupVertices[Group],MATCH(Edges[[#This Row],[Vertex 2]],GroupVertices[Vertex],0)),1,1,"")</f>
        <v>3</v>
      </c>
      <c r="AH616" s="111">
        <v>0</v>
      </c>
      <c r="AI616" s="112">
        <v>0</v>
      </c>
      <c r="AJ616" s="111">
        <v>0</v>
      </c>
      <c r="AK616" s="112">
        <v>0</v>
      </c>
      <c r="AL616" s="111">
        <v>0</v>
      </c>
      <c r="AM616" s="112">
        <v>0</v>
      </c>
      <c r="AN616" s="111">
        <v>11</v>
      </c>
      <c r="AO616" s="112">
        <v>100</v>
      </c>
      <c r="AP616" s="111">
        <v>11</v>
      </c>
    </row>
    <row r="617" spans="1:42" ht="15">
      <c r="A617" s="65" t="s">
        <v>626</v>
      </c>
      <c r="B617" s="65" t="s">
        <v>623</v>
      </c>
      <c r="C617" s="66" t="s">
        <v>5345</v>
      </c>
      <c r="D617" s="67">
        <v>3</v>
      </c>
      <c r="E617" s="68"/>
      <c r="F617" s="69">
        <v>40</v>
      </c>
      <c r="G617" s="66"/>
      <c r="H617" s="70"/>
      <c r="I617" s="71"/>
      <c r="J617" s="71"/>
      <c r="K617" s="35" t="s">
        <v>65</v>
      </c>
      <c r="L617" s="79">
        <v>617</v>
      </c>
      <c r="M617" s="79"/>
      <c r="N617" s="73"/>
      <c r="O617" s="81" t="s">
        <v>760</v>
      </c>
      <c r="P617" s="81" t="s">
        <v>215</v>
      </c>
      <c r="Q617" s="84" t="s">
        <v>1351</v>
      </c>
      <c r="R617" s="81" t="s">
        <v>626</v>
      </c>
      <c r="S617" s="81" t="s">
        <v>1954</v>
      </c>
      <c r="T617" s="86" t="str">
        <f>HYPERLINK("http://www.youtube.com/channel/UCX8SRjJqk4N5n_8bjR3cPTA")</f>
        <v>http://www.youtube.com/channel/UCX8SRjJqk4N5n_8bjR3cPTA</v>
      </c>
      <c r="U617" s="81"/>
      <c r="V617" s="81" t="s">
        <v>2322</v>
      </c>
      <c r="W617" s="86" t="str">
        <f>HYPERLINK("https://www.youtube.com/watch?v=80f3JVN05YQ")</f>
        <v>https://www.youtube.com/watch?v=80f3JVN05YQ</v>
      </c>
      <c r="X617" s="81" t="s">
        <v>2335</v>
      </c>
      <c r="Y617" s="81">
        <v>2</v>
      </c>
      <c r="Z617" s="81" t="s">
        <v>2605</v>
      </c>
      <c r="AA617" s="81" t="s">
        <v>2605</v>
      </c>
      <c r="AB617" s="81"/>
      <c r="AC617" s="81"/>
      <c r="AD617" s="84" t="s">
        <v>2782</v>
      </c>
      <c r="AE617" s="82">
        <v>1</v>
      </c>
      <c r="AF617" s="83" t="str">
        <f>REPLACE(INDEX(GroupVertices[Group],MATCH(Edges[[#This Row],[Vertex 1]],GroupVertices[Vertex],0)),1,1,"")</f>
        <v>3</v>
      </c>
      <c r="AG617" s="83" t="str">
        <f>REPLACE(INDEX(GroupVertices[Group],MATCH(Edges[[#This Row],[Vertex 2]],GroupVertices[Vertex],0)),1,1,"")</f>
        <v>3</v>
      </c>
      <c r="AH617" s="111">
        <v>3</v>
      </c>
      <c r="AI617" s="112">
        <v>9.375</v>
      </c>
      <c r="AJ617" s="111">
        <v>1</v>
      </c>
      <c r="AK617" s="112">
        <v>3.125</v>
      </c>
      <c r="AL617" s="111">
        <v>0</v>
      </c>
      <c r="AM617" s="112">
        <v>0</v>
      </c>
      <c r="AN617" s="111">
        <v>28</v>
      </c>
      <c r="AO617" s="112">
        <v>87.5</v>
      </c>
      <c r="AP617" s="111">
        <v>32</v>
      </c>
    </row>
    <row r="618" spans="1:42" ht="15">
      <c r="A618" s="65" t="s">
        <v>623</v>
      </c>
      <c r="B618" s="65" t="s">
        <v>627</v>
      </c>
      <c r="C618" s="66" t="s">
        <v>5345</v>
      </c>
      <c r="D618" s="67">
        <v>3</v>
      </c>
      <c r="E618" s="68"/>
      <c r="F618" s="69">
        <v>40</v>
      </c>
      <c r="G618" s="66"/>
      <c r="H618" s="70"/>
      <c r="I618" s="71"/>
      <c r="J618" s="71"/>
      <c r="K618" s="35" t="s">
        <v>66</v>
      </c>
      <c r="L618" s="79">
        <v>618</v>
      </c>
      <c r="M618" s="79"/>
      <c r="N618" s="73"/>
      <c r="O618" s="81" t="s">
        <v>761</v>
      </c>
      <c r="P618" s="81" t="s">
        <v>763</v>
      </c>
      <c r="Q618" s="84" t="s">
        <v>1352</v>
      </c>
      <c r="R618" s="81" t="s">
        <v>623</v>
      </c>
      <c r="S618" s="81" t="s">
        <v>1951</v>
      </c>
      <c r="T618" s="86" t="str">
        <f>HYPERLINK("http://www.youtube.com/channel/UC2n4MvLJDH2-GWzjJrC58Zw")</f>
        <v>http://www.youtube.com/channel/UC2n4MvLJDH2-GWzjJrC58Zw</v>
      </c>
      <c r="U618" s="81" t="s">
        <v>2246</v>
      </c>
      <c r="V618" s="81" t="s">
        <v>2322</v>
      </c>
      <c r="W618" s="86" t="str">
        <f>HYPERLINK("https://www.youtube.com/watch?v=80f3JVN05YQ")</f>
        <v>https://www.youtube.com/watch?v=80f3JVN05YQ</v>
      </c>
      <c r="X618" s="81" t="s">
        <v>2335</v>
      </c>
      <c r="Y618" s="81">
        <v>0</v>
      </c>
      <c r="Z618" s="81" t="s">
        <v>2606</v>
      </c>
      <c r="AA618" s="81" t="s">
        <v>2606</v>
      </c>
      <c r="AB618" s="81"/>
      <c r="AC618" s="81"/>
      <c r="AD618" s="84" t="s">
        <v>2782</v>
      </c>
      <c r="AE618" s="82">
        <v>1</v>
      </c>
      <c r="AF618" s="83" t="str">
        <f>REPLACE(INDEX(GroupVertices[Group],MATCH(Edges[[#This Row],[Vertex 1]],GroupVertices[Vertex],0)),1,1,"")</f>
        <v>3</v>
      </c>
      <c r="AG618" s="83" t="str">
        <f>REPLACE(INDEX(GroupVertices[Group],MATCH(Edges[[#This Row],[Vertex 2]],GroupVertices[Vertex],0)),1,1,"")</f>
        <v>3</v>
      </c>
      <c r="AH618" s="111">
        <v>0</v>
      </c>
      <c r="AI618" s="112">
        <v>0</v>
      </c>
      <c r="AJ618" s="111">
        <v>0</v>
      </c>
      <c r="AK618" s="112">
        <v>0</v>
      </c>
      <c r="AL618" s="111">
        <v>0</v>
      </c>
      <c r="AM618" s="112">
        <v>0</v>
      </c>
      <c r="AN618" s="111">
        <v>6</v>
      </c>
      <c r="AO618" s="112">
        <v>100</v>
      </c>
      <c r="AP618" s="111">
        <v>6</v>
      </c>
    </row>
    <row r="619" spans="1:42" ht="15">
      <c r="A619" s="65" t="s">
        <v>627</v>
      </c>
      <c r="B619" s="65" t="s">
        <v>623</v>
      </c>
      <c r="C619" s="66" t="s">
        <v>5345</v>
      </c>
      <c r="D619" s="67">
        <v>3</v>
      </c>
      <c r="E619" s="68"/>
      <c r="F619" s="69">
        <v>40</v>
      </c>
      <c r="G619" s="66"/>
      <c r="H619" s="70"/>
      <c r="I619" s="71"/>
      <c r="J619" s="71"/>
      <c r="K619" s="35" t="s">
        <v>66</v>
      </c>
      <c r="L619" s="79">
        <v>619</v>
      </c>
      <c r="M619" s="79"/>
      <c r="N619" s="73"/>
      <c r="O619" s="81" t="s">
        <v>760</v>
      </c>
      <c r="P619" s="81" t="s">
        <v>215</v>
      </c>
      <c r="Q619" s="84" t="s">
        <v>1353</v>
      </c>
      <c r="R619" s="81" t="s">
        <v>627</v>
      </c>
      <c r="S619" s="81" t="s">
        <v>1955</v>
      </c>
      <c r="T619" s="86" t="str">
        <f>HYPERLINK("http://www.youtube.com/channel/UCUkIaf_z6ea1ajCOi6u5Xpw")</f>
        <v>http://www.youtube.com/channel/UCUkIaf_z6ea1ajCOi6u5Xpw</v>
      </c>
      <c r="U619" s="81"/>
      <c r="V619" s="81" t="s">
        <v>2322</v>
      </c>
      <c r="W619" s="86" t="str">
        <f>HYPERLINK("https://www.youtube.com/watch?v=80f3JVN05YQ")</f>
        <v>https://www.youtube.com/watch?v=80f3JVN05YQ</v>
      </c>
      <c r="X619" s="81" t="s">
        <v>2335</v>
      </c>
      <c r="Y619" s="81">
        <v>0</v>
      </c>
      <c r="Z619" s="81" t="s">
        <v>2607</v>
      </c>
      <c r="AA619" s="81" t="s">
        <v>2755</v>
      </c>
      <c r="AB619" s="81"/>
      <c r="AC619" s="81"/>
      <c r="AD619" s="84" t="s">
        <v>2782</v>
      </c>
      <c r="AE619" s="82">
        <v>1</v>
      </c>
      <c r="AF619" s="83" t="str">
        <f>REPLACE(INDEX(GroupVertices[Group],MATCH(Edges[[#This Row],[Vertex 1]],GroupVertices[Vertex],0)),1,1,"")</f>
        <v>3</v>
      </c>
      <c r="AG619" s="83" t="str">
        <f>REPLACE(INDEX(GroupVertices[Group],MATCH(Edges[[#This Row],[Vertex 2]],GroupVertices[Vertex],0)),1,1,"")</f>
        <v>3</v>
      </c>
      <c r="AH619" s="111">
        <v>1</v>
      </c>
      <c r="AI619" s="112">
        <v>2.6315789473684212</v>
      </c>
      <c r="AJ619" s="111">
        <v>1</v>
      </c>
      <c r="AK619" s="112">
        <v>2.6315789473684212</v>
      </c>
      <c r="AL619" s="111">
        <v>0</v>
      </c>
      <c r="AM619" s="112">
        <v>0</v>
      </c>
      <c r="AN619" s="111">
        <v>36</v>
      </c>
      <c r="AO619" s="112">
        <v>94.73684210526316</v>
      </c>
      <c r="AP619" s="111">
        <v>38</v>
      </c>
    </row>
    <row r="620" spans="1:42" ht="15">
      <c r="A620" s="65" t="s">
        <v>628</v>
      </c>
      <c r="B620" s="65" t="s">
        <v>636</v>
      </c>
      <c r="C620" s="66" t="s">
        <v>5345</v>
      </c>
      <c r="D620" s="67">
        <v>3</v>
      </c>
      <c r="E620" s="68"/>
      <c r="F620" s="69">
        <v>40</v>
      </c>
      <c r="G620" s="66"/>
      <c r="H620" s="70"/>
      <c r="I620" s="71"/>
      <c r="J620" s="71"/>
      <c r="K620" s="35" t="s">
        <v>65</v>
      </c>
      <c r="L620" s="79">
        <v>620</v>
      </c>
      <c r="M620" s="79"/>
      <c r="N620" s="73"/>
      <c r="O620" s="81" t="s">
        <v>761</v>
      </c>
      <c r="P620" s="81" t="s">
        <v>763</v>
      </c>
      <c r="Q620" s="84" t="s">
        <v>1354</v>
      </c>
      <c r="R620" s="81" t="s">
        <v>628</v>
      </c>
      <c r="S620" s="81" t="s">
        <v>1956</v>
      </c>
      <c r="T620" s="86" t="str">
        <f>HYPERLINK("http://www.youtube.com/channel/UCYwdQkLEUnQ_bEoPdA5vYuQ")</f>
        <v>http://www.youtube.com/channel/UCYwdQkLEUnQ_bEoPdA5vYuQ</v>
      </c>
      <c r="U620" s="81" t="s">
        <v>2247</v>
      </c>
      <c r="V620" s="81" t="s">
        <v>2322</v>
      </c>
      <c r="W620" s="86" t="str">
        <f>HYPERLINK("https://www.youtube.com/watch?v=80f3JVN05YQ")</f>
        <v>https://www.youtube.com/watch?v=80f3JVN05YQ</v>
      </c>
      <c r="X620" s="81" t="s">
        <v>2335</v>
      </c>
      <c r="Y620" s="81">
        <v>1</v>
      </c>
      <c r="Z620" s="81" t="s">
        <v>2608</v>
      </c>
      <c r="AA620" s="81" t="s">
        <v>2608</v>
      </c>
      <c r="AB620" s="81"/>
      <c r="AC620" s="81"/>
      <c r="AD620" s="84" t="s">
        <v>2782</v>
      </c>
      <c r="AE620" s="82">
        <v>1</v>
      </c>
      <c r="AF620" s="83" t="str">
        <f>REPLACE(INDEX(GroupVertices[Group],MATCH(Edges[[#This Row],[Vertex 1]],GroupVertices[Vertex],0)),1,1,"")</f>
        <v>3</v>
      </c>
      <c r="AG620" s="83" t="str">
        <f>REPLACE(INDEX(GroupVertices[Group],MATCH(Edges[[#This Row],[Vertex 2]],GroupVertices[Vertex],0)),1,1,"")</f>
        <v>3</v>
      </c>
      <c r="AH620" s="111">
        <v>0</v>
      </c>
      <c r="AI620" s="112">
        <v>0</v>
      </c>
      <c r="AJ620" s="111">
        <v>0</v>
      </c>
      <c r="AK620" s="112">
        <v>0</v>
      </c>
      <c r="AL620" s="111">
        <v>0</v>
      </c>
      <c r="AM620" s="112">
        <v>0</v>
      </c>
      <c r="AN620" s="111">
        <v>4</v>
      </c>
      <c r="AO620" s="112">
        <v>100</v>
      </c>
      <c r="AP620" s="111">
        <v>4</v>
      </c>
    </row>
    <row r="621" spans="1:42" ht="15">
      <c r="A621" s="65" t="s">
        <v>629</v>
      </c>
      <c r="B621" s="65" t="s">
        <v>623</v>
      </c>
      <c r="C621" s="66" t="s">
        <v>5345</v>
      </c>
      <c r="D621" s="67">
        <v>3</v>
      </c>
      <c r="E621" s="68"/>
      <c r="F621" s="69">
        <v>40</v>
      </c>
      <c r="G621" s="66"/>
      <c r="H621" s="70"/>
      <c r="I621" s="71"/>
      <c r="J621" s="71"/>
      <c r="K621" s="35" t="s">
        <v>65</v>
      </c>
      <c r="L621" s="79">
        <v>621</v>
      </c>
      <c r="M621" s="79"/>
      <c r="N621" s="73"/>
      <c r="O621" s="81" t="s">
        <v>760</v>
      </c>
      <c r="P621" s="81" t="s">
        <v>215</v>
      </c>
      <c r="Q621" s="84" t="s">
        <v>1355</v>
      </c>
      <c r="R621" s="81" t="s">
        <v>629</v>
      </c>
      <c r="S621" s="81" t="s">
        <v>1957</v>
      </c>
      <c r="T621" s="86" t="str">
        <f>HYPERLINK("http://www.youtube.com/channel/UC7W2nvuM1ObIBI5jW0TWYhw")</f>
        <v>http://www.youtube.com/channel/UC7W2nvuM1ObIBI5jW0TWYhw</v>
      </c>
      <c r="U621" s="81"/>
      <c r="V621" s="81" t="s">
        <v>2322</v>
      </c>
      <c r="W621" s="86" t="str">
        <f>HYPERLINK("https://www.youtube.com/watch?v=80f3JVN05YQ")</f>
        <v>https://www.youtube.com/watch?v=80f3JVN05YQ</v>
      </c>
      <c r="X621" s="81" t="s">
        <v>2335</v>
      </c>
      <c r="Y621" s="81">
        <v>0</v>
      </c>
      <c r="Z621" s="81" t="s">
        <v>2609</v>
      </c>
      <c r="AA621" s="81" t="s">
        <v>2609</v>
      </c>
      <c r="AB621" s="81"/>
      <c r="AC621" s="81"/>
      <c r="AD621" s="84" t="s">
        <v>2782</v>
      </c>
      <c r="AE621" s="82">
        <v>1</v>
      </c>
      <c r="AF621" s="83" t="str">
        <f>REPLACE(INDEX(GroupVertices[Group],MATCH(Edges[[#This Row],[Vertex 1]],GroupVertices[Vertex],0)),1,1,"")</f>
        <v>3</v>
      </c>
      <c r="AG621" s="83" t="str">
        <f>REPLACE(INDEX(GroupVertices[Group],MATCH(Edges[[#This Row],[Vertex 2]],GroupVertices[Vertex],0)),1,1,"")</f>
        <v>3</v>
      </c>
      <c r="AH621" s="111">
        <v>1</v>
      </c>
      <c r="AI621" s="112">
        <v>8.333333333333334</v>
      </c>
      <c r="AJ621" s="111">
        <v>0</v>
      </c>
      <c r="AK621" s="112">
        <v>0</v>
      </c>
      <c r="AL621" s="111">
        <v>0</v>
      </c>
      <c r="AM621" s="112">
        <v>0</v>
      </c>
      <c r="AN621" s="111">
        <v>11</v>
      </c>
      <c r="AO621" s="112">
        <v>91.66666666666667</v>
      </c>
      <c r="AP621" s="111">
        <v>12</v>
      </c>
    </row>
    <row r="622" spans="1:42" ht="15">
      <c r="A622" s="65" t="s">
        <v>630</v>
      </c>
      <c r="B622" s="65" t="s">
        <v>631</v>
      </c>
      <c r="C622" s="66" t="s">
        <v>5345</v>
      </c>
      <c r="D622" s="67">
        <v>3</v>
      </c>
      <c r="E622" s="68"/>
      <c r="F622" s="69">
        <v>40</v>
      </c>
      <c r="G622" s="66"/>
      <c r="H622" s="70"/>
      <c r="I622" s="71"/>
      <c r="J622" s="71"/>
      <c r="K622" s="35" t="s">
        <v>65</v>
      </c>
      <c r="L622" s="79">
        <v>622</v>
      </c>
      <c r="M622" s="79"/>
      <c r="N622" s="73"/>
      <c r="O622" s="81" t="s">
        <v>761</v>
      </c>
      <c r="P622" s="81" t="s">
        <v>763</v>
      </c>
      <c r="Q622" s="84" t="s">
        <v>1356</v>
      </c>
      <c r="R622" s="81" t="s">
        <v>630</v>
      </c>
      <c r="S622" s="81" t="s">
        <v>1958</v>
      </c>
      <c r="T622" s="86" t="str">
        <f>HYPERLINK("http://www.youtube.com/channel/UC7hrfW1H_cIIvcg_IeCK2iA")</f>
        <v>http://www.youtube.com/channel/UC7hrfW1H_cIIvcg_IeCK2iA</v>
      </c>
      <c r="U622" s="81" t="s">
        <v>2248</v>
      </c>
      <c r="V622" s="81" t="s">
        <v>2322</v>
      </c>
      <c r="W622" s="86" t="str">
        <f>HYPERLINK("https://www.youtube.com/watch?v=80f3JVN05YQ")</f>
        <v>https://www.youtube.com/watch?v=80f3JVN05YQ</v>
      </c>
      <c r="X622" s="81" t="s">
        <v>2335</v>
      </c>
      <c r="Y622" s="81">
        <v>0</v>
      </c>
      <c r="Z622" s="81" t="s">
        <v>2610</v>
      </c>
      <c r="AA622" s="81" t="s">
        <v>2610</v>
      </c>
      <c r="AB622" s="81"/>
      <c r="AC622" s="81"/>
      <c r="AD622" s="84" t="s">
        <v>2782</v>
      </c>
      <c r="AE622" s="82">
        <v>1</v>
      </c>
      <c r="AF622" s="83" t="str">
        <f>REPLACE(INDEX(GroupVertices[Group],MATCH(Edges[[#This Row],[Vertex 1]],GroupVertices[Vertex],0)),1,1,"")</f>
        <v>3</v>
      </c>
      <c r="AG622" s="83" t="str">
        <f>REPLACE(INDEX(GroupVertices[Group],MATCH(Edges[[#This Row],[Vertex 2]],GroupVertices[Vertex],0)),1,1,"")</f>
        <v>3</v>
      </c>
      <c r="AH622" s="111">
        <v>0</v>
      </c>
      <c r="AI622" s="112">
        <v>0</v>
      </c>
      <c r="AJ622" s="111">
        <v>1</v>
      </c>
      <c r="AK622" s="112">
        <v>4.3478260869565215</v>
      </c>
      <c r="AL622" s="111">
        <v>0</v>
      </c>
      <c r="AM622" s="112">
        <v>0</v>
      </c>
      <c r="AN622" s="111">
        <v>22</v>
      </c>
      <c r="AO622" s="112">
        <v>95.65217391304348</v>
      </c>
      <c r="AP622" s="111">
        <v>23</v>
      </c>
    </row>
    <row r="623" spans="1:42" ht="15">
      <c r="A623" s="65" t="s">
        <v>631</v>
      </c>
      <c r="B623" s="65" t="s">
        <v>631</v>
      </c>
      <c r="C623" s="66" t="s">
        <v>5346</v>
      </c>
      <c r="D623" s="67">
        <v>10</v>
      </c>
      <c r="E623" s="68"/>
      <c r="F623" s="69">
        <v>15</v>
      </c>
      <c r="G623" s="66"/>
      <c r="H623" s="70"/>
      <c r="I623" s="71"/>
      <c r="J623" s="71"/>
      <c r="K623" s="35" t="s">
        <v>65</v>
      </c>
      <c r="L623" s="79">
        <v>623</v>
      </c>
      <c r="M623" s="79"/>
      <c r="N623" s="73"/>
      <c r="O623" s="81" t="s">
        <v>761</v>
      </c>
      <c r="P623" s="81" t="s">
        <v>763</v>
      </c>
      <c r="Q623" s="84" t="s">
        <v>1357</v>
      </c>
      <c r="R623" s="81" t="s">
        <v>631</v>
      </c>
      <c r="S623" s="81" t="s">
        <v>1959</v>
      </c>
      <c r="T623" s="86" t="str">
        <f>HYPERLINK("http://www.youtube.com/channel/UCXK84B42lKBOwSQz4uBPy6A")</f>
        <v>http://www.youtube.com/channel/UCXK84B42lKBOwSQz4uBPy6A</v>
      </c>
      <c r="U623" s="81" t="s">
        <v>2248</v>
      </c>
      <c r="V623" s="81" t="s">
        <v>2322</v>
      </c>
      <c r="W623" s="86" t="str">
        <f>HYPERLINK("https://www.youtube.com/watch?v=80f3JVN05YQ")</f>
        <v>https://www.youtube.com/watch?v=80f3JVN05YQ</v>
      </c>
      <c r="X623" s="81" t="s">
        <v>2335</v>
      </c>
      <c r="Y623" s="81">
        <v>0</v>
      </c>
      <c r="Z623" s="81" t="s">
        <v>2611</v>
      </c>
      <c r="AA623" s="81" t="s">
        <v>2611</v>
      </c>
      <c r="AB623" s="81"/>
      <c r="AC623" s="81"/>
      <c r="AD623" s="84" t="s">
        <v>2782</v>
      </c>
      <c r="AE623" s="82">
        <v>2</v>
      </c>
      <c r="AF623" s="83" t="str">
        <f>REPLACE(INDEX(GroupVertices[Group],MATCH(Edges[[#This Row],[Vertex 1]],GroupVertices[Vertex],0)),1,1,"")</f>
        <v>3</v>
      </c>
      <c r="AG623" s="83" t="str">
        <f>REPLACE(INDEX(GroupVertices[Group],MATCH(Edges[[#This Row],[Vertex 2]],GroupVertices[Vertex],0)),1,1,"")</f>
        <v>3</v>
      </c>
      <c r="AH623" s="111">
        <v>0</v>
      </c>
      <c r="AI623" s="112">
        <v>0</v>
      </c>
      <c r="AJ623" s="111">
        <v>0</v>
      </c>
      <c r="AK623" s="112">
        <v>0</v>
      </c>
      <c r="AL623" s="111">
        <v>0</v>
      </c>
      <c r="AM623" s="112">
        <v>0</v>
      </c>
      <c r="AN623" s="111">
        <v>20</v>
      </c>
      <c r="AO623" s="112">
        <v>100</v>
      </c>
      <c r="AP623" s="111">
        <v>20</v>
      </c>
    </row>
    <row r="624" spans="1:42" ht="15">
      <c r="A624" s="65" t="s">
        <v>623</v>
      </c>
      <c r="B624" s="65" t="s">
        <v>631</v>
      </c>
      <c r="C624" s="66" t="s">
        <v>5345</v>
      </c>
      <c r="D624" s="67">
        <v>3</v>
      </c>
      <c r="E624" s="68"/>
      <c r="F624" s="69">
        <v>40</v>
      </c>
      <c r="G624" s="66"/>
      <c r="H624" s="70"/>
      <c r="I624" s="71"/>
      <c r="J624" s="71"/>
      <c r="K624" s="35" t="s">
        <v>66</v>
      </c>
      <c r="L624" s="79">
        <v>624</v>
      </c>
      <c r="M624" s="79"/>
      <c r="N624" s="73"/>
      <c r="O624" s="81" t="s">
        <v>761</v>
      </c>
      <c r="P624" s="81" t="s">
        <v>763</v>
      </c>
      <c r="Q624" s="84" t="s">
        <v>1358</v>
      </c>
      <c r="R624" s="81" t="s">
        <v>623</v>
      </c>
      <c r="S624" s="81" t="s">
        <v>1951</v>
      </c>
      <c r="T624" s="86" t="str">
        <f>HYPERLINK("http://www.youtube.com/channel/UC2n4MvLJDH2-GWzjJrC58Zw")</f>
        <v>http://www.youtube.com/channel/UC2n4MvLJDH2-GWzjJrC58Zw</v>
      </c>
      <c r="U624" s="81" t="s">
        <v>2248</v>
      </c>
      <c r="V624" s="81" t="s">
        <v>2322</v>
      </c>
      <c r="W624" s="86" t="str">
        <f>HYPERLINK("https://www.youtube.com/watch?v=80f3JVN05YQ")</f>
        <v>https://www.youtube.com/watch?v=80f3JVN05YQ</v>
      </c>
      <c r="X624" s="81" t="s">
        <v>2335</v>
      </c>
      <c r="Y624" s="81">
        <v>1</v>
      </c>
      <c r="Z624" s="81" t="s">
        <v>2612</v>
      </c>
      <c r="AA624" s="81" t="s">
        <v>2612</v>
      </c>
      <c r="AB624" s="81"/>
      <c r="AC624" s="81"/>
      <c r="AD624" s="84" t="s">
        <v>2782</v>
      </c>
      <c r="AE624" s="82">
        <v>1</v>
      </c>
      <c r="AF624" s="83" t="str">
        <f>REPLACE(INDEX(GroupVertices[Group],MATCH(Edges[[#This Row],[Vertex 1]],GroupVertices[Vertex],0)),1,1,"")</f>
        <v>3</v>
      </c>
      <c r="AG624" s="83" t="str">
        <f>REPLACE(INDEX(GroupVertices[Group],MATCH(Edges[[#This Row],[Vertex 2]],GroupVertices[Vertex],0)),1,1,"")</f>
        <v>3</v>
      </c>
      <c r="AH624" s="111">
        <v>0</v>
      </c>
      <c r="AI624" s="112">
        <v>0</v>
      </c>
      <c r="AJ624" s="111">
        <v>0</v>
      </c>
      <c r="AK624" s="112">
        <v>0</v>
      </c>
      <c r="AL624" s="111">
        <v>0</v>
      </c>
      <c r="AM624" s="112">
        <v>0</v>
      </c>
      <c r="AN624" s="111">
        <v>9</v>
      </c>
      <c r="AO624" s="112">
        <v>100</v>
      </c>
      <c r="AP624" s="111">
        <v>9</v>
      </c>
    </row>
    <row r="625" spans="1:42" ht="15">
      <c r="A625" s="65" t="s">
        <v>631</v>
      </c>
      <c r="B625" s="65" t="s">
        <v>631</v>
      </c>
      <c r="C625" s="66" t="s">
        <v>5346</v>
      </c>
      <c r="D625" s="67">
        <v>10</v>
      </c>
      <c r="E625" s="68"/>
      <c r="F625" s="69">
        <v>15</v>
      </c>
      <c r="G625" s="66"/>
      <c r="H625" s="70"/>
      <c r="I625" s="71"/>
      <c r="J625" s="71"/>
      <c r="K625" s="35" t="s">
        <v>65</v>
      </c>
      <c r="L625" s="79">
        <v>625</v>
      </c>
      <c r="M625" s="79"/>
      <c r="N625" s="73"/>
      <c r="O625" s="81" t="s">
        <v>761</v>
      </c>
      <c r="P625" s="81" t="s">
        <v>763</v>
      </c>
      <c r="Q625" s="84" t="s">
        <v>1359</v>
      </c>
      <c r="R625" s="81" t="s">
        <v>631</v>
      </c>
      <c r="S625" s="81" t="s">
        <v>1959</v>
      </c>
      <c r="T625" s="86" t="str">
        <f>HYPERLINK("http://www.youtube.com/channel/UCXK84B42lKBOwSQz4uBPy6A")</f>
        <v>http://www.youtube.com/channel/UCXK84B42lKBOwSQz4uBPy6A</v>
      </c>
      <c r="U625" s="81" t="s">
        <v>2248</v>
      </c>
      <c r="V625" s="81" t="s">
        <v>2322</v>
      </c>
      <c r="W625" s="86" t="str">
        <f>HYPERLINK("https://www.youtube.com/watch?v=80f3JVN05YQ")</f>
        <v>https://www.youtube.com/watch?v=80f3JVN05YQ</v>
      </c>
      <c r="X625" s="81" t="s">
        <v>2335</v>
      </c>
      <c r="Y625" s="81">
        <v>0</v>
      </c>
      <c r="Z625" s="81" t="s">
        <v>2613</v>
      </c>
      <c r="AA625" s="81" t="s">
        <v>2613</v>
      </c>
      <c r="AB625" s="81"/>
      <c r="AC625" s="81"/>
      <c r="AD625" s="84" t="s">
        <v>2782</v>
      </c>
      <c r="AE625" s="82">
        <v>2</v>
      </c>
      <c r="AF625" s="83" t="str">
        <f>REPLACE(INDEX(GroupVertices[Group],MATCH(Edges[[#This Row],[Vertex 1]],GroupVertices[Vertex],0)),1,1,"")</f>
        <v>3</v>
      </c>
      <c r="AG625" s="83" t="str">
        <f>REPLACE(INDEX(GroupVertices[Group],MATCH(Edges[[#This Row],[Vertex 2]],GroupVertices[Vertex],0)),1,1,"")</f>
        <v>3</v>
      </c>
      <c r="AH625" s="111">
        <v>1</v>
      </c>
      <c r="AI625" s="112">
        <v>8.333333333333334</v>
      </c>
      <c r="AJ625" s="111">
        <v>0</v>
      </c>
      <c r="AK625" s="112">
        <v>0</v>
      </c>
      <c r="AL625" s="111">
        <v>0</v>
      </c>
      <c r="AM625" s="112">
        <v>0</v>
      </c>
      <c r="AN625" s="111">
        <v>11</v>
      </c>
      <c r="AO625" s="112">
        <v>91.66666666666667</v>
      </c>
      <c r="AP625" s="111">
        <v>12</v>
      </c>
    </row>
    <row r="626" spans="1:42" ht="15">
      <c r="A626" s="65" t="s">
        <v>631</v>
      </c>
      <c r="B626" s="65" t="s">
        <v>623</v>
      </c>
      <c r="C626" s="66" t="s">
        <v>5345</v>
      </c>
      <c r="D626" s="67">
        <v>3</v>
      </c>
      <c r="E626" s="68"/>
      <c r="F626" s="69">
        <v>40</v>
      </c>
      <c r="G626" s="66"/>
      <c r="H626" s="70"/>
      <c r="I626" s="71"/>
      <c r="J626" s="71"/>
      <c r="K626" s="35" t="s">
        <v>66</v>
      </c>
      <c r="L626" s="79">
        <v>626</v>
      </c>
      <c r="M626" s="79"/>
      <c r="N626" s="73"/>
      <c r="O626" s="81" t="s">
        <v>760</v>
      </c>
      <c r="P626" s="81" t="s">
        <v>215</v>
      </c>
      <c r="Q626" s="84" t="s">
        <v>1360</v>
      </c>
      <c r="R626" s="81" t="s">
        <v>631</v>
      </c>
      <c r="S626" s="81" t="s">
        <v>1959</v>
      </c>
      <c r="T626" s="86" t="str">
        <f>HYPERLINK("http://www.youtube.com/channel/UCXK84B42lKBOwSQz4uBPy6A")</f>
        <v>http://www.youtube.com/channel/UCXK84B42lKBOwSQz4uBPy6A</v>
      </c>
      <c r="U626" s="81"/>
      <c r="V626" s="81" t="s">
        <v>2322</v>
      </c>
      <c r="W626" s="86" t="str">
        <f>HYPERLINK("https://www.youtube.com/watch?v=80f3JVN05YQ")</f>
        <v>https://www.youtube.com/watch?v=80f3JVN05YQ</v>
      </c>
      <c r="X626" s="81" t="s">
        <v>2335</v>
      </c>
      <c r="Y626" s="81">
        <v>2</v>
      </c>
      <c r="Z626" s="81" t="s">
        <v>2614</v>
      </c>
      <c r="AA626" s="81" t="s">
        <v>2614</v>
      </c>
      <c r="AB626" s="81"/>
      <c r="AC626" s="81"/>
      <c r="AD626" s="84" t="s">
        <v>2782</v>
      </c>
      <c r="AE626" s="82">
        <v>1</v>
      </c>
      <c r="AF626" s="83" t="str">
        <f>REPLACE(INDEX(GroupVertices[Group],MATCH(Edges[[#This Row],[Vertex 1]],GroupVertices[Vertex],0)),1,1,"")</f>
        <v>3</v>
      </c>
      <c r="AG626" s="83" t="str">
        <f>REPLACE(INDEX(GroupVertices[Group],MATCH(Edges[[#This Row],[Vertex 2]],GroupVertices[Vertex],0)),1,1,"")</f>
        <v>3</v>
      </c>
      <c r="AH626" s="111">
        <v>0</v>
      </c>
      <c r="AI626" s="112">
        <v>0</v>
      </c>
      <c r="AJ626" s="111">
        <v>0</v>
      </c>
      <c r="AK626" s="112">
        <v>0</v>
      </c>
      <c r="AL626" s="111">
        <v>0</v>
      </c>
      <c r="AM626" s="112">
        <v>0</v>
      </c>
      <c r="AN626" s="111">
        <v>15</v>
      </c>
      <c r="AO626" s="112">
        <v>100</v>
      </c>
      <c r="AP626" s="111">
        <v>15</v>
      </c>
    </row>
    <row r="627" spans="1:42" ht="15">
      <c r="A627" s="65" t="s">
        <v>623</v>
      </c>
      <c r="B627" s="65" t="s">
        <v>632</v>
      </c>
      <c r="C627" s="66" t="s">
        <v>5345</v>
      </c>
      <c r="D627" s="67">
        <v>3</v>
      </c>
      <c r="E627" s="68"/>
      <c r="F627" s="69">
        <v>40</v>
      </c>
      <c r="G627" s="66"/>
      <c r="H627" s="70"/>
      <c r="I627" s="71"/>
      <c r="J627" s="71"/>
      <c r="K627" s="35" t="s">
        <v>66</v>
      </c>
      <c r="L627" s="79">
        <v>627</v>
      </c>
      <c r="M627" s="79"/>
      <c r="N627" s="73"/>
      <c r="O627" s="81" t="s">
        <v>761</v>
      </c>
      <c r="P627" s="81" t="s">
        <v>763</v>
      </c>
      <c r="Q627" s="84" t="s">
        <v>1361</v>
      </c>
      <c r="R627" s="81" t="s">
        <v>623</v>
      </c>
      <c r="S627" s="81" t="s">
        <v>1951</v>
      </c>
      <c r="T627" s="86" t="str">
        <f>HYPERLINK("http://www.youtube.com/channel/UC2n4MvLJDH2-GWzjJrC58Zw")</f>
        <v>http://www.youtube.com/channel/UC2n4MvLJDH2-GWzjJrC58Zw</v>
      </c>
      <c r="U627" s="81" t="s">
        <v>2249</v>
      </c>
      <c r="V627" s="81" t="s">
        <v>2322</v>
      </c>
      <c r="W627" s="86" t="str">
        <f>HYPERLINK("https://www.youtube.com/watch?v=80f3JVN05YQ")</f>
        <v>https://www.youtube.com/watch?v=80f3JVN05YQ</v>
      </c>
      <c r="X627" s="81" t="s">
        <v>2335</v>
      </c>
      <c r="Y627" s="81">
        <v>0</v>
      </c>
      <c r="Z627" s="81" t="s">
        <v>2615</v>
      </c>
      <c r="AA627" s="81" t="s">
        <v>2615</v>
      </c>
      <c r="AB627" s="81"/>
      <c r="AC627" s="81"/>
      <c r="AD627" s="84" t="s">
        <v>2782</v>
      </c>
      <c r="AE627" s="82">
        <v>1</v>
      </c>
      <c r="AF627" s="83" t="str">
        <f>REPLACE(INDEX(GroupVertices[Group],MATCH(Edges[[#This Row],[Vertex 1]],GroupVertices[Vertex],0)),1,1,"")</f>
        <v>3</v>
      </c>
      <c r="AG627" s="83" t="str">
        <f>REPLACE(INDEX(GroupVertices[Group],MATCH(Edges[[#This Row],[Vertex 2]],GroupVertices[Vertex],0)),1,1,"")</f>
        <v>3</v>
      </c>
      <c r="AH627" s="111">
        <v>0</v>
      </c>
      <c r="AI627" s="112">
        <v>0</v>
      </c>
      <c r="AJ627" s="111">
        <v>0</v>
      </c>
      <c r="AK627" s="112">
        <v>0</v>
      </c>
      <c r="AL627" s="111">
        <v>0</v>
      </c>
      <c r="AM627" s="112">
        <v>0</v>
      </c>
      <c r="AN627" s="111">
        <v>10</v>
      </c>
      <c r="AO627" s="112">
        <v>100</v>
      </c>
      <c r="AP627" s="111">
        <v>10</v>
      </c>
    </row>
    <row r="628" spans="1:42" ht="15">
      <c r="A628" s="65" t="s">
        <v>632</v>
      </c>
      <c r="B628" s="65" t="s">
        <v>623</v>
      </c>
      <c r="C628" s="66" t="s">
        <v>5345</v>
      </c>
      <c r="D628" s="67">
        <v>3</v>
      </c>
      <c r="E628" s="68"/>
      <c r="F628" s="69">
        <v>40</v>
      </c>
      <c r="G628" s="66"/>
      <c r="H628" s="70"/>
      <c r="I628" s="71"/>
      <c r="J628" s="71"/>
      <c r="K628" s="35" t="s">
        <v>66</v>
      </c>
      <c r="L628" s="79">
        <v>628</v>
      </c>
      <c r="M628" s="79"/>
      <c r="N628" s="73"/>
      <c r="O628" s="81" t="s">
        <v>760</v>
      </c>
      <c r="P628" s="81" t="s">
        <v>215</v>
      </c>
      <c r="Q628" s="84" t="s">
        <v>1362</v>
      </c>
      <c r="R628" s="81" t="s">
        <v>632</v>
      </c>
      <c r="S628" s="81" t="s">
        <v>1960</v>
      </c>
      <c r="T628" s="86" t="str">
        <f>HYPERLINK("http://www.youtube.com/channel/UCDSNPbJEtk6sci5Rn0TY1LA")</f>
        <v>http://www.youtube.com/channel/UCDSNPbJEtk6sci5Rn0TY1LA</v>
      </c>
      <c r="U628" s="81"/>
      <c r="V628" s="81" t="s">
        <v>2322</v>
      </c>
      <c r="W628" s="86" t="str">
        <f>HYPERLINK("https://www.youtube.com/watch?v=80f3JVN05YQ")</f>
        <v>https://www.youtube.com/watch?v=80f3JVN05YQ</v>
      </c>
      <c r="X628" s="81" t="s">
        <v>2335</v>
      </c>
      <c r="Y628" s="81">
        <v>0</v>
      </c>
      <c r="Z628" s="81" t="s">
        <v>2616</v>
      </c>
      <c r="AA628" s="81" t="s">
        <v>2616</v>
      </c>
      <c r="AB628" s="81"/>
      <c r="AC628" s="81"/>
      <c r="AD628" s="84" t="s">
        <v>2782</v>
      </c>
      <c r="AE628" s="82">
        <v>1</v>
      </c>
      <c r="AF628" s="83" t="str">
        <f>REPLACE(INDEX(GroupVertices[Group],MATCH(Edges[[#This Row],[Vertex 1]],GroupVertices[Vertex],0)),1,1,"")</f>
        <v>3</v>
      </c>
      <c r="AG628" s="83" t="str">
        <f>REPLACE(INDEX(GroupVertices[Group],MATCH(Edges[[#This Row],[Vertex 2]],GroupVertices[Vertex],0)),1,1,"")</f>
        <v>3</v>
      </c>
      <c r="AH628" s="111">
        <v>0</v>
      </c>
      <c r="AI628" s="112">
        <v>0</v>
      </c>
      <c r="AJ628" s="111">
        <v>0</v>
      </c>
      <c r="AK628" s="112">
        <v>0</v>
      </c>
      <c r="AL628" s="111">
        <v>0</v>
      </c>
      <c r="AM628" s="112">
        <v>0</v>
      </c>
      <c r="AN628" s="111">
        <v>10</v>
      </c>
      <c r="AO628" s="112">
        <v>100</v>
      </c>
      <c r="AP628" s="111">
        <v>10</v>
      </c>
    </row>
    <row r="629" spans="1:42" ht="15">
      <c r="A629" s="65" t="s">
        <v>623</v>
      </c>
      <c r="B629" s="65" t="s">
        <v>633</v>
      </c>
      <c r="C629" s="66" t="s">
        <v>5345</v>
      </c>
      <c r="D629" s="67">
        <v>3</v>
      </c>
      <c r="E629" s="68"/>
      <c r="F629" s="69">
        <v>40</v>
      </c>
      <c r="G629" s="66"/>
      <c r="H629" s="70"/>
      <c r="I629" s="71"/>
      <c r="J629" s="71"/>
      <c r="K629" s="35" t="s">
        <v>66</v>
      </c>
      <c r="L629" s="79">
        <v>629</v>
      </c>
      <c r="M629" s="79"/>
      <c r="N629" s="73"/>
      <c r="O629" s="81" t="s">
        <v>761</v>
      </c>
      <c r="P629" s="81" t="s">
        <v>763</v>
      </c>
      <c r="Q629" s="84" t="s">
        <v>1363</v>
      </c>
      <c r="R629" s="81" t="s">
        <v>623</v>
      </c>
      <c r="S629" s="81" t="s">
        <v>1951</v>
      </c>
      <c r="T629" s="86" t="str">
        <f>HYPERLINK("http://www.youtube.com/channel/UC2n4MvLJDH2-GWzjJrC58Zw")</f>
        <v>http://www.youtube.com/channel/UC2n4MvLJDH2-GWzjJrC58Zw</v>
      </c>
      <c r="U629" s="81" t="s">
        <v>2250</v>
      </c>
      <c r="V629" s="81" t="s">
        <v>2322</v>
      </c>
      <c r="W629" s="86" t="str">
        <f>HYPERLINK("https://www.youtube.com/watch?v=80f3JVN05YQ")</f>
        <v>https://www.youtube.com/watch?v=80f3JVN05YQ</v>
      </c>
      <c r="X629" s="81" t="s">
        <v>2335</v>
      </c>
      <c r="Y629" s="81">
        <v>0</v>
      </c>
      <c r="Z629" s="81" t="s">
        <v>2617</v>
      </c>
      <c r="AA629" s="81" t="s">
        <v>2617</v>
      </c>
      <c r="AB629" s="81"/>
      <c r="AC629" s="81"/>
      <c r="AD629" s="84" t="s">
        <v>2782</v>
      </c>
      <c r="AE629" s="82">
        <v>1</v>
      </c>
      <c r="AF629" s="83" t="str">
        <f>REPLACE(INDEX(GroupVertices[Group],MATCH(Edges[[#This Row],[Vertex 1]],GroupVertices[Vertex],0)),1,1,"")</f>
        <v>3</v>
      </c>
      <c r="AG629" s="83" t="str">
        <f>REPLACE(INDEX(GroupVertices[Group],MATCH(Edges[[#This Row],[Vertex 2]],GroupVertices[Vertex],0)),1,1,"")</f>
        <v>3</v>
      </c>
      <c r="AH629" s="111">
        <v>1</v>
      </c>
      <c r="AI629" s="112">
        <v>50</v>
      </c>
      <c r="AJ629" s="111">
        <v>0</v>
      </c>
      <c r="AK629" s="112">
        <v>0</v>
      </c>
      <c r="AL629" s="111">
        <v>0</v>
      </c>
      <c r="AM629" s="112">
        <v>0</v>
      </c>
      <c r="AN629" s="111">
        <v>1</v>
      </c>
      <c r="AO629" s="112">
        <v>50</v>
      </c>
      <c r="AP629" s="111">
        <v>2</v>
      </c>
    </row>
    <row r="630" spans="1:42" ht="15">
      <c r="A630" s="65" t="s">
        <v>633</v>
      </c>
      <c r="B630" s="65" t="s">
        <v>623</v>
      </c>
      <c r="C630" s="66" t="s">
        <v>5345</v>
      </c>
      <c r="D630" s="67">
        <v>3</v>
      </c>
      <c r="E630" s="68"/>
      <c r="F630" s="69">
        <v>40</v>
      </c>
      <c r="G630" s="66"/>
      <c r="H630" s="70"/>
      <c r="I630" s="71"/>
      <c r="J630" s="71"/>
      <c r="K630" s="35" t="s">
        <v>66</v>
      </c>
      <c r="L630" s="79">
        <v>630</v>
      </c>
      <c r="M630" s="79"/>
      <c r="N630" s="73"/>
      <c r="O630" s="81" t="s">
        <v>760</v>
      </c>
      <c r="P630" s="81" t="s">
        <v>215</v>
      </c>
      <c r="Q630" s="84" t="s">
        <v>1364</v>
      </c>
      <c r="R630" s="81" t="s">
        <v>633</v>
      </c>
      <c r="S630" s="81" t="s">
        <v>1961</v>
      </c>
      <c r="T630" s="86" t="str">
        <f>HYPERLINK("http://www.youtube.com/channel/UCuX1jvSOxY9Gn6bAj1R77Xw")</f>
        <v>http://www.youtube.com/channel/UCuX1jvSOxY9Gn6bAj1R77Xw</v>
      </c>
      <c r="U630" s="81"/>
      <c r="V630" s="81" t="s">
        <v>2322</v>
      </c>
      <c r="W630" s="86" t="str">
        <f>HYPERLINK("https://www.youtube.com/watch?v=80f3JVN05YQ")</f>
        <v>https://www.youtube.com/watch?v=80f3JVN05YQ</v>
      </c>
      <c r="X630" s="81" t="s">
        <v>2335</v>
      </c>
      <c r="Y630" s="81">
        <v>0</v>
      </c>
      <c r="Z630" s="81" t="s">
        <v>2618</v>
      </c>
      <c r="AA630" s="81" t="s">
        <v>2618</v>
      </c>
      <c r="AB630" s="81"/>
      <c r="AC630" s="81"/>
      <c r="AD630" s="84" t="s">
        <v>2782</v>
      </c>
      <c r="AE630" s="82">
        <v>1</v>
      </c>
      <c r="AF630" s="83" t="str">
        <f>REPLACE(INDEX(GroupVertices[Group],MATCH(Edges[[#This Row],[Vertex 1]],GroupVertices[Vertex],0)),1,1,"")</f>
        <v>3</v>
      </c>
      <c r="AG630" s="83" t="str">
        <f>REPLACE(INDEX(GroupVertices[Group],MATCH(Edges[[#This Row],[Vertex 2]],GroupVertices[Vertex],0)),1,1,"")</f>
        <v>3</v>
      </c>
      <c r="AH630" s="111">
        <v>2</v>
      </c>
      <c r="AI630" s="112">
        <v>25</v>
      </c>
      <c r="AJ630" s="111">
        <v>0</v>
      </c>
      <c r="AK630" s="112">
        <v>0</v>
      </c>
      <c r="AL630" s="111">
        <v>0</v>
      </c>
      <c r="AM630" s="112">
        <v>0</v>
      </c>
      <c r="AN630" s="111">
        <v>6</v>
      </c>
      <c r="AO630" s="112">
        <v>75</v>
      </c>
      <c r="AP630" s="111">
        <v>8</v>
      </c>
    </row>
    <row r="631" spans="1:42" ht="15">
      <c r="A631" s="65" t="s">
        <v>634</v>
      </c>
      <c r="B631" s="65" t="s">
        <v>635</v>
      </c>
      <c r="C631" s="66" t="s">
        <v>5345</v>
      </c>
      <c r="D631" s="67">
        <v>3</v>
      </c>
      <c r="E631" s="68"/>
      <c r="F631" s="69">
        <v>40</v>
      </c>
      <c r="G631" s="66"/>
      <c r="H631" s="70"/>
      <c r="I631" s="71"/>
      <c r="J631" s="71"/>
      <c r="K631" s="35" t="s">
        <v>65</v>
      </c>
      <c r="L631" s="79">
        <v>631</v>
      </c>
      <c r="M631" s="79"/>
      <c r="N631" s="73"/>
      <c r="O631" s="81" t="s">
        <v>761</v>
      </c>
      <c r="P631" s="81" t="s">
        <v>763</v>
      </c>
      <c r="Q631" s="84" t="s">
        <v>1365</v>
      </c>
      <c r="R631" s="81" t="s">
        <v>634</v>
      </c>
      <c r="S631" s="81" t="s">
        <v>1962</v>
      </c>
      <c r="T631" s="86" t="str">
        <f>HYPERLINK("http://www.youtube.com/channel/UCVc8LVaK5eBW8Qpk6mzzieA")</f>
        <v>http://www.youtube.com/channel/UCVc8LVaK5eBW8Qpk6mzzieA</v>
      </c>
      <c r="U631" s="81" t="s">
        <v>2251</v>
      </c>
      <c r="V631" s="81" t="s">
        <v>2322</v>
      </c>
      <c r="W631" s="86" t="str">
        <f>HYPERLINK("https://www.youtube.com/watch?v=80f3JVN05YQ")</f>
        <v>https://www.youtube.com/watch?v=80f3JVN05YQ</v>
      </c>
      <c r="X631" s="81" t="s">
        <v>2335</v>
      </c>
      <c r="Y631" s="81">
        <v>0</v>
      </c>
      <c r="Z631" s="81" t="s">
        <v>2619</v>
      </c>
      <c r="AA631" s="81" t="s">
        <v>2619</v>
      </c>
      <c r="AB631" s="81"/>
      <c r="AC631" s="81"/>
      <c r="AD631" s="84" t="s">
        <v>2782</v>
      </c>
      <c r="AE631" s="82">
        <v>1</v>
      </c>
      <c r="AF631" s="83" t="str">
        <f>REPLACE(INDEX(GroupVertices[Group],MATCH(Edges[[#This Row],[Vertex 1]],GroupVertices[Vertex],0)),1,1,"")</f>
        <v>3</v>
      </c>
      <c r="AG631" s="83" t="str">
        <f>REPLACE(INDEX(GroupVertices[Group],MATCH(Edges[[#This Row],[Vertex 2]],GroupVertices[Vertex],0)),1,1,"")</f>
        <v>3</v>
      </c>
      <c r="AH631" s="111">
        <v>0</v>
      </c>
      <c r="AI631" s="112">
        <v>0</v>
      </c>
      <c r="AJ631" s="111">
        <v>0</v>
      </c>
      <c r="AK631" s="112">
        <v>0</v>
      </c>
      <c r="AL631" s="111">
        <v>0</v>
      </c>
      <c r="AM631" s="112">
        <v>0</v>
      </c>
      <c r="AN631" s="111">
        <v>3</v>
      </c>
      <c r="AO631" s="112">
        <v>100</v>
      </c>
      <c r="AP631" s="111">
        <v>3</v>
      </c>
    </row>
    <row r="632" spans="1:42" ht="15">
      <c r="A632" s="65" t="s">
        <v>635</v>
      </c>
      <c r="B632" s="65" t="s">
        <v>623</v>
      </c>
      <c r="C632" s="66" t="s">
        <v>5345</v>
      </c>
      <c r="D632" s="67">
        <v>3</v>
      </c>
      <c r="E632" s="68"/>
      <c r="F632" s="69">
        <v>40</v>
      </c>
      <c r="G632" s="66"/>
      <c r="H632" s="70"/>
      <c r="I632" s="71"/>
      <c r="J632" s="71"/>
      <c r="K632" s="35" t="s">
        <v>65</v>
      </c>
      <c r="L632" s="79">
        <v>632</v>
      </c>
      <c r="M632" s="79"/>
      <c r="N632" s="73"/>
      <c r="O632" s="81" t="s">
        <v>760</v>
      </c>
      <c r="P632" s="81" t="s">
        <v>215</v>
      </c>
      <c r="Q632" s="84" t="s">
        <v>1366</v>
      </c>
      <c r="R632" s="81" t="s">
        <v>635</v>
      </c>
      <c r="S632" s="81" t="s">
        <v>1963</v>
      </c>
      <c r="T632" s="86" t="str">
        <f>HYPERLINK("http://www.youtube.com/channel/UC5y07HNM6EZyTiXkfQSucaw")</f>
        <v>http://www.youtube.com/channel/UC5y07HNM6EZyTiXkfQSucaw</v>
      </c>
      <c r="U632" s="81"/>
      <c r="V632" s="81" t="s">
        <v>2322</v>
      </c>
      <c r="W632" s="86" t="str">
        <f>HYPERLINK("https://www.youtube.com/watch?v=80f3JVN05YQ")</f>
        <v>https://www.youtube.com/watch?v=80f3JVN05YQ</v>
      </c>
      <c r="X632" s="81" t="s">
        <v>2335</v>
      </c>
      <c r="Y632" s="81">
        <v>0</v>
      </c>
      <c r="Z632" s="81" t="s">
        <v>2620</v>
      </c>
      <c r="AA632" s="81" t="s">
        <v>2620</v>
      </c>
      <c r="AB632" s="81"/>
      <c r="AC632" s="81"/>
      <c r="AD632" s="84" t="s">
        <v>2782</v>
      </c>
      <c r="AE632" s="82">
        <v>1</v>
      </c>
      <c r="AF632" s="83" t="str">
        <f>REPLACE(INDEX(GroupVertices[Group],MATCH(Edges[[#This Row],[Vertex 1]],GroupVertices[Vertex],0)),1,1,"")</f>
        <v>3</v>
      </c>
      <c r="AG632" s="83" t="str">
        <f>REPLACE(INDEX(GroupVertices[Group],MATCH(Edges[[#This Row],[Vertex 2]],GroupVertices[Vertex],0)),1,1,"")</f>
        <v>3</v>
      </c>
      <c r="AH632" s="111">
        <v>0</v>
      </c>
      <c r="AI632" s="112">
        <v>0</v>
      </c>
      <c r="AJ632" s="111">
        <v>0</v>
      </c>
      <c r="AK632" s="112">
        <v>0</v>
      </c>
      <c r="AL632" s="111">
        <v>0</v>
      </c>
      <c r="AM632" s="112">
        <v>0</v>
      </c>
      <c r="AN632" s="111">
        <v>8</v>
      </c>
      <c r="AO632" s="112">
        <v>100</v>
      </c>
      <c r="AP632" s="111">
        <v>8</v>
      </c>
    </row>
    <row r="633" spans="1:42" ht="15">
      <c r="A633" s="65" t="s">
        <v>623</v>
      </c>
      <c r="B633" s="65" t="s">
        <v>636</v>
      </c>
      <c r="C633" s="66" t="s">
        <v>5346</v>
      </c>
      <c r="D633" s="67">
        <v>10</v>
      </c>
      <c r="E633" s="68"/>
      <c r="F633" s="69">
        <v>15</v>
      </c>
      <c r="G633" s="66"/>
      <c r="H633" s="70"/>
      <c r="I633" s="71"/>
      <c r="J633" s="71"/>
      <c r="K633" s="35" t="s">
        <v>66</v>
      </c>
      <c r="L633" s="79">
        <v>633</v>
      </c>
      <c r="M633" s="79"/>
      <c r="N633" s="73"/>
      <c r="O633" s="81" t="s">
        <v>761</v>
      </c>
      <c r="P633" s="81" t="s">
        <v>763</v>
      </c>
      <c r="Q633" s="84" t="s">
        <v>1367</v>
      </c>
      <c r="R633" s="81" t="s">
        <v>623</v>
      </c>
      <c r="S633" s="81" t="s">
        <v>1951</v>
      </c>
      <c r="T633" s="86" t="str">
        <f>HYPERLINK("http://www.youtube.com/channel/UC2n4MvLJDH2-GWzjJrC58Zw")</f>
        <v>http://www.youtube.com/channel/UC2n4MvLJDH2-GWzjJrC58Zw</v>
      </c>
      <c r="U633" s="81" t="s">
        <v>2247</v>
      </c>
      <c r="V633" s="81" t="s">
        <v>2322</v>
      </c>
      <c r="W633" s="86" t="str">
        <f>HYPERLINK("https://www.youtube.com/watch?v=80f3JVN05YQ")</f>
        <v>https://www.youtube.com/watch?v=80f3JVN05YQ</v>
      </c>
      <c r="X633" s="81" t="s">
        <v>2335</v>
      </c>
      <c r="Y633" s="81">
        <v>1</v>
      </c>
      <c r="Z633" s="81" t="s">
        <v>2621</v>
      </c>
      <c r="AA633" s="81" t="s">
        <v>2621</v>
      </c>
      <c r="AB633" s="81" t="s">
        <v>2766</v>
      </c>
      <c r="AC633" s="81" t="s">
        <v>2777</v>
      </c>
      <c r="AD633" s="84" t="s">
        <v>2782</v>
      </c>
      <c r="AE633" s="82">
        <v>2</v>
      </c>
      <c r="AF633" s="83" t="str">
        <f>REPLACE(INDEX(GroupVertices[Group],MATCH(Edges[[#This Row],[Vertex 1]],GroupVertices[Vertex],0)),1,1,"")</f>
        <v>3</v>
      </c>
      <c r="AG633" s="83" t="str">
        <f>REPLACE(INDEX(GroupVertices[Group],MATCH(Edges[[#This Row],[Vertex 2]],GroupVertices[Vertex],0)),1,1,"")</f>
        <v>3</v>
      </c>
      <c r="AH633" s="111">
        <v>0</v>
      </c>
      <c r="AI633" s="112">
        <v>0</v>
      </c>
      <c r="AJ633" s="111">
        <v>0</v>
      </c>
      <c r="AK633" s="112">
        <v>0</v>
      </c>
      <c r="AL633" s="111">
        <v>0</v>
      </c>
      <c r="AM633" s="112">
        <v>0</v>
      </c>
      <c r="AN633" s="111">
        <v>37</v>
      </c>
      <c r="AO633" s="112">
        <v>100</v>
      </c>
      <c r="AP633" s="111">
        <v>37</v>
      </c>
    </row>
    <row r="634" spans="1:42" ht="15">
      <c r="A634" s="65" t="s">
        <v>636</v>
      </c>
      <c r="B634" s="65" t="s">
        <v>636</v>
      </c>
      <c r="C634" s="66" t="s">
        <v>5345</v>
      </c>
      <c r="D634" s="67">
        <v>3</v>
      </c>
      <c r="E634" s="68"/>
      <c r="F634" s="69">
        <v>40</v>
      </c>
      <c r="G634" s="66"/>
      <c r="H634" s="70"/>
      <c r="I634" s="71"/>
      <c r="J634" s="71"/>
      <c r="K634" s="35" t="s">
        <v>65</v>
      </c>
      <c r="L634" s="79">
        <v>634</v>
      </c>
      <c r="M634" s="79"/>
      <c r="N634" s="73"/>
      <c r="O634" s="81" t="s">
        <v>761</v>
      </c>
      <c r="P634" s="81" t="s">
        <v>763</v>
      </c>
      <c r="Q634" s="84" t="s">
        <v>1368</v>
      </c>
      <c r="R634" s="81" t="s">
        <v>636</v>
      </c>
      <c r="S634" s="81" t="s">
        <v>1964</v>
      </c>
      <c r="T634" s="86" t="str">
        <f>HYPERLINK("http://www.youtube.com/channel/UCgdFUdO62xb3WG9XyV2ZBwg")</f>
        <v>http://www.youtube.com/channel/UCgdFUdO62xb3WG9XyV2ZBwg</v>
      </c>
      <c r="U634" s="81" t="s">
        <v>2247</v>
      </c>
      <c r="V634" s="81" t="s">
        <v>2322</v>
      </c>
      <c r="W634" s="86" t="str">
        <f>HYPERLINK("https://www.youtube.com/watch?v=80f3JVN05YQ")</f>
        <v>https://www.youtube.com/watch?v=80f3JVN05YQ</v>
      </c>
      <c r="X634" s="81" t="s">
        <v>2335</v>
      </c>
      <c r="Y634" s="81">
        <v>0</v>
      </c>
      <c r="Z634" s="81" t="s">
        <v>2622</v>
      </c>
      <c r="AA634" s="81" t="s">
        <v>2622</v>
      </c>
      <c r="AB634" s="81"/>
      <c r="AC634" s="81"/>
      <c r="AD634" s="84" t="s">
        <v>2782</v>
      </c>
      <c r="AE634" s="82">
        <v>1</v>
      </c>
      <c r="AF634" s="83" t="str">
        <f>REPLACE(INDEX(GroupVertices[Group],MATCH(Edges[[#This Row],[Vertex 1]],GroupVertices[Vertex],0)),1,1,"")</f>
        <v>3</v>
      </c>
      <c r="AG634" s="83" t="str">
        <f>REPLACE(INDEX(GroupVertices[Group],MATCH(Edges[[#This Row],[Vertex 2]],GroupVertices[Vertex],0)),1,1,"")</f>
        <v>3</v>
      </c>
      <c r="AH634" s="111">
        <v>2</v>
      </c>
      <c r="AI634" s="112">
        <v>22.22222222222222</v>
      </c>
      <c r="AJ634" s="111">
        <v>0</v>
      </c>
      <c r="AK634" s="112">
        <v>0</v>
      </c>
      <c r="AL634" s="111">
        <v>0</v>
      </c>
      <c r="AM634" s="112">
        <v>0</v>
      </c>
      <c r="AN634" s="111">
        <v>7</v>
      </c>
      <c r="AO634" s="112">
        <v>77.77777777777777</v>
      </c>
      <c r="AP634" s="111">
        <v>9</v>
      </c>
    </row>
    <row r="635" spans="1:42" ht="15">
      <c r="A635" s="65" t="s">
        <v>636</v>
      </c>
      <c r="B635" s="65" t="s">
        <v>623</v>
      </c>
      <c r="C635" s="66" t="s">
        <v>5346</v>
      </c>
      <c r="D635" s="67">
        <v>10</v>
      </c>
      <c r="E635" s="68"/>
      <c r="F635" s="69">
        <v>15</v>
      </c>
      <c r="G635" s="66"/>
      <c r="H635" s="70"/>
      <c r="I635" s="71"/>
      <c r="J635" s="71"/>
      <c r="K635" s="35" t="s">
        <v>66</v>
      </c>
      <c r="L635" s="79">
        <v>635</v>
      </c>
      <c r="M635" s="79"/>
      <c r="N635" s="73"/>
      <c r="O635" s="81" t="s">
        <v>760</v>
      </c>
      <c r="P635" s="81" t="s">
        <v>215</v>
      </c>
      <c r="Q635" s="84" t="s">
        <v>1369</v>
      </c>
      <c r="R635" s="81" t="s">
        <v>636</v>
      </c>
      <c r="S635" s="81" t="s">
        <v>1964</v>
      </c>
      <c r="T635" s="86" t="str">
        <f>HYPERLINK("http://www.youtube.com/channel/UCgdFUdO62xb3WG9XyV2ZBwg")</f>
        <v>http://www.youtube.com/channel/UCgdFUdO62xb3WG9XyV2ZBwg</v>
      </c>
      <c r="U635" s="81"/>
      <c r="V635" s="81" t="s">
        <v>2322</v>
      </c>
      <c r="W635" s="86" t="str">
        <f>HYPERLINK("https://www.youtube.com/watch?v=80f3JVN05YQ")</f>
        <v>https://www.youtube.com/watch?v=80f3JVN05YQ</v>
      </c>
      <c r="X635" s="81" t="s">
        <v>2335</v>
      </c>
      <c r="Y635" s="81">
        <v>1</v>
      </c>
      <c r="Z635" s="81" t="s">
        <v>2623</v>
      </c>
      <c r="AA635" s="81" t="s">
        <v>2623</v>
      </c>
      <c r="AB635" s="81"/>
      <c r="AC635" s="81"/>
      <c r="AD635" s="84" t="s">
        <v>2782</v>
      </c>
      <c r="AE635" s="82">
        <v>2</v>
      </c>
      <c r="AF635" s="83" t="str">
        <f>REPLACE(INDEX(GroupVertices[Group],MATCH(Edges[[#This Row],[Vertex 1]],GroupVertices[Vertex],0)),1,1,"")</f>
        <v>3</v>
      </c>
      <c r="AG635" s="83" t="str">
        <f>REPLACE(INDEX(GroupVertices[Group],MATCH(Edges[[#This Row],[Vertex 2]],GroupVertices[Vertex],0)),1,1,"")</f>
        <v>3</v>
      </c>
      <c r="AH635" s="111">
        <v>1</v>
      </c>
      <c r="AI635" s="112">
        <v>2.5641025641025643</v>
      </c>
      <c r="AJ635" s="111">
        <v>0</v>
      </c>
      <c r="AK635" s="112">
        <v>0</v>
      </c>
      <c r="AL635" s="111">
        <v>0</v>
      </c>
      <c r="AM635" s="112">
        <v>0</v>
      </c>
      <c r="AN635" s="111">
        <v>38</v>
      </c>
      <c r="AO635" s="112">
        <v>97.43589743589743</v>
      </c>
      <c r="AP635" s="111">
        <v>39</v>
      </c>
    </row>
    <row r="636" spans="1:42" ht="15">
      <c r="A636" s="65" t="s">
        <v>623</v>
      </c>
      <c r="B636" s="65" t="s">
        <v>636</v>
      </c>
      <c r="C636" s="66" t="s">
        <v>5346</v>
      </c>
      <c r="D636" s="67">
        <v>10</v>
      </c>
      <c r="E636" s="68"/>
      <c r="F636" s="69">
        <v>15</v>
      </c>
      <c r="G636" s="66"/>
      <c r="H636" s="70"/>
      <c r="I636" s="71"/>
      <c r="J636" s="71"/>
      <c r="K636" s="35" t="s">
        <v>66</v>
      </c>
      <c r="L636" s="79">
        <v>636</v>
      </c>
      <c r="M636" s="79"/>
      <c r="N636" s="73"/>
      <c r="O636" s="81" t="s">
        <v>761</v>
      </c>
      <c r="P636" s="81" t="s">
        <v>763</v>
      </c>
      <c r="Q636" s="84" t="s">
        <v>1370</v>
      </c>
      <c r="R636" s="81" t="s">
        <v>623</v>
      </c>
      <c r="S636" s="81" t="s">
        <v>1951</v>
      </c>
      <c r="T636" s="86" t="str">
        <f>HYPERLINK("http://www.youtube.com/channel/UC2n4MvLJDH2-GWzjJrC58Zw")</f>
        <v>http://www.youtube.com/channel/UC2n4MvLJDH2-GWzjJrC58Zw</v>
      </c>
      <c r="U636" s="81" t="s">
        <v>2252</v>
      </c>
      <c r="V636" s="81" t="s">
        <v>2322</v>
      </c>
      <c r="W636" s="86" t="str">
        <f>HYPERLINK("https://www.youtube.com/watch?v=80f3JVN05YQ")</f>
        <v>https://www.youtube.com/watch?v=80f3JVN05YQ</v>
      </c>
      <c r="X636" s="81" t="s">
        <v>2335</v>
      </c>
      <c r="Y636" s="81">
        <v>1</v>
      </c>
      <c r="Z636" s="81" t="s">
        <v>2624</v>
      </c>
      <c r="AA636" s="81" t="s">
        <v>2624</v>
      </c>
      <c r="AB636" s="81"/>
      <c r="AC636" s="81"/>
      <c r="AD636" s="84" t="s">
        <v>2782</v>
      </c>
      <c r="AE636" s="82">
        <v>2</v>
      </c>
      <c r="AF636" s="83" t="str">
        <f>REPLACE(INDEX(GroupVertices[Group],MATCH(Edges[[#This Row],[Vertex 1]],GroupVertices[Vertex],0)),1,1,"")</f>
        <v>3</v>
      </c>
      <c r="AG636" s="83" t="str">
        <f>REPLACE(INDEX(GroupVertices[Group],MATCH(Edges[[#This Row],[Vertex 2]],GroupVertices[Vertex],0)),1,1,"")</f>
        <v>3</v>
      </c>
      <c r="AH636" s="111">
        <v>0</v>
      </c>
      <c r="AI636" s="112">
        <v>0</v>
      </c>
      <c r="AJ636" s="111">
        <v>0</v>
      </c>
      <c r="AK636" s="112">
        <v>0</v>
      </c>
      <c r="AL636" s="111">
        <v>0</v>
      </c>
      <c r="AM636" s="112">
        <v>0</v>
      </c>
      <c r="AN636" s="111">
        <v>4</v>
      </c>
      <c r="AO636" s="112">
        <v>100</v>
      </c>
      <c r="AP636" s="111">
        <v>4</v>
      </c>
    </row>
    <row r="637" spans="1:42" ht="15">
      <c r="A637" s="65" t="s">
        <v>636</v>
      </c>
      <c r="B637" s="65" t="s">
        <v>623</v>
      </c>
      <c r="C637" s="66" t="s">
        <v>5346</v>
      </c>
      <c r="D637" s="67">
        <v>10</v>
      </c>
      <c r="E637" s="68"/>
      <c r="F637" s="69">
        <v>15</v>
      </c>
      <c r="G637" s="66"/>
      <c r="H637" s="70"/>
      <c r="I637" s="71"/>
      <c r="J637" s="71"/>
      <c r="K637" s="35" t="s">
        <v>66</v>
      </c>
      <c r="L637" s="79">
        <v>637</v>
      </c>
      <c r="M637" s="79"/>
      <c r="N637" s="73"/>
      <c r="O637" s="81" t="s">
        <v>760</v>
      </c>
      <c r="P637" s="81" t="s">
        <v>215</v>
      </c>
      <c r="Q637" s="84" t="s">
        <v>1371</v>
      </c>
      <c r="R637" s="81" t="s">
        <v>636</v>
      </c>
      <c r="S637" s="81" t="s">
        <v>1964</v>
      </c>
      <c r="T637" s="86" t="str">
        <f>HYPERLINK("http://www.youtube.com/channel/UCgdFUdO62xb3WG9XyV2ZBwg")</f>
        <v>http://www.youtube.com/channel/UCgdFUdO62xb3WG9XyV2ZBwg</v>
      </c>
      <c r="U637" s="81"/>
      <c r="V637" s="81" t="s">
        <v>2322</v>
      </c>
      <c r="W637" s="86" t="str">
        <f>HYPERLINK("https://www.youtube.com/watch?v=80f3JVN05YQ")</f>
        <v>https://www.youtube.com/watch?v=80f3JVN05YQ</v>
      </c>
      <c r="X637" s="81" t="s">
        <v>2335</v>
      </c>
      <c r="Y637" s="81">
        <v>0</v>
      </c>
      <c r="Z637" s="81" t="s">
        <v>2625</v>
      </c>
      <c r="AA637" s="81" t="s">
        <v>2625</v>
      </c>
      <c r="AB637" s="81"/>
      <c r="AC637" s="81"/>
      <c r="AD637" s="84" t="s">
        <v>2782</v>
      </c>
      <c r="AE637" s="82">
        <v>2</v>
      </c>
      <c r="AF637" s="83" t="str">
        <f>REPLACE(INDEX(GroupVertices[Group],MATCH(Edges[[#This Row],[Vertex 1]],GroupVertices[Vertex],0)),1,1,"")</f>
        <v>3</v>
      </c>
      <c r="AG637" s="83" t="str">
        <f>REPLACE(INDEX(GroupVertices[Group],MATCH(Edges[[#This Row],[Vertex 2]],GroupVertices[Vertex],0)),1,1,"")</f>
        <v>3</v>
      </c>
      <c r="AH637" s="111">
        <v>0</v>
      </c>
      <c r="AI637" s="112">
        <v>0</v>
      </c>
      <c r="AJ637" s="111">
        <v>1</v>
      </c>
      <c r="AK637" s="112">
        <v>3.125</v>
      </c>
      <c r="AL637" s="111">
        <v>0</v>
      </c>
      <c r="AM637" s="112">
        <v>0</v>
      </c>
      <c r="AN637" s="111">
        <v>31</v>
      </c>
      <c r="AO637" s="112">
        <v>96.875</v>
      </c>
      <c r="AP637" s="111">
        <v>32</v>
      </c>
    </row>
    <row r="638" spans="1:42" ht="15">
      <c r="A638" s="65" t="s">
        <v>637</v>
      </c>
      <c r="B638" s="65" t="s">
        <v>638</v>
      </c>
      <c r="C638" s="66" t="s">
        <v>5345</v>
      </c>
      <c r="D638" s="67">
        <v>3</v>
      </c>
      <c r="E638" s="68"/>
      <c r="F638" s="69">
        <v>40</v>
      </c>
      <c r="G638" s="66"/>
      <c r="H638" s="70"/>
      <c r="I638" s="71"/>
      <c r="J638" s="71"/>
      <c r="K638" s="35" t="s">
        <v>65</v>
      </c>
      <c r="L638" s="79">
        <v>638</v>
      </c>
      <c r="M638" s="79"/>
      <c r="N638" s="73"/>
      <c r="O638" s="81" t="s">
        <v>761</v>
      </c>
      <c r="P638" s="81" t="s">
        <v>763</v>
      </c>
      <c r="Q638" s="84" t="s">
        <v>1372</v>
      </c>
      <c r="R638" s="81" t="s">
        <v>637</v>
      </c>
      <c r="S638" s="81" t="s">
        <v>1965</v>
      </c>
      <c r="T638" s="86" t="str">
        <f>HYPERLINK("http://www.youtube.com/channel/UCgc2N28KF6Ki_PrCYn0jn3g")</f>
        <v>http://www.youtube.com/channel/UCgc2N28KF6Ki_PrCYn0jn3g</v>
      </c>
      <c r="U638" s="81" t="s">
        <v>2253</v>
      </c>
      <c r="V638" s="81" t="s">
        <v>2322</v>
      </c>
      <c r="W638" s="86" t="str">
        <f>HYPERLINK("https://www.youtube.com/watch?v=80f3JVN05YQ")</f>
        <v>https://www.youtube.com/watch?v=80f3JVN05YQ</v>
      </c>
      <c r="X638" s="81" t="s">
        <v>2335</v>
      </c>
      <c r="Y638" s="81">
        <v>0</v>
      </c>
      <c r="Z638" s="81" t="s">
        <v>2626</v>
      </c>
      <c r="AA638" s="81" t="s">
        <v>2626</v>
      </c>
      <c r="AB638" s="81"/>
      <c r="AC638" s="81"/>
      <c r="AD638" s="84" t="s">
        <v>2782</v>
      </c>
      <c r="AE638" s="82">
        <v>1</v>
      </c>
      <c r="AF638" s="83" t="str">
        <f>REPLACE(INDEX(GroupVertices[Group],MATCH(Edges[[#This Row],[Vertex 1]],GroupVertices[Vertex],0)),1,1,"")</f>
        <v>3</v>
      </c>
      <c r="AG638" s="83" t="str">
        <f>REPLACE(INDEX(GroupVertices[Group],MATCH(Edges[[#This Row],[Vertex 2]],GroupVertices[Vertex],0)),1,1,"")</f>
        <v>3</v>
      </c>
      <c r="AH638" s="111">
        <v>0</v>
      </c>
      <c r="AI638" s="112">
        <v>0</v>
      </c>
      <c r="AJ638" s="111">
        <v>0</v>
      </c>
      <c r="AK638" s="112">
        <v>0</v>
      </c>
      <c r="AL638" s="111">
        <v>0</v>
      </c>
      <c r="AM638" s="112">
        <v>0</v>
      </c>
      <c r="AN638" s="111">
        <v>3</v>
      </c>
      <c r="AO638" s="112">
        <v>100</v>
      </c>
      <c r="AP638" s="111">
        <v>3</v>
      </c>
    </row>
    <row r="639" spans="1:42" ht="15">
      <c r="A639" s="65" t="s">
        <v>638</v>
      </c>
      <c r="B639" s="65" t="s">
        <v>623</v>
      </c>
      <c r="C639" s="66" t="s">
        <v>5345</v>
      </c>
      <c r="D639" s="67">
        <v>3</v>
      </c>
      <c r="E639" s="68"/>
      <c r="F639" s="69">
        <v>40</v>
      </c>
      <c r="G639" s="66"/>
      <c r="H639" s="70"/>
      <c r="I639" s="71"/>
      <c r="J639" s="71"/>
      <c r="K639" s="35" t="s">
        <v>65</v>
      </c>
      <c r="L639" s="79">
        <v>639</v>
      </c>
      <c r="M639" s="79"/>
      <c r="N639" s="73"/>
      <c r="O639" s="81" t="s">
        <v>760</v>
      </c>
      <c r="P639" s="81" t="s">
        <v>215</v>
      </c>
      <c r="Q639" s="84" t="s">
        <v>1373</v>
      </c>
      <c r="R639" s="81" t="s">
        <v>638</v>
      </c>
      <c r="S639" s="81" t="s">
        <v>1966</v>
      </c>
      <c r="T639" s="86" t="str">
        <f>HYPERLINK("http://www.youtube.com/channel/UCSVjmvqok0dVmxwHSCm7_Cw")</f>
        <v>http://www.youtube.com/channel/UCSVjmvqok0dVmxwHSCm7_Cw</v>
      </c>
      <c r="U639" s="81"/>
      <c r="V639" s="81" t="s">
        <v>2322</v>
      </c>
      <c r="W639" s="86" t="str">
        <f>HYPERLINK("https://www.youtube.com/watch?v=80f3JVN05YQ")</f>
        <v>https://www.youtube.com/watch?v=80f3JVN05YQ</v>
      </c>
      <c r="X639" s="81" t="s">
        <v>2335</v>
      </c>
      <c r="Y639" s="81">
        <v>0</v>
      </c>
      <c r="Z639" s="81" t="s">
        <v>2627</v>
      </c>
      <c r="AA639" s="81" t="s">
        <v>2627</v>
      </c>
      <c r="AB639" s="81"/>
      <c r="AC639" s="81"/>
      <c r="AD639" s="84" t="s">
        <v>2782</v>
      </c>
      <c r="AE639" s="82">
        <v>1</v>
      </c>
      <c r="AF639" s="83" t="str">
        <f>REPLACE(INDEX(GroupVertices[Group],MATCH(Edges[[#This Row],[Vertex 1]],GroupVertices[Vertex],0)),1,1,"")</f>
        <v>3</v>
      </c>
      <c r="AG639" s="83" t="str">
        <f>REPLACE(INDEX(GroupVertices[Group],MATCH(Edges[[#This Row],[Vertex 2]],GroupVertices[Vertex],0)),1,1,"")</f>
        <v>3</v>
      </c>
      <c r="AH639" s="111">
        <v>0</v>
      </c>
      <c r="AI639" s="112">
        <v>0</v>
      </c>
      <c r="AJ639" s="111">
        <v>0</v>
      </c>
      <c r="AK639" s="112">
        <v>0</v>
      </c>
      <c r="AL639" s="111">
        <v>0</v>
      </c>
      <c r="AM639" s="112">
        <v>0</v>
      </c>
      <c r="AN639" s="111">
        <v>4</v>
      </c>
      <c r="AO639" s="112">
        <v>100</v>
      </c>
      <c r="AP639" s="111">
        <v>4</v>
      </c>
    </row>
    <row r="640" spans="1:42" ht="15">
      <c r="A640" s="65" t="s">
        <v>623</v>
      </c>
      <c r="B640" s="65" t="s">
        <v>639</v>
      </c>
      <c r="C640" s="66" t="s">
        <v>5345</v>
      </c>
      <c r="D640" s="67">
        <v>3</v>
      </c>
      <c r="E640" s="68"/>
      <c r="F640" s="69">
        <v>40</v>
      </c>
      <c r="G640" s="66"/>
      <c r="H640" s="70"/>
      <c r="I640" s="71"/>
      <c r="J640" s="71"/>
      <c r="K640" s="35" t="s">
        <v>66</v>
      </c>
      <c r="L640" s="79">
        <v>640</v>
      </c>
      <c r="M640" s="79"/>
      <c r="N640" s="73"/>
      <c r="O640" s="81" t="s">
        <v>761</v>
      </c>
      <c r="P640" s="81" t="s">
        <v>763</v>
      </c>
      <c r="Q640" s="84" t="s">
        <v>1374</v>
      </c>
      <c r="R640" s="81" t="s">
        <v>623</v>
      </c>
      <c r="S640" s="81" t="s">
        <v>1951</v>
      </c>
      <c r="T640" s="86" t="str">
        <f>HYPERLINK("http://www.youtube.com/channel/UC2n4MvLJDH2-GWzjJrC58Zw")</f>
        <v>http://www.youtube.com/channel/UC2n4MvLJDH2-GWzjJrC58Zw</v>
      </c>
      <c r="U640" s="81" t="s">
        <v>2254</v>
      </c>
      <c r="V640" s="81" t="s">
        <v>2322</v>
      </c>
      <c r="W640" s="86" t="str">
        <f>HYPERLINK("https://www.youtube.com/watch?v=80f3JVN05YQ")</f>
        <v>https://www.youtube.com/watch?v=80f3JVN05YQ</v>
      </c>
      <c r="X640" s="81" t="s">
        <v>2335</v>
      </c>
      <c r="Y640" s="81">
        <v>0</v>
      </c>
      <c r="Z640" s="81" t="s">
        <v>2628</v>
      </c>
      <c r="AA640" s="81" t="s">
        <v>2628</v>
      </c>
      <c r="AB640" s="81"/>
      <c r="AC640" s="81"/>
      <c r="AD640" s="84" t="s">
        <v>2782</v>
      </c>
      <c r="AE640" s="82">
        <v>1</v>
      </c>
      <c r="AF640" s="83" t="str">
        <f>REPLACE(INDEX(GroupVertices[Group],MATCH(Edges[[#This Row],[Vertex 1]],GroupVertices[Vertex],0)),1,1,"")</f>
        <v>3</v>
      </c>
      <c r="AG640" s="83" t="str">
        <f>REPLACE(INDEX(GroupVertices[Group],MATCH(Edges[[#This Row],[Vertex 2]],GroupVertices[Vertex],0)),1,1,"")</f>
        <v>3</v>
      </c>
      <c r="AH640" s="111">
        <v>0</v>
      </c>
      <c r="AI640" s="112">
        <v>0</v>
      </c>
      <c r="AJ640" s="111">
        <v>0</v>
      </c>
      <c r="AK640" s="112">
        <v>0</v>
      </c>
      <c r="AL640" s="111">
        <v>0</v>
      </c>
      <c r="AM640" s="112">
        <v>0</v>
      </c>
      <c r="AN640" s="111">
        <v>6</v>
      </c>
      <c r="AO640" s="112">
        <v>100</v>
      </c>
      <c r="AP640" s="111">
        <v>6</v>
      </c>
    </row>
    <row r="641" spans="1:42" ht="15">
      <c r="A641" s="65" t="s">
        <v>639</v>
      </c>
      <c r="B641" s="65" t="s">
        <v>623</v>
      </c>
      <c r="C641" s="66" t="s">
        <v>5345</v>
      </c>
      <c r="D641" s="67">
        <v>3</v>
      </c>
      <c r="E641" s="68"/>
      <c r="F641" s="69">
        <v>40</v>
      </c>
      <c r="G641" s="66"/>
      <c r="H641" s="70"/>
      <c r="I641" s="71"/>
      <c r="J641" s="71"/>
      <c r="K641" s="35" t="s">
        <v>66</v>
      </c>
      <c r="L641" s="79">
        <v>641</v>
      </c>
      <c r="M641" s="79"/>
      <c r="N641" s="73"/>
      <c r="O641" s="81" t="s">
        <v>760</v>
      </c>
      <c r="P641" s="81" t="s">
        <v>215</v>
      </c>
      <c r="Q641" s="84" t="s">
        <v>1375</v>
      </c>
      <c r="R641" s="81" t="s">
        <v>639</v>
      </c>
      <c r="S641" s="81" t="s">
        <v>1967</v>
      </c>
      <c r="T641" s="86" t="str">
        <f>HYPERLINK("http://www.youtube.com/channel/UCMlsfl4oyCqqH6MX6QSlASA")</f>
        <v>http://www.youtube.com/channel/UCMlsfl4oyCqqH6MX6QSlASA</v>
      </c>
      <c r="U641" s="81"/>
      <c r="V641" s="81" t="s">
        <v>2322</v>
      </c>
      <c r="W641" s="86" t="str">
        <f>HYPERLINK("https://www.youtube.com/watch?v=80f3JVN05YQ")</f>
        <v>https://www.youtube.com/watch?v=80f3JVN05YQ</v>
      </c>
      <c r="X641" s="81" t="s">
        <v>2335</v>
      </c>
      <c r="Y641" s="81">
        <v>0</v>
      </c>
      <c r="Z641" s="81" t="s">
        <v>2629</v>
      </c>
      <c r="AA641" s="81" t="s">
        <v>2629</v>
      </c>
      <c r="AB641" s="81"/>
      <c r="AC641" s="81"/>
      <c r="AD641" s="84" t="s">
        <v>2782</v>
      </c>
      <c r="AE641" s="82">
        <v>1</v>
      </c>
      <c r="AF641" s="83" t="str">
        <f>REPLACE(INDEX(GroupVertices[Group],MATCH(Edges[[#This Row],[Vertex 1]],GroupVertices[Vertex],0)),1,1,"")</f>
        <v>3</v>
      </c>
      <c r="AG641" s="83" t="str">
        <f>REPLACE(INDEX(GroupVertices[Group],MATCH(Edges[[#This Row],[Vertex 2]],GroupVertices[Vertex],0)),1,1,"")</f>
        <v>3</v>
      </c>
      <c r="AH641" s="111">
        <v>2</v>
      </c>
      <c r="AI641" s="112">
        <v>7.407407407407407</v>
      </c>
      <c r="AJ641" s="111">
        <v>0</v>
      </c>
      <c r="AK641" s="112">
        <v>0</v>
      </c>
      <c r="AL641" s="111">
        <v>0</v>
      </c>
      <c r="AM641" s="112">
        <v>0</v>
      </c>
      <c r="AN641" s="111">
        <v>25</v>
      </c>
      <c r="AO641" s="112">
        <v>92.5925925925926</v>
      </c>
      <c r="AP641" s="111">
        <v>27</v>
      </c>
    </row>
    <row r="642" spans="1:42" ht="15">
      <c r="A642" s="65" t="s">
        <v>623</v>
      </c>
      <c r="B642" s="65" t="s">
        <v>640</v>
      </c>
      <c r="C642" s="66" t="s">
        <v>5345</v>
      </c>
      <c r="D642" s="67">
        <v>3</v>
      </c>
      <c r="E642" s="68"/>
      <c r="F642" s="69">
        <v>40</v>
      </c>
      <c r="G642" s="66"/>
      <c r="H642" s="70"/>
      <c r="I642" s="71"/>
      <c r="J642" s="71"/>
      <c r="K642" s="35" t="s">
        <v>66</v>
      </c>
      <c r="L642" s="79">
        <v>642</v>
      </c>
      <c r="M642" s="79"/>
      <c r="N642" s="73"/>
      <c r="O642" s="81" t="s">
        <v>761</v>
      </c>
      <c r="P642" s="81" t="s">
        <v>763</v>
      </c>
      <c r="Q642" s="84" t="s">
        <v>769</v>
      </c>
      <c r="R642" s="81" t="s">
        <v>623</v>
      </c>
      <c r="S642" s="81" t="s">
        <v>1951</v>
      </c>
      <c r="T642" s="86" t="str">
        <f>HYPERLINK("http://www.youtube.com/channel/UC2n4MvLJDH2-GWzjJrC58Zw")</f>
        <v>http://www.youtube.com/channel/UC2n4MvLJDH2-GWzjJrC58Zw</v>
      </c>
      <c r="U642" s="81" t="s">
        <v>2255</v>
      </c>
      <c r="V642" s="81" t="s">
        <v>2322</v>
      </c>
      <c r="W642" s="86" t="str">
        <f>HYPERLINK("https://www.youtube.com/watch?v=80f3JVN05YQ")</f>
        <v>https://www.youtube.com/watch?v=80f3JVN05YQ</v>
      </c>
      <c r="X642" s="81" t="s">
        <v>2335</v>
      </c>
      <c r="Y642" s="81">
        <v>0</v>
      </c>
      <c r="Z642" s="81" t="s">
        <v>2630</v>
      </c>
      <c r="AA642" s="81" t="s">
        <v>2630</v>
      </c>
      <c r="AB642" s="81"/>
      <c r="AC642" s="81"/>
      <c r="AD642" s="84" t="s">
        <v>2782</v>
      </c>
      <c r="AE642" s="82">
        <v>1</v>
      </c>
      <c r="AF642" s="83" t="str">
        <f>REPLACE(INDEX(GroupVertices[Group],MATCH(Edges[[#This Row],[Vertex 1]],GroupVertices[Vertex],0)),1,1,"")</f>
        <v>3</v>
      </c>
      <c r="AG642" s="83" t="str">
        <f>REPLACE(INDEX(GroupVertices[Group],MATCH(Edges[[#This Row],[Vertex 2]],GroupVertices[Vertex],0)),1,1,"")</f>
        <v>3</v>
      </c>
      <c r="AH642" s="111">
        <v>0</v>
      </c>
      <c r="AI642" s="112">
        <v>0</v>
      </c>
      <c r="AJ642" s="111">
        <v>0</v>
      </c>
      <c r="AK642" s="112">
        <v>0</v>
      </c>
      <c r="AL642" s="111">
        <v>0</v>
      </c>
      <c r="AM642" s="112">
        <v>0</v>
      </c>
      <c r="AN642" s="111">
        <v>1</v>
      </c>
      <c r="AO642" s="112">
        <v>100</v>
      </c>
      <c r="AP642" s="111">
        <v>1</v>
      </c>
    </row>
    <row r="643" spans="1:42" ht="15">
      <c r="A643" s="65" t="s">
        <v>640</v>
      </c>
      <c r="B643" s="65" t="s">
        <v>623</v>
      </c>
      <c r="C643" s="66" t="s">
        <v>5345</v>
      </c>
      <c r="D643" s="67">
        <v>3</v>
      </c>
      <c r="E643" s="68"/>
      <c r="F643" s="69">
        <v>40</v>
      </c>
      <c r="G643" s="66"/>
      <c r="H643" s="70"/>
      <c r="I643" s="71"/>
      <c r="J643" s="71"/>
      <c r="K643" s="35" t="s">
        <v>66</v>
      </c>
      <c r="L643" s="79">
        <v>643</v>
      </c>
      <c r="M643" s="79"/>
      <c r="N643" s="73"/>
      <c r="O643" s="81" t="s">
        <v>760</v>
      </c>
      <c r="P643" s="81" t="s">
        <v>215</v>
      </c>
      <c r="Q643" s="84" t="s">
        <v>1376</v>
      </c>
      <c r="R643" s="81" t="s">
        <v>640</v>
      </c>
      <c r="S643" s="81" t="s">
        <v>1968</v>
      </c>
      <c r="T643" s="86" t="str">
        <f>HYPERLINK("http://www.youtube.com/channel/UCGaSc49MG1nYsZa3UeoPFDw")</f>
        <v>http://www.youtube.com/channel/UCGaSc49MG1nYsZa3UeoPFDw</v>
      </c>
      <c r="U643" s="81"/>
      <c r="V643" s="81" t="s">
        <v>2322</v>
      </c>
      <c r="W643" s="86" t="str">
        <f>HYPERLINK("https://www.youtube.com/watch?v=80f3JVN05YQ")</f>
        <v>https://www.youtube.com/watch?v=80f3JVN05YQ</v>
      </c>
      <c r="X643" s="81" t="s">
        <v>2335</v>
      </c>
      <c r="Y643" s="81">
        <v>0</v>
      </c>
      <c r="Z643" s="81" t="s">
        <v>2631</v>
      </c>
      <c r="AA643" s="81" t="s">
        <v>2631</v>
      </c>
      <c r="AB643" s="81"/>
      <c r="AC643" s="81"/>
      <c r="AD643" s="84" t="s">
        <v>2782</v>
      </c>
      <c r="AE643" s="82">
        <v>1</v>
      </c>
      <c r="AF643" s="83" t="str">
        <f>REPLACE(INDEX(GroupVertices[Group],MATCH(Edges[[#This Row],[Vertex 1]],GroupVertices[Vertex],0)),1,1,"")</f>
        <v>3</v>
      </c>
      <c r="AG643" s="83" t="str">
        <f>REPLACE(INDEX(GroupVertices[Group],MATCH(Edges[[#This Row],[Vertex 2]],GroupVertices[Vertex],0)),1,1,"")</f>
        <v>3</v>
      </c>
      <c r="AH643" s="111">
        <v>2</v>
      </c>
      <c r="AI643" s="112">
        <v>8.695652173913043</v>
      </c>
      <c r="AJ643" s="111">
        <v>0</v>
      </c>
      <c r="AK643" s="112">
        <v>0</v>
      </c>
      <c r="AL643" s="111">
        <v>0</v>
      </c>
      <c r="AM643" s="112">
        <v>0</v>
      </c>
      <c r="AN643" s="111">
        <v>21</v>
      </c>
      <c r="AO643" s="112">
        <v>91.30434782608695</v>
      </c>
      <c r="AP643" s="111">
        <v>23</v>
      </c>
    </row>
    <row r="644" spans="1:42" ht="15">
      <c r="A644" s="65" t="s">
        <v>637</v>
      </c>
      <c r="B644" s="65" t="s">
        <v>641</v>
      </c>
      <c r="C644" s="66" t="s">
        <v>5345</v>
      </c>
      <c r="D644" s="67">
        <v>3</v>
      </c>
      <c r="E644" s="68"/>
      <c r="F644" s="69">
        <v>40</v>
      </c>
      <c r="G644" s="66"/>
      <c r="H644" s="70"/>
      <c r="I644" s="71"/>
      <c r="J644" s="71"/>
      <c r="K644" s="35" t="s">
        <v>65</v>
      </c>
      <c r="L644" s="79">
        <v>644</v>
      </c>
      <c r="M644" s="79"/>
      <c r="N644" s="73"/>
      <c r="O644" s="81" t="s">
        <v>761</v>
      </c>
      <c r="P644" s="81" t="s">
        <v>763</v>
      </c>
      <c r="Q644" s="84" t="s">
        <v>1377</v>
      </c>
      <c r="R644" s="81" t="s">
        <v>637</v>
      </c>
      <c r="S644" s="81" t="s">
        <v>1965</v>
      </c>
      <c r="T644" s="86" t="str">
        <f>HYPERLINK("http://www.youtube.com/channel/UCgc2N28KF6Ki_PrCYn0jn3g")</f>
        <v>http://www.youtube.com/channel/UCgc2N28KF6Ki_PrCYn0jn3g</v>
      </c>
      <c r="U644" s="81" t="s">
        <v>2256</v>
      </c>
      <c r="V644" s="81" t="s">
        <v>2322</v>
      </c>
      <c r="W644" s="86" t="str">
        <f>HYPERLINK("https://www.youtube.com/watch?v=80f3JVN05YQ")</f>
        <v>https://www.youtube.com/watch?v=80f3JVN05YQ</v>
      </c>
      <c r="X644" s="81" t="s">
        <v>2335</v>
      </c>
      <c r="Y644" s="81">
        <v>0</v>
      </c>
      <c r="Z644" s="81" t="s">
        <v>2632</v>
      </c>
      <c r="AA644" s="81" t="s">
        <v>2632</v>
      </c>
      <c r="AB644" s="81"/>
      <c r="AC644" s="81"/>
      <c r="AD644" s="84" t="s">
        <v>2782</v>
      </c>
      <c r="AE644" s="82">
        <v>1</v>
      </c>
      <c r="AF644" s="83" t="str">
        <f>REPLACE(INDEX(GroupVertices[Group],MATCH(Edges[[#This Row],[Vertex 1]],GroupVertices[Vertex],0)),1,1,"")</f>
        <v>3</v>
      </c>
      <c r="AG644" s="83" t="str">
        <f>REPLACE(INDEX(GroupVertices[Group],MATCH(Edges[[#This Row],[Vertex 2]],GroupVertices[Vertex],0)),1,1,"")</f>
        <v>3</v>
      </c>
      <c r="AH644" s="111">
        <v>1</v>
      </c>
      <c r="AI644" s="112">
        <v>50</v>
      </c>
      <c r="AJ644" s="111">
        <v>0</v>
      </c>
      <c r="AK644" s="112">
        <v>0</v>
      </c>
      <c r="AL644" s="111">
        <v>0</v>
      </c>
      <c r="AM644" s="112">
        <v>0</v>
      </c>
      <c r="AN644" s="111">
        <v>1</v>
      </c>
      <c r="AO644" s="112">
        <v>50</v>
      </c>
      <c r="AP644" s="111">
        <v>2</v>
      </c>
    </row>
    <row r="645" spans="1:42" ht="15">
      <c r="A645" s="65" t="s">
        <v>641</v>
      </c>
      <c r="B645" s="65" t="s">
        <v>623</v>
      </c>
      <c r="C645" s="66" t="s">
        <v>5345</v>
      </c>
      <c r="D645" s="67">
        <v>3</v>
      </c>
      <c r="E645" s="68"/>
      <c r="F645" s="69">
        <v>40</v>
      </c>
      <c r="G645" s="66"/>
      <c r="H645" s="70"/>
      <c r="I645" s="71"/>
      <c r="J645" s="71"/>
      <c r="K645" s="35" t="s">
        <v>65</v>
      </c>
      <c r="L645" s="79">
        <v>645</v>
      </c>
      <c r="M645" s="79"/>
      <c r="N645" s="73"/>
      <c r="O645" s="81" t="s">
        <v>760</v>
      </c>
      <c r="P645" s="81" t="s">
        <v>215</v>
      </c>
      <c r="Q645" s="84" t="s">
        <v>1378</v>
      </c>
      <c r="R645" s="81" t="s">
        <v>641</v>
      </c>
      <c r="S645" s="81" t="s">
        <v>1969</v>
      </c>
      <c r="T645" s="86" t="str">
        <f>HYPERLINK("http://www.youtube.com/channel/UCowefZ8fcgBpj1keCDAw6mw")</f>
        <v>http://www.youtube.com/channel/UCowefZ8fcgBpj1keCDAw6mw</v>
      </c>
      <c r="U645" s="81"/>
      <c r="V645" s="81" t="s">
        <v>2322</v>
      </c>
      <c r="W645" s="86" t="str">
        <f>HYPERLINK("https://www.youtube.com/watch?v=80f3JVN05YQ")</f>
        <v>https://www.youtube.com/watch?v=80f3JVN05YQ</v>
      </c>
      <c r="X645" s="81" t="s">
        <v>2335</v>
      </c>
      <c r="Y645" s="81">
        <v>3</v>
      </c>
      <c r="Z645" s="81" t="s">
        <v>2633</v>
      </c>
      <c r="AA645" s="81" t="s">
        <v>2633</v>
      </c>
      <c r="AB645" s="81"/>
      <c r="AC645" s="81"/>
      <c r="AD645" s="84" t="s">
        <v>2782</v>
      </c>
      <c r="AE645" s="82">
        <v>1</v>
      </c>
      <c r="AF645" s="83" t="str">
        <f>REPLACE(INDEX(GroupVertices[Group],MATCH(Edges[[#This Row],[Vertex 1]],GroupVertices[Vertex],0)),1,1,"")</f>
        <v>3</v>
      </c>
      <c r="AG645" s="83" t="str">
        <f>REPLACE(INDEX(GroupVertices[Group],MATCH(Edges[[#This Row],[Vertex 2]],GroupVertices[Vertex],0)),1,1,"")</f>
        <v>3</v>
      </c>
      <c r="AH645" s="111">
        <v>0</v>
      </c>
      <c r="AI645" s="112">
        <v>0</v>
      </c>
      <c r="AJ645" s="111">
        <v>1</v>
      </c>
      <c r="AK645" s="112">
        <v>5.882352941176471</v>
      </c>
      <c r="AL645" s="111">
        <v>0</v>
      </c>
      <c r="AM645" s="112">
        <v>0</v>
      </c>
      <c r="AN645" s="111">
        <v>16</v>
      </c>
      <c r="AO645" s="112">
        <v>94.11764705882354</v>
      </c>
      <c r="AP645" s="111">
        <v>17</v>
      </c>
    </row>
    <row r="646" spans="1:42" ht="15">
      <c r="A646" s="65" t="s">
        <v>642</v>
      </c>
      <c r="B646" s="65" t="s">
        <v>623</v>
      </c>
      <c r="C646" s="66" t="s">
        <v>5345</v>
      </c>
      <c r="D646" s="67">
        <v>3</v>
      </c>
      <c r="E646" s="68"/>
      <c r="F646" s="69">
        <v>40</v>
      </c>
      <c r="G646" s="66"/>
      <c r="H646" s="70"/>
      <c r="I646" s="71"/>
      <c r="J646" s="71"/>
      <c r="K646" s="35" t="s">
        <v>65</v>
      </c>
      <c r="L646" s="79">
        <v>646</v>
      </c>
      <c r="M646" s="79"/>
      <c r="N646" s="73"/>
      <c r="O646" s="81" t="s">
        <v>760</v>
      </c>
      <c r="P646" s="81" t="s">
        <v>215</v>
      </c>
      <c r="Q646" s="84" t="s">
        <v>1379</v>
      </c>
      <c r="R646" s="81" t="s">
        <v>642</v>
      </c>
      <c r="S646" s="81" t="s">
        <v>1970</v>
      </c>
      <c r="T646" s="86" t="str">
        <f>HYPERLINK("http://www.youtube.com/channel/UCxjSI-_0ihVq3fmHh3m9HYw")</f>
        <v>http://www.youtube.com/channel/UCxjSI-_0ihVq3fmHh3m9HYw</v>
      </c>
      <c r="U646" s="81"/>
      <c r="V646" s="81" t="s">
        <v>2322</v>
      </c>
      <c r="W646" s="86" t="str">
        <f>HYPERLINK("https://www.youtube.com/watch?v=80f3JVN05YQ")</f>
        <v>https://www.youtube.com/watch?v=80f3JVN05YQ</v>
      </c>
      <c r="X646" s="81" t="s">
        <v>2335</v>
      </c>
      <c r="Y646" s="81">
        <v>1</v>
      </c>
      <c r="Z646" s="81" t="s">
        <v>2634</v>
      </c>
      <c r="AA646" s="81" t="s">
        <v>2756</v>
      </c>
      <c r="AB646" s="81"/>
      <c r="AC646" s="81"/>
      <c r="AD646" s="84" t="s">
        <v>2782</v>
      </c>
      <c r="AE646" s="82">
        <v>1</v>
      </c>
      <c r="AF646" s="83" t="str">
        <f>REPLACE(INDEX(GroupVertices[Group],MATCH(Edges[[#This Row],[Vertex 1]],GroupVertices[Vertex],0)),1,1,"")</f>
        <v>3</v>
      </c>
      <c r="AG646" s="83" t="str">
        <f>REPLACE(INDEX(GroupVertices[Group],MATCH(Edges[[#This Row],[Vertex 2]],GroupVertices[Vertex],0)),1,1,"")</f>
        <v>3</v>
      </c>
      <c r="AH646" s="111">
        <v>4</v>
      </c>
      <c r="AI646" s="112">
        <v>5.633802816901408</v>
      </c>
      <c r="AJ646" s="111">
        <v>0</v>
      </c>
      <c r="AK646" s="112">
        <v>0</v>
      </c>
      <c r="AL646" s="111">
        <v>0</v>
      </c>
      <c r="AM646" s="112">
        <v>0</v>
      </c>
      <c r="AN646" s="111">
        <v>67</v>
      </c>
      <c r="AO646" s="112">
        <v>94.36619718309859</v>
      </c>
      <c r="AP646" s="111">
        <v>71</v>
      </c>
    </row>
    <row r="647" spans="1:42" ht="15">
      <c r="A647" s="65" t="s">
        <v>643</v>
      </c>
      <c r="B647" s="65" t="s">
        <v>623</v>
      </c>
      <c r="C647" s="66" t="s">
        <v>5345</v>
      </c>
      <c r="D647" s="67">
        <v>3</v>
      </c>
      <c r="E647" s="68"/>
      <c r="F647" s="69">
        <v>40</v>
      </c>
      <c r="G647" s="66"/>
      <c r="H647" s="70"/>
      <c r="I647" s="71"/>
      <c r="J647" s="71"/>
      <c r="K647" s="35" t="s">
        <v>65</v>
      </c>
      <c r="L647" s="79">
        <v>647</v>
      </c>
      <c r="M647" s="79"/>
      <c r="N647" s="73"/>
      <c r="O647" s="81" t="s">
        <v>760</v>
      </c>
      <c r="P647" s="81" t="s">
        <v>215</v>
      </c>
      <c r="Q647" s="84" t="s">
        <v>1380</v>
      </c>
      <c r="R647" s="81" t="s">
        <v>643</v>
      </c>
      <c r="S647" s="81" t="s">
        <v>1971</v>
      </c>
      <c r="T647" s="86" t="str">
        <f>HYPERLINK("http://www.youtube.com/channel/UCTYIArFir6lVRAAleqVoeRQ")</f>
        <v>http://www.youtube.com/channel/UCTYIArFir6lVRAAleqVoeRQ</v>
      </c>
      <c r="U647" s="81"/>
      <c r="V647" s="81" t="s">
        <v>2322</v>
      </c>
      <c r="W647" s="86" t="str">
        <f>HYPERLINK("https://www.youtube.com/watch?v=80f3JVN05YQ")</f>
        <v>https://www.youtube.com/watch?v=80f3JVN05YQ</v>
      </c>
      <c r="X647" s="81" t="s">
        <v>2335</v>
      </c>
      <c r="Y647" s="81">
        <v>0</v>
      </c>
      <c r="Z647" s="81" t="s">
        <v>2635</v>
      </c>
      <c r="AA647" s="81" t="s">
        <v>2635</v>
      </c>
      <c r="AB647" s="81"/>
      <c r="AC647" s="81"/>
      <c r="AD647" s="84" t="s">
        <v>2782</v>
      </c>
      <c r="AE647" s="82">
        <v>1</v>
      </c>
      <c r="AF647" s="83" t="str">
        <f>REPLACE(INDEX(GroupVertices[Group],MATCH(Edges[[#This Row],[Vertex 1]],GroupVertices[Vertex],0)),1,1,"")</f>
        <v>3</v>
      </c>
      <c r="AG647" s="83" t="str">
        <f>REPLACE(INDEX(GroupVertices[Group],MATCH(Edges[[#This Row],[Vertex 2]],GroupVertices[Vertex],0)),1,1,"")</f>
        <v>3</v>
      </c>
      <c r="AH647" s="111">
        <v>1</v>
      </c>
      <c r="AI647" s="112">
        <v>5</v>
      </c>
      <c r="AJ647" s="111">
        <v>0</v>
      </c>
      <c r="AK647" s="112">
        <v>0</v>
      </c>
      <c r="AL647" s="111">
        <v>0</v>
      </c>
      <c r="AM647" s="112">
        <v>0</v>
      </c>
      <c r="AN647" s="111">
        <v>19</v>
      </c>
      <c r="AO647" s="112">
        <v>95</v>
      </c>
      <c r="AP647" s="111">
        <v>20</v>
      </c>
    </row>
    <row r="648" spans="1:42" ht="15">
      <c r="A648" s="65" t="s">
        <v>623</v>
      </c>
      <c r="B648" s="65" t="s">
        <v>644</v>
      </c>
      <c r="C648" s="66" t="s">
        <v>5346</v>
      </c>
      <c r="D648" s="67">
        <v>10</v>
      </c>
      <c r="E648" s="68"/>
      <c r="F648" s="69">
        <v>15</v>
      </c>
      <c r="G648" s="66"/>
      <c r="H648" s="70"/>
      <c r="I648" s="71"/>
      <c r="J648" s="71"/>
      <c r="K648" s="35" t="s">
        <v>66</v>
      </c>
      <c r="L648" s="79">
        <v>648</v>
      </c>
      <c r="M648" s="79"/>
      <c r="N648" s="73"/>
      <c r="O648" s="81" t="s">
        <v>761</v>
      </c>
      <c r="P648" s="81" t="s">
        <v>763</v>
      </c>
      <c r="Q648" s="84" t="s">
        <v>1381</v>
      </c>
      <c r="R648" s="81" t="s">
        <v>623</v>
      </c>
      <c r="S648" s="81" t="s">
        <v>1951</v>
      </c>
      <c r="T648" s="86" t="str">
        <f>HYPERLINK("http://www.youtube.com/channel/UC2n4MvLJDH2-GWzjJrC58Zw")</f>
        <v>http://www.youtube.com/channel/UC2n4MvLJDH2-GWzjJrC58Zw</v>
      </c>
      <c r="U648" s="81" t="s">
        <v>2257</v>
      </c>
      <c r="V648" s="81" t="s">
        <v>2322</v>
      </c>
      <c r="W648" s="86" t="str">
        <f>HYPERLINK("https://www.youtube.com/watch?v=80f3JVN05YQ")</f>
        <v>https://www.youtube.com/watch?v=80f3JVN05YQ</v>
      </c>
      <c r="X648" s="81" t="s">
        <v>2335</v>
      </c>
      <c r="Y648" s="81">
        <v>5</v>
      </c>
      <c r="Z648" s="81" t="s">
        <v>2636</v>
      </c>
      <c r="AA648" s="81" t="s">
        <v>2636</v>
      </c>
      <c r="AB648" s="81"/>
      <c r="AC648" s="81"/>
      <c r="AD648" s="84" t="s">
        <v>2782</v>
      </c>
      <c r="AE648" s="82">
        <v>2</v>
      </c>
      <c r="AF648" s="83" t="str">
        <f>REPLACE(INDEX(GroupVertices[Group],MATCH(Edges[[#This Row],[Vertex 1]],GroupVertices[Vertex],0)),1,1,"")</f>
        <v>3</v>
      </c>
      <c r="AG648" s="83" t="str">
        <f>REPLACE(INDEX(GroupVertices[Group],MATCH(Edges[[#This Row],[Vertex 2]],GroupVertices[Vertex],0)),1,1,"")</f>
        <v>3</v>
      </c>
      <c r="AH648" s="111">
        <v>0</v>
      </c>
      <c r="AI648" s="112">
        <v>0</v>
      </c>
      <c r="AJ648" s="111">
        <v>0</v>
      </c>
      <c r="AK648" s="112">
        <v>0</v>
      </c>
      <c r="AL648" s="111">
        <v>0</v>
      </c>
      <c r="AM648" s="112">
        <v>0</v>
      </c>
      <c r="AN648" s="111">
        <v>13</v>
      </c>
      <c r="AO648" s="112">
        <v>100</v>
      </c>
      <c r="AP648" s="111">
        <v>13</v>
      </c>
    </row>
    <row r="649" spans="1:42" ht="15">
      <c r="A649" s="65" t="s">
        <v>637</v>
      </c>
      <c r="B649" s="65" t="s">
        <v>644</v>
      </c>
      <c r="C649" s="66" t="s">
        <v>5345</v>
      </c>
      <c r="D649" s="67">
        <v>3</v>
      </c>
      <c r="E649" s="68"/>
      <c r="F649" s="69">
        <v>40</v>
      </c>
      <c r="G649" s="66"/>
      <c r="H649" s="70"/>
      <c r="I649" s="71"/>
      <c r="J649" s="71"/>
      <c r="K649" s="35" t="s">
        <v>65</v>
      </c>
      <c r="L649" s="79">
        <v>649</v>
      </c>
      <c r="M649" s="79"/>
      <c r="N649" s="73"/>
      <c r="O649" s="81" t="s">
        <v>761</v>
      </c>
      <c r="P649" s="81" t="s">
        <v>763</v>
      </c>
      <c r="Q649" s="84" t="s">
        <v>1382</v>
      </c>
      <c r="R649" s="81" t="s">
        <v>637</v>
      </c>
      <c r="S649" s="81" t="s">
        <v>1965</v>
      </c>
      <c r="T649" s="86" t="str">
        <f>HYPERLINK("http://www.youtube.com/channel/UCgc2N28KF6Ki_PrCYn0jn3g")</f>
        <v>http://www.youtube.com/channel/UCgc2N28KF6Ki_PrCYn0jn3g</v>
      </c>
      <c r="U649" s="81" t="s">
        <v>2257</v>
      </c>
      <c r="V649" s="81" t="s">
        <v>2322</v>
      </c>
      <c r="W649" s="86" t="str">
        <f>HYPERLINK("https://www.youtube.com/watch?v=80f3JVN05YQ")</f>
        <v>https://www.youtube.com/watch?v=80f3JVN05YQ</v>
      </c>
      <c r="X649" s="81" t="s">
        <v>2335</v>
      </c>
      <c r="Y649" s="81">
        <v>0</v>
      </c>
      <c r="Z649" s="81" t="s">
        <v>2637</v>
      </c>
      <c r="AA649" s="81" t="s">
        <v>2637</v>
      </c>
      <c r="AB649" s="81"/>
      <c r="AC649" s="81"/>
      <c r="AD649" s="84" t="s">
        <v>2782</v>
      </c>
      <c r="AE649" s="82">
        <v>1</v>
      </c>
      <c r="AF649" s="83" t="str">
        <f>REPLACE(INDEX(GroupVertices[Group],MATCH(Edges[[#This Row],[Vertex 1]],GroupVertices[Vertex],0)),1,1,"")</f>
        <v>3</v>
      </c>
      <c r="AG649" s="83" t="str">
        <f>REPLACE(INDEX(GroupVertices[Group],MATCH(Edges[[#This Row],[Vertex 2]],GroupVertices[Vertex],0)),1,1,"")</f>
        <v>3</v>
      </c>
      <c r="AH649" s="111">
        <v>1</v>
      </c>
      <c r="AI649" s="112">
        <v>100</v>
      </c>
      <c r="AJ649" s="111">
        <v>0</v>
      </c>
      <c r="AK649" s="112">
        <v>0</v>
      </c>
      <c r="AL649" s="111">
        <v>0</v>
      </c>
      <c r="AM649" s="112">
        <v>0</v>
      </c>
      <c r="AN649" s="111">
        <v>0</v>
      </c>
      <c r="AO649" s="112">
        <v>0</v>
      </c>
      <c r="AP649" s="111">
        <v>1</v>
      </c>
    </row>
    <row r="650" spans="1:42" ht="15">
      <c r="A650" s="65" t="s">
        <v>644</v>
      </c>
      <c r="B650" s="65" t="s">
        <v>623</v>
      </c>
      <c r="C650" s="66" t="s">
        <v>5346</v>
      </c>
      <c r="D650" s="67">
        <v>10</v>
      </c>
      <c r="E650" s="68"/>
      <c r="F650" s="69">
        <v>15</v>
      </c>
      <c r="G650" s="66"/>
      <c r="H650" s="70"/>
      <c r="I650" s="71"/>
      <c r="J650" s="71"/>
      <c r="K650" s="35" t="s">
        <v>66</v>
      </c>
      <c r="L650" s="79">
        <v>650</v>
      </c>
      <c r="M650" s="79"/>
      <c r="N650" s="73"/>
      <c r="O650" s="81" t="s">
        <v>760</v>
      </c>
      <c r="P650" s="81" t="s">
        <v>215</v>
      </c>
      <c r="Q650" s="84" t="s">
        <v>1383</v>
      </c>
      <c r="R650" s="81" t="s">
        <v>644</v>
      </c>
      <c r="S650" s="81" t="s">
        <v>1972</v>
      </c>
      <c r="T650" s="86" t="str">
        <f>HYPERLINK("http://www.youtube.com/channel/UCrnFva61tPAlG3PNeTF9acQ")</f>
        <v>http://www.youtube.com/channel/UCrnFva61tPAlG3PNeTF9acQ</v>
      </c>
      <c r="U650" s="81"/>
      <c r="V650" s="81" t="s">
        <v>2322</v>
      </c>
      <c r="W650" s="86" t="str">
        <f>HYPERLINK("https://www.youtube.com/watch?v=80f3JVN05YQ")</f>
        <v>https://www.youtube.com/watch?v=80f3JVN05YQ</v>
      </c>
      <c r="X650" s="81" t="s">
        <v>2335</v>
      </c>
      <c r="Y650" s="81">
        <v>5</v>
      </c>
      <c r="Z650" s="81" t="s">
        <v>2638</v>
      </c>
      <c r="AA650" s="81" t="s">
        <v>2638</v>
      </c>
      <c r="AB650" s="81"/>
      <c r="AC650" s="81"/>
      <c r="AD650" s="84" t="s">
        <v>2782</v>
      </c>
      <c r="AE650" s="82">
        <v>2</v>
      </c>
      <c r="AF650" s="83" t="str">
        <f>REPLACE(INDEX(GroupVertices[Group],MATCH(Edges[[#This Row],[Vertex 1]],GroupVertices[Vertex],0)),1,1,"")</f>
        <v>3</v>
      </c>
      <c r="AG650" s="83" t="str">
        <f>REPLACE(INDEX(GroupVertices[Group],MATCH(Edges[[#This Row],[Vertex 2]],GroupVertices[Vertex],0)),1,1,"")</f>
        <v>3</v>
      </c>
      <c r="AH650" s="111">
        <v>1</v>
      </c>
      <c r="AI650" s="112">
        <v>5.555555555555555</v>
      </c>
      <c r="AJ650" s="111">
        <v>0</v>
      </c>
      <c r="AK650" s="112">
        <v>0</v>
      </c>
      <c r="AL650" s="111">
        <v>0</v>
      </c>
      <c r="AM650" s="112">
        <v>0</v>
      </c>
      <c r="AN650" s="111">
        <v>17</v>
      </c>
      <c r="AO650" s="112">
        <v>94.44444444444444</v>
      </c>
      <c r="AP650" s="111">
        <v>18</v>
      </c>
    </row>
    <row r="651" spans="1:42" ht="15">
      <c r="A651" s="65" t="s">
        <v>623</v>
      </c>
      <c r="B651" s="65" t="s">
        <v>644</v>
      </c>
      <c r="C651" s="66" t="s">
        <v>5346</v>
      </c>
      <c r="D651" s="67">
        <v>10</v>
      </c>
      <c r="E651" s="68"/>
      <c r="F651" s="69">
        <v>15</v>
      </c>
      <c r="G651" s="66"/>
      <c r="H651" s="70"/>
      <c r="I651" s="71"/>
      <c r="J651" s="71"/>
      <c r="K651" s="35" t="s">
        <v>66</v>
      </c>
      <c r="L651" s="79">
        <v>651</v>
      </c>
      <c r="M651" s="79"/>
      <c r="N651" s="73"/>
      <c r="O651" s="81" t="s">
        <v>761</v>
      </c>
      <c r="P651" s="81" t="s">
        <v>763</v>
      </c>
      <c r="Q651" s="84" t="s">
        <v>1384</v>
      </c>
      <c r="R651" s="81" t="s">
        <v>623</v>
      </c>
      <c r="S651" s="81" t="s">
        <v>1951</v>
      </c>
      <c r="T651" s="86" t="str">
        <f>HYPERLINK("http://www.youtube.com/channel/UC2n4MvLJDH2-GWzjJrC58Zw")</f>
        <v>http://www.youtube.com/channel/UC2n4MvLJDH2-GWzjJrC58Zw</v>
      </c>
      <c r="U651" s="81" t="s">
        <v>2258</v>
      </c>
      <c r="V651" s="81" t="s">
        <v>2322</v>
      </c>
      <c r="W651" s="86" t="str">
        <f>HYPERLINK("https://www.youtube.com/watch?v=80f3JVN05YQ")</f>
        <v>https://www.youtube.com/watch?v=80f3JVN05YQ</v>
      </c>
      <c r="X651" s="81" t="s">
        <v>2335</v>
      </c>
      <c r="Y651" s="81">
        <v>0</v>
      </c>
      <c r="Z651" s="81" t="s">
        <v>2639</v>
      </c>
      <c r="AA651" s="81" t="s">
        <v>2639</v>
      </c>
      <c r="AB651" s="81"/>
      <c r="AC651" s="81"/>
      <c r="AD651" s="84" t="s">
        <v>2782</v>
      </c>
      <c r="AE651" s="82">
        <v>2</v>
      </c>
      <c r="AF651" s="83" t="str">
        <f>REPLACE(INDEX(GroupVertices[Group],MATCH(Edges[[#This Row],[Vertex 1]],GroupVertices[Vertex],0)),1,1,"")</f>
        <v>3</v>
      </c>
      <c r="AG651" s="83" t="str">
        <f>REPLACE(INDEX(GroupVertices[Group],MATCH(Edges[[#This Row],[Vertex 2]],GroupVertices[Vertex],0)),1,1,"")</f>
        <v>3</v>
      </c>
      <c r="AH651" s="111">
        <v>1</v>
      </c>
      <c r="AI651" s="112">
        <v>33.333333333333336</v>
      </c>
      <c r="AJ651" s="111">
        <v>0</v>
      </c>
      <c r="AK651" s="112">
        <v>0</v>
      </c>
      <c r="AL651" s="111">
        <v>0</v>
      </c>
      <c r="AM651" s="112">
        <v>0</v>
      </c>
      <c r="AN651" s="111">
        <v>2</v>
      </c>
      <c r="AO651" s="112">
        <v>66.66666666666667</v>
      </c>
      <c r="AP651" s="111">
        <v>3</v>
      </c>
    </row>
    <row r="652" spans="1:42" ht="15">
      <c r="A652" s="65" t="s">
        <v>644</v>
      </c>
      <c r="B652" s="65" t="s">
        <v>623</v>
      </c>
      <c r="C652" s="66" t="s">
        <v>5346</v>
      </c>
      <c r="D652" s="67">
        <v>10</v>
      </c>
      <c r="E652" s="68"/>
      <c r="F652" s="69">
        <v>15</v>
      </c>
      <c r="G652" s="66"/>
      <c r="H652" s="70"/>
      <c r="I652" s="71"/>
      <c r="J652" s="71"/>
      <c r="K652" s="35" t="s">
        <v>66</v>
      </c>
      <c r="L652" s="79">
        <v>652</v>
      </c>
      <c r="M652" s="79"/>
      <c r="N652" s="73"/>
      <c r="O652" s="81" t="s">
        <v>760</v>
      </c>
      <c r="P652" s="81" t="s">
        <v>215</v>
      </c>
      <c r="Q652" s="84" t="s">
        <v>1385</v>
      </c>
      <c r="R652" s="81" t="s">
        <v>644</v>
      </c>
      <c r="S652" s="81" t="s">
        <v>1972</v>
      </c>
      <c r="T652" s="86" t="str">
        <f>HYPERLINK("http://www.youtube.com/channel/UCrnFva61tPAlG3PNeTF9acQ")</f>
        <v>http://www.youtube.com/channel/UCrnFva61tPAlG3PNeTF9acQ</v>
      </c>
      <c r="U652" s="81"/>
      <c r="V652" s="81" t="s">
        <v>2322</v>
      </c>
      <c r="W652" s="86" t="str">
        <f>HYPERLINK("https://www.youtube.com/watch?v=80f3JVN05YQ")</f>
        <v>https://www.youtube.com/watch?v=80f3JVN05YQ</v>
      </c>
      <c r="X652" s="81" t="s">
        <v>2335</v>
      </c>
      <c r="Y652" s="81">
        <v>0</v>
      </c>
      <c r="Z652" s="81" t="s">
        <v>2640</v>
      </c>
      <c r="AA652" s="81" t="s">
        <v>2640</v>
      </c>
      <c r="AB652" s="81"/>
      <c r="AC652" s="81"/>
      <c r="AD652" s="84" t="s">
        <v>2782</v>
      </c>
      <c r="AE652" s="82">
        <v>2</v>
      </c>
      <c r="AF652" s="83" t="str">
        <f>REPLACE(INDEX(GroupVertices[Group],MATCH(Edges[[#This Row],[Vertex 1]],GroupVertices[Vertex],0)),1,1,"")</f>
        <v>3</v>
      </c>
      <c r="AG652" s="83" t="str">
        <f>REPLACE(INDEX(GroupVertices[Group],MATCH(Edges[[#This Row],[Vertex 2]],GroupVertices[Vertex],0)),1,1,"")</f>
        <v>3</v>
      </c>
      <c r="AH652" s="111">
        <v>1</v>
      </c>
      <c r="AI652" s="112">
        <v>11.11111111111111</v>
      </c>
      <c r="AJ652" s="111">
        <v>0</v>
      </c>
      <c r="AK652" s="112">
        <v>0</v>
      </c>
      <c r="AL652" s="111">
        <v>0</v>
      </c>
      <c r="AM652" s="112">
        <v>0</v>
      </c>
      <c r="AN652" s="111">
        <v>8</v>
      </c>
      <c r="AO652" s="112">
        <v>88.88888888888889</v>
      </c>
      <c r="AP652" s="111">
        <v>9</v>
      </c>
    </row>
    <row r="653" spans="1:42" ht="15">
      <c r="A653" s="65" t="s">
        <v>645</v>
      </c>
      <c r="B653" s="65" t="s">
        <v>623</v>
      </c>
      <c r="C653" s="66" t="s">
        <v>5345</v>
      </c>
      <c r="D653" s="67">
        <v>3</v>
      </c>
      <c r="E653" s="68"/>
      <c r="F653" s="69">
        <v>40</v>
      </c>
      <c r="G653" s="66"/>
      <c r="H653" s="70"/>
      <c r="I653" s="71"/>
      <c r="J653" s="71"/>
      <c r="K653" s="35" t="s">
        <v>65</v>
      </c>
      <c r="L653" s="79">
        <v>653</v>
      </c>
      <c r="M653" s="79"/>
      <c r="N653" s="73"/>
      <c r="O653" s="81" t="s">
        <v>760</v>
      </c>
      <c r="P653" s="81" t="s">
        <v>215</v>
      </c>
      <c r="Q653" s="84" t="s">
        <v>1386</v>
      </c>
      <c r="R653" s="81" t="s">
        <v>645</v>
      </c>
      <c r="S653" s="81" t="s">
        <v>1973</v>
      </c>
      <c r="T653" s="86" t="str">
        <f>HYPERLINK("http://www.youtube.com/channel/UCUDEjKDVvLgSBD6vgc50gXw")</f>
        <v>http://www.youtube.com/channel/UCUDEjKDVvLgSBD6vgc50gXw</v>
      </c>
      <c r="U653" s="81"/>
      <c r="V653" s="81" t="s">
        <v>2322</v>
      </c>
      <c r="W653" s="86" t="str">
        <f>HYPERLINK("https://www.youtube.com/watch?v=80f3JVN05YQ")</f>
        <v>https://www.youtube.com/watch?v=80f3JVN05YQ</v>
      </c>
      <c r="X653" s="81" t="s">
        <v>2335</v>
      </c>
      <c r="Y653" s="81">
        <v>0</v>
      </c>
      <c r="Z653" s="81" t="s">
        <v>2641</v>
      </c>
      <c r="AA653" s="81" t="s">
        <v>2641</v>
      </c>
      <c r="AB653" s="81"/>
      <c r="AC653" s="81"/>
      <c r="AD653" s="84" t="s">
        <v>2782</v>
      </c>
      <c r="AE653" s="82">
        <v>1</v>
      </c>
      <c r="AF653" s="83" t="str">
        <f>REPLACE(INDEX(GroupVertices[Group],MATCH(Edges[[#This Row],[Vertex 1]],GroupVertices[Vertex],0)),1,1,"")</f>
        <v>3</v>
      </c>
      <c r="AG653" s="83" t="str">
        <f>REPLACE(INDEX(GroupVertices[Group],MATCH(Edges[[#This Row],[Vertex 2]],GroupVertices[Vertex],0)),1,1,"")</f>
        <v>3</v>
      </c>
      <c r="AH653" s="111">
        <v>1</v>
      </c>
      <c r="AI653" s="112">
        <v>5.555555555555555</v>
      </c>
      <c r="AJ653" s="111">
        <v>1</v>
      </c>
      <c r="AK653" s="112">
        <v>5.555555555555555</v>
      </c>
      <c r="AL653" s="111">
        <v>0</v>
      </c>
      <c r="AM653" s="112">
        <v>0</v>
      </c>
      <c r="AN653" s="111">
        <v>16</v>
      </c>
      <c r="AO653" s="112">
        <v>88.88888888888889</v>
      </c>
      <c r="AP653" s="111">
        <v>18</v>
      </c>
    </row>
    <row r="654" spans="1:42" ht="15">
      <c r="A654" s="65" t="s">
        <v>646</v>
      </c>
      <c r="B654" s="65" t="s">
        <v>623</v>
      </c>
      <c r="C654" s="66" t="s">
        <v>5345</v>
      </c>
      <c r="D654" s="67">
        <v>3</v>
      </c>
      <c r="E654" s="68"/>
      <c r="F654" s="69">
        <v>40</v>
      </c>
      <c r="G654" s="66"/>
      <c r="H654" s="70"/>
      <c r="I654" s="71"/>
      <c r="J654" s="71"/>
      <c r="K654" s="35" t="s">
        <v>65</v>
      </c>
      <c r="L654" s="79">
        <v>654</v>
      </c>
      <c r="M654" s="79"/>
      <c r="N654" s="73"/>
      <c r="O654" s="81" t="s">
        <v>760</v>
      </c>
      <c r="P654" s="81" t="s">
        <v>215</v>
      </c>
      <c r="Q654" s="84" t="s">
        <v>1387</v>
      </c>
      <c r="R654" s="81" t="s">
        <v>646</v>
      </c>
      <c r="S654" s="81" t="s">
        <v>1974</v>
      </c>
      <c r="T654" s="86" t="str">
        <f>HYPERLINK("http://www.youtube.com/channel/UCuWMrvoF3OosJnlhmLV9ZVg")</f>
        <v>http://www.youtube.com/channel/UCuWMrvoF3OosJnlhmLV9ZVg</v>
      </c>
      <c r="U654" s="81"/>
      <c r="V654" s="81" t="s">
        <v>2322</v>
      </c>
      <c r="W654" s="86" t="str">
        <f>HYPERLINK("https://www.youtube.com/watch?v=80f3JVN05YQ")</f>
        <v>https://www.youtube.com/watch?v=80f3JVN05YQ</v>
      </c>
      <c r="X654" s="81" t="s">
        <v>2335</v>
      </c>
      <c r="Y654" s="81">
        <v>1</v>
      </c>
      <c r="Z654" s="81" t="s">
        <v>2642</v>
      </c>
      <c r="AA654" s="81" t="s">
        <v>2642</v>
      </c>
      <c r="AB654" s="81"/>
      <c r="AC654" s="81"/>
      <c r="AD654" s="84" t="s">
        <v>2782</v>
      </c>
      <c r="AE654" s="82">
        <v>1</v>
      </c>
      <c r="AF654" s="83" t="str">
        <f>REPLACE(INDEX(GroupVertices[Group],MATCH(Edges[[#This Row],[Vertex 1]],GroupVertices[Vertex],0)),1,1,"")</f>
        <v>3</v>
      </c>
      <c r="AG654" s="83" t="str">
        <f>REPLACE(INDEX(GroupVertices[Group],MATCH(Edges[[#This Row],[Vertex 2]],GroupVertices[Vertex],0)),1,1,"")</f>
        <v>3</v>
      </c>
      <c r="AH654" s="111">
        <v>3</v>
      </c>
      <c r="AI654" s="112">
        <v>42.857142857142854</v>
      </c>
      <c r="AJ654" s="111">
        <v>0</v>
      </c>
      <c r="AK654" s="112">
        <v>0</v>
      </c>
      <c r="AL654" s="111">
        <v>0</v>
      </c>
      <c r="AM654" s="112">
        <v>0</v>
      </c>
      <c r="AN654" s="111">
        <v>4</v>
      </c>
      <c r="AO654" s="112">
        <v>57.142857142857146</v>
      </c>
      <c r="AP654" s="111">
        <v>7</v>
      </c>
    </row>
    <row r="655" spans="1:42" ht="15">
      <c r="A655" s="65" t="s">
        <v>623</v>
      </c>
      <c r="B655" s="65" t="s">
        <v>647</v>
      </c>
      <c r="C655" s="66" t="s">
        <v>5345</v>
      </c>
      <c r="D655" s="67">
        <v>3</v>
      </c>
      <c r="E655" s="68"/>
      <c r="F655" s="69">
        <v>40</v>
      </c>
      <c r="G655" s="66"/>
      <c r="H655" s="70"/>
      <c r="I655" s="71"/>
      <c r="J655" s="71"/>
      <c r="K655" s="35" t="s">
        <v>66</v>
      </c>
      <c r="L655" s="79">
        <v>655</v>
      </c>
      <c r="M655" s="79"/>
      <c r="N655" s="73"/>
      <c r="O655" s="81" t="s">
        <v>761</v>
      </c>
      <c r="P655" s="81" t="s">
        <v>763</v>
      </c>
      <c r="Q655" s="84" t="s">
        <v>1388</v>
      </c>
      <c r="R655" s="81" t="s">
        <v>623</v>
      </c>
      <c r="S655" s="81" t="s">
        <v>1951</v>
      </c>
      <c r="T655" s="86" t="str">
        <f>HYPERLINK("http://www.youtube.com/channel/UC2n4MvLJDH2-GWzjJrC58Zw")</f>
        <v>http://www.youtube.com/channel/UC2n4MvLJDH2-GWzjJrC58Zw</v>
      </c>
      <c r="U655" s="81" t="s">
        <v>2259</v>
      </c>
      <c r="V655" s="81" t="s">
        <v>2322</v>
      </c>
      <c r="W655" s="86" t="str">
        <f>HYPERLINK("https://www.youtube.com/watch?v=80f3JVN05YQ")</f>
        <v>https://www.youtube.com/watch?v=80f3JVN05YQ</v>
      </c>
      <c r="X655" s="81" t="s">
        <v>2335</v>
      </c>
      <c r="Y655" s="81">
        <v>0</v>
      </c>
      <c r="Z655" s="81" t="s">
        <v>2643</v>
      </c>
      <c r="AA655" s="81" t="s">
        <v>2643</v>
      </c>
      <c r="AB655" s="81"/>
      <c r="AC655" s="81"/>
      <c r="AD655" s="84" t="s">
        <v>2782</v>
      </c>
      <c r="AE655" s="82">
        <v>1</v>
      </c>
      <c r="AF655" s="83" t="str">
        <f>REPLACE(INDEX(GroupVertices[Group],MATCH(Edges[[#This Row],[Vertex 1]],GroupVertices[Vertex],0)),1,1,"")</f>
        <v>3</v>
      </c>
      <c r="AG655" s="83" t="str">
        <f>REPLACE(INDEX(GroupVertices[Group],MATCH(Edges[[#This Row],[Vertex 2]],GroupVertices[Vertex],0)),1,1,"")</f>
        <v>3</v>
      </c>
      <c r="AH655" s="111">
        <v>0</v>
      </c>
      <c r="AI655" s="112">
        <v>0</v>
      </c>
      <c r="AJ655" s="111">
        <v>0</v>
      </c>
      <c r="AK655" s="112">
        <v>0</v>
      </c>
      <c r="AL655" s="111">
        <v>0</v>
      </c>
      <c r="AM655" s="112">
        <v>0</v>
      </c>
      <c r="AN655" s="111">
        <v>5</v>
      </c>
      <c r="AO655" s="112">
        <v>100</v>
      </c>
      <c r="AP655" s="111">
        <v>5</v>
      </c>
    </row>
    <row r="656" spans="1:42" ht="15">
      <c r="A656" s="65" t="s">
        <v>647</v>
      </c>
      <c r="B656" s="65" t="s">
        <v>623</v>
      </c>
      <c r="C656" s="66" t="s">
        <v>5345</v>
      </c>
      <c r="D656" s="67">
        <v>3</v>
      </c>
      <c r="E656" s="68"/>
      <c r="F656" s="69">
        <v>40</v>
      </c>
      <c r="G656" s="66"/>
      <c r="H656" s="70"/>
      <c r="I656" s="71"/>
      <c r="J656" s="71"/>
      <c r="K656" s="35" t="s">
        <v>66</v>
      </c>
      <c r="L656" s="79">
        <v>656</v>
      </c>
      <c r="M656" s="79"/>
      <c r="N656" s="73"/>
      <c r="O656" s="81" t="s">
        <v>760</v>
      </c>
      <c r="P656" s="81" t="s">
        <v>215</v>
      </c>
      <c r="Q656" s="84" t="s">
        <v>1389</v>
      </c>
      <c r="R656" s="81" t="s">
        <v>647</v>
      </c>
      <c r="S656" s="81" t="s">
        <v>1975</v>
      </c>
      <c r="T656" s="86" t="str">
        <f>HYPERLINK("http://www.youtube.com/channel/UCSq4Im1vFNOVF1R4Q0iZvmw")</f>
        <v>http://www.youtube.com/channel/UCSq4Im1vFNOVF1R4Q0iZvmw</v>
      </c>
      <c r="U656" s="81"/>
      <c r="V656" s="81" t="s">
        <v>2322</v>
      </c>
      <c r="W656" s="86" t="str">
        <f>HYPERLINK("https://www.youtube.com/watch?v=80f3JVN05YQ")</f>
        <v>https://www.youtube.com/watch?v=80f3JVN05YQ</v>
      </c>
      <c r="X656" s="81" t="s">
        <v>2335</v>
      </c>
      <c r="Y656" s="81">
        <v>0</v>
      </c>
      <c r="Z656" s="81" t="s">
        <v>2644</v>
      </c>
      <c r="AA656" s="81" t="s">
        <v>2644</v>
      </c>
      <c r="AB656" s="81"/>
      <c r="AC656" s="81"/>
      <c r="AD656" s="84" t="s">
        <v>2782</v>
      </c>
      <c r="AE656" s="82">
        <v>1</v>
      </c>
      <c r="AF656" s="83" t="str">
        <f>REPLACE(INDEX(GroupVertices[Group],MATCH(Edges[[#This Row],[Vertex 1]],GroupVertices[Vertex],0)),1,1,"")</f>
        <v>3</v>
      </c>
      <c r="AG656" s="83" t="str">
        <f>REPLACE(INDEX(GroupVertices[Group],MATCH(Edges[[#This Row],[Vertex 2]],GroupVertices[Vertex],0)),1,1,"")</f>
        <v>3</v>
      </c>
      <c r="AH656" s="111">
        <v>0</v>
      </c>
      <c r="AI656" s="112">
        <v>0</v>
      </c>
      <c r="AJ656" s="111">
        <v>0</v>
      </c>
      <c r="AK656" s="112">
        <v>0</v>
      </c>
      <c r="AL656" s="111">
        <v>0</v>
      </c>
      <c r="AM656" s="112">
        <v>0</v>
      </c>
      <c r="AN656" s="111">
        <v>14</v>
      </c>
      <c r="AO656" s="112">
        <v>100</v>
      </c>
      <c r="AP656" s="111">
        <v>14</v>
      </c>
    </row>
    <row r="657" spans="1:42" ht="15">
      <c r="A657" s="65" t="s">
        <v>623</v>
      </c>
      <c r="B657" s="65" t="s">
        <v>648</v>
      </c>
      <c r="C657" s="66" t="s">
        <v>5345</v>
      </c>
      <c r="D657" s="67">
        <v>3</v>
      </c>
      <c r="E657" s="68"/>
      <c r="F657" s="69">
        <v>40</v>
      </c>
      <c r="G657" s="66"/>
      <c r="H657" s="70"/>
      <c r="I657" s="71"/>
      <c r="J657" s="71"/>
      <c r="K657" s="35" t="s">
        <v>66</v>
      </c>
      <c r="L657" s="79">
        <v>657</v>
      </c>
      <c r="M657" s="79"/>
      <c r="N657" s="73"/>
      <c r="O657" s="81" t="s">
        <v>761</v>
      </c>
      <c r="P657" s="81" t="s">
        <v>763</v>
      </c>
      <c r="Q657" s="84" t="s">
        <v>1390</v>
      </c>
      <c r="R657" s="81" t="s">
        <v>623</v>
      </c>
      <c r="S657" s="81" t="s">
        <v>1951</v>
      </c>
      <c r="T657" s="86" t="str">
        <f>HYPERLINK("http://www.youtube.com/channel/UC2n4MvLJDH2-GWzjJrC58Zw")</f>
        <v>http://www.youtube.com/channel/UC2n4MvLJDH2-GWzjJrC58Zw</v>
      </c>
      <c r="U657" s="81" t="s">
        <v>2260</v>
      </c>
      <c r="V657" s="81" t="s">
        <v>2322</v>
      </c>
      <c r="W657" s="86" t="str">
        <f>HYPERLINK("https://www.youtube.com/watch?v=80f3JVN05YQ")</f>
        <v>https://www.youtube.com/watch?v=80f3JVN05YQ</v>
      </c>
      <c r="X657" s="81" t="s">
        <v>2335</v>
      </c>
      <c r="Y657" s="81">
        <v>1</v>
      </c>
      <c r="Z657" s="81" t="s">
        <v>2645</v>
      </c>
      <c r="AA657" s="81" t="s">
        <v>2645</v>
      </c>
      <c r="AB657" s="81"/>
      <c r="AC657" s="81"/>
      <c r="AD657" s="84" t="s">
        <v>2782</v>
      </c>
      <c r="AE657" s="82">
        <v>1</v>
      </c>
      <c r="AF657" s="83" t="str">
        <f>REPLACE(INDEX(GroupVertices[Group],MATCH(Edges[[#This Row],[Vertex 1]],GroupVertices[Vertex],0)),1,1,"")</f>
        <v>3</v>
      </c>
      <c r="AG657" s="83" t="str">
        <f>REPLACE(INDEX(GroupVertices[Group],MATCH(Edges[[#This Row],[Vertex 2]],GroupVertices[Vertex],0)),1,1,"")</f>
        <v>3</v>
      </c>
      <c r="AH657" s="111">
        <v>0</v>
      </c>
      <c r="AI657" s="112">
        <v>0</v>
      </c>
      <c r="AJ657" s="111">
        <v>0</v>
      </c>
      <c r="AK657" s="112">
        <v>0</v>
      </c>
      <c r="AL657" s="111">
        <v>0</v>
      </c>
      <c r="AM657" s="112">
        <v>0</v>
      </c>
      <c r="AN657" s="111">
        <v>2</v>
      </c>
      <c r="AO657" s="112">
        <v>100</v>
      </c>
      <c r="AP657" s="111">
        <v>2</v>
      </c>
    </row>
    <row r="658" spans="1:42" ht="15">
      <c r="A658" s="65" t="s">
        <v>648</v>
      </c>
      <c r="B658" s="65" t="s">
        <v>623</v>
      </c>
      <c r="C658" s="66" t="s">
        <v>5345</v>
      </c>
      <c r="D658" s="67">
        <v>3</v>
      </c>
      <c r="E658" s="68"/>
      <c r="F658" s="69">
        <v>40</v>
      </c>
      <c r="G658" s="66"/>
      <c r="H658" s="70"/>
      <c r="I658" s="71"/>
      <c r="J658" s="71"/>
      <c r="K658" s="35" t="s">
        <v>66</v>
      </c>
      <c r="L658" s="79">
        <v>658</v>
      </c>
      <c r="M658" s="79"/>
      <c r="N658" s="73"/>
      <c r="O658" s="81" t="s">
        <v>760</v>
      </c>
      <c r="P658" s="81" t="s">
        <v>215</v>
      </c>
      <c r="Q658" s="84" t="s">
        <v>1391</v>
      </c>
      <c r="R658" s="81" t="s">
        <v>648</v>
      </c>
      <c r="S658" s="81" t="s">
        <v>1976</v>
      </c>
      <c r="T658" s="86" t="str">
        <f>HYPERLINK("http://www.youtube.com/channel/UCZ9uwWHcFPq0X0kLK6rnEgQ")</f>
        <v>http://www.youtube.com/channel/UCZ9uwWHcFPq0X0kLK6rnEgQ</v>
      </c>
      <c r="U658" s="81"/>
      <c r="V658" s="81" t="s">
        <v>2322</v>
      </c>
      <c r="W658" s="86" t="str">
        <f>HYPERLINK("https://www.youtube.com/watch?v=80f3JVN05YQ")</f>
        <v>https://www.youtube.com/watch?v=80f3JVN05YQ</v>
      </c>
      <c r="X658" s="81" t="s">
        <v>2335</v>
      </c>
      <c r="Y658" s="81">
        <v>1</v>
      </c>
      <c r="Z658" s="81" t="s">
        <v>2646</v>
      </c>
      <c r="AA658" s="81" t="s">
        <v>2646</v>
      </c>
      <c r="AB658" s="81"/>
      <c r="AC658" s="81"/>
      <c r="AD658" s="84" t="s">
        <v>2782</v>
      </c>
      <c r="AE658" s="82">
        <v>1</v>
      </c>
      <c r="AF658" s="83" t="str">
        <f>REPLACE(INDEX(GroupVertices[Group],MATCH(Edges[[#This Row],[Vertex 1]],GroupVertices[Vertex],0)),1,1,"")</f>
        <v>3</v>
      </c>
      <c r="AG658" s="83" t="str">
        <f>REPLACE(INDEX(GroupVertices[Group],MATCH(Edges[[#This Row],[Vertex 2]],GroupVertices[Vertex],0)),1,1,"")</f>
        <v>3</v>
      </c>
      <c r="AH658" s="111">
        <v>3</v>
      </c>
      <c r="AI658" s="112">
        <v>13.636363636363637</v>
      </c>
      <c r="AJ658" s="111">
        <v>0</v>
      </c>
      <c r="AK658" s="112">
        <v>0</v>
      </c>
      <c r="AL658" s="111">
        <v>0</v>
      </c>
      <c r="AM658" s="112">
        <v>0</v>
      </c>
      <c r="AN658" s="111">
        <v>19</v>
      </c>
      <c r="AO658" s="112">
        <v>86.36363636363636</v>
      </c>
      <c r="AP658" s="111">
        <v>22</v>
      </c>
    </row>
    <row r="659" spans="1:42" ht="15">
      <c r="A659" s="65" t="s">
        <v>649</v>
      </c>
      <c r="B659" s="65" t="s">
        <v>623</v>
      </c>
      <c r="C659" s="66" t="s">
        <v>5345</v>
      </c>
      <c r="D659" s="67">
        <v>3</v>
      </c>
      <c r="E659" s="68"/>
      <c r="F659" s="69">
        <v>40</v>
      </c>
      <c r="G659" s="66"/>
      <c r="H659" s="70"/>
      <c r="I659" s="71"/>
      <c r="J659" s="71"/>
      <c r="K659" s="35" t="s">
        <v>65</v>
      </c>
      <c r="L659" s="79">
        <v>659</v>
      </c>
      <c r="M659" s="79"/>
      <c r="N659" s="73"/>
      <c r="O659" s="81" t="s">
        <v>760</v>
      </c>
      <c r="P659" s="81" t="s">
        <v>215</v>
      </c>
      <c r="Q659" s="84" t="s">
        <v>1392</v>
      </c>
      <c r="R659" s="81" t="s">
        <v>649</v>
      </c>
      <c r="S659" s="81" t="s">
        <v>1977</v>
      </c>
      <c r="T659" s="86" t="str">
        <f>HYPERLINK("http://www.youtube.com/channel/UCSYMV5ebJmRbv2r9e2-rc6w")</f>
        <v>http://www.youtube.com/channel/UCSYMV5ebJmRbv2r9e2-rc6w</v>
      </c>
      <c r="U659" s="81"/>
      <c r="V659" s="81" t="s">
        <v>2322</v>
      </c>
      <c r="W659" s="86" t="str">
        <f>HYPERLINK("https://www.youtube.com/watch?v=80f3JVN05YQ")</f>
        <v>https://www.youtube.com/watch?v=80f3JVN05YQ</v>
      </c>
      <c r="X659" s="81" t="s">
        <v>2335</v>
      </c>
      <c r="Y659" s="81">
        <v>0</v>
      </c>
      <c r="Z659" s="81" t="s">
        <v>2647</v>
      </c>
      <c r="AA659" s="81" t="s">
        <v>2647</v>
      </c>
      <c r="AB659" s="81"/>
      <c r="AC659" s="81"/>
      <c r="AD659" s="84" t="s">
        <v>2782</v>
      </c>
      <c r="AE659" s="82">
        <v>1</v>
      </c>
      <c r="AF659" s="83" t="str">
        <f>REPLACE(INDEX(GroupVertices[Group],MATCH(Edges[[#This Row],[Vertex 1]],GroupVertices[Vertex],0)),1,1,"")</f>
        <v>3</v>
      </c>
      <c r="AG659" s="83" t="str">
        <f>REPLACE(INDEX(GroupVertices[Group],MATCH(Edges[[#This Row],[Vertex 2]],GroupVertices[Vertex],0)),1,1,"")</f>
        <v>3</v>
      </c>
      <c r="AH659" s="111">
        <v>0</v>
      </c>
      <c r="AI659" s="112">
        <v>0</v>
      </c>
      <c r="AJ659" s="111">
        <v>0</v>
      </c>
      <c r="AK659" s="112">
        <v>0</v>
      </c>
      <c r="AL659" s="111">
        <v>0</v>
      </c>
      <c r="AM659" s="112">
        <v>0</v>
      </c>
      <c r="AN659" s="111">
        <v>40</v>
      </c>
      <c r="AO659" s="112">
        <v>100</v>
      </c>
      <c r="AP659" s="111">
        <v>40</v>
      </c>
    </row>
    <row r="660" spans="1:42" ht="15">
      <c r="A660" s="65" t="s">
        <v>650</v>
      </c>
      <c r="B660" s="65" t="s">
        <v>623</v>
      </c>
      <c r="C660" s="66" t="s">
        <v>5345</v>
      </c>
      <c r="D660" s="67">
        <v>3</v>
      </c>
      <c r="E660" s="68"/>
      <c r="F660" s="69">
        <v>40</v>
      </c>
      <c r="G660" s="66"/>
      <c r="H660" s="70"/>
      <c r="I660" s="71"/>
      <c r="J660" s="71"/>
      <c r="K660" s="35" t="s">
        <v>65</v>
      </c>
      <c r="L660" s="79">
        <v>660</v>
      </c>
      <c r="M660" s="79"/>
      <c r="N660" s="73"/>
      <c r="O660" s="81" t="s">
        <v>760</v>
      </c>
      <c r="P660" s="81" t="s">
        <v>215</v>
      </c>
      <c r="Q660" s="84" t="s">
        <v>1393</v>
      </c>
      <c r="R660" s="81" t="s">
        <v>650</v>
      </c>
      <c r="S660" s="81" t="s">
        <v>1978</v>
      </c>
      <c r="T660" s="86" t="str">
        <f>HYPERLINK("http://www.youtube.com/channel/UC_RwyrxC63yOTY42eQaJ-9g")</f>
        <v>http://www.youtube.com/channel/UC_RwyrxC63yOTY42eQaJ-9g</v>
      </c>
      <c r="U660" s="81"/>
      <c r="V660" s="81" t="s">
        <v>2322</v>
      </c>
      <c r="W660" s="86" t="str">
        <f>HYPERLINK("https://www.youtube.com/watch?v=80f3JVN05YQ")</f>
        <v>https://www.youtube.com/watch?v=80f3JVN05YQ</v>
      </c>
      <c r="X660" s="81" t="s">
        <v>2335</v>
      </c>
      <c r="Y660" s="81">
        <v>1</v>
      </c>
      <c r="Z660" s="81" t="s">
        <v>2648</v>
      </c>
      <c r="AA660" s="81" t="s">
        <v>2648</v>
      </c>
      <c r="AB660" s="81"/>
      <c r="AC660" s="81"/>
      <c r="AD660" s="84" t="s">
        <v>2782</v>
      </c>
      <c r="AE660" s="82">
        <v>1</v>
      </c>
      <c r="AF660" s="83" t="str">
        <f>REPLACE(INDEX(GroupVertices[Group],MATCH(Edges[[#This Row],[Vertex 1]],GroupVertices[Vertex],0)),1,1,"")</f>
        <v>3</v>
      </c>
      <c r="AG660" s="83" t="str">
        <f>REPLACE(INDEX(GroupVertices[Group],MATCH(Edges[[#This Row],[Vertex 2]],GroupVertices[Vertex],0)),1,1,"")</f>
        <v>3</v>
      </c>
      <c r="AH660" s="111">
        <v>1</v>
      </c>
      <c r="AI660" s="112">
        <v>4.166666666666667</v>
      </c>
      <c r="AJ660" s="111">
        <v>1</v>
      </c>
      <c r="AK660" s="112">
        <v>4.166666666666667</v>
      </c>
      <c r="AL660" s="111">
        <v>0</v>
      </c>
      <c r="AM660" s="112">
        <v>0</v>
      </c>
      <c r="AN660" s="111">
        <v>22</v>
      </c>
      <c r="AO660" s="112">
        <v>91.66666666666667</v>
      </c>
      <c r="AP660" s="111">
        <v>24</v>
      </c>
    </row>
    <row r="661" spans="1:42" ht="15">
      <c r="A661" s="65" t="s">
        <v>623</v>
      </c>
      <c r="B661" s="65" t="s">
        <v>651</v>
      </c>
      <c r="C661" s="66" t="s">
        <v>5345</v>
      </c>
      <c r="D661" s="67">
        <v>3</v>
      </c>
      <c r="E661" s="68"/>
      <c r="F661" s="69">
        <v>40</v>
      </c>
      <c r="G661" s="66"/>
      <c r="H661" s="70"/>
      <c r="I661" s="71"/>
      <c r="J661" s="71"/>
      <c r="K661" s="35" t="s">
        <v>66</v>
      </c>
      <c r="L661" s="79">
        <v>661</v>
      </c>
      <c r="M661" s="79"/>
      <c r="N661" s="73"/>
      <c r="O661" s="81" t="s">
        <v>761</v>
      </c>
      <c r="P661" s="81" t="s">
        <v>763</v>
      </c>
      <c r="Q661" s="84" t="s">
        <v>1394</v>
      </c>
      <c r="R661" s="81" t="s">
        <v>623</v>
      </c>
      <c r="S661" s="81" t="s">
        <v>1951</v>
      </c>
      <c r="T661" s="86" t="str">
        <f>HYPERLINK("http://www.youtube.com/channel/UC2n4MvLJDH2-GWzjJrC58Zw")</f>
        <v>http://www.youtube.com/channel/UC2n4MvLJDH2-GWzjJrC58Zw</v>
      </c>
      <c r="U661" s="81" t="s">
        <v>2261</v>
      </c>
      <c r="V661" s="81" t="s">
        <v>2322</v>
      </c>
      <c r="W661" s="86" t="str">
        <f>HYPERLINK("https://www.youtube.com/watch?v=80f3JVN05YQ")</f>
        <v>https://www.youtube.com/watch?v=80f3JVN05YQ</v>
      </c>
      <c r="X661" s="81" t="s">
        <v>2335</v>
      </c>
      <c r="Y661" s="81">
        <v>1</v>
      </c>
      <c r="Z661" s="81" t="s">
        <v>2649</v>
      </c>
      <c r="AA661" s="81" t="s">
        <v>2649</v>
      </c>
      <c r="AB661" s="81"/>
      <c r="AC661" s="81"/>
      <c r="AD661" s="84" t="s">
        <v>2782</v>
      </c>
      <c r="AE661" s="82">
        <v>1</v>
      </c>
      <c r="AF661" s="83" t="str">
        <f>REPLACE(INDEX(GroupVertices[Group],MATCH(Edges[[#This Row],[Vertex 1]],GroupVertices[Vertex],0)),1,1,"")</f>
        <v>3</v>
      </c>
      <c r="AG661" s="83" t="str">
        <f>REPLACE(INDEX(GroupVertices[Group],MATCH(Edges[[#This Row],[Vertex 2]],GroupVertices[Vertex],0)),1,1,"")</f>
        <v>3</v>
      </c>
      <c r="AH661" s="111">
        <v>0</v>
      </c>
      <c r="AI661" s="112">
        <v>0</v>
      </c>
      <c r="AJ661" s="111">
        <v>0</v>
      </c>
      <c r="AK661" s="112">
        <v>0</v>
      </c>
      <c r="AL661" s="111">
        <v>0</v>
      </c>
      <c r="AM661" s="112">
        <v>0</v>
      </c>
      <c r="AN661" s="111">
        <v>2</v>
      </c>
      <c r="AO661" s="112">
        <v>100</v>
      </c>
      <c r="AP661" s="111">
        <v>2</v>
      </c>
    </row>
    <row r="662" spans="1:42" ht="15">
      <c r="A662" s="65" t="s">
        <v>651</v>
      </c>
      <c r="B662" s="65" t="s">
        <v>623</v>
      </c>
      <c r="C662" s="66" t="s">
        <v>5345</v>
      </c>
      <c r="D662" s="67">
        <v>3</v>
      </c>
      <c r="E662" s="68"/>
      <c r="F662" s="69">
        <v>40</v>
      </c>
      <c r="G662" s="66"/>
      <c r="H662" s="70"/>
      <c r="I662" s="71"/>
      <c r="J662" s="71"/>
      <c r="K662" s="35" t="s">
        <v>66</v>
      </c>
      <c r="L662" s="79">
        <v>662</v>
      </c>
      <c r="M662" s="79"/>
      <c r="N662" s="73"/>
      <c r="O662" s="81" t="s">
        <v>760</v>
      </c>
      <c r="P662" s="81" t="s">
        <v>215</v>
      </c>
      <c r="Q662" s="84" t="s">
        <v>1395</v>
      </c>
      <c r="R662" s="81" t="s">
        <v>651</v>
      </c>
      <c r="S662" s="81" t="s">
        <v>1979</v>
      </c>
      <c r="T662" s="86" t="str">
        <f>HYPERLINK("http://www.youtube.com/channel/UCcZS64S5payPuqr38_1BCFg")</f>
        <v>http://www.youtube.com/channel/UCcZS64S5payPuqr38_1BCFg</v>
      </c>
      <c r="U662" s="81"/>
      <c r="V662" s="81" t="s">
        <v>2322</v>
      </c>
      <c r="W662" s="86" t="str">
        <f>HYPERLINK("https://www.youtube.com/watch?v=80f3JVN05YQ")</f>
        <v>https://www.youtube.com/watch?v=80f3JVN05YQ</v>
      </c>
      <c r="X662" s="81" t="s">
        <v>2335</v>
      </c>
      <c r="Y662" s="81">
        <v>0</v>
      </c>
      <c r="Z662" s="81" t="s">
        <v>2650</v>
      </c>
      <c r="AA662" s="81" t="s">
        <v>2650</v>
      </c>
      <c r="AB662" s="81"/>
      <c r="AC662" s="81"/>
      <c r="AD662" s="84" t="s">
        <v>2782</v>
      </c>
      <c r="AE662" s="82">
        <v>1</v>
      </c>
      <c r="AF662" s="83" t="str">
        <f>REPLACE(INDEX(GroupVertices[Group],MATCH(Edges[[#This Row],[Vertex 1]],GroupVertices[Vertex],0)),1,1,"")</f>
        <v>3</v>
      </c>
      <c r="AG662" s="83" t="str">
        <f>REPLACE(INDEX(GroupVertices[Group],MATCH(Edges[[#This Row],[Vertex 2]],GroupVertices[Vertex],0)),1,1,"")</f>
        <v>3</v>
      </c>
      <c r="AH662" s="111">
        <v>0</v>
      </c>
      <c r="AI662" s="112">
        <v>0</v>
      </c>
      <c r="AJ662" s="111">
        <v>0</v>
      </c>
      <c r="AK662" s="112">
        <v>0</v>
      </c>
      <c r="AL662" s="111">
        <v>0</v>
      </c>
      <c r="AM662" s="112">
        <v>0</v>
      </c>
      <c r="AN662" s="111">
        <v>18</v>
      </c>
      <c r="AO662" s="112">
        <v>100</v>
      </c>
      <c r="AP662" s="111">
        <v>18</v>
      </c>
    </row>
    <row r="663" spans="1:42" ht="15">
      <c r="A663" s="65" t="s">
        <v>623</v>
      </c>
      <c r="B663" s="65" t="s">
        <v>652</v>
      </c>
      <c r="C663" s="66" t="s">
        <v>5345</v>
      </c>
      <c r="D663" s="67">
        <v>3</v>
      </c>
      <c r="E663" s="68"/>
      <c r="F663" s="69">
        <v>40</v>
      </c>
      <c r="G663" s="66"/>
      <c r="H663" s="70"/>
      <c r="I663" s="71"/>
      <c r="J663" s="71"/>
      <c r="K663" s="35" t="s">
        <v>66</v>
      </c>
      <c r="L663" s="79">
        <v>663</v>
      </c>
      <c r="M663" s="79"/>
      <c r="N663" s="73"/>
      <c r="O663" s="81" t="s">
        <v>761</v>
      </c>
      <c r="P663" s="81" t="s">
        <v>763</v>
      </c>
      <c r="Q663" s="84" t="s">
        <v>1396</v>
      </c>
      <c r="R663" s="81" t="s">
        <v>623</v>
      </c>
      <c r="S663" s="81" t="s">
        <v>1951</v>
      </c>
      <c r="T663" s="86" t="str">
        <f>HYPERLINK("http://www.youtube.com/channel/UC2n4MvLJDH2-GWzjJrC58Zw")</f>
        <v>http://www.youtube.com/channel/UC2n4MvLJDH2-GWzjJrC58Zw</v>
      </c>
      <c r="U663" s="81" t="s">
        <v>2262</v>
      </c>
      <c r="V663" s="81" t="s">
        <v>2322</v>
      </c>
      <c r="W663" s="86" t="str">
        <f>HYPERLINK("https://www.youtube.com/watch?v=80f3JVN05YQ")</f>
        <v>https://www.youtube.com/watch?v=80f3JVN05YQ</v>
      </c>
      <c r="X663" s="81" t="s">
        <v>2335</v>
      </c>
      <c r="Y663" s="81">
        <v>0</v>
      </c>
      <c r="Z663" s="81" t="s">
        <v>2651</v>
      </c>
      <c r="AA663" s="81" t="s">
        <v>2651</v>
      </c>
      <c r="AB663" s="81"/>
      <c r="AC663" s="81"/>
      <c r="AD663" s="84" t="s">
        <v>2782</v>
      </c>
      <c r="AE663" s="82">
        <v>1</v>
      </c>
      <c r="AF663" s="83" t="str">
        <f>REPLACE(INDEX(GroupVertices[Group],MATCH(Edges[[#This Row],[Vertex 1]],GroupVertices[Vertex],0)),1,1,"")</f>
        <v>3</v>
      </c>
      <c r="AG663" s="83" t="str">
        <f>REPLACE(INDEX(GroupVertices[Group],MATCH(Edges[[#This Row],[Vertex 2]],GroupVertices[Vertex],0)),1,1,"")</f>
        <v>3</v>
      </c>
      <c r="AH663" s="111">
        <v>0</v>
      </c>
      <c r="AI663" s="112">
        <v>0</v>
      </c>
      <c r="AJ663" s="111">
        <v>0</v>
      </c>
      <c r="AK663" s="112">
        <v>0</v>
      </c>
      <c r="AL663" s="111">
        <v>0</v>
      </c>
      <c r="AM663" s="112">
        <v>0</v>
      </c>
      <c r="AN663" s="111">
        <v>8</v>
      </c>
      <c r="AO663" s="112">
        <v>100</v>
      </c>
      <c r="AP663" s="111">
        <v>8</v>
      </c>
    </row>
    <row r="664" spans="1:42" ht="15">
      <c r="A664" s="65" t="s">
        <v>652</v>
      </c>
      <c r="B664" s="65" t="s">
        <v>623</v>
      </c>
      <c r="C664" s="66" t="s">
        <v>5345</v>
      </c>
      <c r="D664" s="67">
        <v>3</v>
      </c>
      <c r="E664" s="68"/>
      <c r="F664" s="69">
        <v>40</v>
      </c>
      <c r="G664" s="66"/>
      <c r="H664" s="70"/>
      <c r="I664" s="71"/>
      <c r="J664" s="71"/>
      <c r="K664" s="35" t="s">
        <v>66</v>
      </c>
      <c r="L664" s="79">
        <v>664</v>
      </c>
      <c r="M664" s="79"/>
      <c r="N664" s="73"/>
      <c r="O664" s="81" t="s">
        <v>760</v>
      </c>
      <c r="P664" s="81" t="s">
        <v>215</v>
      </c>
      <c r="Q664" s="84" t="s">
        <v>1397</v>
      </c>
      <c r="R664" s="81" t="s">
        <v>652</v>
      </c>
      <c r="S664" s="81" t="s">
        <v>1980</v>
      </c>
      <c r="T664" s="86" t="str">
        <f>HYPERLINK("http://www.youtube.com/channel/UCoPPC9D1NnQDCtKSJKTjYOw")</f>
        <v>http://www.youtube.com/channel/UCoPPC9D1NnQDCtKSJKTjYOw</v>
      </c>
      <c r="U664" s="81"/>
      <c r="V664" s="81" t="s">
        <v>2322</v>
      </c>
      <c r="W664" s="86" t="str">
        <f>HYPERLINK("https://www.youtube.com/watch?v=80f3JVN05YQ")</f>
        <v>https://www.youtube.com/watch?v=80f3JVN05YQ</v>
      </c>
      <c r="X664" s="81" t="s">
        <v>2335</v>
      </c>
      <c r="Y664" s="81">
        <v>0</v>
      </c>
      <c r="Z664" s="81" t="s">
        <v>2652</v>
      </c>
      <c r="AA664" s="81" t="s">
        <v>2652</v>
      </c>
      <c r="AB664" s="81"/>
      <c r="AC664" s="81"/>
      <c r="AD664" s="84" t="s">
        <v>2782</v>
      </c>
      <c r="AE664" s="82">
        <v>1</v>
      </c>
      <c r="AF664" s="83" t="str">
        <f>REPLACE(INDEX(GroupVertices[Group],MATCH(Edges[[#This Row],[Vertex 1]],GroupVertices[Vertex],0)),1,1,"")</f>
        <v>3</v>
      </c>
      <c r="AG664" s="83" t="str">
        <f>REPLACE(INDEX(GroupVertices[Group],MATCH(Edges[[#This Row],[Vertex 2]],GroupVertices[Vertex],0)),1,1,"")</f>
        <v>3</v>
      </c>
      <c r="AH664" s="111">
        <v>0</v>
      </c>
      <c r="AI664" s="112">
        <v>0</v>
      </c>
      <c r="AJ664" s="111">
        <v>0</v>
      </c>
      <c r="AK664" s="112">
        <v>0</v>
      </c>
      <c r="AL664" s="111">
        <v>0</v>
      </c>
      <c r="AM664" s="112">
        <v>0</v>
      </c>
      <c r="AN664" s="111">
        <v>80</v>
      </c>
      <c r="AO664" s="112">
        <v>100</v>
      </c>
      <c r="AP664" s="111">
        <v>80</v>
      </c>
    </row>
    <row r="665" spans="1:42" ht="15">
      <c r="A665" s="65" t="s">
        <v>653</v>
      </c>
      <c r="B665" s="65" t="s">
        <v>623</v>
      </c>
      <c r="C665" s="66" t="s">
        <v>5345</v>
      </c>
      <c r="D665" s="67">
        <v>3</v>
      </c>
      <c r="E665" s="68"/>
      <c r="F665" s="69">
        <v>40</v>
      </c>
      <c r="G665" s="66"/>
      <c r="H665" s="70"/>
      <c r="I665" s="71"/>
      <c r="J665" s="71"/>
      <c r="K665" s="35" t="s">
        <v>65</v>
      </c>
      <c r="L665" s="79">
        <v>665</v>
      </c>
      <c r="M665" s="79"/>
      <c r="N665" s="73"/>
      <c r="O665" s="81" t="s">
        <v>760</v>
      </c>
      <c r="P665" s="81" t="s">
        <v>215</v>
      </c>
      <c r="Q665" s="84" t="s">
        <v>1398</v>
      </c>
      <c r="R665" s="81" t="s">
        <v>653</v>
      </c>
      <c r="S665" s="81" t="s">
        <v>1981</v>
      </c>
      <c r="T665" s="86" t="str">
        <f>HYPERLINK("http://www.youtube.com/channel/UCDbDnHE8fwWNgRNK7c8Nwog")</f>
        <v>http://www.youtube.com/channel/UCDbDnHE8fwWNgRNK7c8Nwog</v>
      </c>
      <c r="U665" s="81"/>
      <c r="V665" s="81" t="s">
        <v>2322</v>
      </c>
      <c r="W665" s="86" t="str">
        <f>HYPERLINK("https://www.youtube.com/watch?v=80f3JVN05YQ")</f>
        <v>https://www.youtube.com/watch?v=80f3JVN05YQ</v>
      </c>
      <c r="X665" s="81" t="s">
        <v>2335</v>
      </c>
      <c r="Y665" s="81">
        <v>0</v>
      </c>
      <c r="Z665" s="81" t="s">
        <v>2653</v>
      </c>
      <c r="AA665" s="81" t="s">
        <v>2653</v>
      </c>
      <c r="AB665" s="81"/>
      <c r="AC665" s="81"/>
      <c r="AD665" s="84" t="s">
        <v>2782</v>
      </c>
      <c r="AE665" s="82">
        <v>1</v>
      </c>
      <c r="AF665" s="83" t="str">
        <f>REPLACE(INDEX(GroupVertices[Group],MATCH(Edges[[#This Row],[Vertex 1]],GroupVertices[Vertex],0)),1,1,"")</f>
        <v>3</v>
      </c>
      <c r="AG665" s="83" t="str">
        <f>REPLACE(INDEX(GroupVertices[Group],MATCH(Edges[[#This Row],[Vertex 2]],GroupVertices[Vertex],0)),1,1,"")</f>
        <v>3</v>
      </c>
      <c r="AH665" s="111">
        <v>0</v>
      </c>
      <c r="AI665" s="112">
        <v>0</v>
      </c>
      <c r="AJ665" s="111">
        <v>0</v>
      </c>
      <c r="AK665" s="112">
        <v>0</v>
      </c>
      <c r="AL665" s="111">
        <v>0</v>
      </c>
      <c r="AM665" s="112">
        <v>0</v>
      </c>
      <c r="AN665" s="111">
        <v>0</v>
      </c>
      <c r="AO665" s="112">
        <v>0</v>
      </c>
      <c r="AP665" s="111">
        <v>0</v>
      </c>
    </row>
    <row r="666" spans="1:42" ht="15">
      <c r="A666" s="65" t="s">
        <v>623</v>
      </c>
      <c r="B666" s="65" t="s">
        <v>654</v>
      </c>
      <c r="C666" s="66" t="s">
        <v>5345</v>
      </c>
      <c r="D666" s="67">
        <v>3</v>
      </c>
      <c r="E666" s="68"/>
      <c r="F666" s="69">
        <v>40</v>
      </c>
      <c r="G666" s="66"/>
      <c r="H666" s="70"/>
      <c r="I666" s="71"/>
      <c r="J666" s="71"/>
      <c r="K666" s="35" t="s">
        <v>66</v>
      </c>
      <c r="L666" s="79">
        <v>666</v>
      </c>
      <c r="M666" s="79"/>
      <c r="N666" s="73"/>
      <c r="O666" s="81" t="s">
        <v>761</v>
      </c>
      <c r="P666" s="81" t="s">
        <v>763</v>
      </c>
      <c r="Q666" s="84" t="s">
        <v>1399</v>
      </c>
      <c r="R666" s="81" t="s">
        <v>623</v>
      </c>
      <c r="S666" s="81" t="s">
        <v>1951</v>
      </c>
      <c r="T666" s="86" t="str">
        <f>HYPERLINK("http://www.youtube.com/channel/UC2n4MvLJDH2-GWzjJrC58Zw")</f>
        <v>http://www.youtube.com/channel/UC2n4MvLJDH2-GWzjJrC58Zw</v>
      </c>
      <c r="U666" s="81" t="s">
        <v>2263</v>
      </c>
      <c r="V666" s="81" t="s">
        <v>2322</v>
      </c>
      <c r="W666" s="86" t="str">
        <f>HYPERLINK("https://www.youtube.com/watch?v=80f3JVN05YQ")</f>
        <v>https://www.youtube.com/watch?v=80f3JVN05YQ</v>
      </c>
      <c r="X666" s="81" t="s">
        <v>2335</v>
      </c>
      <c r="Y666" s="81">
        <v>0</v>
      </c>
      <c r="Z666" s="81" t="s">
        <v>2654</v>
      </c>
      <c r="AA666" s="81" t="s">
        <v>2654</v>
      </c>
      <c r="AB666" s="81"/>
      <c r="AC666" s="81"/>
      <c r="AD666" s="84" t="s">
        <v>2782</v>
      </c>
      <c r="AE666" s="82">
        <v>1</v>
      </c>
      <c r="AF666" s="83" t="str">
        <f>REPLACE(INDEX(GroupVertices[Group],MATCH(Edges[[#This Row],[Vertex 1]],GroupVertices[Vertex],0)),1,1,"")</f>
        <v>3</v>
      </c>
      <c r="AG666" s="83" t="str">
        <f>REPLACE(INDEX(GroupVertices[Group],MATCH(Edges[[#This Row],[Vertex 2]],GroupVertices[Vertex],0)),1,1,"")</f>
        <v>3</v>
      </c>
      <c r="AH666" s="111">
        <v>0</v>
      </c>
      <c r="AI666" s="112">
        <v>0</v>
      </c>
      <c r="AJ666" s="111">
        <v>0</v>
      </c>
      <c r="AK666" s="112">
        <v>0</v>
      </c>
      <c r="AL666" s="111">
        <v>0</v>
      </c>
      <c r="AM666" s="112">
        <v>0</v>
      </c>
      <c r="AN666" s="111">
        <v>2</v>
      </c>
      <c r="AO666" s="112">
        <v>100</v>
      </c>
      <c r="AP666" s="111">
        <v>2</v>
      </c>
    </row>
    <row r="667" spans="1:42" ht="15">
      <c r="A667" s="65" t="s">
        <v>654</v>
      </c>
      <c r="B667" s="65" t="s">
        <v>623</v>
      </c>
      <c r="C667" s="66" t="s">
        <v>5345</v>
      </c>
      <c r="D667" s="67">
        <v>3</v>
      </c>
      <c r="E667" s="68"/>
      <c r="F667" s="69">
        <v>40</v>
      </c>
      <c r="G667" s="66"/>
      <c r="H667" s="70"/>
      <c r="I667" s="71"/>
      <c r="J667" s="71"/>
      <c r="K667" s="35" t="s">
        <v>66</v>
      </c>
      <c r="L667" s="79">
        <v>667</v>
      </c>
      <c r="M667" s="79"/>
      <c r="N667" s="73"/>
      <c r="O667" s="81" t="s">
        <v>760</v>
      </c>
      <c r="P667" s="81" t="s">
        <v>215</v>
      </c>
      <c r="Q667" s="84" t="s">
        <v>1400</v>
      </c>
      <c r="R667" s="81" t="s">
        <v>654</v>
      </c>
      <c r="S667" s="81" t="s">
        <v>1982</v>
      </c>
      <c r="T667" s="86" t="str">
        <f>HYPERLINK("http://www.youtube.com/channel/UChr2W5ZUUxJGwGuwyXPjGRw")</f>
        <v>http://www.youtube.com/channel/UChr2W5ZUUxJGwGuwyXPjGRw</v>
      </c>
      <c r="U667" s="81"/>
      <c r="V667" s="81" t="s">
        <v>2322</v>
      </c>
      <c r="W667" s="86" t="str">
        <f>HYPERLINK("https://www.youtube.com/watch?v=80f3JVN05YQ")</f>
        <v>https://www.youtube.com/watch?v=80f3JVN05YQ</v>
      </c>
      <c r="X667" s="81" t="s">
        <v>2335</v>
      </c>
      <c r="Y667" s="81">
        <v>0</v>
      </c>
      <c r="Z667" s="81" t="s">
        <v>2655</v>
      </c>
      <c r="AA667" s="81" t="s">
        <v>2655</v>
      </c>
      <c r="AB667" s="81"/>
      <c r="AC667" s="81"/>
      <c r="AD667" s="84" t="s">
        <v>2782</v>
      </c>
      <c r="AE667" s="82">
        <v>1</v>
      </c>
      <c r="AF667" s="83" t="str">
        <f>REPLACE(INDEX(GroupVertices[Group],MATCH(Edges[[#This Row],[Vertex 1]],GroupVertices[Vertex],0)),1,1,"")</f>
        <v>3</v>
      </c>
      <c r="AG667" s="83" t="str">
        <f>REPLACE(INDEX(GroupVertices[Group],MATCH(Edges[[#This Row],[Vertex 2]],GroupVertices[Vertex],0)),1,1,"")</f>
        <v>3</v>
      </c>
      <c r="AH667" s="111">
        <v>1</v>
      </c>
      <c r="AI667" s="112">
        <v>12.5</v>
      </c>
      <c r="AJ667" s="111">
        <v>0</v>
      </c>
      <c r="AK667" s="112">
        <v>0</v>
      </c>
      <c r="AL667" s="111">
        <v>0</v>
      </c>
      <c r="AM667" s="112">
        <v>0</v>
      </c>
      <c r="AN667" s="111">
        <v>7</v>
      </c>
      <c r="AO667" s="112">
        <v>87.5</v>
      </c>
      <c r="AP667" s="111">
        <v>8</v>
      </c>
    </row>
    <row r="668" spans="1:42" ht="15">
      <c r="A668" s="65" t="s">
        <v>623</v>
      </c>
      <c r="B668" s="65" t="s">
        <v>655</v>
      </c>
      <c r="C668" s="66" t="s">
        <v>5345</v>
      </c>
      <c r="D668" s="67">
        <v>3</v>
      </c>
      <c r="E668" s="68"/>
      <c r="F668" s="69">
        <v>40</v>
      </c>
      <c r="G668" s="66"/>
      <c r="H668" s="70"/>
      <c r="I668" s="71"/>
      <c r="J668" s="71"/>
      <c r="K668" s="35" t="s">
        <v>66</v>
      </c>
      <c r="L668" s="79">
        <v>668</v>
      </c>
      <c r="M668" s="79"/>
      <c r="N668" s="73"/>
      <c r="O668" s="81" t="s">
        <v>761</v>
      </c>
      <c r="P668" s="81" t="s">
        <v>763</v>
      </c>
      <c r="Q668" s="84" t="s">
        <v>1401</v>
      </c>
      <c r="R668" s="81" t="s">
        <v>623</v>
      </c>
      <c r="S668" s="81" t="s">
        <v>1951</v>
      </c>
      <c r="T668" s="86" t="str">
        <f>HYPERLINK("http://www.youtube.com/channel/UC2n4MvLJDH2-GWzjJrC58Zw")</f>
        <v>http://www.youtube.com/channel/UC2n4MvLJDH2-GWzjJrC58Zw</v>
      </c>
      <c r="U668" s="81" t="s">
        <v>2264</v>
      </c>
      <c r="V668" s="81" t="s">
        <v>2322</v>
      </c>
      <c r="W668" s="86" t="str">
        <f>HYPERLINK("https://www.youtube.com/watch?v=80f3JVN05YQ")</f>
        <v>https://www.youtube.com/watch?v=80f3JVN05YQ</v>
      </c>
      <c r="X668" s="81" t="s">
        <v>2335</v>
      </c>
      <c r="Y668" s="81">
        <v>0</v>
      </c>
      <c r="Z668" s="81" t="s">
        <v>2656</v>
      </c>
      <c r="AA668" s="81" t="s">
        <v>2656</v>
      </c>
      <c r="AB668" s="81"/>
      <c r="AC668" s="81"/>
      <c r="AD668" s="84" t="s">
        <v>2782</v>
      </c>
      <c r="AE668" s="82">
        <v>1</v>
      </c>
      <c r="AF668" s="83" t="str">
        <f>REPLACE(INDEX(GroupVertices[Group],MATCH(Edges[[#This Row],[Vertex 1]],GroupVertices[Vertex],0)),1,1,"")</f>
        <v>3</v>
      </c>
      <c r="AG668" s="83" t="str">
        <f>REPLACE(INDEX(GroupVertices[Group],MATCH(Edges[[#This Row],[Vertex 2]],GroupVertices[Vertex],0)),1,1,"")</f>
        <v>3</v>
      </c>
      <c r="AH668" s="111">
        <v>1</v>
      </c>
      <c r="AI668" s="112">
        <v>5.555555555555555</v>
      </c>
      <c r="AJ668" s="111">
        <v>0</v>
      </c>
      <c r="AK668" s="112">
        <v>0</v>
      </c>
      <c r="AL668" s="111">
        <v>0</v>
      </c>
      <c r="AM668" s="112">
        <v>0</v>
      </c>
      <c r="AN668" s="111">
        <v>17</v>
      </c>
      <c r="AO668" s="112">
        <v>94.44444444444444</v>
      </c>
      <c r="AP668" s="111">
        <v>18</v>
      </c>
    </row>
    <row r="669" spans="1:42" ht="15">
      <c r="A669" s="65" t="s">
        <v>655</v>
      </c>
      <c r="B669" s="65" t="s">
        <v>623</v>
      </c>
      <c r="C669" s="66" t="s">
        <v>5345</v>
      </c>
      <c r="D669" s="67">
        <v>3</v>
      </c>
      <c r="E669" s="68"/>
      <c r="F669" s="69">
        <v>40</v>
      </c>
      <c r="G669" s="66"/>
      <c r="H669" s="70"/>
      <c r="I669" s="71"/>
      <c r="J669" s="71"/>
      <c r="K669" s="35" t="s">
        <v>66</v>
      </c>
      <c r="L669" s="79">
        <v>669</v>
      </c>
      <c r="M669" s="79"/>
      <c r="N669" s="73"/>
      <c r="O669" s="81" t="s">
        <v>760</v>
      </c>
      <c r="P669" s="81" t="s">
        <v>215</v>
      </c>
      <c r="Q669" s="84" t="s">
        <v>1402</v>
      </c>
      <c r="R669" s="81" t="s">
        <v>655</v>
      </c>
      <c r="S669" s="81" t="s">
        <v>1983</v>
      </c>
      <c r="T669" s="86" t="str">
        <f>HYPERLINK("http://www.youtube.com/channel/UCdNaLUj1g121JiHM_z0CUlg")</f>
        <v>http://www.youtube.com/channel/UCdNaLUj1g121JiHM_z0CUlg</v>
      </c>
      <c r="U669" s="81"/>
      <c r="V669" s="81" t="s">
        <v>2322</v>
      </c>
      <c r="W669" s="86" t="str">
        <f>HYPERLINK("https://www.youtube.com/watch?v=80f3JVN05YQ")</f>
        <v>https://www.youtube.com/watch?v=80f3JVN05YQ</v>
      </c>
      <c r="X669" s="81" t="s">
        <v>2335</v>
      </c>
      <c r="Y669" s="81">
        <v>0</v>
      </c>
      <c r="Z669" s="81" t="s">
        <v>2657</v>
      </c>
      <c r="AA669" s="81" t="s">
        <v>2657</v>
      </c>
      <c r="AB669" s="81"/>
      <c r="AC669" s="81"/>
      <c r="AD669" s="84" t="s">
        <v>2782</v>
      </c>
      <c r="AE669" s="82">
        <v>1</v>
      </c>
      <c r="AF669" s="83" t="str">
        <f>REPLACE(INDEX(GroupVertices[Group],MATCH(Edges[[#This Row],[Vertex 1]],GroupVertices[Vertex],0)),1,1,"")</f>
        <v>3</v>
      </c>
      <c r="AG669" s="83" t="str">
        <f>REPLACE(INDEX(GroupVertices[Group],MATCH(Edges[[#This Row],[Vertex 2]],GroupVertices[Vertex],0)),1,1,"")</f>
        <v>3</v>
      </c>
      <c r="AH669" s="111">
        <v>9</v>
      </c>
      <c r="AI669" s="112">
        <v>12.162162162162161</v>
      </c>
      <c r="AJ669" s="111">
        <v>0</v>
      </c>
      <c r="AK669" s="112">
        <v>0</v>
      </c>
      <c r="AL669" s="111">
        <v>0</v>
      </c>
      <c r="AM669" s="112">
        <v>0</v>
      </c>
      <c r="AN669" s="111">
        <v>65</v>
      </c>
      <c r="AO669" s="112">
        <v>87.83783783783784</v>
      </c>
      <c r="AP669" s="111">
        <v>74</v>
      </c>
    </row>
    <row r="670" spans="1:42" ht="15">
      <c r="A670" s="65" t="s">
        <v>623</v>
      </c>
      <c r="B670" s="65" t="s">
        <v>656</v>
      </c>
      <c r="C670" s="66" t="s">
        <v>5345</v>
      </c>
      <c r="D670" s="67">
        <v>3</v>
      </c>
      <c r="E670" s="68"/>
      <c r="F670" s="69">
        <v>40</v>
      </c>
      <c r="G670" s="66"/>
      <c r="H670" s="70"/>
      <c r="I670" s="71"/>
      <c r="J670" s="71"/>
      <c r="K670" s="35" t="s">
        <v>66</v>
      </c>
      <c r="L670" s="79">
        <v>670</v>
      </c>
      <c r="M670" s="79"/>
      <c r="N670" s="73"/>
      <c r="O670" s="81" t="s">
        <v>761</v>
      </c>
      <c r="P670" s="81" t="s">
        <v>763</v>
      </c>
      <c r="Q670" s="84" t="s">
        <v>769</v>
      </c>
      <c r="R670" s="81" t="s">
        <v>623</v>
      </c>
      <c r="S670" s="81" t="s">
        <v>1951</v>
      </c>
      <c r="T670" s="86" t="str">
        <f>HYPERLINK("http://www.youtube.com/channel/UC2n4MvLJDH2-GWzjJrC58Zw")</f>
        <v>http://www.youtube.com/channel/UC2n4MvLJDH2-GWzjJrC58Zw</v>
      </c>
      <c r="U670" s="81" t="s">
        <v>2265</v>
      </c>
      <c r="V670" s="81" t="s">
        <v>2322</v>
      </c>
      <c r="W670" s="86" t="str">
        <f>HYPERLINK("https://www.youtube.com/watch?v=80f3JVN05YQ")</f>
        <v>https://www.youtube.com/watch?v=80f3JVN05YQ</v>
      </c>
      <c r="X670" s="81" t="s">
        <v>2335</v>
      </c>
      <c r="Y670" s="81">
        <v>0</v>
      </c>
      <c r="Z670" s="81" t="s">
        <v>2658</v>
      </c>
      <c r="AA670" s="81" t="s">
        <v>2658</v>
      </c>
      <c r="AB670" s="81"/>
      <c r="AC670" s="81"/>
      <c r="AD670" s="84" t="s">
        <v>2782</v>
      </c>
      <c r="AE670" s="82">
        <v>1</v>
      </c>
      <c r="AF670" s="83" t="str">
        <f>REPLACE(INDEX(GroupVertices[Group],MATCH(Edges[[#This Row],[Vertex 1]],GroupVertices[Vertex],0)),1,1,"")</f>
        <v>3</v>
      </c>
      <c r="AG670" s="83" t="str">
        <f>REPLACE(INDEX(GroupVertices[Group],MATCH(Edges[[#This Row],[Vertex 2]],GroupVertices[Vertex],0)),1,1,"")</f>
        <v>3</v>
      </c>
      <c r="AH670" s="111">
        <v>0</v>
      </c>
      <c r="AI670" s="112">
        <v>0</v>
      </c>
      <c r="AJ670" s="111">
        <v>0</v>
      </c>
      <c r="AK670" s="112">
        <v>0</v>
      </c>
      <c r="AL670" s="111">
        <v>0</v>
      </c>
      <c r="AM670" s="112">
        <v>0</v>
      </c>
      <c r="AN670" s="111">
        <v>1</v>
      </c>
      <c r="AO670" s="112">
        <v>100</v>
      </c>
      <c r="AP670" s="111">
        <v>1</v>
      </c>
    </row>
    <row r="671" spans="1:42" ht="15">
      <c r="A671" s="65" t="s">
        <v>656</v>
      </c>
      <c r="B671" s="65" t="s">
        <v>623</v>
      </c>
      <c r="C671" s="66" t="s">
        <v>5345</v>
      </c>
      <c r="D671" s="67">
        <v>3</v>
      </c>
      <c r="E671" s="68"/>
      <c r="F671" s="69">
        <v>40</v>
      </c>
      <c r="G671" s="66"/>
      <c r="H671" s="70"/>
      <c r="I671" s="71"/>
      <c r="J671" s="71"/>
      <c r="K671" s="35" t="s">
        <v>66</v>
      </c>
      <c r="L671" s="79">
        <v>671</v>
      </c>
      <c r="M671" s="79"/>
      <c r="N671" s="73"/>
      <c r="O671" s="81" t="s">
        <v>760</v>
      </c>
      <c r="P671" s="81" t="s">
        <v>215</v>
      </c>
      <c r="Q671" s="84" t="s">
        <v>1403</v>
      </c>
      <c r="R671" s="81" t="s">
        <v>656</v>
      </c>
      <c r="S671" s="81" t="s">
        <v>1984</v>
      </c>
      <c r="T671" s="86" t="str">
        <f>HYPERLINK("http://www.youtube.com/channel/UCtqb24bCSdxnEkcQQLR2pMA")</f>
        <v>http://www.youtube.com/channel/UCtqb24bCSdxnEkcQQLR2pMA</v>
      </c>
      <c r="U671" s="81"/>
      <c r="V671" s="81" t="s">
        <v>2322</v>
      </c>
      <c r="W671" s="86" t="str">
        <f>HYPERLINK("https://www.youtube.com/watch?v=80f3JVN05YQ")</f>
        <v>https://www.youtube.com/watch?v=80f3JVN05YQ</v>
      </c>
      <c r="X671" s="81" t="s">
        <v>2335</v>
      </c>
      <c r="Y671" s="81">
        <v>0</v>
      </c>
      <c r="Z671" s="81" t="s">
        <v>2659</v>
      </c>
      <c r="AA671" s="81" t="s">
        <v>2659</v>
      </c>
      <c r="AB671" s="81"/>
      <c r="AC671" s="81"/>
      <c r="AD671" s="84" t="s">
        <v>2782</v>
      </c>
      <c r="AE671" s="82">
        <v>1</v>
      </c>
      <c r="AF671" s="83" t="str">
        <f>REPLACE(INDEX(GroupVertices[Group],MATCH(Edges[[#This Row],[Vertex 1]],GroupVertices[Vertex],0)),1,1,"")</f>
        <v>3</v>
      </c>
      <c r="AG671" s="83" t="str">
        <f>REPLACE(INDEX(GroupVertices[Group],MATCH(Edges[[#This Row],[Vertex 2]],GroupVertices[Vertex],0)),1,1,"")</f>
        <v>3</v>
      </c>
      <c r="AH671" s="111">
        <v>2</v>
      </c>
      <c r="AI671" s="112">
        <v>7.407407407407407</v>
      </c>
      <c r="AJ671" s="111">
        <v>0</v>
      </c>
      <c r="AK671" s="112">
        <v>0</v>
      </c>
      <c r="AL671" s="111">
        <v>0</v>
      </c>
      <c r="AM671" s="112">
        <v>0</v>
      </c>
      <c r="AN671" s="111">
        <v>25</v>
      </c>
      <c r="AO671" s="112">
        <v>92.5925925925926</v>
      </c>
      <c r="AP671" s="111">
        <v>27</v>
      </c>
    </row>
    <row r="672" spans="1:42" ht="15">
      <c r="A672" s="65" t="s">
        <v>657</v>
      </c>
      <c r="B672" s="65" t="s">
        <v>623</v>
      </c>
      <c r="C672" s="66" t="s">
        <v>5345</v>
      </c>
      <c r="D672" s="67">
        <v>3</v>
      </c>
      <c r="E672" s="68"/>
      <c r="F672" s="69">
        <v>40</v>
      </c>
      <c r="G672" s="66"/>
      <c r="H672" s="70"/>
      <c r="I672" s="71"/>
      <c r="J672" s="71"/>
      <c r="K672" s="35" t="s">
        <v>65</v>
      </c>
      <c r="L672" s="79">
        <v>672</v>
      </c>
      <c r="M672" s="79"/>
      <c r="N672" s="73"/>
      <c r="O672" s="81" t="s">
        <v>760</v>
      </c>
      <c r="P672" s="81" t="s">
        <v>215</v>
      </c>
      <c r="Q672" s="84" t="s">
        <v>1404</v>
      </c>
      <c r="R672" s="81" t="s">
        <v>657</v>
      </c>
      <c r="S672" s="81" t="s">
        <v>1985</v>
      </c>
      <c r="T672" s="86" t="str">
        <f>HYPERLINK("http://www.youtube.com/channel/UCFMHocMbkfmF0YiiyozVYZA")</f>
        <v>http://www.youtube.com/channel/UCFMHocMbkfmF0YiiyozVYZA</v>
      </c>
      <c r="U672" s="81"/>
      <c r="V672" s="81" t="s">
        <v>2322</v>
      </c>
      <c r="W672" s="86" t="str">
        <f>HYPERLINK("https://www.youtube.com/watch?v=80f3JVN05YQ")</f>
        <v>https://www.youtube.com/watch?v=80f3JVN05YQ</v>
      </c>
      <c r="X672" s="81" t="s">
        <v>2335</v>
      </c>
      <c r="Y672" s="81">
        <v>0</v>
      </c>
      <c r="Z672" s="81" t="s">
        <v>2660</v>
      </c>
      <c r="AA672" s="81" t="s">
        <v>2660</v>
      </c>
      <c r="AB672" s="81"/>
      <c r="AC672" s="81"/>
      <c r="AD672" s="84" t="s">
        <v>2782</v>
      </c>
      <c r="AE672" s="82">
        <v>1</v>
      </c>
      <c r="AF672" s="83" t="str">
        <f>REPLACE(INDEX(GroupVertices[Group],MATCH(Edges[[#This Row],[Vertex 1]],GroupVertices[Vertex],0)),1,1,"")</f>
        <v>3</v>
      </c>
      <c r="AG672" s="83" t="str">
        <f>REPLACE(INDEX(GroupVertices[Group],MATCH(Edges[[#This Row],[Vertex 2]],GroupVertices[Vertex],0)),1,1,"")</f>
        <v>3</v>
      </c>
      <c r="AH672" s="111">
        <v>1</v>
      </c>
      <c r="AI672" s="112">
        <v>7.142857142857143</v>
      </c>
      <c r="AJ672" s="111">
        <v>0</v>
      </c>
      <c r="AK672" s="112">
        <v>0</v>
      </c>
      <c r="AL672" s="111">
        <v>0</v>
      </c>
      <c r="AM672" s="112">
        <v>0</v>
      </c>
      <c r="AN672" s="111">
        <v>13</v>
      </c>
      <c r="AO672" s="112">
        <v>92.85714285714286</v>
      </c>
      <c r="AP672" s="111">
        <v>14</v>
      </c>
    </row>
    <row r="673" spans="1:42" ht="15">
      <c r="A673" s="65" t="s">
        <v>623</v>
      </c>
      <c r="B673" s="65" t="s">
        <v>658</v>
      </c>
      <c r="C673" s="66" t="s">
        <v>5345</v>
      </c>
      <c r="D673" s="67">
        <v>3</v>
      </c>
      <c r="E673" s="68"/>
      <c r="F673" s="69">
        <v>40</v>
      </c>
      <c r="G673" s="66"/>
      <c r="H673" s="70"/>
      <c r="I673" s="71"/>
      <c r="J673" s="71"/>
      <c r="K673" s="35" t="s">
        <v>66</v>
      </c>
      <c r="L673" s="79">
        <v>673</v>
      </c>
      <c r="M673" s="79"/>
      <c r="N673" s="73"/>
      <c r="O673" s="81" t="s">
        <v>761</v>
      </c>
      <c r="P673" s="81" t="s">
        <v>763</v>
      </c>
      <c r="Q673" s="84" t="s">
        <v>1405</v>
      </c>
      <c r="R673" s="81" t="s">
        <v>623</v>
      </c>
      <c r="S673" s="81" t="s">
        <v>1951</v>
      </c>
      <c r="T673" s="86" t="str">
        <f>HYPERLINK("http://www.youtube.com/channel/UC2n4MvLJDH2-GWzjJrC58Zw")</f>
        <v>http://www.youtube.com/channel/UC2n4MvLJDH2-GWzjJrC58Zw</v>
      </c>
      <c r="U673" s="81" t="s">
        <v>2266</v>
      </c>
      <c r="V673" s="81" t="s">
        <v>2322</v>
      </c>
      <c r="W673" s="86" t="str">
        <f>HYPERLINK("https://www.youtube.com/watch?v=80f3JVN05YQ")</f>
        <v>https://www.youtube.com/watch?v=80f3JVN05YQ</v>
      </c>
      <c r="X673" s="81" t="s">
        <v>2335</v>
      </c>
      <c r="Y673" s="81">
        <v>1</v>
      </c>
      <c r="Z673" s="81" t="s">
        <v>2661</v>
      </c>
      <c r="AA673" s="81" t="s">
        <v>2661</v>
      </c>
      <c r="AB673" s="81"/>
      <c r="AC673" s="81"/>
      <c r="AD673" s="84" t="s">
        <v>2782</v>
      </c>
      <c r="AE673" s="82">
        <v>1</v>
      </c>
      <c r="AF673" s="83" t="str">
        <f>REPLACE(INDEX(GroupVertices[Group],MATCH(Edges[[#This Row],[Vertex 1]],GroupVertices[Vertex],0)),1,1,"")</f>
        <v>3</v>
      </c>
      <c r="AG673" s="83" t="str">
        <f>REPLACE(INDEX(GroupVertices[Group],MATCH(Edges[[#This Row],[Vertex 2]],GroupVertices[Vertex],0)),1,1,"")</f>
        <v>3</v>
      </c>
      <c r="AH673" s="111">
        <v>0</v>
      </c>
      <c r="AI673" s="112">
        <v>0</v>
      </c>
      <c r="AJ673" s="111">
        <v>0</v>
      </c>
      <c r="AK673" s="112">
        <v>0</v>
      </c>
      <c r="AL673" s="111">
        <v>0</v>
      </c>
      <c r="AM673" s="112">
        <v>0</v>
      </c>
      <c r="AN673" s="111">
        <v>3</v>
      </c>
      <c r="AO673" s="112">
        <v>100</v>
      </c>
      <c r="AP673" s="111">
        <v>3</v>
      </c>
    </row>
    <row r="674" spans="1:42" ht="15">
      <c r="A674" s="65" t="s">
        <v>658</v>
      </c>
      <c r="B674" s="65" t="s">
        <v>623</v>
      </c>
      <c r="C674" s="66" t="s">
        <v>5345</v>
      </c>
      <c r="D674" s="67">
        <v>3</v>
      </c>
      <c r="E674" s="68"/>
      <c r="F674" s="69">
        <v>40</v>
      </c>
      <c r="G674" s="66"/>
      <c r="H674" s="70"/>
      <c r="I674" s="71"/>
      <c r="J674" s="71"/>
      <c r="K674" s="35" t="s">
        <v>66</v>
      </c>
      <c r="L674" s="79">
        <v>674</v>
      </c>
      <c r="M674" s="79"/>
      <c r="N674" s="73"/>
      <c r="O674" s="81" t="s">
        <v>760</v>
      </c>
      <c r="P674" s="81" t="s">
        <v>215</v>
      </c>
      <c r="Q674" s="84" t="s">
        <v>1406</v>
      </c>
      <c r="R674" s="81" t="s">
        <v>658</v>
      </c>
      <c r="S674" s="81" t="s">
        <v>1986</v>
      </c>
      <c r="T674" s="86" t="str">
        <f>HYPERLINK("http://www.youtube.com/channel/UCroL4lQdZE0O3aZuklwBheA")</f>
        <v>http://www.youtube.com/channel/UCroL4lQdZE0O3aZuklwBheA</v>
      </c>
      <c r="U674" s="81"/>
      <c r="V674" s="81" t="s">
        <v>2322</v>
      </c>
      <c r="W674" s="86" t="str">
        <f>HYPERLINK("https://www.youtube.com/watch?v=80f3JVN05YQ")</f>
        <v>https://www.youtube.com/watch?v=80f3JVN05YQ</v>
      </c>
      <c r="X674" s="81" t="s">
        <v>2335</v>
      </c>
      <c r="Y674" s="81">
        <v>0</v>
      </c>
      <c r="Z674" s="81" t="s">
        <v>2662</v>
      </c>
      <c r="AA674" s="81" t="s">
        <v>2662</v>
      </c>
      <c r="AB674" s="81"/>
      <c r="AC674" s="81"/>
      <c r="AD674" s="84" t="s">
        <v>2782</v>
      </c>
      <c r="AE674" s="82">
        <v>1</v>
      </c>
      <c r="AF674" s="83" t="str">
        <f>REPLACE(INDEX(GroupVertices[Group],MATCH(Edges[[#This Row],[Vertex 1]],GroupVertices[Vertex],0)),1,1,"")</f>
        <v>3</v>
      </c>
      <c r="AG674" s="83" t="str">
        <f>REPLACE(INDEX(GroupVertices[Group],MATCH(Edges[[#This Row],[Vertex 2]],GroupVertices[Vertex],0)),1,1,"")</f>
        <v>3</v>
      </c>
      <c r="AH674" s="111">
        <v>1</v>
      </c>
      <c r="AI674" s="112">
        <v>3.8461538461538463</v>
      </c>
      <c r="AJ674" s="111">
        <v>0</v>
      </c>
      <c r="AK674" s="112">
        <v>0</v>
      </c>
      <c r="AL674" s="111">
        <v>0</v>
      </c>
      <c r="AM674" s="112">
        <v>0</v>
      </c>
      <c r="AN674" s="111">
        <v>25</v>
      </c>
      <c r="AO674" s="112">
        <v>96.15384615384616</v>
      </c>
      <c r="AP674" s="111">
        <v>26</v>
      </c>
    </row>
    <row r="675" spans="1:42" ht="15">
      <c r="A675" s="65" t="s">
        <v>623</v>
      </c>
      <c r="B675" s="65" t="s">
        <v>659</v>
      </c>
      <c r="C675" s="66" t="s">
        <v>5345</v>
      </c>
      <c r="D675" s="67">
        <v>3</v>
      </c>
      <c r="E675" s="68"/>
      <c r="F675" s="69">
        <v>40</v>
      </c>
      <c r="G675" s="66"/>
      <c r="H675" s="70"/>
      <c r="I675" s="71"/>
      <c r="J675" s="71"/>
      <c r="K675" s="35" t="s">
        <v>66</v>
      </c>
      <c r="L675" s="79">
        <v>675</v>
      </c>
      <c r="M675" s="79"/>
      <c r="N675" s="73"/>
      <c r="O675" s="81" t="s">
        <v>761</v>
      </c>
      <c r="P675" s="81" t="s">
        <v>763</v>
      </c>
      <c r="Q675" s="84" t="s">
        <v>1407</v>
      </c>
      <c r="R675" s="81" t="s">
        <v>623</v>
      </c>
      <c r="S675" s="81" t="s">
        <v>1951</v>
      </c>
      <c r="T675" s="86" t="str">
        <f>HYPERLINK("http://www.youtube.com/channel/UC2n4MvLJDH2-GWzjJrC58Zw")</f>
        <v>http://www.youtube.com/channel/UC2n4MvLJDH2-GWzjJrC58Zw</v>
      </c>
      <c r="U675" s="81" t="s">
        <v>2267</v>
      </c>
      <c r="V675" s="81" t="s">
        <v>2322</v>
      </c>
      <c r="W675" s="86" t="str">
        <f>HYPERLINK("https://www.youtube.com/watch?v=80f3JVN05YQ")</f>
        <v>https://www.youtube.com/watch?v=80f3JVN05YQ</v>
      </c>
      <c r="X675" s="81" t="s">
        <v>2335</v>
      </c>
      <c r="Y675" s="81">
        <v>0</v>
      </c>
      <c r="Z675" s="81" t="s">
        <v>2663</v>
      </c>
      <c r="AA675" s="81" t="s">
        <v>2663</v>
      </c>
      <c r="AB675" s="81"/>
      <c r="AC675" s="81"/>
      <c r="AD675" s="84" t="s">
        <v>2782</v>
      </c>
      <c r="AE675" s="82">
        <v>1</v>
      </c>
      <c r="AF675" s="83" t="str">
        <f>REPLACE(INDEX(GroupVertices[Group],MATCH(Edges[[#This Row],[Vertex 1]],GroupVertices[Vertex],0)),1,1,"")</f>
        <v>3</v>
      </c>
      <c r="AG675" s="83" t="str">
        <f>REPLACE(INDEX(GroupVertices[Group],MATCH(Edges[[#This Row],[Vertex 2]],GroupVertices[Vertex],0)),1,1,"")</f>
        <v>3</v>
      </c>
      <c r="AH675" s="111">
        <v>0</v>
      </c>
      <c r="AI675" s="112">
        <v>0</v>
      </c>
      <c r="AJ675" s="111">
        <v>0</v>
      </c>
      <c r="AK675" s="112">
        <v>0</v>
      </c>
      <c r="AL675" s="111">
        <v>0</v>
      </c>
      <c r="AM675" s="112">
        <v>0</v>
      </c>
      <c r="AN675" s="111">
        <v>7</v>
      </c>
      <c r="AO675" s="112">
        <v>100</v>
      </c>
      <c r="AP675" s="111">
        <v>7</v>
      </c>
    </row>
    <row r="676" spans="1:42" ht="15">
      <c r="A676" s="65" t="s">
        <v>659</v>
      </c>
      <c r="B676" s="65" t="s">
        <v>623</v>
      </c>
      <c r="C676" s="66" t="s">
        <v>5345</v>
      </c>
      <c r="D676" s="67">
        <v>3</v>
      </c>
      <c r="E676" s="68"/>
      <c r="F676" s="69">
        <v>40</v>
      </c>
      <c r="G676" s="66"/>
      <c r="H676" s="70"/>
      <c r="I676" s="71"/>
      <c r="J676" s="71"/>
      <c r="K676" s="35" t="s">
        <v>66</v>
      </c>
      <c r="L676" s="79">
        <v>676</v>
      </c>
      <c r="M676" s="79"/>
      <c r="N676" s="73"/>
      <c r="O676" s="81" t="s">
        <v>760</v>
      </c>
      <c r="P676" s="81" t="s">
        <v>215</v>
      </c>
      <c r="Q676" s="84" t="s">
        <v>1408</v>
      </c>
      <c r="R676" s="81" t="s">
        <v>659</v>
      </c>
      <c r="S676" s="81" t="s">
        <v>1987</v>
      </c>
      <c r="T676" s="86" t="str">
        <f>HYPERLINK("http://www.youtube.com/channel/UCsoD8hpsvu01rtHhlgqKIOw")</f>
        <v>http://www.youtube.com/channel/UCsoD8hpsvu01rtHhlgqKIOw</v>
      </c>
      <c r="U676" s="81"/>
      <c r="V676" s="81" t="s">
        <v>2322</v>
      </c>
      <c r="W676" s="86" t="str">
        <f>HYPERLINK("https://www.youtube.com/watch?v=80f3JVN05YQ")</f>
        <v>https://www.youtube.com/watch?v=80f3JVN05YQ</v>
      </c>
      <c r="X676" s="81" t="s">
        <v>2335</v>
      </c>
      <c r="Y676" s="81">
        <v>0</v>
      </c>
      <c r="Z676" s="81" t="s">
        <v>2664</v>
      </c>
      <c r="AA676" s="81" t="s">
        <v>2664</v>
      </c>
      <c r="AB676" s="81"/>
      <c r="AC676" s="81"/>
      <c r="AD676" s="84" t="s">
        <v>2782</v>
      </c>
      <c r="AE676" s="82">
        <v>1</v>
      </c>
      <c r="AF676" s="83" t="str">
        <f>REPLACE(INDEX(GroupVertices[Group],MATCH(Edges[[#This Row],[Vertex 1]],GroupVertices[Vertex],0)),1,1,"")</f>
        <v>3</v>
      </c>
      <c r="AG676" s="83" t="str">
        <f>REPLACE(INDEX(GroupVertices[Group],MATCH(Edges[[#This Row],[Vertex 2]],GroupVertices[Vertex],0)),1,1,"")</f>
        <v>3</v>
      </c>
      <c r="AH676" s="111">
        <v>0</v>
      </c>
      <c r="AI676" s="112">
        <v>0</v>
      </c>
      <c r="AJ676" s="111">
        <v>0</v>
      </c>
      <c r="AK676" s="112">
        <v>0</v>
      </c>
      <c r="AL676" s="111">
        <v>0</v>
      </c>
      <c r="AM676" s="112">
        <v>0</v>
      </c>
      <c r="AN676" s="111">
        <v>16</v>
      </c>
      <c r="AO676" s="112">
        <v>100</v>
      </c>
      <c r="AP676" s="111">
        <v>16</v>
      </c>
    </row>
    <row r="677" spans="1:42" ht="15">
      <c r="A677" s="65" t="s">
        <v>623</v>
      </c>
      <c r="B677" s="65" t="s">
        <v>660</v>
      </c>
      <c r="C677" s="66" t="s">
        <v>5345</v>
      </c>
      <c r="D677" s="67">
        <v>3</v>
      </c>
      <c r="E677" s="68"/>
      <c r="F677" s="69">
        <v>40</v>
      </c>
      <c r="G677" s="66"/>
      <c r="H677" s="70"/>
      <c r="I677" s="71"/>
      <c r="J677" s="71"/>
      <c r="K677" s="35" t="s">
        <v>66</v>
      </c>
      <c r="L677" s="79">
        <v>677</v>
      </c>
      <c r="M677" s="79"/>
      <c r="N677" s="73"/>
      <c r="O677" s="81" t="s">
        <v>761</v>
      </c>
      <c r="P677" s="81" t="s">
        <v>763</v>
      </c>
      <c r="Q677" s="84" t="s">
        <v>1409</v>
      </c>
      <c r="R677" s="81" t="s">
        <v>623</v>
      </c>
      <c r="S677" s="81" t="s">
        <v>1951</v>
      </c>
      <c r="T677" s="86" t="str">
        <f>HYPERLINK("http://www.youtube.com/channel/UC2n4MvLJDH2-GWzjJrC58Zw")</f>
        <v>http://www.youtube.com/channel/UC2n4MvLJDH2-GWzjJrC58Zw</v>
      </c>
      <c r="U677" s="81" t="s">
        <v>2268</v>
      </c>
      <c r="V677" s="81" t="s">
        <v>2322</v>
      </c>
      <c r="W677" s="86" t="str">
        <f>HYPERLINK("https://www.youtube.com/watch?v=80f3JVN05YQ")</f>
        <v>https://www.youtube.com/watch?v=80f3JVN05YQ</v>
      </c>
      <c r="X677" s="81" t="s">
        <v>2335</v>
      </c>
      <c r="Y677" s="81">
        <v>1</v>
      </c>
      <c r="Z677" s="81" t="s">
        <v>2665</v>
      </c>
      <c r="AA677" s="81" t="s">
        <v>2665</v>
      </c>
      <c r="AB677" s="81"/>
      <c r="AC677" s="81"/>
      <c r="AD677" s="84" t="s">
        <v>2782</v>
      </c>
      <c r="AE677" s="82">
        <v>1</v>
      </c>
      <c r="AF677" s="83" t="str">
        <f>REPLACE(INDEX(GroupVertices[Group],MATCH(Edges[[#This Row],[Vertex 1]],GroupVertices[Vertex],0)),1,1,"")</f>
        <v>3</v>
      </c>
      <c r="AG677" s="83" t="str">
        <f>REPLACE(INDEX(GroupVertices[Group],MATCH(Edges[[#This Row],[Vertex 2]],GroupVertices[Vertex],0)),1,1,"")</f>
        <v>3</v>
      </c>
      <c r="AH677" s="111">
        <v>0</v>
      </c>
      <c r="AI677" s="112">
        <v>0</v>
      </c>
      <c r="AJ677" s="111">
        <v>0</v>
      </c>
      <c r="AK677" s="112">
        <v>0</v>
      </c>
      <c r="AL677" s="111">
        <v>0</v>
      </c>
      <c r="AM677" s="112">
        <v>0</v>
      </c>
      <c r="AN677" s="111">
        <v>17</v>
      </c>
      <c r="AO677" s="112">
        <v>100</v>
      </c>
      <c r="AP677" s="111">
        <v>17</v>
      </c>
    </row>
    <row r="678" spans="1:42" ht="15">
      <c r="A678" s="65" t="s">
        <v>660</v>
      </c>
      <c r="B678" s="65" t="s">
        <v>660</v>
      </c>
      <c r="C678" s="66" t="s">
        <v>5345</v>
      </c>
      <c r="D678" s="67">
        <v>3</v>
      </c>
      <c r="E678" s="68"/>
      <c r="F678" s="69">
        <v>40</v>
      </c>
      <c r="G678" s="66"/>
      <c r="H678" s="70"/>
      <c r="I678" s="71"/>
      <c r="J678" s="71"/>
      <c r="K678" s="35" t="s">
        <v>65</v>
      </c>
      <c r="L678" s="79">
        <v>678</v>
      </c>
      <c r="M678" s="79"/>
      <c r="N678" s="73"/>
      <c r="O678" s="81" t="s">
        <v>761</v>
      </c>
      <c r="P678" s="81" t="s">
        <v>763</v>
      </c>
      <c r="Q678" s="84" t="s">
        <v>1410</v>
      </c>
      <c r="R678" s="81" t="s">
        <v>660</v>
      </c>
      <c r="S678" s="81" t="s">
        <v>1988</v>
      </c>
      <c r="T678" s="86" t="str">
        <f>HYPERLINK("http://www.youtube.com/channel/UCbqFE9BJW8BhDn4gRxo3iKw")</f>
        <v>http://www.youtube.com/channel/UCbqFE9BJW8BhDn4gRxo3iKw</v>
      </c>
      <c r="U678" s="81" t="s">
        <v>2268</v>
      </c>
      <c r="V678" s="81" t="s">
        <v>2322</v>
      </c>
      <c r="W678" s="86" t="str">
        <f>HYPERLINK("https://www.youtube.com/watch?v=80f3JVN05YQ")</f>
        <v>https://www.youtube.com/watch?v=80f3JVN05YQ</v>
      </c>
      <c r="X678" s="81" t="s">
        <v>2335</v>
      </c>
      <c r="Y678" s="81">
        <v>0</v>
      </c>
      <c r="Z678" s="81" t="s">
        <v>2666</v>
      </c>
      <c r="AA678" s="81" t="s">
        <v>2666</v>
      </c>
      <c r="AB678" s="81"/>
      <c r="AC678" s="81"/>
      <c r="AD678" s="84" t="s">
        <v>2782</v>
      </c>
      <c r="AE678" s="82">
        <v>1</v>
      </c>
      <c r="AF678" s="83" t="str">
        <f>REPLACE(INDEX(GroupVertices[Group],MATCH(Edges[[#This Row],[Vertex 1]],GroupVertices[Vertex],0)),1,1,"")</f>
        <v>3</v>
      </c>
      <c r="AG678" s="83" t="str">
        <f>REPLACE(INDEX(GroupVertices[Group],MATCH(Edges[[#This Row],[Vertex 2]],GroupVertices[Vertex],0)),1,1,"")</f>
        <v>3</v>
      </c>
      <c r="AH678" s="111">
        <v>3</v>
      </c>
      <c r="AI678" s="112">
        <v>8.571428571428571</v>
      </c>
      <c r="AJ678" s="111">
        <v>0</v>
      </c>
      <c r="AK678" s="112">
        <v>0</v>
      </c>
      <c r="AL678" s="111">
        <v>0</v>
      </c>
      <c r="AM678" s="112">
        <v>0</v>
      </c>
      <c r="AN678" s="111">
        <v>32</v>
      </c>
      <c r="AO678" s="112">
        <v>91.42857142857143</v>
      </c>
      <c r="AP678" s="111">
        <v>35</v>
      </c>
    </row>
    <row r="679" spans="1:42" ht="15">
      <c r="A679" s="65" t="s">
        <v>660</v>
      </c>
      <c r="B679" s="65" t="s">
        <v>623</v>
      </c>
      <c r="C679" s="66" t="s">
        <v>5345</v>
      </c>
      <c r="D679" s="67">
        <v>3</v>
      </c>
      <c r="E679" s="68"/>
      <c r="F679" s="69">
        <v>40</v>
      </c>
      <c r="G679" s="66"/>
      <c r="H679" s="70"/>
      <c r="I679" s="71"/>
      <c r="J679" s="71"/>
      <c r="K679" s="35" t="s">
        <v>66</v>
      </c>
      <c r="L679" s="79">
        <v>679</v>
      </c>
      <c r="M679" s="79"/>
      <c r="N679" s="73"/>
      <c r="O679" s="81" t="s">
        <v>760</v>
      </c>
      <c r="P679" s="81" t="s">
        <v>215</v>
      </c>
      <c r="Q679" s="84" t="s">
        <v>1411</v>
      </c>
      <c r="R679" s="81" t="s">
        <v>660</v>
      </c>
      <c r="S679" s="81" t="s">
        <v>1988</v>
      </c>
      <c r="T679" s="86" t="str">
        <f>HYPERLINK("http://www.youtube.com/channel/UCbqFE9BJW8BhDn4gRxo3iKw")</f>
        <v>http://www.youtube.com/channel/UCbqFE9BJW8BhDn4gRxo3iKw</v>
      </c>
      <c r="U679" s="81"/>
      <c r="V679" s="81" t="s">
        <v>2322</v>
      </c>
      <c r="W679" s="86" t="str">
        <f>HYPERLINK("https://www.youtube.com/watch?v=80f3JVN05YQ")</f>
        <v>https://www.youtube.com/watch?v=80f3JVN05YQ</v>
      </c>
      <c r="X679" s="81" t="s">
        <v>2335</v>
      </c>
      <c r="Y679" s="81">
        <v>1</v>
      </c>
      <c r="Z679" s="81" t="s">
        <v>2667</v>
      </c>
      <c r="AA679" s="81" t="s">
        <v>2667</v>
      </c>
      <c r="AB679" s="81"/>
      <c r="AC679" s="81"/>
      <c r="AD679" s="84" t="s">
        <v>2782</v>
      </c>
      <c r="AE679" s="82">
        <v>1</v>
      </c>
      <c r="AF679" s="83" t="str">
        <f>REPLACE(INDEX(GroupVertices[Group],MATCH(Edges[[#This Row],[Vertex 1]],GroupVertices[Vertex],0)),1,1,"")</f>
        <v>3</v>
      </c>
      <c r="AG679" s="83" t="str">
        <f>REPLACE(INDEX(GroupVertices[Group],MATCH(Edges[[#This Row],[Vertex 2]],GroupVertices[Vertex],0)),1,1,"")</f>
        <v>3</v>
      </c>
      <c r="AH679" s="111">
        <v>0</v>
      </c>
      <c r="AI679" s="112">
        <v>0</v>
      </c>
      <c r="AJ679" s="111">
        <v>1</v>
      </c>
      <c r="AK679" s="112">
        <v>5.2631578947368425</v>
      </c>
      <c r="AL679" s="111">
        <v>0</v>
      </c>
      <c r="AM679" s="112">
        <v>0</v>
      </c>
      <c r="AN679" s="111">
        <v>18</v>
      </c>
      <c r="AO679" s="112">
        <v>94.73684210526316</v>
      </c>
      <c r="AP679" s="111">
        <v>19</v>
      </c>
    </row>
    <row r="680" spans="1:42" ht="15">
      <c r="A680" s="65" t="s">
        <v>637</v>
      </c>
      <c r="B680" s="65" t="s">
        <v>623</v>
      </c>
      <c r="C680" s="66" t="s">
        <v>5345</v>
      </c>
      <c r="D680" s="67">
        <v>3</v>
      </c>
      <c r="E680" s="68"/>
      <c r="F680" s="69">
        <v>40</v>
      </c>
      <c r="G680" s="66"/>
      <c r="H680" s="70"/>
      <c r="I680" s="71"/>
      <c r="J680" s="71"/>
      <c r="K680" s="35" t="s">
        <v>65</v>
      </c>
      <c r="L680" s="79">
        <v>680</v>
      </c>
      <c r="M680" s="79"/>
      <c r="N680" s="73"/>
      <c r="O680" s="81" t="s">
        <v>760</v>
      </c>
      <c r="P680" s="81" t="s">
        <v>215</v>
      </c>
      <c r="Q680" s="84" t="s">
        <v>1412</v>
      </c>
      <c r="R680" s="81" t="s">
        <v>637</v>
      </c>
      <c r="S680" s="81" t="s">
        <v>1965</v>
      </c>
      <c r="T680" s="86" t="str">
        <f>HYPERLINK("http://www.youtube.com/channel/UCgc2N28KF6Ki_PrCYn0jn3g")</f>
        <v>http://www.youtube.com/channel/UCgc2N28KF6Ki_PrCYn0jn3g</v>
      </c>
      <c r="U680" s="81"/>
      <c r="V680" s="81" t="s">
        <v>2322</v>
      </c>
      <c r="W680" s="86" t="str">
        <f>HYPERLINK("https://www.youtube.com/watch?v=80f3JVN05YQ")</f>
        <v>https://www.youtube.com/watch?v=80f3JVN05YQ</v>
      </c>
      <c r="X680" s="81" t="s">
        <v>2335</v>
      </c>
      <c r="Y680" s="81">
        <v>0</v>
      </c>
      <c r="Z680" s="81" t="s">
        <v>2668</v>
      </c>
      <c r="AA680" s="81" t="s">
        <v>2668</v>
      </c>
      <c r="AB680" s="81"/>
      <c r="AC680" s="81"/>
      <c r="AD680" s="84" t="s">
        <v>2782</v>
      </c>
      <c r="AE680" s="82">
        <v>1</v>
      </c>
      <c r="AF680" s="83" t="str">
        <f>REPLACE(INDEX(GroupVertices[Group],MATCH(Edges[[#This Row],[Vertex 1]],GroupVertices[Vertex],0)),1,1,"")</f>
        <v>3</v>
      </c>
      <c r="AG680" s="83" t="str">
        <f>REPLACE(INDEX(GroupVertices[Group],MATCH(Edges[[#This Row],[Vertex 2]],GroupVertices[Vertex],0)),1,1,"")</f>
        <v>3</v>
      </c>
      <c r="AH680" s="111">
        <v>1</v>
      </c>
      <c r="AI680" s="112">
        <v>50</v>
      </c>
      <c r="AJ680" s="111">
        <v>0</v>
      </c>
      <c r="AK680" s="112">
        <v>0</v>
      </c>
      <c r="AL680" s="111">
        <v>0</v>
      </c>
      <c r="AM680" s="112">
        <v>0</v>
      </c>
      <c r="AN680" s="111">
        <v>1</v>
      </c>
      <c r="AO680" s="112">
        <v>50</v>
      </c>
      <c r="AP680" s="111">
        <v>2</v>
      </c>
    </row>
    <row r="681" spans="1:42" ht="15">
      <c r="A681" s="65" t="s">
        <v>661</v>
      </c>
      <c r="B681" s="65" t="s">
        <v>623</v>
      </c>
      <c r="C681" s="66" t="s">
        <v>5345</v>
      </c>
      <c r="D681" s="67">
        <v>3</v>
      </c>
      <c r="E681" s="68"/>
      <c r="F681" s="69">
        <v>40</v>
      </c>
      <c r="G681" s="66"/>
      <c r="H681" s="70"/>
      <c r="I681" s="71"/>
      <c r="J681" s="71"/>
      <c r="K681" s="35" t="s">
        <v>65</v>
      </c>
      <c r="L681" s="79">
        <v>681</v>
      </c>
      <c r="M681" s="79"/>
      <c r="N681" s="73"/>
      <c r="O681" s="81" t="s">
        <v>760</v>
      </c>
      <c r="P681" s="81" t="s">
        <v>215</v>
      </c>
      <c r="Q681" s="84" t="s">
        <v>1413</v>
      </c>
      <c r="R681" s="81" t="s">
        <v>661</v>
      </c>
      <c r="S681" s="81" t="s">
        <v>1989</v>
      </c>
      <c r="T681" s="86" t="str">
        <f>HYPERLINK("http://www.youtube.com/channel/UCkW_9O022ywlyfy-5SGRW1Q")</f>
        <v>http://www.youtube.com/channel/UCkW_9O022ywlyfy-5SGRW1Q</v>
      </c>
      <c r="U681" s="81"/>
      <c r="V681" s="81" t="s">
        <v>2322</v>
      </c>
      <c r="W681" s="86" t="str">
        <f>HYPERLINK("https://www.youtube.com/watch?v=80f3JVN05YQ")</f>
        <v>https://www.youtube.com/watch?v=80f3JVN05YQ</v>
      </c>
      <c r="X681" s="81" t="s">
        <v>2335</v>
      </c>
      <c r="Y681" s="81">
        <v>1</v>
      </c>
      <c r="Z681" s="88">
        <v>43533.70789351852</v>
      </c>
      <c r="AA681" s="88">
        <v>43533.70789351852</v>
      </c>
      <c r="AB681" s="81"/>
      <c r="AC681" s="81"/>
      <c r="AD681" s="84" t="s">
        <v>2782</v>
      </c>
      <c r="AE681" s="82">
        <v>1</v>
      </c>
      <c r="AF681" s="83" t="str">
        <f>REPLACE(INDEX(GroupVertices[Group],MATCH(Edges[[#This Row],[Vertex 1]],GroupVertices[Vertex],0)),1,1,"")</f>
        <v>3</v>
      </c>
      <c r="AG681" s="83" t="str">
        <f>REPLACE(INDEX(GroupVertices[Group],MATCH(Edges[[#This Row],[Vertex 2]],GroupVertices[Vertex],0)),1,1,"")</f>
        <v>3</v>
      </c>
      <c r="AH681" s="111">
        <v>3</v>
      </c>
      <c r="AI681" s="112">
        <v>18.75</v>
      </c>
      <c r="AJ681" s="111">
        <v>0</v>
      </c>
      <c r="AK681" s="112">
        <v>0</v>
      </c>
      <c r="AL681" s="111">
        <v>0</v>
      </c>
      <c r="AM681" s="112">
        <v>0</v>
      </c>
      <c r="AN681" s="111">
        <v>13</v>
      </c>
      <c r="AO681" s="112">
        <v>81.25</v>
      </c>
      <c r="AP681" s="111">
        <v>16</v>
      </c>
    </row>
    <row r="682" spans="1:42" ht="15">
      <c r="A682" s="65" t="s">
        <v>623</v>
      </c>
      <c r="B682" s="65" t="s">
        <v>662</v>
      </c>
      <c r="C682" s="66" t="s">
        <v>5345</v>
      </c>
      <c r="D682" s="67">
        <v>3</v>
      </c>
      <c r="E682" s="68"/>
      <c r="F682" s="69">
        <v>40</v>
      </c>
      <c r="G682" s="66"/>
      <c r="H682" s="70"/>
      <c r="I682" s="71"/>
      <c r="J682" s="71"/>
      <c r="K682" s="35" t="s">
        <v>66</v>
      </c>
      <c r="L682" s="79">
        <v>682</v>
      </c>
      <c r="M682" s="79"/>
      <c r="N682" s="73"/>
      <c r="O682" s="81" t="s">
        <v>761</v>
      </c>
      <c r="P682" s="81" t="s">
        <v>763</v>
      </c>
      <c r="Q682" s="84" t="s">
        <v>1414</v>
      </c>
      <c r="R682" s="81" t="s">
        <v>623</v>
      </c>
      <c r="S682" s="81" t="s">
        <v>1951</v>
      </c>
      <c r="T682" s="86" t="str">
        <f>HYPERLINK("http://www.youtube.com/channel/UC2n4MvLJDH2-GWzjJrC58Zw")</f>
        <v>http://www.youtube.com/channel/UC2n4MvLJDH2-GWzjJrC58Zw</v>
      </c>
      <c r="U682" s="81" t="s">
        <v>2269</v>
      </c>
      <c r="V682" s="81" t="s">
        <v>2322</v>
      </c>
      <c r="W682" s="86" t="str">
        <f>HYPERLINK("https://www.youtube.com/watch?v=80f3JVN05YQ")</f>
        <v>https://www.youtube.com/watch?v=80f3JVN05YQ</v>
      </c>
      <c r="X682" s="81" t="s">
        <v>2335</v>
      </c>
      <c r="Y682" s="81">
        <v>0</v>
      </c>
      <c r="Z682" s="88">
        <v>43717.39724537037</v>
      </c>
      <c r="AA682" s="88">
        <v>43717.39724537037</v>
      </c>
      <c r="AB682" s="81"/>
      <c r="AC682" s="81"/>
      <c r="AD682" s="84" t="s">
        <v>2782</v>
      </c>
      <c r="AE682" s="82">
        <v>1</v>
      </c>
      <c r="AF682" s="83" t="str">
        <f>REPLACE(INDEX(GroupVertices[Group],MATCH(Edges[[#This Row],[Vertex 1]],GroupVertices[Vertex],0)),1,1,"")</f>
        <v>3</v>
      </c>
      <c r="AG682" s="83" t="str">
        <f>REPLACE(INDEX(GroupVertices[Group],MATCH(Edges[[#This Row],[Vertex 2]],GroupVertices[Vertex],0)),1,1,"")</f>
        <v>3</v>
      </c>
      <c r="AH682" s="111">
        <v>2</v>
      </c>
      <c r="AI682" s="112">
        <v>7.6923076923076925</v>
      </c>
      <c r="AJ682" s="111">
        <v>0</v>
      </c>
      <c r="AK682" s="112">
        <v>0</v>
      </c>
      <c r="AL682" s="111">
        <v>0</v>
      </c>
      <c r="AM682" s="112">
        <v>0</v>
      </c>
      <c r="AN682" s="111">
        <v>24</v>
      </c>
      <c r="AO682" s="112">
        <v>92.3076923076923</v>
      </c>
      <c r="AP682" s="111">
        <v>26</v>
      </c>
    </row>
    <row r="683" spans="1:42" ht="15">
      <c r="A683" s="65" t="s">
        <v>662</v>
      </c>
      <c r="B683" s="65" t="s">
        <v>623</v>
      </c>
      <c r="C683" s="66" t="s">
        <v>5345</v>
      </c>
      <c r="D683" s="67">
        <v>3</v>
      </c>
      <c r="E683" s="68"/>
      <c r="F683" s="69">
        <v>40</v>
      </c>
      <c r="G683" s="66"/>
      <c r="H683" s="70"/>
      <c r="I683" s="71"/>
      <c r="J683" s="71"/>
      <c r="K683" s="35" t="s">
        <v>66</v>
      </c>
      <c r="L683" s="79">
        <v>683</v>
      </c>
      <c r="M683" s="79"/>
      <c r="N683" s="73"/>
      <c r="O683" s="81" t="s">
        <v>760</v>
      </c>
      <c r="P683" s="81" t="s">
        <v>215</v>
      </c>
      <c r="Q683" s="84" t="s">
        <v>1415</v>
      </c>
      <c r="R683" s="81" t="s">
        <v>662</v>
      </c>
      <c r="S683" s="81" t="s">
        <v>1990</v>
      </c>
      <c r="T683" s="86" t="str">
        <f>HYPERLINK("http://www.youtube.com/channel/UCkRsNZVbMS_0Wr2B-cxCCIQ")</f>
        <v>http://www.youtube.com/channel/UCkRsNZVbMS_0Wr2B-cxCCIQ</v>
      </c>
      <c r="U683" s="81"/>
      <c r="V683" s="81" t="s">
        <v>2322</v>
      </c>
      <c r="W683" s="86" t="str">
        <f>HYPERLINK("https://www.youtube.com/watch?v=80f3JVN05YQ")</f>
        <v>https://www.youtube.com/watch?v=80f3JVN05YQ</v>
      </c>
      <c r="X683" s="81" t="s">
        <v>2335</v>
      </c>
      <c r="Y683" s="81">
        <v>0</v>
      </c>
      <c r="Z683" s="88">
        <v>43564.84746527778</v>
      </c>
      <c r="AA683" s="88">
        <v>43564.84746527778</v>
      </c>
      <c r="AB683" s="81"/>
      <c r="AC683" s="81"/>
      <c r="AD683" s="84" t="s">
        <v>2782</v>
      </c>
      <c r="AE683" s="82">
        <v>1</v>
      </c>
      <c r="AF683" s="83" t="str">
        <f>REPLACE(INDEX(GroupVertices[Group],MATCH(Edges[[#This Row],[Vertex 1]],GroupVertices[Vertex],0)),1,1,"")</f>
        <v>3</v>
      </c>
      <c r="AG683" s="83" t="str">
        <f>REPLACE(INDEX(GroupVertices[Group],MATCH(Edges[[#This Row],[Vertex 2]],GroupVertices[Vertex],0)),1,1,"")</f>
        <v>3</v>
      </c>
      <c r="AH683" s="111">
        <v>2</v>
      </c>
      <c r="AI683" s="112">
        <v>10.526315789473685</v>
      </c>
      <c r="AJ683" s="111">
        <v>0</v>
      </c>
      <c r="AK683" s="112">
        <v>0</v>
      </c>
      <c r="AL683" s="111">
        <v>0</v>
      </c>
      <c r="AM683" s="112">
        <v>0</v>
      </c>
      <c r="AN683" s="111">
        <v>17</v>
      </c>
      <c r="AO683" s="112">
        <v>89.47368421052632</v>
      </c>
      <c r="AP683" s="111">
        <v>19</v>
      </c>
    </row>
    <row r="684" spans="1:42" ht="15">
      <c r="A684" s="65" t="s">
        <v>623</v>
      </c>
      <c r="B684" s="65" t="s">
        <v>663</v>
      </c>
      <c r="C684" s="66" t="s">
        <v>5345</v>
      </c>
      <c r="D684" s="67">
        <v>3</v>
      </c>
      <c r="E684" s="68"/>
      <c r="F684" s="69">
        <v>40</v>
      </c>
      <c r="G684" s="66"/>
      <c r="H684" s="70"/>
      <c r="I684" s="71"/>
      <c r="J684" s="71"/>
      <c r="K684" s="35" t="s">
        <v>66</v>
      </c>
      <c r="L684" s="79">
        <v>684</v>
      </c>
      <c r="M684" s="79"/>
      <c r="N684" s="73"/>
      <c r="O684" s="81" t="s">
        <v>761</v>
      </c>
      <c r="P684" s="81" t="s">
        <v>763</v>
      </c>
      <c r="Q684" s="84" t="s">
        <v>1416</v>
      </c>
      <c r="R684" s="81" t="s">
        <v>623</v>
      </c>
      <c r="S684" s="81" t="s">
        <v>1951</v>
      </c>
      <c r="T684" s="86" t="str">
        <f>HYPERLINK("http://www.youtube.com/channel/UC2n4MvLJDH2-GWzjJrC58Zw")</f>
        <v>http://www.youtube.com/channel/UC2n4MvLJDH2-GWzjJrC58Zw</v>
      </c>
      <c r="U684" s="81" t="s">
        <v>2270</v>
      </c>
      <c r="V684" s="81" t="s">
        <v>2322</v>
      </c>
      <c r="W684" s="86" t="str">
        <f>HYPERLINK("https://www.youtube.com/watch?v=80f3JVN05YQ")</f>
        <v>https://www.youtube.com/watch?v=80f3JVN05YQ</v>
      </c>
      <c r="X684" s="81" t="s">
        <v>2335</v>
      </c>
      <c r="Y684" s="81">
        <v>0</v>
      </c>
      <c r="Z684" s="88">
        <v>43687.32946759259</v>
      </c>
      <c r="AA684" s="88">
        <v>43687.32946759259</v>
      </c>
      <c r="AB684" s="81"/>
      <c r="AC684" s="81"/>
      <c r="AD684" s="84" t="s">
        <v>2782</v>
      </c>
      <c r="AE684" s="82">
        <v>1</v>
      </c>
      <c r="AF684" s="83" t="str">
        <f>REPLACE(INDEX(GroupVertices[Group],MATCH(Edges[[#This Row],[Vertex 1]],GroupVertices[Vertex],0)),1,1,"")</f>
        <v>3</v>
      </c>
      <c r="AG684" s="83" t="str">
        <f>REPLACE(INDEX(GroupVertices[Group],MATCH(Edges[[#This Row],[Vertex 2]],GroupVertices[Vertex],0)),1,1,"")</f>
        <v>3</v>
      </c>
      <c r="AH684" s="111">
        <v>0</v>
      </c>
      <c r="AI684" s="112">
        <v>0</v>
      </c>
      <c r="AJ684" s="111">
        <v>0</v>
      </c>
      <c r="AK684" s="112">
        <v>0</v>
      </c>
      <c r="AL684" s="111">
        <v>0</v>
      </c>
      <c r="AM684" s="112">
        <v>0</v>
      </c>
      <c r="AN684" s="111">
        <v>8</v>
      </c>
      <c r="AO684" s="112">
        <v>100</v>
      </c>
      <c r="AP684" s="111">
        <v>8</v>
      </c>
    </row>
    <row r="685" spans="1:42" ht="15">
      <c r="A685" s="65" t="s">
        <v>663</v>
      </c>
      <c r="B685" s="65" t="s">
        <v>623</v>
      </c>
      <c r="C685" s="66" t="s">
        <v>5345</v>
      </c>
      <c r="D685" s="67">
        <v>3</v>
      </c>
      <c r="E685" s="68"/>
      <c r="F685" s="69">
        <v>40</v>
      </c>
      <c r="G685" s="66"/>
      <c r="H685" s="70"/>
      <c r="I685" s="71"/>
      <c r="J685" s="71"/>
      <c r="K685" s="35" t="s">
        <v>66</v>
      </c>
      <c r="L685" s="79">
        <v>685</v>
      </c>
      <c r="M685" s="79"/>
      <c r="N685" s="73"/>
      <c r="O685" s="81" t="s">
        <v>760</v>
      </c>
      <c r="P685" s="81" t="s">
        <v>215</v>
      </c>
      <c r="Q685" s="84" t="s">
        <v>1417</v>
      </c>
      <c r="R685" s="81" t="s">
        <v>663</v>
      </c>
      <c r="S685" s="81" t="s">
        <v>1991</v>
      </c>
      <c r="T685" s="86" t="str">
        <f>HYPERLINK("http://www.youtube.com/channel/UCavg-qvmdkYDGwdNU_ZzU_Q")</f>
        <v>http://www.youtube.com/channel/UCavg-qvmdkYDGwdNU_ZzU_Q</v>
      </c>
      <c r="U685" s="81"/>
      <c r="V685" s="81" t="s">
        <v>2322</v>
      </c>
      <c r="W685" s="86" t="str">
        <f>HYPERLINK("https://www.youtube.com/watch?v=80f3JVN05YQ")</f>
        <v>https://www.youtube.com/watch?v=80f3JVN05YQ</v>
      </c>
      <c r="X685" s="81" t="s">
        <v>2335</v>
      </c>
      <c r="Y685" s="81">
        <v>0</v>
      </c>
      <c r="Z685" s="88">
        <v>43656.65366898148</v>
      </c>
      <c r="AA685" s="88">
        <v>43656.65366898148</v>
      </c>
      <c r="AB685" s="81"/>
      <c r="AC685" s="81"/>
      <c r="AD685" s="84" t="s">
        <v>2782</v>
      </c>
      <c r="AE685" s="82">
        <v>1</v>
      </c>
      <c r="AF685" s="83" t="str">
        <f>REPLACE(INDEX(GroupVertices[Group],MATCH(Edges[[#This Row],[Vertex 1]],GroupVertices[Vertex],0)),1,1,"")</f>
        <v>3</v>
      </c>
      <c r="AG685" s="83" t="str">
        <f>REPLACE(INDEX(GroupVertices[Group],MATCH(Edges[[#This Row],[Vertex 2]],GroupVertices[Vertex],0)),1,1,"")</f>
        <v>3</v>
      </c>
      <c r="AH685" s="111">
        <v>0</v>
      </c>
      <c r="AI685" s="112">
        <v>0</v>
      </c>
      <c r="AJ685" s="111">
        <v>1</v>
      </c>
      <c r="AK685" s="112">
        <v>10</v>
      </c>
      <c r="AL685" s="111">
        <v>0</v>
      </c>
      <c r="AM685" s="112">
        <v>0</v>
      </c>
      <c r="AN685" s="111">
        <v>9</v>
      </c>
      <c r="AO685" s="112">
        <v>90</v>
      </c>
      <c r="AP685" s="111">
        <v>10</v>
      </c>
    </row>
    <row r="686" spans="1:42" ht="15">
      <c r="A686" s="65" t="s">
        <v>664</v>
      </c>
      <c r="B686" s="65" t="s">
        <v>623</v>
      </c>
      <c r="C686" s="66" t="s">
        <v>5346</v>
      </c>
      <c r="D686" s="67">
        <v>10</v>
      </c>
      <c r="E686" s="68"/>
      <c r="F686" s="69">
        <v>15</v>
      </c>
      <c r="G686" s="66"/>
      <c r="H686" s="70"/>
      <c r="I686" s="71"/>
      <c r="J686" s="71"/>
      <c r="K686" s="35" t="s">
        <v>65</v>
      </c>
      <c r="L686" s="79">
        <v>686</v>
      </c>
      <c r="M686" s="79"/>
      <c r="N686" s="73"/>
      <c r="O686" s="81" t="s">
        <v>760</v>
      </c>
      <c r="P686" s="81" t="s">
        <v>215</v>
      </c>
      <c r="Q686" s="84" t="s">
        <v>1418</v>
      </c>
      <c r="R686" s="81" t="s">
        <v>664</v>
      </c>
      <c r="S686" s="81" t="s">
        <v>1992</v>
      </c>
      <c r="T686" s="86" t="str">
        <f>HYPERLINK("http://www.youtube.com/channel/UCGCA-4ya4S2u1DL-T9HqzjA")</f>
        <v>http://www.youtube.com/channel/UCGCA-4ya4S2u1DL-T9HqzjA</v>
      </c>
      <c r="U686" s="81"/>
      <c r="V686" s="81" t="s">
        <v>2322</v>
      </c>
      <c r="W686" s="86" t="str">
        <f>HYPERLINK("https://www.youtube.com/watch?v=80f3JVN05YQ")</f>
        <v>https://www.youtube.com/watch?v=80f3JVN05YQ</v>
      </c>
      <c r="X686" s="81" t="s">
        <v>2335</v>
      </c>
      <c r="Y686" s="81">
        <v>0</v>
      </c>
      <c r="Z686" s="81" t="s">
        <v>2669</v>
      </c>
      <c r="AA686" s="81" t="s">
        <v>2669</v>
      </c>
      <c r="AB686" s="81"/>
      <c r="AC686" s="81"/>
      <c r="AD686" s="84" t="s">
        <v>2782</v>
      </c>
      <c r="AE686" s="82">
        <v>2</v>
      </c>
      <c r="AF686" s="83" t="str">
        <f>REPLACE(INDEX(GroupVertices[Group],MATCH(Edges[[#This Row],[Vertex 1]],GroupVertices[Vertex],0)),1,1,"")</f>
        <v>3</v>
      </c>
      <c r="AG686" s="83" t="str">
        <f>REPLACE(INDEX(GroupVertices[Group],MATCH(Edges[[#This Row],[Vertex 2]],GroupVertices[Vertex],0)),1,1,"")</f>
        <v>3</v>
      </c>
      <c r="AH686" s="111">
        <v>1</v>
      </c>
      <c r="AI686" s="112">
        <v>8.333333333333334</v>
      </c>
      <c r="AJ686" s="111">
        <v>0</v>
      </c>
      <c r="AK686" s="112">
        <v>0</v>
      </c>
      <c r="AL686" s="111">
        <v>0</v>
      </c>
      <c r="AM686" s="112">
        <v>0</v>
      </c>
      <c r="AN686" s="111">
        <v>11</v>
      </c>
      <c r="AO686" s="112">
        <v>91.66666666666667</v>
      </c>
      <c r="AP686" s="111">
        <v>12</v>
      </c>
    </row>
    <row r="687" spans="1:42" ht="15">
      <c r="A687" s="65" t="s">
        <v>664</v>
      </c>
      <c r="B687" s="65" t="s">
        <v>623</v>
      </c>
      <c r="C687" s="66" t="s">
        <v>5346</v>
      </c>
      <c r="D687" s="67">
        <v>10</v>
      </c>
      <c r="E687" s="68"/>
      <c r="F687" s="69">
        <v>15</v>
      </c>
      <c r="G687" s="66"/>
      <c r="H687" s="70"/>
      <c r="I687" s="71"/>
      <c r="J687" s="71"/>
      <c r="K687" s="35" t="s">
        <v>65</v>
      </c>
      <c r="L687" s="79">
        <v>687</v>
      </c>
      <c r="M687" s="79"/>
      <c r="N687" s="73"/>
      <c r="O687" s="81" t="s">
        <v>760</v>
      </c>
      <c r="P687" s="81" t="s">
        <v>215</v>
      </c>
      <c r="Q687" s="84" t="s">
        <v>1419</v>
      </c>
      <c r="R687" s="81" t="s">
        <v>664</v>
      </c>
      <c r="S687" s="81" t="s">
        <v>1992</v>
      </c>
      <c r="T687" s="86" t="str">
        <f>HYPERLINK("http://www.youtube.com/channel/UCGCA-4ya4S2u1DL-T9HqzjA")</f>
        <v>http://www.youtube.com/channel/UCGCA-4ya4S2u1DL-T9HqzjA</v>
      </c>
      <c r="U687" s="81"/>
      <c r="V687" s="81" t="s">
        <v>2322</v>
      </c>
      <c r="W687" s="86" t="str">
        <f>HYPERLINK("https://www.youtube.com/watch?v=80f3JVN05YQ")</f>
        <v>https://www.youtube.com/watch?v=80f3JVN05YQ</v>
      </c>
      <c r="X687" s="81" t="s">
        <v>2335</v>
      </c>
      <c r="Y687" s="81">
        <v>0</v>
      </c>
      <c r="Z687" s="81" t="s">
        <v>2670</v>
      </c>
      <c r="AA687" s="81" t="s">
        <v>2670</v>
      </c>
      <c r="AB687" s="81"/>
      <c r="AC687" s="81"/>
      <c r="AD687" s="84" t="s">
        <v>2782</v>
      </c>
      <c r="AE687" s="82">
        <v>2</v>
      </c>
      <c r="AF687" s="83" t="str">
        <f>REPLACE(INDEX(GroupVertices[Group],MATCH(Edges[[#This Row],[Vertex 1]],GroupVertices[Vertex],0)),1,1,"")</f>
        <v>3</v>
      </c>
      <c r="AG687" s="83" t="str">
        <f>REPLACE(INDEX(GroupVertices[Group],MATCH(Edges[[#This Row],[Vertex 2]],GroupVertices[Vertex],0)),1,1,"")</f>
        <v>3</v>
      </c>
      <c r="AH687" s="111">
        <v>0</v>
      </c>
      <c r="AI687" s="112">
        <v>0</v>
      </c>
      <c r="AJ687" s="111">
        <v>0</v>
      </c>
      <c r="AK687" s="112">
        <v>0</v>
      </c>
      <c r="AL687" s="111">
        <v>0</v>
      </c>
      <c r="AM687" s="112">
        <v>0</v>
      </c>
      <c r="AN687" s="111">
        <v>8</v>
      </c>
      <c r="AO687" s="112">
        <v>100</v>
      </c>
      <c r="AP687" s="111">
        <v>8</v>
      </c>
    </row>
    <row r="688" spans="1:42" ht="15">
      <c r="A688" s="65" t="s">
        <v>623</v>
      </c>
      <c r="B688" s="65" t="s">
        <v>665</v>
      </c>
      <c r="C688" s="66" t="s">
        <v>5345</v>
      </c>
      <c r="D688" s="67">
        <v>3</v>
      </c>
      <c r="E688" s="68"/>
      <c r="F688" s="69">
        <v>40</v>
      </c>
      <c r="G688" s="66"/>
      <c r="H688" s="70"/>
      <c r="I688" s="71"/>
      <c r="J688" s="71"/>
      <c r="K688" s="35" t="s">
        <v>66</v>
      </c>
      <c r="L688" s="79">
        <v>688</v>
      </c>
      <c r="M688" s="79"/>
      <c r="N688" s="73"/>
      <c r="O688" s="81" t="s">
        <v>761</v>
      </c>
      <c r="P688" s="81" t="s">
        <v>763</v>
      </c>
      <c r="Q688" s="84" t="s">
        <v>1420</v>
      </c>
      <c r="R688" s="81" t="s">
        <v>623</v>
      </c>
      <c r="S688" s="81" t="s">
        <v>1951</v>
      </c>
      <c r="T688" s="86" t="str">
        <f>HYPERLINK("http://www.youtube.com/channel/UC2n4MvLJDH2-GWzjJrC58Zw")</f>
        <v>http://www.youtube.com/channel/UC2n4MvLJDH2-GWzjJrC58Zw</v>
      </c>
      <c r="U688" s="81" t="s">
        <v>2271</v>
      </c>
      <c r="V688" s="81" t="s">
        <v>2322</v>
      </c>
      <c r="W688" s="86" t="str">
        <f>HYPERLINK("https://www.youtube.com/watch?v=80f3JVN05YQ")</f>
        <v>https://www.youtube.com/watch?v=80f3JVN05YQ</v>
      </c>
      <c r="X688" s="81" t="s">
        <v>2335</v>
      </c>
      <c r="Y688" s="81">
        <v>0</v>
      </c>
      <c r="Z688" s="88">
        <v>44171.38736111111</v>
      </c>
      <c r="AA688" s="88">
        <v>44171.38736111111</v>
      </c>
      <c r="AB688" s="81"/>
      <c r="AC688" s="81"/>
      <c r="AD688" s="84" t="s">
        <v>2782</v>
      </c>
      <c r="AE688" s="82">
        <v>1</v>
      </c>
      <c r="AF688" s="83" t="str">
        <f>REPLACE(INDEX(GroupVertices[Group],MATCH(Edges[[#This Row],[Vertex 1]],GroupVertices[Vertex],0)),1,1,"")</f>
        <v>3</v>
      </c>
      <c r="AG688" s="83" t="str">
        <f>REPLACE(INDEX(GroupVertices[Group],MATCH(Edges[[#This Row],[Vertex 2]],GroupVertices[Vertex],0)),1,1,"")</f>
        <v>3</v>
      </c>
      <c r="AH688" s="111">
        <v>0</v>
      </c>
      <c r="AI688" s="112">
        <v>0</v>
      </c>
      <c r="AJ688" s="111">
        <v>0</v>
      </c>
      <c r="AK688" s="112">
        <v>0</v>
      </c>
      <c r="AL688" s="111">
        <v>0</v>
      </c>
      <c r="AM688" s="112">
        <v>0</v>
      </c>
      <c r="AN688" s="111">
        <v>3</v>
      </c>
      <c r="AO688" s="112">
        <v>100</v>
      </c>
      <c r="AP688" s="111">
        <v>3</v>
      </c>
    </row>
    <row r="689" spans="1:42" ht="15">
      <c r="A689" s="65" t="s">
        <v>665</v>
      </c>
      <c r="B689" s="65" t="s">
        <v>665</v>
      </c>
      <c r="C689" s="66" t="s">
        <v>5345</v>
      </c>
      <c r="D689" s="67">
        <v>3</v>
      </c>
      <c r="E689" s="68"/>
      <c r="F689" s="69">
        <v>40</v>
      </c>
      <c r="G689" s="66"/>
      <c r="H689" s="70"/>
      <c r="I689" s="71"/>
      <c r="J689" s="71"/>
      <c r="K689" s="35" t="s">
        <v>65</v>
      </c>
      <c r="L689" s="79">
        <v>689</v>
      </c>
      <c r="M689" s="79"/>
      <c r="N689" s="73"/>
      <c r="O689" s="81" t="s">
        <v>761</v>
      </c>
      <c r="P689" s="81" t="s">
        <v>763</v>
      </c>
      <c r="Q689" s="84" t="s">
        <v>1421</v>
      </c>
      <c r="R689" s="81" t="s">
        <v>665</v>
      </c>
      <c r="S689" s="81" t="s">
        <v>1993</v>
      </c>
      <c r="T689" s="86" t="str">
        <f>HYPERLINK("http://www.youtube.com/channel/UCJHXYwTuPLT9JFb5xoHZbVg")</f>
        <v>http://www.youtube.com/channel/UCJHXYwTuPLT9JFb5xoHZbVg</v>
      </c>
      <c r="U689" s="81" t="s">
        <v>2271</v>
      </c>
      <c r="V689" s="81" t="s">
        <v>2322</v>
      </c>
      <c r="W689" s="86" t="str">
        <f>HYPERLINK("https://www.youtube.com/watch?v=80f3JVN05YQ")</f>
        <v>https://www.youtube.com/watch?v=80f3JVN05YQ</v>
      </c>
      <c r="X689" s="81" t="s">
        <v>2335</v>
      </c>
      <c r="Y689" s="81">
        <v>0</v>
      </c>
      <c r="Z689" s="88">
        <v>44171.39079861111</v>
      </c>
      <c r="AA689" s="88">
        <v>44171.39079861111</v>
      </c>
      <c r="AB689" s="81"/>
      <c r="AC689" s="81"/>
      <c r="AD689" s="84" t="s">
        <v>2782</v>
      </c>
      <c r="AE689" s="82">
        <v>1</v>
      </c>
      <c r="AF689" s="83" t="str">
        <f>REPLACE(INDEX(GroupVertices[Group],MATCH(Edges[[#This Row],[Vertex 1]],GroupVertices[Vertex],0)),1,1,"")</f>
        <v>3</v>
      </c>
      <c r="AG689" s="83" t="str">
        <f>REPLACE(INDEX(GroupVertices[Group],MATCH(Edges[[#This Row],[Vertex 2]],GroupVertices[Vertex],0)),1,1,"")</f>
        <v>3</v>
      </c>
      <c r="AH689" s="111">
        <v>2</v>
      </c>
      <c r="AI689" s="112">
        <v>50</v>
      </c>
      <c r="AJ689" s="111">
        <v>0</v>
      </c>
      <c r="AK689" s="112">
        <v>0</v>
      </c>
      <c r="AL689" s="111">
        <v>0</v>
      </c>
      <c r="AM689" s="112">
        <v>0</v>
      </c>
      <c r="AN689" s="111">
        <v>2</v>
      </c>
      <c r="AO689" s="112">
        <v>50</v>
      </c>
      <c r="AP689" s="111">
        <v>4</v>
      </c>
    </row>
    <row r="690" spans="1:42" ht="15">
      <c r="A690" s="65" t="s">
        <v>665</v>
      </c>
      <c r="B690" s="65" t="s">
        <v>623</v>
      </c>
      <c r="C690" s="66" t="s">
        <v>5345</v>
      </c>
      <c r="D690" s="67">
        <v>3</v>
      </c>
      <c r="E690" s="68"/>
      <c r="F690" s="69">
        <v>40</v>
      </c>
      <c r="G690" s="66"/>
      <c r="H690" s="70"/>
      <c r="I690" s="71"/>
      <c r="J690" s="71"/>
      <c r="K690" s="35" t="s">
        <v>66</v>
      </c>
      <c r="L690" s="79">
        <v>690</v>
      </c>
      <c r="M690" s="79"/>
      <c r="N690" s="73"/>
      <c r="O690" s="81" t="s">
        <v>760</v>
      </c>
      <c r="P690" s="81" t="s">
        <v>215</v>
      </c>
      <c r="Q690" s="84" t="s">
        <v>1422</v>
      </c>
      <c r="R690" s="81" t="s">
        <v>665</v>
      </c>
      <c r="S690" s="81" t="s">
        <v>1993</v>
      </c>
      <c r="T690" s="86" t="str">
        <f>HYPERLINK("http://www.youtube.com/channel/UCJHXYwTuPLT9JFb5xoHZbVg")</f>
        <v>http://www.youtube.com/channel/UCJHXYwTuPLT9JFb5xoHZbVg</v>
      </c>
      <c r="U690" s="81"/>
      <c r="V690" s="81" t="s">
        <v>2322</v>
      </c>
      <c r="W690" s="86" t="str">
        <f>HYPERLINK("https://www.youtube.com/watch?v=80f3JVN05YQ")</f>
        <v>https://www.youtube.com/watch?v=80f3JVN05YQ</v>
      </c>
      <c r="X690" s="81" t="s">
        <v>2335</v>
      </c>
      <c r="Y690" s="81">
        <v>0</v>
      </c>
      <c r="Z690" s="88">
        <v>44141.66621527778</v>
      </c>
      <c r="AA690" s="88">
        <v>44141.66621527778</v>
      </c>
      <c r="AB690" s="81"/>
      <c r="AC690" s="81"/>
      <c r="AD690" s="84" t="s">
        <v>2782</v>
      </c>
      <c r="AE690" s="82">
        <v>1</v>
      </c>
      <c r="AF690" s="83" t="str">
        <f>REPLACE(INDEX(GroupVertices[Group],MATCH(Edges[[#This Row],[Vertex 1]],GroupVertices[Vertex],0)),1,1,"")</f>
        <v>3</v>
      </c>
      <c r="AG690" s="83" t="str">
        <f>REPLACE(INDEX(GroupVertices[Group],MATCH(Edges[[#This Row],[Vertex 2]],GroupVertices[Vertex],0)),1,1,"")</f>
        <v>3</v>
      </c>
      <c r="AH690" s="111">
        <v>1</v>
      </c>
      <c r="AI690" s="112">
        <v>3.5714285714285716</v>
      </c>
      <c r="AJ690" s="111">
        <v>0</v>
      </c>
      <c r="AK690" s="112">
        <v>0</v>
      </c>
      <c r="AL690" s="111">
        <v>0</v>
      </c>
      <c r="AM690" s="112">
        <v>0</v>
      </c>
      <c r="AN690" s="111">
        <v>27</v>
      </c>
      <c r="AO690" s="112">
        <v>96.42857142857143</v>
      </c>
      <c r="AP690" s="111">
        <v>28</v>
      </c>
    </row>
    <row r="691" spans="1:42" ht="15">
      <c r="A691" s="65" t="s">
        <v>623</v>
      </c>
      <c r="B691" s="65" t="s">
        <v>666</v>
      </c>
      <c r="C691" s="66" t="s">
        <v>5345</v>
      </c>
      <c r="D691" s="67">
        <v>3</v>
      </c>
      <c r="E691" s="68"/>
      <c r="F691" s="69">
        <v>40</v>
      </c>
      <c r="G691" s="66"/>
      <c r="H691" s="70"/>
      <c r="I691" s="71"/>
      <c r="J691" s="71"/>
      <c r="K691" s="35" t="s">
        <v>66</v>
      </c>
      <c r="L691" s="79">
        <v>691</v>
      </c>
      <c r="M691" s="79"/>
      <c r="N691" s="73"/>
      <c r="O691" s="81" t="s">
        <v>761</v>
      </c>
      <c r="P691" s="81" t="s">
        <v>763</v>
      </c>
      <c r="Q691" s="84" t="s">
        <v>1423</v>
      </c>
      <c r="R691" s="81" t="s">
        <v>623</v>
      </c>
      <c r="S691" s="81" t="s">
        <v>1951</v>
      </c>
      <c r="T691" s="86" t="str">
        <f>HYPERLINK("http://www.youtube.com/channel/UC2n4MvLJDH2-GWzjJrC58Zw")</f>
        <v>http://www.youtube.com/channel/UC2n4MvLJDH2-GWzjJrC58Zw</v>
      </c>
      <c r="U691" s="81" t="s">
        <v>2272</v>
      </c>
      <c r="V691" s="81" t="s">
        <v>2322</v>
      </c>
      <c r="W691" s="86" t="str">
        <f>HYPERLINK("https://www.youtube.com/watch?v=80f3JVN05YQ")</f>
        <v>https://www.youtube.com/watch?v=80f3JVN05YQ</v>
      </c>
      <c r="X691" s="81" t="s">
        <v>2335</v>
      </c>
      <c r="Y691" s="81">
        <v>0</v>
      </c>
      <c r="Z691" s="88">
        <v>43897.349710648145</v>
      </c>
      <c r="AA691" s="88">
        <v>43897.349710648145</v>
      </c>
      <c r="AB691" s="81"/>
      <c r="AC691" s="81"/>
      <c r="AD691" s="84" t="s">
        <v>2782</v>
      </c>
      <c r="AE691" s="82">
        <v>1</v>
      </c>
      <c r="AF691" s="83" t="str">
        <f>REPLACE(INDEX(GroupVertices[Group],MATCH(Edges[[#This Row],[Vertex 1]],GroupVertices[Vertex],0)),1,1,"")</f>
        <v>3</v>
      </c>
      <c r="AG691" s="83" t="str">
        <f>REPLACE(INDEX(GroupVertices[Group],MATCH(Edges[[#This Row],[Vertex 2]],GroupVertices[Vertex],0)),1,1,"")</f>
        <v>3</v>
      </c>
      <c r="AH691" s="111">
        <v>0</v>
      </c>
      <c r="AI691" s="112">
        <v>0</v>
      </c>
      <c r="AJ691" s="111">
        <v>0</v>
      </c>
      <c r="AK691" s="112">
        <v>0</v>
      </c>
      <c r="AL691" s="111">
        <v>0</v>
      </c>
      <c r="AM691" s="112">
        <v>0</v>
      </c>
      <c r="AN691" s="111">
        <v>5</v>
      </c>
      <c r="AO691" s="112">
        <v>100</v>
      </c>
      <c r="AP691" s="111">
        <v>5</v>
      </c>
    </row>
    <row r="692" spans="1:42" ht="15">
      <c r="A692" s="65" t="s">
        <v>666</v>
      </c>
      <c r="B692" s="65" t="s">
        <v>666</v>
      </c>
      <c r="C692" s="66" t="s">
        <v>5345</v>
      </c>
      <c r="D692" s="67">
        <v>3</v>
      </c>
      <c r="E692" s="68"/>
      <c r="F692" s="69">
        <v>40</v>
      </c>
      <c r="G692" s="66"/>
      <c r="H692" s="70"/>
      <c r="I692" s="71"/>
      <c r="J692" s="71"/>
      <c r="K692" s="35" t="s">
        <v>65</v>
      </c>
      <c r="L692" s="79">
        <v>692</v>
      </c>
      <c r="M692" s="79"/>
      <c r="N692" s="73"/>
      <c r="O692" s="81" t="s">
        <v>761</v>
      </c>
      <c r="P692" s="81" t="s">
        <v>763</v>
      </c>
      <c r="Q692" s="84" t="s">
        <v>1424</v>
      </c>
      <c r="R692" s="81" t="s">
        <v>666</v>
      </c>
      <c r="S692" s="81" t="s">
        <v>1994</v>
      </c>
      <c r="T692" s="86" t="str">
        <f>HYPERLINK("http://www.youtube.com/channel/UCvCQlpJFjnnhl3JjtEU1ARw")</f>
        <v>http://www.youtube.com/channel/UCvCQlpJFjnnhl3JjtEU1ARw</v>
      </c>
      <c r="U692" s="81" t="s">
        <v>2272</v>
      </c>
      <c r="V692" s="81" t="s">
        <v>2322</v>
      </c>
      <c r="W692" s="86" t="str">
        <f>HYPERLINK("https://www.youtube.com/watch?v=80f3JVN05YQ")</f>
        <v>https://www.youtube.com/watch?v=80f3JVN05YQ</v>
      </c>
      <c r="X692" s="81" t="s">
        <v>2335</v>
      </c>
      <c r="Y692" s="81">
        <v>0</v>
      </c>
      <c r="Z692" s="88">
        <v>43897.64319444444</v>
      </c>
      <c r="AA692" s="88">
        <v>43897.64319444444</v>
      </c>
      <c r="AB692" s="81"/>
      <c r="AC692" s="81"/>
      <c r="AD692" s="84" t="s">
        <v>2782</v>
      </c>
      <c r="AE692" s="82">
        <v>1</v>
      </c>
      <c r="AF692" s="83" t="str">
        <f>REPLACE(INDEX(GroupVertices[Group],MATCH(Edges[[#This Row],[Vertex 1]],GroupVertices[Vertex],0)),1,1,"")</f>
        <v>3</v>
      </c>
      <c r="AG692" s="83" t="str">
        <f>REPLACE(INDEX(GroupVertices[Group],MATCH(Edges[[#This Row],[Vertex 2]],GroupVertices[Vertex],0)),1,1,"")</f>
        <v>3</v>
      </c>
      <c r="AH692" s="111">
        <v>5</v>
      </c>
      <c r="AI692" s="112">
        <v>8.19672131147541</v>
      </c>
      <c r="AJ692" s="111">
        <v>0</v>
      </c>
      <c r="AK692" s="112">
        <v>0</v>
      </c>
      <c r="AL692" s="111">
        <v>0</v>
      </c>
      <c r="AM692" s="112">
        <v>0</v>
      </c>
      <c r="AN692" s="111">
        <v>56</v>
      </c>
      <c r="AO692" s="112">
        <v>91.80327868852459</v>
      </c>
      <c r="AP692" s="111">
        <v>61</v>
      </c>
    </row>
    <row r="693" spans="1:42" ht="15">
      <c r="A693" s="65" t="s">
        <v>666</v>
      </c>
      <c r="B693" s="65" t="s">
        <v>623</v>
      </c>
      <c r="C693" s="66" t="s">
        <v>5345</v>
      </c>
      <c r="D693" s="67">
        <v>3</v>
      </c>
      <c r="E693" s="68"/>
      <c r="F693" s="69">
        <v>40</v>
      </c>
      <c r="G693" s="66"/>
      <c r="H693" s="70"/>
      <c r="I693" s="71"/>
      <c r="J693" s="71"/>
      <c r="K693" s="35" t="s">
        <v>66</v>
      </c>
      <c r="L693" s="79">
        <v>693</v>
      </c>
      <c r="M693" s="79"/>
      <c r="N693" s="73"/>
      <c r="O693" s="81" t="s">
        <v>760</v>
      </c>
      <c r="P693" s="81" t="s">
        <v>215</v>
      </c>
      <c r="Q693" s="84" t="s">
        <v>1425</v>
      </c>
      <c r="R693" s="81" t="s">
        <v>666</v>
      </c>
      <c r="S693" s="81" t="s">
        <v>1994</v>
      </c>
      <c r="T693" s="86" t="str">
        <f>HYPERLINK("http://www.youtube.com/channel/UCvCQlpJFjnnhl3JjtEU1ARw")</f>
        <v>http://www.youtube.com/channel/UCvCQlpJFjnnhl3JjtEU1ARw</v>
      </c>
      <c r="U693" s="81"/>
      <c r="V693" s="81" t="s">
        <v>2322</v>
      </c>
      <c r="W693" s="86" t="str">
        <f>HYPERLINK("https://www.youtube.com/watch?v=80f3JVN05YQ")</f>
        <v>https://www.youtube.com/watch?v=80f3JVN05YQ</v>
      </c>
      <c r="X693" s="81" t="s">
        <v>2335</v>
      </c>
      <c r="Y693" s="81">
        <v>0</v>
      </c>
      <c r="Z693" s="81" t="s">
        <v>2671</v>
      </c>
      <c r="AA693" s="81" t="s">
        <v>2671</v>
      </c>
      <c r="AB693" s="81"/>
      <c r="AC693" s="81"/>
      <c r="AD693" s="84" t="s">
        <v>2782</v>
      </c>
      <c r="AE693" s="82">
        <v>1</v>
      </c>
      <c r="AF693" s="83" t="str">
        <f>REPLACE(INDEX(GroupVertices[Group],MATCH(Edges[[#This Row],[Vertex 1]],GroupVertices[Vertex],0)),1,1,"")</f>
        <v>3</v>
      </c>
      <c r="AG693" s="83" t="str">
        <f>REPLACE(INDEX(GroupVertices[Group],MATCH(Edges[[#This Row],[Vertex 2]],GroupVertices[Vertex],0)),1,1,"")</f>
        <v>3</v>
      </c>
      <c r="AH693" s="111">
        <v>2</v>
      </c>
      <c r="AI693" s="112">
        <v>4.878048780487805</v>
      </c>
      <c r="AJ693" s="111">
        <v>1</v>
      </c>
      <c r="AK693" s="112">
        <v>2.4390243902439024</v>
      </c>
      <c r="AL693" s="111">
        <v>0</v>
      </c>
      <c r="AM693" s="112">
        <v>0</v>
      </c>
      <c r="AN693" s="111">
        <v>38</v>
      </c>
      <c r="AO693" s="112">
        <v>92.6829268292683</v>
      </c>
      <c r="AP693" s="111">
        <v>41</v>
      </c>
    </row>
    <row r="694" spans="1:42" ht="15">
      <c r="A694" s="65" t="s">
        <v>667</v>
      </c>
      <c r="B694" s="65" t="s">
        <v>623</v>
      </c>
      <c r="C694" s="66" t="s">
        <v>5345</v>
      </c>
      <c r="D694" s="67">
        <v>3</v>
      </c>
      <c r="E694" s="68"/>
      <c r="F694" s="69">
        <v>40</v>
      </c>
      <c r="G694" s="66"/>
      <c r="H694" s="70"/>
      <c r="I694" s="71"/>
      <c r="J694" s="71"/>
      <c r="K694" s="35" t="s">
        <v>65</v>
      </c>
      <c r="L694" s="79">
        <v>694</v>
      </c>
      <c r="M694" s="79"/>
      <c r="N694" s="73"/>
      <c r="O694" s="81" t="s">
        <v>760</v>
      </c>
      <c r="P694" s="81" t="s">
        <v>215</v>
      </c>
      <c r="Q694" s="84" t="s">
        <v>1426</v>
      </c>
      <c r="R694" s="81" t="s">
        <v>667</v>
      </c>
      <c r="S694" s="81" t="s">
        <v>1995</v>
      </c>
      <c r="T694" s="86" t="str">
        <f>HYPERLINK("http://www.youtube.com/channel/UCnWnhN-9oKU3jRE-M7WsjwA")</f>
        <v>http://www.youtube.com/channel/UCnWnhN-9oKU3jRE-M7WsjwA</v>
      </c>
      <c r="U694" s="81"/>
      <c r="V694" s="81" t="s">
        <v>2322</v>
      </c>
      <c r="W694" s="86" t="str">
        <f>HYPERLINK("https://www.youtube.com/watch?v=80f3JVN05YQ")</f>
        <v>https://www.youtube.com/watch?v=80f3JVN05YQ</v>
      </c>
      <c r="X694" s="81" t="s">
        <v>2335</v>
      </c>
      <c r="Y694" s="81">
        <v>0</v>
      </c>
      <c r="Z694" s="88">
        <v>43897.71040509259</v>
      </c>
      <c r="AA694" s="88">
        <v>43897.71040509259</v>
      </c>
      <c r="AB694" s="81"/>
      <c r="AC694" s="81"/>
      <c r="AD694" s="84" t="s">
        <v>2782</v>
      </c>
      <c r="AE694" s="82">
        <v>1</v>
      </c>
      <c r="AF694" s="83" t="str">
        <f>REPLACE(INDEX(GroupVertices[Group],MATCH(Edges[[#This Row],[Vertex 1]],GroupVertices[Vertex],0)),1,1,"")</f>
        <v>3</v>
      </c>
      <c r="AG694" s="83" t="str">
        <f>REPLACE(INDEX(GroupVertices[Group],MATCH(Edges[[#This Row],[Vertex 2]],GroupVertices[Vertex],0)),1,1,"")</f>
        <v>3</v>
      </c>
      <c r="AH694" s="111">
        <v>1</v>
      </c>
      <c r="AI694" s="112">
        <v>100</v>
      </c>
      <c r="AJ694" s="111">
        <v>0</v>
      </c>
      <c r="AK694" s="112">
        <v>0</v>
      </c>
      <c r="AL694" s="111">
        <v>0</v>
      </c>
      <c r="AM694" s="112">
        <v>0</v>
      </c>
      <c r="AN694" s="111">
        <v>0</v>
      </c>
      <c r="AO694" s="112">
        <v>0</v>
      </c>
      <c r="AP694" s="111">
        <v>1</v>
      </c>
    </row>
    <row r="695" spans="1:42" ht="15">
      <c r="A695" s="65" t="s">
        <v>668</v>
      </c>
      <c r="B695" s="65" t="s">
        <v>547</v>
      </c>
      <c r="C695" s="66" t="s">
        <v>5345</v>
      </c>
      <c r="D695" s="67">
        <v>3</v>
      </c>
      <c r="E695" s="68"/>
      <c r="F695" s="69">
        <v>40</v>
      </c>
      <c r="G695" s="66"/>
      <c r="H695" s="70"/>
      <c r="I695" s="71"/>
      <c r="J695" s="71"/>
      <c r="K695" s="35" t="s">
        <v>65</v>
      </c>
      <c r="L695" s="79">
        <v>695</v>
      </c>
      <c r="M695" s="79"/>
      <c r="N695" s="73"/>
      <c r="O695" s="81" t="s">
        <v>760</v>
      </c>
      <c r="P695" s="81" t="s">
        <v>215</v>
      </c>
      <c r="Q695" s="84" t="s">
        <v>1427</v>
      </c>
      <c r="R695" s="81" t="s">
        <v>668</v>
      </c>
      <c r="S695" s="81" t="s">
        <v>1996</v>
      </c>
      <c r="T695" s="86" t="str">
        <f>HYPERLINK("http://www.youtube.com/channel/UCqUQtnm8XzvKqaiSFYgztaw")</f>
        <v>http://www.youtube.com/channel/UCqUQtnm8XzvKqaiSFYgztaw</v>
      </c>
      <c r="U695" s="81"/>
      <c r="V695" s="81" t="s">
        <v>2318</v>
      </c>
      <c r="W695" s="86" t="str">
        <f>HYPERLINK("https://www.youtube.com/watch?v=kIHMxfUtGmI")</f>
        <v>https://www.youtube.com/watch?v=kIHMxfUtGmI</v>
      </c>
      <c r="X695" s="81" t="s">
        <v>2335</v>
      </c>
      <c r="Y695" s="81">
        <v>1</v>
      </c>
      <c r="Z695" s="88">
        <v>44053.467986111114</v>
      </c>
      <c r="AA695" s="88">
        <v>44053.467986111114</v>
      </c>
      <c r="AB695" s="81"/>
      <c r="AC695" s="81"/>
      <c r="AD695" s="84" t="s">
        <v>2782</v>
      </c>
      <c r="AE695" s="82">
        <v>1</v>
      </c>
      <c r="AF695" s="83" t="str">
        <f>REPLACE(INDEX(GroupVertices[Group],MATCH(Edges[[#This Row],[Vertex 1]],GroupVertices[Vertex],0)),1,1,"")</f>
        <v>6</v>
      </c>
      <c r="AG695" s="83" t="str">
        <f>REPLACE(INDEX(GroupVertices[Group],MATCH(Edges[[#This Row],[Vertex 2]],GroupVertices[Vertex],0)),1,1,"")</f>
        <v>6</v>
      </c>
      <c r="AH695" s="111">
        <v>5</v>
      </c>
      <c r="AI695" s="112">
        <v>15.625</v>
      </c>
      <c r="AJ695" s="111">
        <v>0</v>
      </c>
      <c r="AK695" s="112">
        <v>0</v>
      </c>
      <c r="AL695" s="111">
        <v>0</v>
      </c>
      <c r="AM695" s="112">
        <v>0</v>
      </c>
      <c r="AN695" s="111">
        <v>27</v>
      </c>
      <c r="AO695" s="112">
        <v>84.375</v>
      </c>
      <c r="AP695" s="111">
        <v>32</v>
      </c>
    </row>
    <row r="696" spans="1:42" ht="15">
      <c r="A696" s="65" t="s">
        <v>668</v>
      </c>
      <c r="B696" s="65" t="s">
        <v>623</v>
      </c>
      <c r="C696" s="66" t="s">
        <v>5345</v>
      </c>
      <c r="D696" s="67">
        <v>3</v>
      </c>
      <c r="E696" s="68"/>
      <c r="F696" s="69">
        <v>40</v>
      </c>
      <c r="G696" s="66"/>
      <c r="H696" s="70"/>
      <c r="I696" s="71"/>
      <c r="J696" s="71"/>
      <c r="K696" s="35" t="s">
        <v>65</v>
      </c>
      <c r="L696" s="79">
        <v>696</v>
      </c>
      <c r="M696" s="79"/>
      <c r="N696" s="73"/>
      <c r="O696" s="81" t="s">
        <v>760</v>
      </c>
      <c r="P696" s="81" t="s">
        <v>215</v>
      </c>
      <c r="Q696" s="84" t="s">
        <v>1428</v>
      </c>
      <c r="R696" s="81" t="s">
        <v>668</v>
      </c>
      <c r="S696" s="81" t="s">
        <v>1996</v>
      </c>
      <c r="T696" s="86" t="str">
        <f>HYPERLINK("http://www.youtube.com/channel/UCqUQtnm8XzvKqaiSFYgztaw")</f>
        <v>http://www.youtube.com/channel/UCqUQtnm8XzvKqaiSFYgztaw</v>
      </c>
      <c r="U696" s="81"/>
      <c r="V696" s="81" t="s">
        <v>2322</v>
      </c>
      <c r="W696" s="86" t="str">
        <f>HYPERLINK("https://www.youtube.com/watch?v=80f3JVN05YQ")</f>
        <v>https://www.youtube.com/watch?v=80f3JVN05YQ</v>
      </c>
      <c r="X696" s="81" t="s">
        <v>2335</v>
      </c>
      <c r="Y696" s="81">
        <v>0</v>
      </c>
      <c r="Z696" s="88">
        <v>44053.4669212963</v>
      </c>
      <c r="AA696" s="88">
        <v>44053.4669212963</v>
      </c>
      <c r="AB696" s="81"/>
      <c r="AC696" s="81"/>
      <c r="AD696" s="84" t="s">
        <v>2782</v>
      </c>
      <c r="AE696" s="82">
        <v>1</v>
      </c>
      <c r="AF696" s="83" t="str">
        <f>REPLACE(INDEX(GroupVertices[Group],MATCH(Edges[[#This Row],[Vertex 1]],GroupVertices[Vertex],0)),1,1,"")</f>
        <v>6</v>
      </c>
      <c r="AG696" s="83" t="str">
        <f>REPLACE(INDEX(GroupVertices[Group],MATCH(Edges[[#This Row],[Vertex 2]],GroupVertices[Vertex],0)),1,1,"")</f>
        <v>3</v>
      </c>
      <c r="AH696" s="111">
        <v>5</v>
      </c>
      <c r="AI696" s="112">
        <v>10</v>
      </c>
      <c r="AJ696" s="111">
        <v>0</v>
      </c>
      <c r="AK696" s="112">
        <v>0</v>
      </c>
      <c r="AL696" s="111">
        <v>0</v>
      </c>
      <c r="AM696" s="112">
        <v>0</v>
      </c>
      <c r="AN696" s="111">
        <v>45</v>
      </c>
      <c r="AO696" s="112">
        <v>90</v>
      </c>
      <c r="AP696" s="111">
        <v>50</v>
      </c>
    </row>
    <row r="697" spans="1:42" ht="15">
      <c r="A697" s="65" t="s">
        <v>623</v>
      </c>
      <c r="B697" s="65" t="s">
        <v>669</v>
      </c>
      <c r="C697" s="66" t="s">
        <v>5345</v>
      </c>
      <c r="D697" s="67">
        <v>3</v>
      </c>
      <c r="E697" s="68"/>
      <c r="F697" s="69">
        <v>40</v>
      </c>
      <c r="G697" s="66"/>
      <c r="H697" s="70"/>
      <c r="I697" s="71"/>
      <c r="J697" s="71"/>
      <c r="K697" s="35" t="s">
        <v>66</v>
      </c>
      <c r="L697" s="79">
        <v>697</v>
      </c>
      <c r="M697" s="79"/>
      <c r="N697" s="73"/>
      <c r="O697" s="81" t="s">
        <v>761</v>
      </c>
      <c r="P697" s="81" t="s">
        <v>763</v>
      </c>
      <c r="Q697" s="84" t="s">
        <v>1429</v>
      </c>
      <c r="R697" s="81" t="s">
        <v>623</v>
      </c>
      <c r="S697" s="81" t="s">
        <v>1951</v>
      </c>
      <c r="T697" s="86" t="str">
        <f>HYPERLINK("http://www.youtube.com/channel/UC2n4MvLJDH2-GWzjJrC58Zw")</f>
        <v>http://www.youtube.com/channel/UC2n4MvLJDH2-GWzjJrC58Zw</v>
      </c>
      <c r="U697" s="81" t="s">
        <v>2273</v>
      </c>
      <c r="V697" s="81" t="s">
        <v>2322</v>
      </c>
      <c r="W697" s="86" t="str">
        <f>HYPERLINK("https://www.youtube.com/watch?v=80f3JVN05YQ")</f>
        <v>https://www.youtube.com/watch?v=80f3JVN05YQ</v>
      </c>
      <c r="X697" s="81" t="s">
        <v>2335</v>
      </c>
      <c r="Y697" s="81">
        <v>0</v>
      </c>
      <c r="Z697" s="88">
        <v>44085.38891203704</v>
      </c>
      <c r="AA697" s="88">
        <v>44085.38891203704</v>
      </c>
      <c r="AB697" s="81"/>
      <c r="AC697" s="81"/>
      <c r="AD697" s="84" t="s">
        <v>2782</v>
      </c>
      <c r="AE697" s="82">
        <v>1</v>
      </c>
      <c r="AF697" s="83" t="str">
        <f>REPLACE(INDEX(GroupVertices[Group],MATCH(Edges[[#This Row],[Vertex 1]],GroupVertices[Vertex],0)),1,1,"")</f>
        <v>3</v>
      </c>
      <c r="AG697" s="83" t="str">
        <f>REPLACE(INDEX(GroupVertices[Group],MATCH(Edges[[#This Row],[Vertex 2]],GroupVertices[Vertex],0)),1,1,"")</f>
        <v>3</v>
      </c>
      <c r="AH697" s="111">
        <v>3</v>
      </c>
      <c r="AI697" s="112">
        <v>23.076923076923077</v>
      </c>
      <c r="AJ697" s="111">
        <v>0</v>
      </c>
      <c r="AK697" s="112">
        <v>0</v>
      </c>
      <c r="AL697" s="111">
        <v>0</v>
      </c>
      <c r="AM697" s="112">
        <v>0</v>
      </c>
      <c r="AN697" s="111">
        <v>10</v>
      </c>
      <c r="AO697" s="112">
        <v>76.92307692307692</v>
      </c>
      <c r="AP697" s="111">
        <v>13</v>
      </c>
    </row>
    <row r="698" spans="1:42" ht="15">
      <c r="A698" s="65" t="s">
        <v>669</v>
      </c>
      <c r="B698" s="65" t="s">
        <v>623</v>
      </c>
      <c r="C698" s="66" t="s">
        <v>5345</v>
      </c>
      <c r="D698" s="67">
        <v>3</v>
      </c>
      <c r="E698" s="68"/>
      <c r="F698" s="69">
        <v>40</v>
      </c>
      <c r="G698" s="66"/>
      <c r="H698" s="70"/>
      <c r="I698" s="71"/>
      <c r="J698" s="71"/>
      <c r="K698" s="35" t="s">
        <v>66</v>
      </c>
      <c r="L698" s="79">
        <v>698</v>
      </c>
      <c r="M698" s="79"/>
      <c r="N698" s="73"/>
      <c r="O698" s="81" t="s">
        <v>760</v>
      </c>
      <c r="P698" s="81" t="s">
        <v>215</v>
      </c>
      <c r="Q698" s="84" t="s">
        <v>1430</v>
      </c>
      <c r="R698" s="81" t="s">
        <v>669</v>
      </c>
      <c r="S698" s="81" t="s">
        <v>1997</v>
      </c>
      <c r="T698" s="86" t="str">
        <f>HYPERLINK("http://www.youtube.com/channel/UCf2vOAqfiP6Cnf3zDUPIF6g")</f>
        <v>http://www.youtube.com/channel/UCf2vOAqfiP6Cnf3zDUPIF6g</v>
      </c>
      <c r="U698" s="81"/>
      <c r="V698" s="81" t="s">
        <v>2322</v>
      </c>
      <c r="W698" s="86" t="str">
        <f>HYPERLINK("https://www.youtube.com/watch?v=80f3JVN05YQ")</f>
        <v>https://www.youtube.com/watch?v=80f3JVN05YQ</v>
      </c>
      <c r="X698" s="81" t="s">
        <v>2335</v>
      </c>
      <c r="Y698" s="81">
        <v>0</v>
      </c>
      <c r="Z698" s="88">
        <v>44023.827060185184</v>
      </c>
      <c r="AA698" s="88">
        <v>44023.827060185184</v>
      </c>
      <c r="AB698" s="81"/>
      <c r="AC698" s="81"/>
      <c r="AD698" s="84" t="s">
        <v>2782</v>
      </c>
      <c r="AE698" s="82">
        <v>1</v>
      </c>
      <c r="AF698" s="83" t="str">
        <f>REPLACE(INDEX(GroupVertices[Group],MATCH(Edges[[#This Row],[Vertex 1]],GroupVertices[Vertex],0)),1,1,"")</f>
        <v>3</v>
      </c>
      <c r="AG698" s="83" t="str">
        <f>REPLACE(INDEX(GroupVertices[Group],MATCH(Edges[[#This Row],[Vertex 2]],GroupVertices[Vertex],0)),1,1,"")</f>
        <v>3</v>
      </c>
      <c r="AH698" s="111">
        <v>2</v>
      </c>
      <c r="AI698" s="112">
        <v>6.896551724137931</v>
      </c>
      <c r="AJ698" s="111">
        <v>0</v>
      </c>
      <c r="AK698" s="112">
        <v>0</v>
      </c>
      <c r="AL698" s="111">
        <v>0</v>
      </c>
      <c r="AM698" s="112">
        <v>0</v>
      </c>
      <c r="AN698" s="111">
        <v>27</v>
      </c>
      <c r="AO698" s="112">
        <v>93.10344827586206</v>
      </c>
      <c r="AP698" s="111">
        <v>29</v>
      </c>
    </row>
    <row r="699" spans="1:42" ht="15">
      <c r="A699" s="65" t="s">
        <v>623</v>
      </c>
      <c r="B699" s="65" t="s">
        <v>670</v>
      </c>
      <c r="C699" s="66" t="s">
        <v>5345</v>
      </c>
      <c r="D699" s="67">
        <v>3</v>
      </c>
      <c r="E699" s="68"/>
      <c r="F699" s="69">
        <v>40</v>
      </c>
      <c r="G699" s="66"/>
      <c r="H699" s="70"/>
      <c r="I699" s="71"/>
      <c r="J699" s="71"/>
      <c r="K699" s="35" t="s">
        <v>66</v>
      </c>
      <c r="L699" s="79">
        <v>699</v>
      </c>
      <c r="M699" s="79"/>
      <c r="N699" s="73"/>
      <c r="O699" s="81" t="s">
        <v>761</v>
      </c>
      <c r="P699" s="81" t="s">
        <v>763</v>
      </c>
      <c r="Q699" s="84" t="s">
        <v>1431</v>
      </c>
      <c r="R699" s="81" t="s">
        <v>623</v>
      </c>
      <c r="S699" s="81" t="s">
        <v>1951</v>
      </c>
      <c r="T699" s="86" t="str">
        <f>HYPERLINK("http://www.youtube.com/channel/UC2n4MvLJDH2-GWzjJrC58Zw")</f>
        <v>http://www.youtube.com/channel/UC2n4MvLJDH2-GWzjJrC58Zw</v>
      </c>
      <c r="U699" s="81" t="s">
        <v>2274</v>
      </c>
      <c r="V699" s="81" t="s">
        <v>2322</v>
      </c>
      <c r="W699" s="86" t="str">
        <f>HYPERLINK("https://www.youtube.com/watch?v=80f3JVN05YQ")</f>
        <v>https://www.youtube.com/watch?v=80f3JVN05YQ</v>
      </c>
      <c r="X699" s="81" t="s">
        <v>2335</v>
      </c>
      <c r="Y699" s="81">
        <v>0</v>
      </c>
      <c r="Z699" s="81" t="s">
        <v>2672</v>
      </c>
      <c r="AA699" s="81" t="s">
        <v>2672</v>
      </c>
      <c r="AB699" s="81"/>
      <c r="AC699" s="81"/>
      <c r="AD699" s="84" t="s">
        <v>2782</v>
      </c>
      <c r="AE699" s="82">
        <v>1</v>
      </c>
      <c r="AF699" s="83" t="str">
        <f>REPLACE(INDEX(GroupVertices[Group],MATCH(Edges[[#This Row],[Vertex 1]],GroupVertices[Vertex],0)),1,1,"")</f>
        <v>3</v>
      </c>
      <c r="AG699" s="83" t="str">
        <f>REPLACE(INDEX(GroupVertices[Group],MATCH(Edges[[#This Row],[Vertex 2]],GroupVertices[Vertex],0)),1,1,"")</f>
        <v>3</v>
      </c>
      <c r="AH699" s="111">
        <v>0</v>
      </c>
      <c r="AI699" s="112">
        <v>0</v>
      </c>
      <c r="AJ699" s="111">
        <v>0</v>
      </c>
      <c r="AK699" s="112">
        <v>0</v>
      </c>
      <c r="AL699" s="111">
        <v>0</v>
      </c>
      <c r="AM699" s="112">
        <v>0</v>
      </c>
      <c r="AN699" s="111">
        <v>6</v>
      </c>
      <c r="AO699" s="112">
        <v>100</v>
      </c>
      <c r="AP699" s="111">
        <v>6</v>
      </c>
    </row>
    <row r="700" spans="1:42" ht="15">
      <c r="A700" s="65" t="s">
        <v>670</v>
      </c>
      <c r="B700" s="65" t="s">
        <v>670</v>
      </c>
      <c r="C700" s="66" t="s">
        <v>5345</v>
      </c>
      <c r="D700" s="67">
        <v>3</v>
      </c>
      <c r="E700" s="68"/>
      <c r="F700" s="69">
        <v>40</v>
      </c>
      <c r="G700" s="66"/>
      <c r="H700" s="70"/>
      <c r="I700" s="71"/>
      <c r="J700" s="71"/>
      <c r="K700" s="35" t="s">
        <v>65</v>
      </c>
      <c r="L700" s="79">
        <v>700</v>
      </c>
      <c r="M700" s="79"/>
      <c r="N700" s="73"/>
      <c r="O700" s="81" t="s">
        <v>761</v>
      </c>
      <c r="P700" s="81" t="s">
        <v>763</v>
      </c>
      <c r="Q700" s="84" t="s">
        <v>1432</v>
      </c>
      <c r="R700" s="81" t="s">
        <v>670</v>
      </c>
      <c r="S700" s="81" t="s">
        <v>1998</v>
      </c>
      <c r="T700" s="86" t="str">
        <f>HYPERLINK("http://www.youtube.com/channel/UCkeAucrTycuWwkJMQ6yMHIg")</f>
        <v>http://www.youtube.com/channel/UCkeAucrTycuWwkJMQ6yMHIg</v>
      </c>
      <c r="U700" s="81" t="s">
        <v>2274</v>
      </c>
      <c r="V700" s="81" t="s">
        <v>2322</v>
      </c>
      <c r="W700" s="86" t="str">
        <f>HYPERLINK("https://www.youtube.com/watch?v=80f3JVN05YQ")</f>
        <v>https://www.youtube.com/watch?v=80f3JVN05YQ</v>
      </c>
      <c r="X700" s="81" t="s">
        <v>2335</v>
      </c>
      <c r="Y700" s="81">
        <v>0</v>
      </c>
      <c r="Z700" s="81" t="s">
        <v>2673</v>
      </c>
      <c r="AA700" s="81" t="s">
        <v>2673</v>
      </c>
      <c r="AB700" s="81"/>
      <c r="AC700" s="81"/>
      <c r="AD700" s="84" t="s">
        <v>2782</v>
      </c>
      <c r="AE700" s="82">
        <v>1</v>
      </c>
      <c r="AF700" s="83" t="str">
        <f>REPLACE(INDEX(GroupVertices[Group],MATCH(Edges[[#This Row],[Vertex 1]],GroupVertices[Vertex],0)),1,1,"")</f>
        <v>3</v>
      </c>
      <c r="AG700" s="83" t="str">
        <f>REPLACE(INDEX(GroupVertices[Group],MATCH(Edges[[#This Row],[Vertex 2]],GroupVertices[Vertex],0)),1,1,"")</f>
        <v>3</v>
      </c>
      <c r="AH700" s="111">
        <v>1</v>
      </c>
      <c r="AI700" s="112">
        <v>7.142857142857143</v>
      </c>
      <c r="AJ700" s="111">
        <v>0</v>
      </c>
      <c r="AK700" s="112">
        <v>0</v>
      </c>
      <c r="AL700" s="111">
        <v>0</v>
      </c>
      <c r="AM700" s="112">
        <v>0</v>
      </c>
      <c r="AN700" s="111">
        <v>13</v>
      </c>
      <c r="AO700" s="112">
        <v>92.85714285714286</v>
      </c>
      <c r="AP700" s="111">
        <v>14</v>
      </c>
    </row>
    <row r="701" spans="1:42" ht="15">
      <c r="A701" s="65" t="s">
        <v>670</v>
      </c>
      <c r="B701" s="65" t="s">
        <v>623</v>
      </c>
      <c r="C701" s="66" t="s">
        <v>5345</v>
      </c>
      <c r="D701" s="67">
        <v>3</v>
      </c>
      <c r="E701" s="68"/>
      <c r="F701" s="69">
        <v>40</v>
      </c>
      <c r="G701" s="66"/>
      <c r="H701" s="70"/>
      <c r="I701" s="71"/>
      <c r="J701" s="71"/>
      <c r="K701" s="35" t="s">
        <v>66</v>
      </c>
      <c r="L701" s="79">
        <v>701</v>
      </c>
      <c r="M701" s="79"/>
      <c r="N701" s="73"/>
      <c r="O701" s="81" t="s">
        <v>760</v>
      </c>
      <c r="P701" s="81" t="s">
        <v>215</v>
      </c>
      <c r="Q701" s="84" t="s">
        <v>1433</v>
      </c>
      <c r="R701" s="81" t="s">
        <v>670</v>
      </c>
      <c r="S701" s="81" t="s">
        <v>1998</v>
      </c>
      <c r="T701" s="86" t="str">
        <f>HYPERLINK("http://www.youtube.com/channel/UCkeAucrTycuWwkJMQ6yMHIg")</f>
        <v>http://www.youtube.com/channel/UCkeAucrTycuWwkJMQ6yMHIg</v>
      </c>
      <c r="U701" s="81"/>
      <c r="V701" s="81" t="s">
        <v>2322</v>
      </c>
      <c r="W701" s="86" t="str">
        <f>HYPERLINK("https://www.youtube.com/watch?v=80f3JVN05YQ")</f>
        <v>https://www.youtube.com/watch?v=80f3JVN05YQ</v>
      </c>
      <c r="X701" s="81" t="s">
        <v>2335</v>
      </c>
      <c r="Y701" s="81">
        <v>0</v>
      </c>
      <c r="Z701" s="81" t="s">
        <v>2674</v>
      </c>
      <c r="AA701" s="81" t="s">
        <v>2674</v>
      </c>
      <c r="AB701" s="81"/>
      <c r="AC701" s="81"/>
      <c r="AD701" s="84" t="s">
        <v>2782</v>
      </c>
      <c r="AE701" s="82">
        <v>1</v>
      </c>
      <c r="AF701" s="83" t="str">
        <f>REPLACE(INDEX(GroupVertices[Group],MATCH(Edges[[#This Row],[Vertex 1]],GroupVertices[Vertex],0)),1,1,"")</f>
        <v>3</v>
      </c>
      <c r="AG701" s="83" t="str">
        <f>REPLACE(INDEX(GroupVertices[Group],MATCH(Edges[[#This Row],[Vertex 2]],GroupVertices[Vertex],0)),1,1,"")</f>
        <v>3</v>
      </c>
      <c r="AH701" s="111">
        <v>0</v>
      </c>
      <c r="AI701" s="112">
        <v>0</v>
      </c>
      <c r="AJ701" s="111">
        <v>0</v>
      </c>
      <c r="AK701" s="112">
        <v>0</v>
      </c>
      <c r="AL701" s="111">
        <v>0</v>
      </c>
      <c r="AM701" s="112">
        <v>0</v>
      </c>
      <c r="AN701" s="111">
        <v>8</v>
      </c>
      <c r="AO701" s="112">
        <v>100</v>
      </c>
      <c r="AP701" s="111">
        <v>8</v>
      </c>
    </row>
    <row r="702" spans="1:42" ht="15">
      <c r="A702" s="65" t="s">
        <v>623</v>
      </c>
      <c r="B702" s="65" t="s">
        <v>671</v>
      </c>
      <c r="C702" s="66" t="s">
        <v>5345</v>
      </c>
      <c r="D702" s="67">
        <v>3</v>
      </c>
      <c r="E702" s="68"/>
      <c r="F702" s="69">
        <v>40</v>
      </c>
      <c r="G702" s="66"/>
      <c r="H702" s="70"/>
      <c r="I702" s="71"/>
      <c r="J702" s="71"/>
      <c r="K702" s="35" t="s">
        <v>66</v>
      </c>
      <c r="L702" s="79">
        <v>702</v>
      </c>
      <c r="M702" s="79"/>
      <c r="N702" s="73"/>
      <c r="O702" s="81" t="s">
        <v>761</v>
      </c>
      <c r="P702" s="81" t="s">
        <v>763</v>
      </c>
      <c r="Q702" s="84" t="s">
        <v>1434</v>
      </c>
      <c r="R702" s="81" t="s">
        <v>623</v>
      </c>
      <c r="S702" s="81" t="s">
        <v>1951</v>
      </c>
      <c r="T702" s="86" t="str">
        <f>HYPERLINK("http://www.youtube.com/channel/UC2n4MvLJDH2-GWzjJrC58Zw")</f>
        <v>http://www.youtube.com/channel/UC2n4MvLJDH2-GWzjJrC58Zw</v>
      </c>
      <c r="U702" s="81" t="s">
        <v>2275</v>
      </c>
      <c r="V702" s="81" t="s">
        <v>2322</v>
      </c>
      <c r="W702" s="86" t="str">
        <f>HYPERLINK("https://www.youtube.com/watch?v=80f3JVN05YQ")</f>
        <v>https://www.youtube.com/watch?v=80f3JVN05YQ</v>
      </c>
      <c r="X702" s="81" t="s">
        <v>2335</v>
      </c>
      <c r="Y702" s="81">
        <v>0</v>
      </c>
      <c r="Z702" s="81" t="s">
        <v>2675</v>
      </c>
      <c r="AA702" s="81" t="s">
        <v>2675</v>
      </c>
      <c r="AB702" s="81"/>
      <c r="AC702" s="81"/>
      <c r="AD702" s="84" t="s">
        <v>2782</v>
      </c>
      <c r="AE702" s="82">
        <v>1</v>
      </c>
      <c r="AF702" s="83" t="str">
        <f>REPLACE(INDEX(GroupVertices[Group],MATCH(Edges[[#This Row],[Vertex 1]],GroupVertices[Vertex],0)),1,1,"")</f>
        <v>3</v>
      </c>
      <c r="AG702" s="83" t="str">
        <f>REPLACE(INDEX(GroupVertices[Group],MATCH(Edges[[#This Row],[Vertex 2]],GroupVertices[Vertex],0)),1,1,"")</f>
        <v>3</v>
      </c>
      <c r="AH702" s="111">
        <v>1</v>
      </c>
      <c r="AI702" s="112">
        <v>11.11111111111111</v>
      </c>
      <c r="AJ702" s="111">
        <v>0</v>
      </c>
      <c r="AK702" s="112">
        <v>0</v>
      </c>
      <c r="AL702" s="111">
        <v>0</v>
      </c>
      <c r="AM702" s="112">
        <v>0</v>
      </c>
      <c r="AN702" s="111">
        <v>8</v>
      </c>
      <c r="AO702" s="112">
        <v>88.88888888888889</v>
      </c>
      <c r="AP702" s="111">
        <v>9</v>
      </c>
    </row>
    <row r="703" spans="1:42" ht="15">
      <c r="A703" s="65" t="s">
        <v>671</v>
      </c>
      <c r="B703" s="65" t="s">
        <v>623</v>
      </c>
      <c r="C703" s="66" t="s">
        <v>5345</v>
      </c>
      <c r="D703" s="67">
        <v>3</v>
      </c>
      <c r="E703" s="68"/>
      <c r="F703" s="69">
        <v>40</v>
      </c>
      <c r="G703" s="66"/>
      <c r="H703" s="70"/>
      <c r="I703" s="71"/>
      <c r="J703" s="71"/>
      <c r="K703" s="35" t="s">
        <v>66</v>
      </c>
      <c r="L703" s="79">
        <v>703</v>
      </c>
      <c r="M703" s="79"/>
      <c r="N703" s="73"/>
      <c r="O703" s="81" t="s">
        <v>760</v>
      </c>
      <c r="P703" s="81" t="s">
        <v>215</v>
      </c>
      <c r="Q703" s="84" t="s">
        <v>1435</v>
      </c>
      <c r="R703" s="81" t="s">
        <v>671</v>
      </c>
      <c r="S703" s="81" t="s">
        <v>1999</v>
      </c>
      <c r="T703" s="86" t="str">
        <f>HYPERLINK("http://www.youtube.com/channel/UCO8wnd7l7D83prtjHV_wiyA")</f>
        <v>http://www.youtube.com/channel/UCO8wnd7l7D83prtjHV_wiyA</v>
      </c>
      <c r="U703" s="81"/>
      <c r="V703" s="81" t="s">
        <v>2322</v>
      </c>
      <c r="W703" s="86" t="str">
        <f>HYPERLINK("https://www.youtube.com/watch?v=80f3JVN05YQ")</f>
        <v>https://www.youtube.com/watch?v=80f3JVN05YQ</v>
      </c>
      <c r="X703" s="81" t="s">
        <v>2335</v>
      </c>
      <c r="Y703" s="81">
        <v>0</v>
      </c>
      <c r="Z703" s="81" t="s">
        <v>2676</v>
      </c>
      <c r="AA703" s="81" t="s">
        <v>2676</v>
      </c>
      <c r="AB703" s="81"/>
      <c r="AC703" s="81"/>
      <c r="AD703" s="84" t="s">
        <v>2782</v>
      </c>
      <c r="AE703" s="82">
        <v>1</v>
      </c>
      <c r="AF703" s="83" t="str">
        <f>REPLACE(INDEX(GroupVertices[Group],MATCH(Edges[[#This Row],[Vertex 1]],GroupVertices[Vertex],0)),1,1,"")</f>
        <v>3</v>
      </c>
      <c r="AG703" s="83" t="str">
        <f>REPLACE(INDEX(GroupVertices[Group],MATCH(Edges[[#This Row],[Vertex 2]],GroupVertices[Vertex],0)),1,1,"")</f>
        <v>3</v>
      </c>
      <c r="AH703" s="111">
        <v>1</v>
      </c>
      <c r="AI703" s="112">
        <v>25</v>
      </c>
      <c r="AJ703" s="111">
        <v>0</v>
      </c>
      <c r="AK703" s="112">
        <v>0</v>
      </c>
      <c r="AL703" s="111">
        <v>0</v>
      </c>
      <c r="AM703" s="112">
        <v>0</v>
      </c>
      <c r="AN703" s="111">
        <v>3</v>
      </c>
      <c r="AO703" s="112">
        <v>75</v>
      </c>
      <c r="AP703" s="111">
        <v>4</v>
      </c>
    </row>
    <row r="704" spans="1:42" ht="15">
      <c r="A704" s="65" t="s">
        <v>672</v>
      </c>
      <c r="B704" s="65" t="s">
        <v>756</v>
      </c>
      <c r="C704" s="66" t="s">
        <v>5345</v>
      </c>
      <c r="D704" s="67">
        <v>3</v>
      </c>
      <c r="E704" s="68"/>
      <c r="F704" s="69">
        <v>40</v>
      </c>
      <c r="G704" s="66"/>
      <c r="H704" s="70"/>
      <c r="I704" s="71"/>
      <c r="J704" s="71"/>
      <c r="K704" s="35" t="s">
        <v>65</v>
      </c>
      <c r="L704" s="79">
        <v>704</v>
      </c>
      <c r="M704" s="79"/>
      <c r="N704" s="73"/>
      <c r="O704" s="81" t="s">
        <v>760</v>
      </c>
      <c r="P704" s="81" t="s">
        <v>215</v>
      </c>
      <c r="Q704" s="84" t="s">
        <v>1436</v>
      </c>
      <c r="R704" s="81" t="s">
        <v>672</v>
      </c>
      <c r="S704" s="81" t="s">
        <v>2000</v>
      </c>
      <c r="T704" s="86" t="str">
        <f>HYPERLINK("http://www.youtube.com/channel/UCJAsDqyUYYar1fo71XRvIXw")</f>
        <v>http://www.youtube.com/channel/UCJAsDqyUYYar1fo71XRvIXw</v>
      </c>
      <c r="U704" s="81"/>
      <c r="V704" s="81" t="s">
        <v>2323</v>
      </c>
      <c r="W704" s="86" t="str">
        <f>HYPERLINK("https://www.youtube.com/watch?v=gOv6hkcCBDU")</f>
        <v>https://www.youtube.com/watch?v=gOv6hkcCBDU</v>
      </c>
      <c r="X704" s="81" t="s">
        <v>2335</v>
      </c>
      <c r="Y704" s="81">
        <v>0</v>
      </c>
      <c r="Z704" s="81" t="s">
        <v>2677</v>
      </c>
      <c r="AA704" s="81" t="s">
        <v>2677</v>
      </c>
      <c r="AB704" s="81"/>
      <c r="AC704" s="81"/>
      <c r="AD704" s="84" t="s">
        <v>2782</v>
      </c>
      <c r="AE704" s="82">
        <v>1</v>
      </c>
      <c r="AF704" s="83" t="str">
        <f>REPLACE(INDEX(GroupVertices[Group],MATCH(Edges[[#This Row],[Vertex 1]],GroupVertices[Vertex],0)),1,1,"")</f>
        <v>17</v>
      </c>
      <c r="AG704" s="83" t="str">
        <f>REPLACE(INDEX(GroupVertices[Group],MATCH(Edges[[#This Row],[Vertex 2]],GroupVertices[Vertex],0)),1,1,"")</f>
        <v>17</v>
      </c>
      <c r="AH704" s="111">
        <v>1</v>
      </c>
      <c r="AI704" s="112">
        <v>7.142857142857143</v>
      </c>
      <c r="AJ704" s="111">
        <v>0</v>
      </c>
      <c r="AK704" s="112">
        <v>0</v>
      </c>
      <c r="AL704" s="111">
        <v>0</v>
      </c>
      <c r="AM704" s="112">
        <v>0</v>
      </c>
      <c r="AN704" s="111">
        <v>13</v>
      </c>
      <c r="AO704" s="112">
        <v>92.85714285714286</v>
      </c>
      <c r="AP704" s="111">
        <v>14</v>
      </c>
    </row>
    <row r="705" spans="1:42" ht="15">
      <c r="A705" s="65" t="s">
        <v>673</v>
      </c>
      <c r="B705" s="65" t="s">
        <v>757</v>
      </c>
      <c r="C705" s="66" t="s">
        <v>5345</v>
      </c>
      <c r="D705" s="67">
        <v>3</v>
      </c>
      <c r="E705" s="68"/>
      <c r="F705" s="69">
        <v>40</v>
      </c>
      <c r="G705" s="66"/>
      <c r="H705" s="70"/>
      <c r="I705" s="71"/>
      <c r="J705" s="71"/>
      <c r="K705" s="35" t="s">
        <v>65</v>
      </c>
      <c r="L705" s="79">
        <v>705</v>
      </c>
      <c r="M705" s="79"/>
      <c r="N705" s="73"/>
      <c r="O705" s="81" t="s">
        <v>760</v>
      </c>
      <c r="P705" s="81" t="s">
        <v>215</v>
      </c>
      <c r="Q705" s="84" t="s">
        <v>1437</v>
      </c>
      <c r="R705" s="81" t="s">
        <v>673</v>
      </c>
      <c r="S705" s="81" t="s">
        <v>2001</v>
      </c>
      <c r="T705" s="86" t="str">
        <f>HYPERLINK("http://www.youtube.com/channel/UC9lyUdwosxq_OxC1uggjUPA")</f>
        <v>http://www.youtube.com/channel/UC9lyUdwosxq_OxC1uggjUPA</v>
      </c>
      <c r="U705" s="81"/>
      <c r="V705" s="81" t="s">
        <v>2324</v>
      </c>
      <c r="W705" s="86" t="str">
        <f>HYPERLINK("https://www.youtube.com/watch?v=fDCXpEe0ciU")</f>
        <v>https://www.youtube.com/watch?v=fDCXpEe0ciU</v>
      </c>
      <c r="X705" s="81" t="s">
        <v>2335</v>
      </c>
      <c r="Y705" s="81">
        <v>1</v>
      </c>
      <c r="Z705" s="81" t="s">
        <v>2678</v>
      </c>
      <c r="AA705" s="81" t="s">
        <v>2678</v>
      </c>
      <c r="AB705" s="81"/>
      <c r="AC705" s="81"/>
      <c r="AD705" s="84" t="s">
        <v>2782</v>
      </c>
      <c r="AE705" s="82">
        <v>1</v>
      </c>
      <c r="AF705" s="83" t="str">
        <f>REPLACE(INDEX(GroupVertices[Group],MATCH(Edges[[#This Row],[Vertex 1]],GroupVertices[Vertex],0)),1,1,"")</f>
        <v>8</v>
      </c>
      <c r="AG705" s="83" t="str">
        <f>REPLACE(INDEX(GroupVertices[Group],MATCH(Edges[[#This Row],[Vertex 2]],GroupVertices[Vertex],0)),1,1,"")</f>
        <v>8</v>
      </c>
      <c r="AH705" s="111">
        <v>2</v>
      </c>
      <c r="AI705" s="112">
        <v>12.5</v>
      </c>
      <c r="AJ705" s="111">
        <v>0</v>
      </c>
      <c r="AK705" s="112">
        <v>0</v>
      </c>
      <c r="AL705" s="111">
        <v>0</v>
      </c>
      <c r="AM705" s="112">
        <v>0</v>
      </c>
      <c r="AN705" s="111">
        <v>14</v>
      </c>
      <c r="AO705" s="112">
        <v>87.5</v>
      </c>
      <c r="AP705" s="111">
        <v>16</v>
      </c>
    </row>
    <row r="706" spans="1:42" ht="15">
      <c r="A706" s="65" t="s">
        <v>674</v>
      </c>
      <c r="B706" s="65" t="s">
        <v>757</v>
      </c>
      <c r="C706" s="66" t="s">
        <v>5345</v>
      </c>
      <c r="D706" s="67">
        <v>3</v>
      </c>
      <c r="E706" s="68"/>
      <c r="F706" s="69">
        <v>40</v>
      </c>
      <c r="G706" s="66"/>
      <c r="H706" s="70"/>
      <c r="I706" s="71"/>
      <c r="J706" s="71"/>
      <c r="K706" s="35" t="s">
        <v>65</v>
      </c>
      <c r="L706" s="79">
        <v>706</v>
      </c>
      <c r="M706" s="79"/>
      <c r="N706" s="73"/>
      <c r="O706" s="81" t="s">
        <v>760</v>
      </c>
      <c r="P706" s="81" t="s">
        <v>215</v>
      </c>
      <c r="Q706" s="84" t="s">
        <v>1438</v>
      </c>
      <c r="R706" s="81" t="s">
        <v>674</v>
      </c>
      <c r="S706" s="81" t="s">
        <v>2002</v>
      </c>
      <c r="T706" s="86" t="str">
        <f>HYPERLINK("http://www.youtube.com/channel/UCppyzV1-pGYK2ZBeDekNw6g")</f>
        <v>http://www.youtube.com/channel/UCppyzV1-pGYK2ZBeDekNw6g</v>
      </c>
      <c r="U706" s="81"/>
      <c r="V706" s="81" t="s">
        <v>2324</v>
      </c>
      <c r="W706" s="86" t="str">
        <f>HYPERLINK("https://www.youtube.com/watch?v=fDCXpEe0ciU")</f>
        <v>https://www.youtube.com/watch?v=fDCXpEe0ciU</v>
      </c>
      <c r="X706" s="81" t="s">
        <v>2335</v>
      </c>
      <c r="Y706" s="81">
        <v>2</v>
      </c>
      <c r="Z706" s="81" t="s">
        <v>2679</v>
      </c>
      <c r="AA706" s="81" t="s">
        <v>2679</v>
      </c>
      <c r="AB706" s="81"/>
      <c r="AC706" s="81"/>
      <c r="AD706" s="84" t="s">
        <v>2782</v>
      </c>
      <c r="AE706" s="82">
        <v>1</v>
      </c>
      <c r="AF706" s="83" t="str">
        <f>REPLACE(INDEX(GroupVertices[Group],MATCH(Edges[[#This Row],[Vertex 1]],GroupVertices[Vertex],0)),1,1,"")</f>
        <v>8</v>
      </c>
      <c r="AG706" s="83" t="str">
        <f>REPLACE(INDEX(GroupVertices[Group],MATCH(Edges[[#This Row],[Vertex 2]],GroupVertices[Vertex],0)),1,1,"")</f>
        <v>8</v>
      </c>
      <c r="AH706" s="111">
        <v>2</v>
      </c>
      <c r="AI706" s="112">
        <v>33.333333333333336</v>
      </c>
      <c r="AJ706" s="111">
        <v>0</v>
      </c>
      <c r="AK706" s="112">
        <v>0</v>
      </c>
      <c r="AL706" s="111">
        <v>0</v>
      </c>
      <c r="AM706" s="112">
        <v>0</v>
      </c>
      <c r="AN706" s="111">
        <v>4</v>
      </c>
      <c r="AO706" s="112">
        <v>66.66666666666667</v>
      </c>
      <c r="AP706" s="111">
        <v>6</v>
      </c>
    </row>
    <row r="707" spans="1:42" ht="15">
      <c r="A707" s="65" t="s">
        <v>675</v>
      </c>
      <c r="B707" s="65" t="s">
        <v>757</v>
      </c>
      <c r="C707" s="66" t="s">
        <v>5345</v>
      </c>
      <c r="D707" s="67">
        <v>3</v>
      </c>
      <c r="E707" s="68"/>
      <c r="F707" s="69">
        <v>40</v>
      </c>
      <c r="G707" s="66"/>
      <c r="H707" s="70"/>
      <c r="I707" s="71"/>
      <c r="J707" s="71"/>
      <c r="K707" s="35" t="s">
        <v>65</v>
      </c>
      <c r="L707" s="79">
        <v>707</v>
      </c>
      <c r="M707" s="79"/>
      <c r="N707" s="73"/>
      <c r="O707" s="81" t="s">
        <v>760</v>
      </c>
      <c r="P707" s="81" t="s">
        <v>215</v>
      </c>
      <c r="Q707" s="84" t="s">
        <v>1439</v>
      </c>
      <c r="R707" s="81" t="s">
        <v>675</v>
      </c>
      <c r="S707" s="81" t="s">
        <v>2003</v>
      </c>
      <c r="T707" s="86" t="str">
        <f>HYPERLINK("http://www.youtube.com/channel/UCHKKr8QSIW8l560WdeSw-Fw")</f>
        <v>http://www.youtube.com/channel/UCHKKr8QSIW8l560WdeSw-Fw</v>
      </c>
      <c r="U707" s="81"/>
      <c r="V707" s="81" t="s">
        <v>2324</v>
      </c>
      <c r="W707" s="86" t="str">
        <f>HYPERLINK("https://www.youtube.com/watch?v=fDCXpEe0ciU")</f>
        <v>https://www.youtube.com/watch?v=fDCXpEe0ciU</v>
      </c>
      <c r="X707" s="81" t="s">
        <v>2335</v>
      </c>
      <c r="Y707" s="81">
        <v>3</v>
      </c>
      <c r="Z707" s="81" t="s">
        <v>2680</v>
      </c>
      <c r="AA707" s="81" t="s">
        <v>2680</v>
      </c>
      <c r="AB707" s="81"/>
      <c r="AC707" s="81"/>
      <c r="AD707" s="84" t="s">
        <v>2782</v>
      </c>
      <c r="AE707" s="82">
        <v>1</v>
      </c>
      <c r="AF707" s="83" t="str">
        <f>REPLACE(INDEX(GroupVertices[Group],MATCH(Edges[[#This Row],[Vertex 1]],GroupVertices[Vertex],0)),1,1,"")</f>
        <v>8</v>
      </c>
      <c r="AG707" s="83" t="str">
        <f>REPLACE(INDEX(GroupVertices[Group],MATCH(Edges[[#This Row],[Vertex 2]],GroupVertices[Vertex],0)),1,1,"")</f>
        <v>8</v>
      </c>
      <c r="AH707" s="111">
        <v>2</v>
      </c>
      <c r="AI707" s="112">
        <v>25</v>
      </c>
      <c r="AJ707" s="111">
        <v>0</v>
      </c>
      <c r="AK707" s="112">
        <v>0</v>
      </c>
      <c r="AL707" s="111">
        <v>0</v>
      </c>
      <c r="AM707" s="112">
        <v>0</v>
      </c>
      <c r="AN707" s="111">
        <v>6</v>
      </c>
      <c r="AO707" s="112">
        <v>75</v>
      </c>
      <c r="AP707" s="111">
        <v>8</v>
      </c>
    </row>
    <row r="708" spans="1:42" ht="15">
      <c r="A708" s="65" t="s">
        <v>676</v>
      </c>
      <c r="B708" s="65" t="s">
        <v>757</v>
      </c>
      <c r="C708" s="66" t="s">
        <v>5345</v>
      </c>
      <c r="D708" s="67">
        <v>3</v>
      </c>
      <c r="E708" s="68"/>
      <c r="F708" s="69">
        <v>40</v>
      </c>
      <c r="G708" s="66"/>
      <c r="H708" s="70"/>
      <c r="I708" s="71"/>
      <c r="J708" s="71"/>
      <c r="K708" s="35" t="s">
        <v>65</v>
      </c>
      <c r="L708" s="79">
        <v>708</v>
      </c>
      <c r="M708" s="79"/>
      <c r="N708" s="73"/>
      <c r="O708" s="81" t="s">
        <v>760</v>
      </c>
      <c r="P708" s="81" t="s">
        <v>215</v>
      </c>
      <c r="Q708" s="84" t="s">
        <v>1440</v>
      </c>
      <c r="R708" s="81" t="s">
        <v>676</v>
      </c>
      <c r="S708" s="81" t="s">
        <v>2004</v>
      </c>
      <c r="T708" s="86" t="str">
        <f>HYPERLINK("http://www.youtube.com/channel/UCUmkdKGjFVeTr3lScUidE8A")</f>
        <v>http://www.youtube.com/channel/UCUmkdKGjFVeTr3lScUidE8A</v>
      </c>
      <c r="U708" s="81"/>
      <c r="V708" s="81" t="s">
        <v>2324</v>
      </c>
      <c r="W708" s="86" t="str">
        <f>HYPERLINK("https://www.youtube.com/watch?v=fDCXpEe0ciU")</f>
        <v>https://www.youtube.com/watch?v=fDCXpEe0ciU</v>
      </c>
      <c r="X708" s="81" t="s">
        <v>2335</v>
      </c>
      <c r="Y708" s="81">
        <v>2</v>
      </c>
      <c r="Z708" s="81" t="s">
        <v>2681</v>
      </c>
      <c r="AA708" s="81" t="s">
        <v>2681</v>
      </c>
      <c r="AB708" s="81"/>
      <c r="AC708" s="81"/>
      <c r="AD708" s="84" t="s">
        <v>2782</v>
      </c>
      <c r="AE708" s="82">
        <v>1</v>
      </c>
      <c r="AF708" s="83" t="str">
        <f>REPLACE(INDEX(GroupVertices[Group],MATCH(Edges[[#This Row],[Vertex 1]],GroupVertices[Vertex],0)),1,1,"")</f>
        <v>8</v>
      </c>
      <c r="AG708" s="83" t="str">
        <f>REPLACE(INDEX(GroupVertices[Group],MATCH(Edges[[#This Row],[Vertex 2]],GroupVertices[Vertex],0)),1,1,"")</f>
        <v>8</v>
      </c>
      <c r="AH708" s="111">
        <v>2</v>
      </c>
      <c r="AI708" s="112">
        <v>28.571428571428573</v>
      </c>
      <c r="AJ708" s="111">
        <v>0</v>
      </c>
      <c r="AK708" s="112">
        <v>0</v>
      </c>
      <c r="AL708" s="111">
        <v>0</v>
      </c>
      <c r="AM708" s="112">
        <v>0</v>
      </c>
      <c r="AN708" s="111">
        <v>5</v>
      </c>
      <c r="AO708" s="112">
        <v>71.42857142857143</v>
      </c>
      <c r="AP708" s="111">
        <v>7</v>
      </c>
    </row>
    <row r="709" spans="1:42" ht="15">
      <c r="A709" s="65" t="s">
        <v>677</v>
      </c>
      <c r="B709" s="65" t="s">
        <v>757</v>
      </c>
      <c r="C709" s="66" t="s">
        <v>5345</v>
      </c>
      <c r="D709" s="67">
        <v>3</v>
      </c>
      <c r="E709" s="68"/>
      <c r="F709" s="69">
        <v>40</v>
      </c>
      <c r="G709" s="66"/>
      <c r="H709" s="70"/>
      <c r="I709" s="71"/>
      <c r="J709" s="71"/>
      <c r="K709" s="35" t="s">
        <v>65</v>
      </c>
      <c r="L709" s="79">
        <v>709</v>
      </c>
      <c r="M709" s="79"/>
      <c r="N709" s="73"/>
      <c r="O709" s="81" t="s">
        <v>760</v>
      </c>
      <c r="P709" s="81" t="s">
        <v>215</v>
      </c>
      <c r="Q709" s="84" t="s">
        <v>1441</v>
      </c>
      <c r="R709" s="81" t="s">
        <v>677</v>
      </c>
      <c r="S709" s="81" t="s">
        <v>2005</v>
      </c>
      <c r="T709" s="86" t="str">
        <f>HYPERLINK("http://www.youtube.com/channel/UCha_5G6T3039lCb38VtkDIQ")</f>
        <v>http://www.youtube.com/channel/UCha_5G6T3039lCb38VtkDIQ</v>
      </c>
      <c r="U709" s="81"/>
      <c r="V709" s="81" t="s">
        <v>2324</v>
      </c>
      <c r="W709" s="86" t="str">
        <f>HYPERLINK("https://www.youtube.com/watch?v=fDCXpEe0ciU")</f>
        <v>https://www.youtube.com/watch?v=fDCXpEe0ciU</v>
      </c>
      <c r="X709" s="81" t="s">
        <v>2335</v>
      </c>
      <c r="Y709" s="81">
        <v>2</v>
      </c>
      <c r="Z709" s="81" t="s">
        <v>2682</v>
      </c>
      <c r="AA709" s="81" t="s">
        <v>2682</v>
      </c>
      <c r="AB709" s="81"/>
      <c r="AC709" s="81"/>
      <c r="AD709" s="84" t="s">
        <v>2782</v>
      </c>
      <c r="AE709" s="82">
        <v>1</v>
      </c>
      <c r="AF709" s="83" t="str">
        <f>REPLACE(INDEX(GroupVertices[Group],MATCH(Edges[[#This Row],[Vertex 1]],GroupVertices[Vertex],0)),1,1,"")</f>
        <v>8</v>
      </c>
      <c r="AG709" s="83" t="str">
        <f>REPLACE(INDEX(GroupVertices[Group],MATCH(Edges[[#This Row],[Vertex 2]],GroupVertices[Vertex],0)),1,1,"")</f>
        <v>8</v>
      </c>
      <c r="AH709" s="111">
        <v>1</v>
      </c>
      <c r="AI709" s="112">
        <v>20</v>
      </c>
      <c r="AJ709" s="111">
        <v>0</v>
      </c>
      <c r="AK709" s="112">
        <v>0</v>
      </c>
      <c r="AL709" s="111">
        <v>0</v>
      </c>
      <c r="AM709" s="112">
        <v>0</v>
      </c>
      <c r="AN709" s="111">
        <v>4</v>
      </c>
      <c r="AO709" s="112">
        <v>80</v>
      </c>
      <c r="AP709" s="111">
        <v>5</v>
      </c>
    </row>
    <row r="710" spans="1:42" ht="15">
      <c r="A710" s="65" t="s">
        <v>678</v>
      </c>
      <c r="B710" s="65" t="s">
        <v>757</v>
      </c>
      <c r="C710" s="66" t="s">
        <v>5345</v>
      </c>
      <c r="D710" s="67">
        <v>3</v>
      </c>
      <c r="E710" s="68"/>
      <c r="F710" s="69">
        <v>40</v>
      </c>
      <c r="G710" s="66"/>
      <c r="H710" s="70"/>
      <c r="I710" s="71"/>
      <c r="J710" s="71"/>
      <c r="K710" s="35" t="s">
        <v>65</v>
      </c>
      <c r="L710" s="79">
        <v>710</v>
      </c>
      <c r="M710" s="79"/>
      <c r="N710" s="73"/>
      <c r="O710" s="81" t="s">
        <v>760</v>
      </c>
      <c r="P710" s="81" t="s">
        <v>215</v>
      </c>
      <c r="Q710" s="84" t="s">
        <v>1442</v>
      </c>
      <c r="R710" s="81" t="s">
        <v>678</v>
      </c>
      <c r="S710" s="81" t="s">
        <v>2006</v>
      </c>
      <c r="T710" s="86" t="str">
        <f>HYPERLINK("http://www.youtube.com/channel/UCt0pc4cGojE6o-lNJSZvCfA")</f>
        <v>http://www.youtube.com/channel/UCt0pc4cGojE6o-lNJSZvCfA</v>
      </c>
      <c r="U710" s="81"/>
      <c r="V710" s="81" t="s">
        <v>2324</v>
      </c>
      <c r="W710" s="86" t="str">
        <f>HYPERLINK("https://www.youtube.com/watch?v=fDCXpEe0ciU")</f>
        <v>https://www.youtube.com/watch?v=fDCXpEe0ciU</v>
      </c>
      <c r="X710" s="81" t="s">
        <v>2335</v>
      </c>
      <c r="Y710" s="81">
        <v>2</v>
      </c>
      <c r="Z710" s="81" t="s">
        <v>2683</v>
      </c>
      <c r="AA710" s="81" t="s">
        <v>2683</v>
      </c>
      <c r="AB710" s="81"/>
      <c r="AC710" s="81"/>
      <c r="AD710" s="84" t="s">
        <v>2782</v>
      </c>
      <c r="AE710" s="82">
        <v>1</v>
      </c>
      <c r="AF710" s="83" t="str">
        <f>REPLACE(INDEX(GroupVertices[Group],MATCH(Edges[[#This Row],[Vertex 1]],GroupVertices[Vertex],0)),1,1,"")</f>
        <v>8</v>
      </c>
      <c r="AG710" s="83" t="str">
        <f>REPLACE(INDEX(GroupVertices[Group],MATCH(Edges[[#This Row],[Vertex 2]],GroupVertices[Vertex],0)),1,1,"")</f>
        <v>8</v>
      </c>
      <c r="AH710" s="111">
        <v>0</v>
      </c>
      <c r="AI710" s="112">
        <v>0</v>
      </c>
      <c r="AJ710" s="111">
        <v>0</v>
      </c>
      <c r="AK710" s="112">
        <v>0</v>
      </c>
      <c r="AL710" s="111">
        <v>0</v>
      </c>
      <c r="AM710" s="112">
        <v>0</v>
      </c>
      <c r="AN710" s="111">
        <v>10</v>
      </c>
      <c r="AO710" s="112">
        <v>100</v>
      </c>
      <c r="AP710" s="111">
        <v>10</v>
      </c>
    </row>
    <row r="711" spans="1:42" ht="15">
      <c r="A711" s="65" t="s">
        <v>679</v>
      </c>
      <c r="B711" s="65" t="s">
        <v>757</v>
      </c>
      <c r="C711" s="66" t="s">
        <v>5345</v>
      </c>
      <c r="D711" s="67">
        <v>3</v>
      </c>
      <c r="E711" s="68"/>
      <c r="F711" s="69">
        <v>40</v>
      </c>
      <c r="G711" s="66"/>
      <c r="H711" s="70"/>
      <c r="I711" s="71"/>
      <c r="J711" s="71"/>
      <c r="K711" s="35" t="s">
        <v>65</v>
      </c>
      <c r="L711" s="79">
        <v>711</v>
      </c>
      <c r="M711" s="79"/>
      <c r="N711" s="73"/>
      <c r="O711" s="81" t="s">
        <v>760</v>
      </c>
      <c r="P711" s="81" t="s">
        <v>215</v>
      </c>
      <c r="Q711" s="84" t="s">
        <v>1443</v>
      </c>
      <c r="R711" s="81" t="s">
        <v>679</v>
      </c>
      <c r="S711" s="81" t="s">
        <v>2007</v>
      </c>
      <c r="T711" s="86" t="str">
        <f>HYPERLINK("http://www.youtube.com/channel/UCSNotlkaQzaA1x41XyDEnUQ")</f>
        <v>http://www.youtube.com/channel/UCSNotlkaQzaA1x41XyDEnUQ</v>
      </c>
      <c r="U711" s="81"/>
      <c r="V711" s="81" t="s">
        <v>2324</v>
      </c>
      <c r="W711" s="86" t="str">
        <f>HYPERLINK("https://www.youtube.com/watch?v=fDCXpEe0ciU")</f>
        <v>https://www.youtube.com/watch?v=fDCXpEe0ciU</v>
      </c>
      <c r="X711" s="81" t="s">
        <v>2335</v>
      </c>
      <c r="Y711" s="81">
        <v>2</v>
      </c>
      <c r="Z711" s="81" t="s">
        <v>2684</v>
      </c>
      <c r="AA711" s="81" t="s">
        <v>2684</v>
      </c>
      <c r="AB711" s="81"/>
      <c r="AC711" s="81"/>
      <c r="AD711" s="84" t="s">
        <v>2782</v>
      </c>
      <c r="AE711" s="82">
        <v>1</v>
      </c>
      <c r="AF711" s="83" t="str">
        <f>REPLACE(INDEX(GroupVertices[Group],MATCH(Edges[[#This Row],[Vertex 1]],GroupVertices[Vertex],0)),1,1,"")</f>
        <v>8</v>
      </c>
      <c r="AG711" s="83" t="str">
        <f>REPLACE(INDEX(GroupVertices[Group],MATCH(Edges[[#This Row],[Vertex 2]],GroupVertices[Vertex],0)),1,1,"")</f>
        <v>8</v>
      </c>
      <c r="AH711" s="111">
        <v>1</v>
      </c>
      <c r="AI711" s="112">
        <v>8.333333333333334</v>
      </c>
      <c r="AJ711" s="111">
        <v>0</v>
      </c>
      <c r="AK711" s="112">
        <v>0</v>
      </c>
      <c r="AL711" s="111">
        <v>0</v>
      </c>
      <c r="AM711" s="112">
        <v>0</v>
      </c>
      <c r="AN711" s="111">
        <v>11</v>
      </c>
      <c r="AO711" s="112">
        <v>91.66666666666667</v>
      </c>
      <c r="AP711" s="111">
        <v>12</v>
      </c>
    </row>
    <row r="712" spans="1:42" ht="15">
      <c r="A712" s="65" t="s">
        <v>680</v>
      </c>
      <c r="B712" s="65" t="s">
        <v>757</v>
      </c>
      <c r="C712" s="66" t="s">
        <v>5345</v>
      </c>
      <c r="D712" s="67">
        <v>3</v>
      </c>
      <c r="E712" s="68"/>
      <c r="F712" s="69">
        <v>40</v>
      </c>
      <c r="G712" s="66"/>
      <c r="H712" s="70"/>
      <c r="I712" s="71"/>
      <c r="J712" s="71"/>
      <c r="K712" s="35" t="s">
        <v>65</v>
      </c>
      <c r="L712" s="79">
        <v>712</v>
      </c>
      <c r="M712" s="79"/>
      <c r="N712" s="73"/>
      <c r="O712" s="81" t="s">
        <v>760</v>
      </c>
      <c r="P712" s="81" t="s">
        <v>215</v>
      </c>
      <c r="Q712" s="84" t="s">
        <v>1444</v>
      </c>
      <c r="R712" s="81" t="s">
        <v>680</v>
      </c>
      <c r="S712" s="81" t="s">
        <v>2008</v>
      </c>
      <c r="T712" s="86" t="str">
        <f>HYPERLINK("http://www.youtube.com/channel/UCzBRTGLhzuaB2An2otGPEzA")</f>
        <v>http://www.youtube.com/channel/UCzBRTGLhzuaB2An2otGPEzA</v>
      </c>
      <c r="U712" s="81"/>
      <c r="V712" s="81" t="s">
        <v>2324</v>
      </c>
      <c r="W712" s="86" t="str">
        <f>HYPERLINK("https://www.youtube.com/watch?v=fDCXpEe0ciU")</f>
        <v>https://www.youtube.com/watch?v=fDCXpEe0ciU</v>
      </c>
      <c r="X712" s="81" t="s">
        <v>2335</v>
      </c>
      <c r="Y712" s="81">
        <v>1</v>
      </c>
      <c r="Z712" s="81" t="s">
        <v>2685</v>
      </c>
      <c r="AA712" s="81" t="s">
        <v>2685</v>
      </c>
      <c r="AB712" s="81"/>
      <c r="AC712" s="81"/>
      <c r="AD712" s="84" t="s">
        <v>2782</v>
      </c>
      <c r="AE712" s="82">
        <v>1</v>
      </c>
      <c r="AF712" s="83" t="str">
        <f>REPLACE(INDEX(GroupVertices[Group],MATCH(Edges[[#This Row],[Vertex 1]],GroupVertices[Vertex],0)),1,1,"")</f>
        <v>8</v>
      </c>
      <c r="AG712" s="83" t="str">
        <f>REPLACE(INDEX(GroupVertices[Group],MATCH(Edges[[#This Row],[Vertex 2]],GroupVertices[Vertex],0)),1,1,"")</f>
        <v>8</v>
      </c>
      <c r="AH712" s="111">
        <v>0</v>
      </c>
      <c r="AI712" s="112">
        <v>0</v>
      </c>
      <c r="AJ712" s="111">
        <v>0</v>
      </c>
      <c r="AK712" s="112">
        <v>0</v>
      </c>
      <c r="AL712" s="111">
        <v>0</v>
      </c>
      <c r="AM712" s="112">
        <v>0</v>
      </c>
      <c r="AN712" s="111">
        <v>3</v>
      </c>
      <c r="AO712" s="112">
        <v>100</v>
      </c>
      <c r="AP712" s="111">
        <v>3</v>
      </c>
    </row>
    <row r="713" spans="1:42" ht="15">
      <c r="A713" s="65" t="s">
        <v>681</v>
      </c>
      <c r="B713" s="65" t="s">
        <v>681</v>
      </c>
      <c r="C713" s="66" t="s">
        <v>5345</v>
      </c>
      <c r="D713" s="67">
        <v>3</v>
      </c>
      <c r="E713" s="68"/>
      <c r="F713" s="69">
        <v>40</v>
      </c>
      <c r="G713" s="66"/>
      <c r="H713" s="70"/>
      <c r="I713" s="71"/>
      <c r="J713" s="71"/>
      <c r="K713" s="35" t="s">
        <v>65</v>
      </c>
      <c r="L713" s="79">
        <v>713</v>
      </c>
      <c r="M713" s="79"/>
      <c r="N713" s="73"/>
      <c r="O713" s="81" t="s">
        <v>761</v>
      </c>
      <c r="P713" s="81" t="s">
        <v>763</v>
      </c>
      <c r="Q713" s="84" t="s">
        <v>1445</v>
      </c>
      <c r="R713" s="81" t="s">
        <v>681</v>
      </c>
      <c r="S713" s="81" t="s">
        <v>2009</v>
      </c>
      <c r="T713" s="86" t="str">
        <f>HYPERLINK("http://www.youtube.com/channel/UCt9_kJMwRziGaAUjifzys-Q")</f>
        <v>http://www.youtube.com/channel/UCt9_kJMwRziGaAUjifzys-Q</v>
      </c>
      <c r="U713" s="81" t="s">
        <v>2276</v>
      </c>
      <c r="V713" s="81" t="s">
        <v>2324</v>
      </c>
      <c r="W713" s="86" t="str">
        <f>HYPERLINK("https://www.youtube.com/watch?v=fDCXpEe0ciU")</f>
        <v>https://www.youtube.com/watch?v=fDCXpEe0ciU</v>
      </c>
      <c r="X713" s="81" t="s">
        <v>2335</v>
      </c>
      <c r="Y713" s="81">
        <v>0</v>
      </c>
      <c r="Z713" s="81" t="s">
        <v>2686</v>
      </c>
      <c r="AA713" s="81" t="s">
        <v>2686</v>
      </c>
      <c r="AB713" s="81"/>
      <c r="AC713" s="81"/>
      <c r="AD713" s="84" t="s">
        <v>2782</v>
      </c>
      <c r="AE713" s="82">
        <v>1</v>
      </c>
      <c r="AF713" s="83" t="str">
        <f>REPLACE(INDEX(GroupVertices[Group],MATCH(Edges[[#This Row],[Vertex 1]],GroupVertices[Vertex],0)),1,1,"")</f>
        <v>8</v>
      </c>
      <c r="AG713" s="83" t="str">
        <f>REPLACE(INDEX(GroupVertices[Group],MATCH(Edges[[#This Row],[Vertex 2]],GroupVertices[Vertex],0)),1,1,"")</f>
        <v>8</v>
      </c>
      <c r="AH713" s="111">
        <v>1</v>
      </c>
      <c r="AI713" s="112">
        <v>10</v>
      </c>
      <c r="AJ713" s="111">
        <v>0</v>
      </c>
      <c r="AK713" s="112">
        <v>0</v>
      </c>
      <c r="AL713" s="111">
        <v>0</v>
      </c>
      <c r="AM713" s="112">
        <v>0</v>
      </c>
      <c r="AN713" s="111">
        <v>9</v>
      </c>
      <c r="AO713" s="112">
        <v>90</v>
      </c>
      <c r="AP713" s="111">
        <v>10</v>
      </c>
    </row>
    <row r="714" spans="1:42" ht="15">
      <c r="A714" s="65" t="s">
        <v>681</v>
      </c>
      <c r="B714" s="65" t="s">
        <v>757</v>
      </c>
      <c r="C714" s="66" t="s">
        <v>5345</v>
      </c>
      <c r="D714" s="67">
        <v>3</v>
      </c>
      <c r="E714" s="68"/>
      <c r="F714" s="69">
        <v>40</v>
      </c>
      <c r="G714" s="66"/>
      <c r="H714" s="70"/>
      <c r="I714" s="71"/>
      <c r="J714" s="71"/>
      <c r="K714" s="35" t="s">
        <v>65</v>
      </c>
      <c r="L714" s="79">
        <v>714</v>
      </c>
      <c r="M714" s="79"/>
      <c r="N714" s="73"/>
      <c r="O714" s="81" t="s">
        <v>760</v>
      </c>
      <c r="P714" s="81" t="s">
        <v>215</v>
      </c>
      <c r="Q714" s="84" t="s">
        <v>1446</v>
      </c>
      <c r="R714" s="81" t="s">
        <v>681</v>
      </c>
      <c r="S714" s="81" t="s">
        <v>2009</v>
      </c>
      <c r="T714" s="86" t="str">
        <f>HYPERLINK("http://www.youtube.com/channel/UCt9_kJMwRziGaAUjifzys-Q")</f>
        <v>http://www.youtube.com/channel/UCt9_kJMwRziGaAUjifzys-Q</v>
      </c>
      <c r="U714" s="81"/>
      <c r="V714" s="81" t="s">
        <v>2324</v>
      </c>
      <c r="W714" s="86" t="str">
        <f>HYPERLINK("https://www.youtube.com/watch?v=fDCXpEe0ciU")</f>
        <v>https://www.youtube.com/watch?v=fDCXpEe0ciU</v>
      </c>
      <c r="X714" s="81" t="s">
        <v>2335</v>
      </c>
      <c r="Y714" s="81">
        <v>1</v>
      </c>
      <c r="Z714" s="81" t="s">
        <v>2687</v>
      </c>
      <c r="AA714" s="81" t="s">
        <v>2687</v>
      </c>
      <c r="AB714" s="81"/>
      <c r="AC714" s="81"/>
      <c r="AD714" s="84" t="s">
        <v>2782</v>
      </c>
      <c r="AE714" s="82">
        <v>1</v>
      </c>
      <c r="AF714" s="83" t="str">
        <f>REPLACE(INDEX(GroupVertices[Group],MATCH(Edges[[#This Row],[Vertex 1]],GroupVertices[Vertex],0)),1,1,"")</f>
        <v>8</v>
      </c>
      <c r="AG714" s="83" t="str">
        <f>REPLACE(INDEX(GroupVertices[Group],MATCH(Edges[[#This Row],[Vertex 2]],GroupVertices[Vertex],0)),1,1,"")</f>
        <v>8</v>
      </c>
      <c r="AH714" s="111">
        <v>1</v>
      </c>
      <c r="AI714" s="112">
        <v>3.7037037037037037</v>
      </c>
      <c r="AJ714" s="111">
        <v>0</v>
      </c>
      <c r="AK714" s="112">
        <v>0</v>
      </c>
      <c r="AL714" s="111">
        <v>0</v>
      </c>
      <c r="AM714" s="112">
        <v>0</v>
      </c>
      <c r="AN714" s="111">
        <v>26</v>
      </c>
      <c r="AO714" s="112">
        <v>96.29629629629629</v>
      </c>
      <c r="AP714" s="111">
        <v>27</v>
      </c>
    </row>
    <row r="715" spans="1:42" ht="15">
      <c r="A715" s="65" t="s">
        <v>682</v>
      </c>
      <c r="B715" s="65" t="s">
        <v>757</v>
      </c>
      <c r="C715" s="66" t="s">
        <v>5345</v>
      </c>
      <c r="D715" s="67">
        <v>3</v>
      </c>
      <c r="E715" s="68"/>
      <c r="F715" s="69">
        <v>40</v>
      </c>
      <c r="G715" s="66"/>
      <c r="H715" s="70"/>
      <c r="I715" s="71"/>
      <c r="J715" s="71"/>
      <c r="K715" s="35" t="s">
        <v>65</v>
      </c>
      <c r="L715" s="79">
        <v>715</v>
      </c>
      <c r="M715" s="79"/>
      <c r="N715" s="73"/>
      <c r="O715" s="81" t="s">
        <v>760</v>
      </c>
      <c r="P715" s="81" t="s">
        <v>215</v>
      </c>
      <c r="Q715" s="84" t="s">
        <v>1447</v>
      </c>
      <c r="R715" s="81" t="s">
        <v>682</v>
      </c>
      <c r="S715" s="81" t="s">
        <v>2010</v>
      </c>
      <c r="T715" s="86" t="str">
        <f>HYPERLINK("http://www.youtube.com/channel/UCT-qa7_fRJMIsq4D1XotTrg")</f>
        <v>http://www.youtube.com/channel/UCT-qa7_fRJMIsq4D1XotTrg</v>
      </c>
      <c r="U715" s="81"/>
      <c r="V715" s="81" t="s">
        <v>2324</v>
      </c>
      <c r="W715" s="86" t="str">
        <f>HYPERLINK("https://www.youtube.com/watch?v=fDCXpEe0ciU")</f>
        <v>https://www.youtube.com/watch?v=fDCXpEe0ciU</v>
      </c>
      <c r="X715" s="81" t="s">
        <v>2335</v>
      </c>
      <c r="Y715" s="81">
        <v>3</v>
      </c>
      <c r="Z715" s="81" t="s">
        <v>2688</v>
      </c>
      <c r="AA715" s="81" t="s">
        <v>2688</v>
      </c>
      <c r="AB715" s="81"/>
      <c r="AC715" s="81"/>
      <c r="AD715" s="84" t="s">
        <v>2782</v>
      </c>
      <c r="AE715" s="82">
        <v>1</v>
      </c>
      <c r="AF715" s="83" t="str">
        <f>REPLACE(INDEX(GroupVertices[Group],MATCH(Edges[[#This Row],[Vertex 1]],GroupVertices[Vertex],0)),1,1,"")</f>
        <v>8</v>
      </c>
      <c r="AG715" s="83" t="str">
        <f>REPLACE(INDEX(GroupVertices[Group],MATCH(Edges[[#This Row],[Vertex 2]],GroupVertices[Vertex],0)),1,1,"")</f>
        <v>8</v>
      </c>
      <c r="AH715" s="111">
        <v>0</v>
      </c>
      <c r="AI715" s="112">
        <v>0</v>
      </c>
      <c r="AJ715" s="111">
        <v>0</v>
      </c>
      <c r="AK715" s="112">
        <v>0</v>
      </c>
      <c r="AL715" s="111">
        <v>0</v>
      </c>
      <c r="AM715" s="112">
        <v>0</v>
      </c>
      <c r="AN715" s="111">
        <v>6</v>
      </c>
      <c r="AO715" s="112">
        <v>100</v>
      </c>
      <c r="AP715" s="111">
        <v>6</v>
      </c>
    </row>
    <row r="716" spans="1:42" ht="15">
      <c r="A716" s="65" t="s">
        <v>683</v>
      </c>
      <c r="B716" s="65" t="s">
        <v>757</v>
      </c>
      <c r="C716" s="66" t="s">
        <v>5345</v>
      </c>
      <c r="D716" s="67">
        <v>3</v>
      </c>
      <c r="E716" s="68"/>
      <c r="F716" s="69">
        <v>40</v>
      </c>
      <c r="G716" s="66"/>
      <c r="H716" s="70"/>
      <c r="I716" s="71"/>
      <c r="J716" s="71"/>
      <c r="K716" s="35" t="s">
        <v>65</v>
      </c>
      <c r="L716" s="79">
        <v>716</v>
      </c>
      <c r="M716" s="79"/>
      <c r="N716" s="73"/>
      <c r="O716" s="81" t="s">
        <v>760</v>
      </c>
      <c r="P716" s="81" t="s">
        <v>215</v>
      </c>
      <c r="Q716" s="84" t="s">
        <v>1448</v>
      </c>
      <c r="R716" s="81" t="s">
        <v>683</v>
      </c>
      <c r="S716" s="81" t="s">
        <v>2011</v>
      </c>
      <c r="T716" s="86" t="str">
        <f>HYPERLINK("http://www.youtube.com/channel/UC6V6onFxAmp8XRofFkRKnNw")</f>
        <v>http://www.youtube.com/channel/UC6V6onFxAmp8XRofFkRKnNw</v>
      </c>
      <c r="U716" s="81"/>
      <c r="V716" s="81" t="s">
        <v>2324</v>
      </c>
      <c r="W716" s="86" t="str">
        <f>HYPERLINK("https://www.youtube.com/watch?v=fDCXpEe0ciU")</f>
        <v>https://www.youtube.com/watch?v=fDCXpEe0ciU</v>
      </c>
      <c r="X716" s="81" t="s">
        <v>2335</v>
      </c>
      <c r="Y716" s="81">
        <v>0</v>
      </c>
      <c r="Z716" s="81" t="s">
        <v>2689</v>
      </c>
      <c r="AA716" s="81" t="s">
        <v>2689</v>
      </c>
      <c r="AB716" s="81"/>
      <c r="AC716" s="81"/>
      <c r="AD716" s="84" t="s">
        <v>2782</v>
      </c>
      <c r="AE716" s="82">
        <v>1</v>
      </c>
      <c r="AF716" s="83" t="str">
        <f>REPLACE(INDEX(GroupVertices[Group],MATCH(Edges[[#This Row],[Vertex 1]],GroupVertices[Vertex],0)),1,1,"")</f>
        <v>8</v>
      </c>
      <c r="AG716" s="83" t="str">
        <f>REPLACE(INDEX(GroupVertices[Group],MATCH(Edges[[#This Row],[Vertex 2]],GroupVertices[Vertex],0)),1,1,"")</f>
        <v>8</v>
      </c>
      <c r="AH716" s="111">
        <v>5</v>
      </c>
      <c r="AI716" s="112">
        <v>12.820512820512821</v>
      </c>
      <c r="AJ716" s="111">
        <v>0</v>
      </c>
      <c r="AK716" s="112">
        <v>0</v>
      </c>
      <c r="AL716" s="111">
        <v>0</v>
      </c>
      <c r="AM716" s="112">
        <v>0</v>
      </c>
      <c r="AN716" s="111">
        <v>34</v>
      </c>
      <c r="AO716" s="112">
        <v>87.17948717948718</v>
      </c>
      <c r="AP716" s="111">
        <v>39</v>
      </c>
    </row>
    <row r="717" spans="1:42" ht="15">
      <c r="A717" s="65" t="s">
        <v>684</v>
      </c>
      <c r="B717" s="65" t="s">
        <v>757</v>
      </c>
      <c r="C717" s="66" t="s">
        <v>5345</v>
      </c>
      <c r="D717" s="67">
        <v>3</v>
      </c>
      <c r="E717" s="68"/>
      <c r="F717" s="69">
        <v>40</v>
      </c>
      <c r="G717" s="66"/>
      <c r="H717" s="70"/>
      <c r="I717" s="71"/>
      <c r="J717" s="71"/>
      <c r="K717" s="35" t="s">
        <v>65</v>
      </c>
      <c r="L717" s="79">
        <v>717</v>
      </c>
      <c r="M717" s="79"/>
      <c r="N717" s="73"/>
      <c r="O717" s="81" t="s">
        <v>760</v>
      </c>
      <c r="P717" s="81" t="s">
        <v>215</v>
      </c>
      <c r="Q717" s="84" t="s">
        <v>1449</v>
      </c>
      <c r="R717" s="81" t="s">
        <v>684</v>
      </c>
      <c r="S717" s="81" t="s">
        <v>2012</v>
      </c>
      <c r="T717" s="86" t="str">
        <f>HYPERLINK("http://www.youtube.com/channel/UC0YOJ-_2bsDOXJ7lC7h_opw")</f>
        <v>http://www.youtube.com/channel/UC0YOJ-_2bsDOXJ7lC7h_opw</v>
      </c>
      <c r="U717" s="81"/>
      <c r="V717" s="81" t="s">
        <v>2324</v>
      </c>
      <c r="W717" s="86" t="str">
        <f>HYPERLINK("https://www.youtube.com/watch?v=fDCXpEe0ciU")</f>
        <v>https://www.youtube.com/watch?v=fDCXpEe0ciU</v>
      </c>
      <c r="X717" s="81" t="s">
        <v>2335</v>
      </c>
      <c r="Y717" s="81">
        <v>2</v>
      </c>
      <c r="Z717" s="81" t="s">
        <v>2690</v>
      </c>
      <c r="AA717" s="81" t="s">
        <v>2690</v>
      </c>
      <c r="AB717" s="81"/>
      <c r="AC717" s="81"/>
      <c r="AD717" s="84" t="s">
        <v>2782</v>
      </c>
      <c r="AE717" s="82">
        <v>1</v>
      </c>
      <c r="AF717" s="83" t="str">
        <f>REPLACE(INDEX(GroupVertices[Group],MATCH(Edges[[#This Row],[Vertex 1]],GroupVertices[Vertex],0)),1,1,"")</f>
        <v>8</v>
      </c>
      <c r="AG717" s="83" t="str">
        <f>REPLACE(INDEX(GroupVertices[Group],MATCH(Edges[[#This Row],[Vertex 2]],GroupVertices[Vertex],0)),1,1,"")</f>
        <v>8</v>
      </c>
      <c r="AH717" s="111">
        <v>0</v>
      </c>
      <c r="AI717" s="112">
        <v>0</v>
      </c>
      <c r="AJ717" s="111">
        <v>0</v>
      </c>
      <c r="AK717" s="112">
        <v>0</v>
      </c>
      <c r="AL717" s="111">
        <v>0</v>
      </c>
      <c r="AM717" s="112">
        <v>0</v>
      </c>
      <c r="AN717" s="111">
        <v>14</v>
      </c>
      <c r="AO717" s="112">
        <v>100</v>
      </c>
      <c r="AP717" s="111">
        <v>14</v>
      </c>
    </row>
    <row r="718" spans="1:42" ht="15">
      <c r="A718" s="65" t="s">
        <v>685</v>
      </c>
      <c r="B718" s="65" t="s">
        <v>757</v>
      </c>
      <c r="C718" s="66" t="s">
        <v>5345</v>
      </c>
      <c r="D718" s="67">
        <v>3</v>
      </c>
      <c r="E718" s="68"/>
      <c r="F718" s="69">
        <v>40</v>
      </c>
      <c r="G718" s="66"/>
      <c r="H718" s="70"/>
      <c r="I718" s="71"/>
      <c r="J718" s="71"/>
      <c r="K718" s="35" t="s">
        <v>65</v>
      </c>
      <c r="L718" s="79">
        <v>718</v>
      </c>
      <c r="M718" s="79"/>
      <c r="N718" s="73"/>
      <c r="O718" s="81" t="s">
        <v>760</v>
      </c>
      <c r="P718" s="81" t="s">
        <v>215</v>
      </c>
      <c r="Q718" s="84" t="s">
        <v>1450</v>
      </c>
      <c r="R718" s="81" t="s">
        <v>685</v>
      </c>
      <c r="S718" s="81" t="s">
        <v>2013</v>
      </c>
      <c r="T718" s="86" t="str">
        <f>HYPERLINK("http://www.youtube.com/channel/UCdOO6yFY-o6DMJoLqDke5Jw")</f>
        <v>http://www.youtube.com/channel/UCdOO6yFY-o6DMJoLqDke5Jw</v>
      </c>
      <c r="U718" s="81"/>
      <c r="V718" s="81" t="s">
        <v>2324</v>
      </c>
      <c r="W718" s="86" t="str">
        <f>HYPERLINK("https://www.youtube.com/watch?v=fDCXpEe0ciU")</f>
        <v>https://www.youtube.com/watch?v=fDCXpEe0ciU</v>
      </c>
      <c r="X718" s="81" t="s">
        <v>2335</v>
      </c>
      <c r="Y718" s="81">
        <v>1</v>
      </c>
      <c r="Z718" s="88">
        <v>43802.684328703705</v>
      </c>
      <c r="AA718" s="88">
        <v>43802.684328703705</v>
      </c>
      <c r="AB718" s="81"/>
      <c r="AC718" s="81"/>
      <c r="AD718" s="84" t="s">
        <v>2782</v>
      </c>
      <c r="AE718" s="82">
        <v>1</v>
      </c>
      <c r="AF718" s="83" t="str">
        <f>REPLACE(INDEX(GroupVertices[Group],MATCH(Edges[[#This Row],[Vertex 1]],GroupVertices[Vertex],0)),1,1,"")</f>
        <v>8</v>
      </c>
      <c r="AG718" s="83" t="str">
        <f>REPLACE(INDEX(GroupVertices[Group],MATCH(Edges[[#This Row],[Vertex 2]],GroupVertices[Vertex],0)),1,1,"")</f>
        <v>8</v>
      </c>
      <c r="AH718" s="111">
        <v>2</v>
      </c>
      <c r="AI718" s="112">
        <v>6.25</v>
      </c>
      <c r="AJ718" s="111">
        <v>0</v>
      </c>
      <c r="AK718" s="112">
        <v>0</v>
      </c>
      <c r="AL718" s="111">
        <v>0</v>
      </c>
      <c r="AM718" s="112">
        <v>0</v>
      </c>
      <c r="AN718" s="111">
        <v>30</v>
      </c>
      <c r="AO718" s="112">
        <v>93.75</v>
      </c>
      <c r="AP718" s="111">
        <v>32</v>
      </c>
    </row>
    <row r="719" spans="1:42" ht="15">
      <c r="A719" s="65" t="s">
        <v>686</v>
      </c>
      <c r="B719" s="65" t="s">
        <v>757</v>
      </c>
      <c r="C719" s="66" t="s">
        <v>5345</v>
      </c>
      <c r="D719" s="67">
        <v>3</v>
      </c>
      <c r="E719" s="68"/>
      <c r="F719" s="69">
        <v>40</v>
      </c>
      <c r="G719" s="66"/>
      <c r="H719" s="70"/>
      <c r="I719" s="71"/>
      <c r="J719" s="71"/>
      <c r="K719" s="35" t="s">
        <v>65</v>
      </c>
      <c r="L719" s="79">
        <v>719</v>
      </c>
      <c r="M719" s="79"/>
      <c r="N719" s="73"/>
      <c r="O719" s="81" t="s">
        <v>760</v>
      </c>
      <c r="P719" s="81" t="s">
        <v>215</v>
      </c>
      <c r="Q719" s="84" t="s">
        <v>1451</v>
      </c>
      <c r="R719" s="81" t="s">
        <v>686</v>
      </c>
      <c r="S719" s="81" t="s">
        <v>2014</v>
      </c>
      <c r="T719" s="86" t="str">
        <f>HYPERLINK("http://www.youtube.com/channel/UCIvJ7jMMPaFGOZEvpgGrCSg")</f>
        <v>http://www.youtube.com/channel/UCIvJ7jMMPaFGOZEvpgGrCSg</v>
      </c>
      <c r="U719" s="81"/>
      <c r="V719" s="81" t="s">
        <v>2324</v>
      </c>
      <c r="W719" s="86" t="str">
        <f>HYPERLINK("https://www.youtube.com/watch?v=fDCXpEe0ciU")</f>
        <v>https://www.youtube.com/watch?v=fDCXpEe0ciU</v>
      </c>
      <c r="X719" s="81" t="s">
        <v>2335</v>
      </c>
      <c r="Y719" s="81">
        <v>0</v>
      </c>
      <c r="Z719" s="81" t="s">
        <v>2691</v>
      </c>
      <c r="AA719" s="81" t="s">
        <v>2691</v>
      </c>
      <c r="AB719" s="81"/>
      <c r="AC719" s="81"/>
      <c r="AD719" s="84" t="s">
        <v>2782</v>
      </c>
      <c r="AE719" s="82">
        <v>1</v>
      </c>
      <c r="AF719" s="83" t="str">
        <f>REPLACE(INDEX(GroupVertices[Group],MATCH(Edges[[#This Row],[Vertex 1]],GroupVertices[Vertex],0)),1,1,"")</f>
        <v>8</v>
      </c>
      <c r="AG719" s="83" t="str">
        <f>REPLACE(INDEX(GroupVertices[Group],MATCH(Edges[[#This Row],[Vertex 2]],GroupVertices[Vertex],0)),1,1,"")</f>
        <v>8</v>
      </c>
      <c r="AH719" s="111">
        <v>2</v>
      </c>
      <c r="AI719" s="112">
        <v>7.6923076923076925</v>
      </c>
      <c r="AJ719" s="111">
        <v>0</v>
      </c>
      <c r="AK719" s="112">
        <v>0</v>
      </c>
      <c r="AL719" s="111">
        <v>0</v>
      </c>
      <c r="AM719" s="112">
        <v>0</v>
      </c>
      <c r="AN719" s="111">
        <v>24</v>
      </c>
      <c r="AO719" s="112">
        <v>92.3076923076923</v>
      </c>
      <c r="AP719" s="111">
        <v>26</v>
      </c>
    </row>
    <row r="720" spans="1:42" ht="15">
      <c r="A720" s="65" t="s">
        <v>417</v>
      </c>
      <c r="B720" s="65" t="s">
        <v>687</v>
      </c>
      <c r="C720" s="66" t="s">
        <v>5345</v>
      </c>
      <c r="D720" s="67">
        <v>3</v>
      </c>
      <c r="E720" s="68"/>
      <c r="F720" s="69">
        <v>40</v>
      </c>
      <c r="G720" s="66"/>
      <c r="H720" s="70"/>
      <c r="I720" s="71"/>
      <c r="J720" s="71"/>
      <c r="K720" s="35" t="s">
        <v>66</v>
      </c>
      <c r="L720" s="79">
        <v>720</v>
      </c>
      <c r="M720" s="79"/>
      <c r="N720" s="73"/>
      <c r="O720" s="81" t="s">
        <v>761</v>
      </c>
      <c r="P720" s="81" t="s">
        <v>763</v>
      </c>
      <c r="Q720" s="84" t="s">
        <v>1452</v>
      </c>
      <c r="R720" s="81" t="s">
        <v>417</v>
      </c>
      <c r="S720" s="81" t="s">
        <v>1746</v>
      </c>
      <c r="T720" s="86" t="str">
        <f>HYPERLINK("http://www.youtube.com/channel/UChI-cTok8fJePnryAd0mTvQ")</f>
        <v>http://www.youtube.com/channel/UChI-cTok8fJePnryAd0mTvQ</v>
      </c>
      <c r="U720" s="81" t="s">
        <v>2277</v>
      </c>
      <c r="V720" s="81" t="s">
        <v>2312</v>
      </c>
      <c r="W720" s="86" t="str">
        <f>HYPERLINK("https://www.youtube.com/watch?v=vWMAV6nNPbo")</f>
        <v>https://www.youtube.com/watch?v=vWMAV6nNPbo</v>
      </c>
      <c r="X720" s="81" t="s">
        <v>2335</v>
      </c>
      <c r="Y720" s="81">
        <v>0</v>
      </c>
      <c r="Z720" s="88">
        <v>43656.3825462963</v>
      </c>
      <c r="AA720" s="88">
        <v>43656.3825462963</v>
      </c>
      <c r="AB720" s="81"/>
      <c r="AC720" s="81"/>
      <c r="AD720" s="84" t="s">
        <v>2782</v>
      </c>
      <c r="AE720" s="82">
        <v>1</v>
      </c>
      <c r="AF720" s="83" t="str">
        <f>REPLACE(INDEX(GroupVertices[Group],MATCH(Edges[[#This Row],[Vertex 1]],GroupVertices[Vertex],0)),1,1,"")</f>
        <v>8</v>
      </c>
      <c r="AG720" s="83" t="str">
        <f>REPLACE(INDEX(GroupVertices[Group],MATCH(Edges[[#This Row],[Vertex 2]],GroupVertices[Vertex],0)),1,1,"")</f>
        <v>8</v>
      </c>
      <c r="AH720" s="111">
        <v>1</v>
      </c>
      <c r="AI720" s="112">
        <v>3.5714285714285716</v>
      </c>
      <c r="AJ720" s="111">
        <v>0</v>
      </c>
      <c r="AK720" s="112">
        <v>0</v>
      </c>
      <c r="AL720" s="111">
        <v>0</v>
      </c>
      <c r="AM720" s="112">
        <v>0</v>
      </c>
      <c r="AN720" s="111">
        <v>27</v>
      </c>
      <c r="AO720" s="112">
        <v>96.42857142857143</v>
      </c>
      <c r="AP720" s="111">
        <v>28</v>
      </c>
    </row>
    <row r="721" spans="1:42" ht="15">
      <c r="A721" s="65" t="s">
        <v>687</v>
      </c>
      <c r="B721" s="65" t="s">
        <v>417</v>
      </c>
      <c r="C721" s="66" t="s">
        <v>5345</v>
      </c>
      <c r="D721" s="67">
        <v>3</v>
      </c>
      <c r="E721" s="68"/>
      <c r="F721" s="69">
        <v>40</v>
      </c>
      <c r="G721" s="66"/>
      <c r="H721" s="70"/>
      <c r="I721" s="71"/>
      <c r="J721" s="71"/>
      <c r="K721" s="35" t="s">
        <v>66</v>
      </c>
      <c r="L721" s="79">
        <v>721</v>
      </c>
      <c r="M721" s="79"/>
      <c r="N721" s="73"/>
      <c r="O721" s="81" t="s">
        <v>760</v>
      </c>
      <c r="P721" s="81" t="s">
        <v>215</v>
      </c>
      <c r="Q721" s="84" t="s">
        <v>1453</v>
      </c>
      <c r="R721" s="81" t="s">
        <v>687</v>
      </c>
      <c r="S721" s="81" t="s">
        <v>2015</v>
      </c>
      <c r="T721" s="86" t="str">
        <f>HYPERLINK("http://www.youtube.com/channel/UCMR_8qEieZ8CMqmphUSqiPg")</f>
        <v>http://www.youtube.com/channel/UCMR_8qEieZ8CMqmphUSqiPg</v>
      </c>
      <c r="U721" s="81"/>
      <c r="V721" s="81" t="s">
        <v>2312</v>
      </c>
      <c r="W721" s="86" t="str">
        <f>HYPERLINK("https://www.youtube.com/watch?v=vWMAV6nNPbo")</f>
        <v>https://www.youtube.com/watch?v=vWMAV6nNPbo</v>
      </c>
      <c r="X721" s="81" t="s">
        <v>2335</v>
      </c>
      <c r="Y721" s="81">
        <v>1</v>
      </c>
      <c r="Z721" s="88">
        <v>43626.412766203706</v>
      </c>
      <c r="AA721" s="88">
        <v>43626.412766203706</v>
      </c>
      <c r="AB721" s="81"/>
      <c r="AC721" s="81"/>
      <c r="AD721" s="84" t="s">
        <v>2782</v>
      </c>
      <c r="AE721" s="82">
        <v>1</v>
      </c>
      <c r="AF721" s="83" t="str">
        <f>REPLACE(INDEX(GroupVertices[Group],MATCH(Edges[[#This Row],[Vertex 1]],GroupVertices[Vertex],0)),1,1,"")</f>
        <v>8</v>
      </c>
      <c r="AG721" s="83" t="str">
        <f>REPLACE(INDEX(GroupVertices[Group],MATCH(Edges[[#This Row],[Vertex 2]],GroupVertices[Vertex],0)),1,1,"")</f>
        <v>8</v>
      </c>
      <c r="AH721" s="111">
        <v>1</v>
      </c>
      <c r="AI721" s="112">
        <v>4.761904761904762</v>
      </c>
      <c r="AJ721" s="111">
        <v>0</v>
      </c>
      <c r="AK721" s="112">
        <v>0</v>
      </c>
      <c r="AL721" s="111">
        <v>0</v>
      </c>
      <c r="AM721" s="112">
        <v>0</v>
      </c>
      <c r="AN721" s="111">
        <v>20</v>
      </c>
      <c r="AO721" s="112">
        <v>95.23809523809524</v>
      </c>
      <c r="AP721" s="111">
        <v>21</v>
      </c>
    </row>
    <row r="722" spans="1:42" ht="15">
      <c r="A722" s="65" t="s">
        <v>687</v>
      </c>
      <c r="B722" s="65" t="s">
        <v>757</v>
      </c>
      <c r="C722" s="66" t="s">
        <v>5345</v>
      </c>
      <c r="D722" s="67">
        <v>3</v>
      </c>
      <c r="E722" s="68"/>
      <c r="F722" s="69">
        <v>40</v>
      </c>
      <c r="G722" s="66"/>
      <c r="H722" s="70"/>
      <c r="I722" s="71"/>
      <c r="J722" s="71"/>
      <c r="K722" s="35" t="s">
        <v>65</v>
      </c>
      <c r="L722" s="79">
        <v>722</v>
      </c>
      <c r="M722" s="79"/>
      <c r="N722" s="73"/>
      <c r="O722" s="81" t="s">
        <v>760</v>
      </c>
      <c r="P722" s="81" t="s">
        <v>215</v>
      </c>
      <c r="Q722" s="84" t="s">
        <v>1454</v>
      </c>
      <c r="R722" s="81" t="s">
        <v>687</v>
      </c>
      <c r="S722" s="81" t="s">
        <v>2015</v>
      </c>
      <c r="T722" s="86" t="str">
        <f>HYPERLINK("http://www.youtube.com/channel/UCMR_8qEieZ8CMqmphUSqiPg")</f>
        <v>http://www.youtube.com/channel/UCMR_8qEieZ8CMqmphUSqiPg</v>
      </c>
      <c r="U722" s="81"/>
      <c r="V722" s="81" t="s">
        <v>2324</v>
      </c>
      <c r="W722" s="86" t="str">
        <f>HYPERLINK("https://www.youtube.com/watch?v=fDCXpEe0ciU")</f>
        <v>https://www.youtube.com/watch?v=fDCXpEe0ciU</v>
      </c>
      <c r="X722" s="81" t="s">
        <v>2335</v>
      </c>
      <c r="Y722" s="81">
        <v>0</v>
      </c>
      <c r="Z722" s="88">
        <v>43626.84675925926</v>
      </c>
      <c r="AA722" s="88">
        <v>43626.84675925926</v>
      </c>
      <c r="AB722" s="81"/>
      <c r="AC722" s="81"/>
      <c r="AD722" s="84" t="s">
        <v>2782</v>
      </c>
      <c r="AE722" s="82">
        <v>1</v>
      </c>
      <c r="AF722" s="83" t="str">
        <f>REPLACE(INDEX(GroupVertices[Group],MATCH(Edges[[#This Row],[Vertex 1]],GroupVertices[Vertex],0)),1,1,"")</f>
        <v>8</v>
      </c>
      <c r="AG722" s="83" t="str">
        <f>REPLACE(INDEX(GroupVertices[Group],MATCH(Edges[[#This Row],[Vertex 2]],GroupVertices[Vertex],0)),1,1,"")</f>
        <v>8</v>
      </c>
      <c r="AH722" s="111">
        <v>0</v>
      </c>
      <c r="AI722" s="112">
        <v>0</v>
      </c>
      <c r="AJ722" s="111">
        <v>0</v>
      </c>
      <c r="AK722" s="112">
        <v>0</v>
      </c>
      <c r="AL722" s="111">
        <v>0</v>
      </c>
      <c r="AM722" s="112">
        <v>0</v>
      </c>
      <c r="AN722" s="111">
        <v>4</v>
      </c>
      <c r="AO722" s="112">
        <v>100</v>
      </c>
      <c r="AP722" s="111">
        <v>4</v>
      </c>
    </row>
    <row r="723" spans="1:42" ht="15">
      <c r="A723" s="65" t="s">
        <v>688</v>
      </c>
      <c r="B723" s="65" t="s">
        <v>757</v>
      </c>
      <c r="C723" s="66" t="s">
        <v>5345</v>
      </c>
      <c r="D723" s="67">
        <v>3</v>
      </c>
      <c r="E723" s="68"/>
      <c r="F723" s="69">
        <v>40</v>
      </c>
      <c r="G723" s="66"/>
      <c r="H723" s="70"/>
      <c r="I723" s="71"/>
      <c r="J723" s="71"/>
      <c r="K723" s="35" t="s">
        <v>65</v>
      </c>
      <c r="L723" s="79">
        <v>723</v>
      </c>
      <c r="M723" s="79"/>
      <c r="N723" s="73"/>
      <c r="O723" s="81" t="s">
        <v>760</v>
      </c>
      <c r="P723" s="81" t="s">
        <v>215</v>
      </c>
      <c r="Q723" s="84" t="s">
        <v>1455</v>
      </c>
      <c r="R723" s="81" t="s">
        <v>688</v>
      </c>
      <c r="S723" s="81" t="s">
        <v>2016</v>
      </c>
      <c r="T723" s="86" t="str">
        <f>HYPERLINK("http://www.youtube.com/channel/UCher9JyWJFRd5X3UrUYfmQQ")</f>
        <v>http://www.youtube.com/channel/UCher9JyWJFRd5X3UrUYfmQQ</v>
      </c>
      <c r="U723" s="81"/>
      <c r="V723" s="81" t="s">
        <v>2324</v>
      </c>
      <c r="W723" s="86" t="str">
        <f>HYPERLINK("https://www.youtube.com/watch?v=fDCXpEe0ciU")</f>
        <v>https://www.youtube.com/watch?v=fDCXpEe0ciU</v>
      </c>
      <c r="X723" s="81" t="s">
        <v>2335</v>
      </c>
      <c r="Y723" s="81">
        <v>0</v>
      </c>
      <c r="Z723" s="81" t="s">
        <v>2692</v>
      </c>
      <c r="AA723" s="81" t="s">
        <v>2692</v>
      </c>
      <c r="AB723" s="81"/>
      <c r="AC723" s="81"/>
      <c r="AD723" s="84" t="s">
        <v>2782</v>
      </c>
      <c r="AE723" s="82">
        <v>1</v>
      </c>
      <c r="AF723" s="83" t="str">
        <f>REPLACE(INDEX(GroupVertices[Group],MATCH(Edges[[#This Row],[Vertex 1]],GroupVertices[Vertex],0)),1,1,"")</f>
        <v>8</v>
      </c>
      <c r="AG723" s="83" t="str">
        <f>REPLACE(INDEX(GroupVertices[Group],MATCH(Edges[[#This Row],[Vertex 2]],GroupVertices[Vertex],0)),1,1,"")</f>
        <v>8</v>
      </c>
      <c r="AH723" s="111">
        <v>0</v>
      </c>
      <c r="AI723" s="112">
        <v>0</v>
      </c>
      <c r="AJ723" s="111">
        <v>0</v>
      </c>
      <c r="AK723" s="112">
        <v>0</v>
      </c>
      <c r="AL723" s="111">
        <v>0</v>
      </c>
      <c r="AM723" s="112">
        <v>0</v>
      </c>
      <c r="AN723" s="111">
        <v>7</v>
      </c>
      <c r="AO723" s="112">
        <v>100</v>
      </c>
      <c r="AP723" s="111">
        <v>7</v>
      </c>
    </row>
    <row r="724" spans="1:42" ht="15">
      <c r="A724" s="65" t="s">
        <v>689</v>
      </c>
      <c r="B724" s="65" t="s">
        <v>759</v>
      </c>
      <c r="C724" s="66" t="s">
        <v>5345</v>
      </c>
      <c r="D724" s="67">
        <v>3</v>
      </c>
      <c r="E724" s="68"/>
      <c r="F724" s="69">
        <v>40</v>
      </c>
      <c r="G724" s="66"/>
      <c r="H724" s="70"/>
      <c r="I724" s="71"/>
      <c r="J724" s="71"/>
      <c r="K724" s="35" t="s">
        <v>65</v>
      </c>
      <c r="L724" s="79">
        <v>724</v>
      </c>
      <c r="M724" s="79"/>
      <c r="N724" s="73"/>
      <c r="O724" s="81" t="s">
        <v>760</v>
      </c>
      <c r="P724" s="81" t="s">
        <v>215</v>
      </c>
      <c r="Q724" s="84" t="s">
        <v>1456</v>
      </c>
      <c r="R724" s="81" t="s">
        <v>689</v>
      </c>
      <c r="S724" s="81" t="s">
        <v>2017</v>
      </c>
      <c r="T724" s="86" t="str">
        <f>HYPERLINK("http://www.youtube.com/channel/UCGkozyEjUc_w8RpzsqsleUg")</f>
        <v>http://www.youtube.com/channel/UCGkozyEjUc_w8RpzsqsleUg</v>
      </c>
      <c r="U724" s="81"/>
      <c r="V724" s="81" t="s">
        <v>2325</v>
      </c>
      <c r="W724" s="86" t="str">
        <f>HYPERLINK("https://www.youtube.com/watch?v=P84KQT_Se70")</f>
        <v>https://www.youtube.com/watch?v=P84KQT_Se70</v>
      </c>
      <c r="X724" s="81" t="s">
        <v>2335</v>
      </c>
      <c r="Y724" s="81">
        <v>0</v>
      </c>
      <c r="Z724" s="81" t="s">
        <v>2693</v>
      </c>
      <c r="AA724" s="81" t="s">
        <v>2693</v>
      </c>
      <c r="AB724" s="81"/>
      <c r="AC724" s="81"/>
      <c r="AD724" s="84" t="s">
        <v>2782</v>
      </c>
      <c r="AE724" s="82">
        <v>1</v>
      </c>
      <c r="AF724" s="83" t="str">
        <f>REPLACE(INDEX(GroupVertices[Group],MATCH(Edges[[#This Row],[Vertex 1]],GroupVertices[Vertex],0)),1,1,"")</f>
        <v>11</v>
      </c>
      <c r="AG724" s="83" t="str">
        <f>REPLACE(INDEX(GroupVertices[Group],MATCH(Edges[[#This Row],[Vertex 2]],GroupVertices[Vertex],0)),1,1,"")</f>
        <v>11</v>
      </c>
      <c r="AH724" s="111">
        <v>1</v>
      </c>
      <c r="AI724" s="112">
        <v>33.333333333333336</v>
      </c>
      <c r="AJ724" s="111">
        <v>0</v>
      </c>
      <c r="AK724" s="112">
        <v>0</v>
      </c>
      <c r="AL724" s="111">
        <v>0</v>
      </c>
      <c r="AM724" s="112">
        <v>0</v>
      </c>
      <c r="AN724" s="111">
        <v>2</v>
      </c>
      <c r="AO724" s="112">
        <v>66.66666666666667</v>
      </c>
      <c r="AP724" s="111">
        <v>3</v>
      </c>
    </row>
    <row r="725" spans="1:42" ht="15">
      <c r="A725" s="65" t="s">
        <v>690</v>
      </c>
      <c r="B725" s="65" t="s">
        <v>759</v>
      </c>
      <c r="C725" s="66" t="s">
        <v>5345</v>
      </c>
      <c r="D725" s="67">
        <v>3</v>
      </c>
      <c r="E725" s="68"/>
      <c r="F725" s="69">
        <v>40</v>
      </c>
      <c r="G725" s="66"/>
      <c r="H725" s="70"/>
      <c r="I725" s="71"/>
      <c r="J725" s="71"/>
      <c r="K725" s="35" t="s">
        <v>65</v>
      </c>
      <c r="L725" s="79">
        <v>725</v>
      </c>
      <c r="M725" s="79"/>
      <c r="N725" s="73"/>
      <c r="O725" s="81" t="s">
        <v>760</v>
      </c>
      <c r="P725" s="81" t="s">
        <v>215</v>
      </c>
      <c r="Q725" s="84" t="s">
        <v>1457</v>
      </c>
      <c r="R725" s="81" t="s">
        <v>690</v>
      </c>
      <c r="S725" s="81" t="s">
        <v>2018</v>
      </c>
      <c r="T725" s="86" t="str">
        <f>HYPERLINK("http://www.youtube.com/channel/UCcFE3tvK7gzDEaZsGLlUAzg")</f>
        <v>http://www.youtube.com/channel/UCcFE3tvK7gzDEaZsGLlUAzg</v>
      </c>
      <c r="U725" s="81"/>
      <c r="V725" s="81" t="s">
        <v>2325</v>
      </c>
      <c r="W725" s="86" t="str">
        <f>HYPERLINK("https://www.youtube.com/watch?v=P84KQT_Se70")</f>
        <v>https://www.youtube.com/watch?v=P84KQT_Se70</v>
      </c>
      <c r="X725" s="81" t="s">
        <v>2335</v>
      </c>
      <c r="Y725" s="81">
        <v>0</v>
      </c>
      <c r="Z725" s="81" t="s">
        <v>2694</v>
      </c>
      <c r="AA725" s="81" t="s">
        <v>2694</v>
      </c>
      <c r="AB725" s="81"/>
      <c r="AC725" s="81"/>
      <c r="AD725" s="84" t="s">
        <v>2782</v>
      </c>
      <c r="AE725" s="82">
        <v>1</v>
      </c>
      <c r="AF725" s="83" t="str">
        <f>REPLACE(INDEX(GroupVertices[Group],MATCH(Edges[[#This Row],[Vertex 1]],GroupVertices[Vertex],0)),1,1,"")</f>
        <v>11</v>
      </c>
      <c r="AG725" s="83" t="str">
        <f>REPLACE(INDEX(GroupVertices[Group],MATCH(Edges[[#This Row],[Vertex 2]],GroupVertices[Vertex],0)),1,1,"")</f>
        <v>11</v>
      </c>
      <c r="AH725" s="111">
        <v>1</v>
      </c>
      <c r="AI725" s="112">
        <v>33.333333333333336</v>
      </c>
      <c r="AJ725" s="111">
        <v>0</v>
      </c>
      <c r="AK725" s="112">
        <v>0</v>
      </c>
      <c r="AL725" s="111">
        <v>0</v>
      </c>
      <c r="AM725" s="112">
        <v>0</v>
      </c>
      <c r="AN725" s="111">
        <v>2</v>
      </c>
      <c r="AO725" s="112">
        <v>66.66666666666667</v>
      </c>
      <c r="AP725" s="111">
        <v>3</v>
      </c>
    </row>
    <row r="726" spans="1:42" ht="15">
      <c r="A726" s="65" t="s">
        <v>691</v>
      </c>
      <c r="B726" s="65" t="s">
        <v>759</v>
      </c>
      <c r="C726" s="66" t="s">
        <v>5345</v>
      </c>
      <c r="D726" s="67">
        <v>3</v>
      </c>
      <c r="E726" s="68"/>
      <c r="F726" s="69">
        <v>40</v>
      </c>
      <c r="G726" s="66"/>
      <c r="H726" s="70"/>
      <c r="I726" s="71"/>
      <c r="J726" s="71"/>
      <c r="K726" s="35" t="s">
        <v>65</v>
      </c>
      <c r="L726" s="79">
        <v>726</v>
      </c>
      <c r="M726" s="79"/>
      <c r="N726" s="73"/>
      <c r="O726" s="81" t="s">
        <v>760</v>
      </c>
      <c r="P726" s="81" t="s">
        <v>215</v>
      </c>
      <c r="Q726" s="84" t="s">
        <v>1458</v>
      </c>
      <c r="R726" s="81" t="s">
        <v>691</v>
      </c>
      <c r="S726" s="81" t="s">
        <v>2019</v>
      </c>
      <c r="T726" s="86" t="str">
        <f>HYPERLINK("http://www.youtube.com/channel/UCp7C06qiG6_fhDsvuqgmnYw")</f>
        <v>http://www.youtube.com/channel/UCp7C06qiG6_fhDsvuqgmnYw</v>
      </c>
      <c r="U726" s="81"/>
      <c r="V726" s="81" t="s">
        <v>2325</v>
      </c>
      <c r="W726" s="86" t="str">
        <f>HYPERLINK("https://www.youtube.com/watch?v=P84KQT_Se70")</f>
        <v>https://www.youtube.com/watch?v=P84KQT_Se70</v>
      </c>
      <c r="X726" s="81" t="s">
        <v>2335</v>
      </c>
      <c r="Y726" s="81">
        <v>0</v>
      </c>
      <c r="Z726" s="81" t="s">
        <v>2695</v>
      </c>
      <c r="AA726" s="81" t="s">
        <v>2695</v>
      </c>
      <c r="AB726" s="81"/>
      <c r="AC726" s="81"/>
      <c r="AD726" s="84" t="s">
        <v>2782</v>
      </c>
      <c r="AE726" s="82">
        <v>1</v>
      </c>
      <c r="AF726" s="83" t="str">
        <f>REPLACE(INDEX(GroupVertices[Group],MATCH(Edges[[#This Row],[Vertex 1]],GroupVertices[Vertex],0)),1,1,"")</f>
        <v>11</v>
      </c>
      <c r="AG726" s="83" t="str">
        <f>REPLACE(INDEX(GroupVertices[Group],MATCH(Edges[[#This Row],[Vertex 2]],GroupVertices[Vertex],0)),1,1,"")</f>
        <v>11</v>
      </c>
      <c r="AH726" s="111">
        <v>1</v>
      </c>
      <c r="AI726" s="112">
        <v>33.333333333333336</v>
      </c>
      <c r="AJ726" s="111">
        <v>0</v>
      </c>
      <c r="AK726" s="112">
        <v>0</v>
      </c>
      <c r="AL726" s="111">
        <v>0</v>
      </c>
      <c r="AM726" s="112">
        <v>0</v>
      </c>
      <c r="AN726" s="111">
        <v>2</v>
      </c>
      <c r="AO726" s="112">
        <v>66.66666666666667</v>
      </c>
      <c r="AP726" s="111">
        <v>3</v>
      </c>
    </row>
    <row r="727" spans="1:42" ht="15">
      <c r="A727" s="65" t="s">
        <v>692</v>
      </c>
      <c r="B727" s="65" t="s">
        <v>759</v>
      </c>
      <c r="C727" s="66" t="s">
        <v>5345</v>
      </c>
      <c r="D727" s="67">
        <v>3</v>
      </c>
      <c r="E727" s="68"/>
      <c r="F727" s="69">
        <v>40</v>
      </c>
      <c r="G727" s="66"/>
      <c r="H727" s="70"/>
      <c r="I727" s="71"/>
      <c r="J727" s="71"/>
      <c r="K727" s="35" t="s">
        <v>65</v>
      </c>
      <c r="L727" s="79">
        <v>727</v>
      </c>
      <c r="M727" s="79"/>
      <c r="N727" s="73"/>
      <c r="O727" s="81" t="s">
        <v>760</v>
      </c>
      <c r="P727" s="81" t="s">
        <v>215</v>
      </c>
      <c r="Q727" s="84" t="s">
        <v>1459</v>
      </c>
      <c r="R727" s="81" t="s">
        <v>692</v>
      </c>
      <c r="S727" s="81" t="s">
        <v>2020</v>
      </c>
      <c r="T727" s="86" t="str">
        <f>HYPERLINK("http://www.youtube.com/channel/UC_ssXPpFCubgiNe2sNVmbgA")</f>
        <v>http://www.youtube.com/channel/UC_ssXPpFCubgiNe2sNVmbgA</v>
      </c>
      <c r="U727" s="81"/>
      <c r="V727" s="81" t="s">
        <v>2325</v>
      </c>
      <c r="W727" s="86" t="str">
        <f>HYPERLINK("https://www.youtube.com/watch?v=P84KQT_Se70")</f>
        <v>https://www.youtube.com/watch?v=P84KQT_Se70</v>
      </c>
      <c r="X727" s="81" t="s">
        <v>2335</v>
      </c>
      <c r="Y727" s="81">
        <v>0</v>
      </c>
      <c r="Z727" s="81" t="s">
        <v>2696</v>
      </c>
      <c r="AA727" s="81" t="s">
        <v>2696</v>
      </c>
      <c r="AB727" s="81"/>
      <c r="AC727" s="81"/>
      <c r="AD727" s="84" t="s">
        <v>2782</v>
      </c>
      <c r="AE727" s="82">
        <v>1</v>
      </c>
      <c r="AF727" s="83" t="str">
        <f>REPLACE(INDEX(GroupVertices[Group],MATCH(Edges[[#This Row],[Vertex 1]],GroupVertices[Vertex],0)),1,1,"")</f>
        <v>11</v>
      </c>
      <c r="AG727" s="83" t="str">
        <f>REPLACE(INDEX(GroupVertices[Group],MATCH(Edges[[#This Row],[Vertex 2]],GroupVertices[Vertex],0)),1,1,"")</f>
        <v>11</v>
      </c>
      <c r="AH727" s="111">
        <v>0</v>
      </c>
      <c r="AI727" s="112">
        <v>0</v>
      </c>
      <c r="AJ727" s="111">
        <v>0</v>
      </c>
      <c r="AK727" s="112">
        <v>0</v>
      </c>
      <c r="AL727" s="111">
        <v>0</v>
      </c>
      <c r="AM727" s="112">
        <v>0</v>
      </c>
      <c r="AN727" s="111">
        <v>17</v>
      </c>
      <c r="AO727" s="112">
        <v>100</v>
      </c>
      <c r="AP727" s="111">
        <v>17</v>
      </c>
    </row>
    <row r="728" spans="1:42" ht="15">
      <c r="A728" s="65" t="s">
        <v>693</v>
      </c>
      <c r="B728" s="65" t="s">
        <v>759</v>
      </c>
      <c r="C728" s="66" t="s">
        <v>5345</v>
      </c>
      <c r="D728" s="67">
        <v>3</v>
      </c>
      <c r="E728" s="68"/>
      <c r="F728" s="69">
        <v>40</v>
      </c>
      <c r="G728" s="66"/>
      <c r="H728" s="70"/>
      <c r="I728" s="71"/>
      <c r="J728" s="71"/>
      <c r="K728" s="35" t="s">
        <v>65</v>
      </c>
      <c r="L728" s="79">
        <v>728</v>
      </c>
      <c r="M728" s="79"/>
      <c r="N728" s="73"/>
      <c r="O728" s="81" t="s">
        <v>760</v>
      </c>
      <c r="P728" s="81" t="s">
        <v>215</v>
      </c>
      <c r="Q728" s="84" t="s">
        <v>1460</v>
      </c>
      <c r="R728" s="81" t="s">
        <v>693</v>
      </c>
      <c r="S728" s="81" t="s">
        <v>2021</v>
      </c>
      <c r="T728" s="86" t="str">
        <f>HYPERLINK("http://www.youtube.com/channel/UCtJqZ6cw2RjcEMLQhUx8c7A")</f>
        <v>http://www.youtube.com/channel/UCtJqZ6cw2RjcEMLQhUx8c7A</v>
      </c>
      <c r="U728" s="81"/>
      <c r="V728" s="81" t="s">
        <v>2325</v>
      </c>
      <c r="W728" s="86" t="str">
        <f>HYPERLINK("https://www.youtube.com/watch?v=P84KQT_Se70")</f>
        <v>https://www.youtube.com/watch?v=P84KQT_Se70</v>
      </c>
      <c r="X728" s="81" t="s">
        <v>2335</v>
      </c>
      <c r="Y728" s="81">
        <v>0</v>
      </c>
      <c r="Z728" s="81" t="s">
        <v>2697</v>
      </c>
      <c r="AA728" s="81" t="s">
        <v>2697</v>
      </c>
      <c r="AB728" s="81"/>
      <c r="AC728" s="81"/>
      <c r="AD728" s="84" t="s">
        <v>2782</v>
      </c>
      <c r="AE728" s="82">
        <v>1</v>
      </c>
      <c r="AF728" s="83" t="str">
        <f>REPLACE(INDEX(GroupVertices[Group],MATCH(Edges[[#This Row],[Vertex 1]],GroupVertices[Vertex],0)),1,1,"")</f>
        <v>11</v>
      </c>
      <c r="AG728" s="83" t="str">
        <f>REPLACE(INDEX(GroupVertices[Group],MATCH(Edges[[#This Row],[Vertex 2]],GroupVertices[Vertex],0)),1,1,"")</f>
        <v>11</v>
      </c>
      <c r="AH728" s="111">
        <v>2</v>
      </c>
      <c r="AI728" s="112">
        <v>66.66666666666667</v>
      </c>
      <c r="AJ728" s="111">
        <v>0</v>
      </c>
      <c r="AK728" s="112">
        <v>0</v>
      </c>
      <c r="AL728" s="111">
        <v>0</v>
      </c>
      <c r="AM728" s="112">
        <v>0</v>
      </c>
      <c r="AN728" s="111">
        <v>1</v>
      </c>
      <c r="AO728" s="112">
        <v>33.333333333333336</v>
      </c>
      <c r="AP728" s="111">
        <v>3</v>
      </c>
    </row>
    <row r="729" spans="1:42" ht="15">
      <c r="A729" s="65" t="s">
        <v>694</v>
      </c>
      <c r="B729" s="65" t="s">
        <v>759</v>
      </c>
      <c r="C729" s="66" t="s">
        <v>5345</v>
      </c>
      <c r="D729" s="67">
        <v>3</v>
      </c>
      <c r="E729" s="68"/>
      <c r="F729" s="69">
        <v>40</v>
      </c>
      <c r="G729" s="66"/>
      <c r="H729" s="70"/>
      <c r="I729" s="71"/>
      <c r="J729" s="71"/>
      <c r="K729" s="35" t="s">
        <v>65</v>
      </c>
      <c r="L729" s="79">
        <v>729</v>
      </c>
      <c r="M729" s="79"/>
      <c r="N729" s="73"/>
      <c r="O729" s="81" t="s">
        <v>760</v>
      </c>
      <c r="P729" s="81" t="s">
        <v>215</v>
      </c>
      <c r="Q729" s="84" t="s">
        <v>1461</v>
      </c>
      <c r="R729" s="81" t="s">
        <v>694</v>
      </c>
      <c r="S729" s="81" t="s">
        <v>2022</v>
      </c>
      <c r="T729" s="86" t="str">
        <f>HYPERLINK("http://www.youtube.com/channel/UCnPQib0Kk0VCIRF6wl_JHTA")</f>
        <v>http://www.youtube.com/channel/UCnPQib0Kk0VCIRF6wl_JHTA</v>
      </c>
      <c r="U729" s="81"/>
      <c r="V729" s="81" t="s">
        <v>2325</v>
      </c>
      <c r="W729" s="86" t="str">
        <f>HYPERLINK("https://www.youtube.com/watch?v=P84KQT_Se70")</f>
        <v>https://www.youtube.com/watch?v=P84KQT_Se70</v>
      </c>
      <c r="X729" s="81" t="s">
        <v>2335</v>
      </c>
      <c r="Y729" s="81">
        <v>0</v>
      </c>
      <c r="Z729" s="81" t="s">
        <v>2698</v>
      </c>
      <c r="AA729" s="81" t="s">
        <v>2757</v>
      </c>
      <c r="AB729" s="81"/>
      <c r="AC729" s="81"/>
      <c r="AD729" s="84" t="s">
        <v>2782</v>
      </c>
      <c r="AE729" s="82">
        <v>1</v>
      </c>
      <c r="AF729" s="83" t="str">
        <f>REPLACE(INDEX(GroupVertices[Group],MATCH(Edges[[#This Row],[Vertex 1]],GroupVertices[Vertex],0)),1,1,"")</f>
        <v>11</v>
      </c>
      <c r="AG729" s="83" t="str">
        <f>REPLACE(INDEX(GroupVertices[Group],MATCH(Edges[[#This Row],[Vertex 2]],GroupVertices[Vertex],0)),1,1,"")</f>
        <v>11</v>
      </c>
      <c r="AH729" s="111">
        <v>2</v>
      </c>
      <c r="AI729" s="112">
        <v>50</v>
      </c>
      <c r="AJ729" s="111">
        <v>0</v>
      </c>
      <c r="AK729" s="112">
        <v>0</v>
      </c>
      <c r="AL729" s="111">
        <v>0</v>
      </c>
      <c r="AM729" s="112">
        <v>0</v>
      </c>
      <c r="AN729" s="111">
        <v>2</v>
      </c>
      <c r="AO729" s="112">
        <v>50</v>
      </c>
      <c r="AP729" s="111">
        <v>4</v>
      </c>
    </row>
    <row r="730" spans="1:42" ht="15">
      <c r="A730" s="65" t="s">
        <v>695</v>
      </c>
      <c r="B730" s="65" t="s">
        <v>759</v>
      </c>
      <c r="C730" s="66" t="s">
        <v>5345</v>
      </c>
      <c r="D730" s="67">
        <v>3</v>
      </c>
      <c r="E730" s="68"/>
      <c r="F730" s="69">
        <v>40</v>
      </c>
      <c r="G730" s="66"/>
      <c r="H730" s="70"/>
      <c r="I730" s="71"/>
      <c r="J730" s="71"/>
      <c r="K730" s="35" t="s">
        <v>65</v>
      </c>
      <c r="L730" s="79">
        <v>730</v>
      </c>
      <c r="M730" s="79"/>
      <c r="N730" s="73"/>
      <c r="O730" s="81" t="s">
        <v>760</v>
      </c>
      <c r="P730" s="81" t="s">
        <v>215</v>
      </c>
      <c r="Q730" s="84" t="s">
        <v>1462</v>
      </c>
      <c r="R730" s="81" t="s">
        <v>695</v>
      </c>
      <c r="S730" s="81" t="s">
        <v>2023</v>
      </c>
      <c r="T730" s="86" t="str">
        <f>HYPERLINK("http://www.youtube.com/channel/UCprhtJatma3ldWWViKaMDSQ")</f>
        <v>http://www.youtube.com/channel/UCprhtJatma3ldWWViKaMDSQ</v>
      </c>
      <c r="U730" s="81"/>
      <c r="V730" s="81" t="s">
        <v>2325</v>
      </c>
      <c r="W730" s="86" t="str">
        <f>HYPERLINK("https://www.youtube.com/watch?v=P84KQT_Se70")</f>
        <v>https://www.youtube.com/watch?v=P84KQT_Se70</v>
      </c>
      <c r="X730" s="81" t="s">
        <v>2335</v>
      </c>
      <c r="Y730" s="81">
        <v>0</v>
      </c>
      <c r="Z730" s="81" t="s">
        <v>2699</v>
      </c>
      <c r="AA730" s="81" t="s">
        <v>2699</v>
      </c>
      <c r="AB730" s="81"/>
      <c r="AC730" s="81"/>
      <c r="AD730" s="84" t="s">
        <v>2782</v>
      </c>
      <c r="AE730" s="82">
        <v>1</v>
      </c>
      <c r="AF730" s="83" t="str">
        <f>REPLACE(INDEX(GroupVertices[Group],MATCH(Edges[[#This Row],[Vertex 1]],GroupVertices[Vertex],0)),1,1,"")</f>
        <v>11</v>
      </c>
      <c r="AG730" s="83" t="str">
        <f>REPLACE(INDEX(GroupVertices[Group],MATCH(Edges[[#This Row],[Vertex 2]],GroupVertices[Vertex],0)),1,1,"")</f>
        <v>11</v>
      </c>
      <c r="AH730" s="111">
        <v>2</v>
      </c>
      <c r="AI730" s="112">
        <v>50</v>
      </c>
      <c r="AJ730" s="111">
        <v>0</v>
      </c>
      <c r="AK730" s="112">
        <v>0</v>
      </c>
      <c r="AL730" s="111">
        <v>0</v>
      </c>
      <c r="AM730" s="112">
        <v>0</v>
      </c>
      <c r="AN730" s="111">
        <v>2</v>
      </c>
      <c r="AO730" s="112">
        <v>50</v>
      </c>
      <c r="AP730" s="111">
        <v>4</v>
      </c>
    </row>
    <row r="731" spans="1:42" ht="15">
      <c r="A731" s="65" t="s">
        <v>696</v>
      </c>
      <c r="B731" s="65" t="s">
        <v>759</v>
      </c>
      <c r="C731" s="66" t="s">
        <v>5345</v>
      </c>
      <c r="D731" s="67">
        <v>3</v>
      </c>
      <c r="E731" s="68"/>
      <c r="F731" s="69">
        <v>40</v>
      </c>
      <c r="G731" s="66"/>
      <c r="H731" s="70"/>
      <c r="I731" s="71"/>
      <c r="J731" s="71"/>
      <c r="K731" s="35" t="s">
        <v>65</v>
      </c>
      <c r="L731" s="79">
        <v>731</v>
      </c>
      <c r="M731" s="79"/>
      <c r="N731" s="73"/>
      <c r="O731" s="81" t="s">
        <v>760</v>
      </c>
      <c r="P731" s="81" t="s">
        <v>215</v>
      </c>
      <c r="Q731" s="84" t="s">
        <v>1463</v>
      </c>
      <c r="R731" s="81" t="s">
        <v>696</v>
      </c>
      <c r="S731" s="81" t="s">
        <v>2024</v>
      </c>
      <c r="T731" s="86" t="str">
        <f>HYPERLINK("http://www.youtube.com/channel/UCTvPnYPcmyQ5qkv9Sp8QLgQ")</f>
        <v>http://www.youtube.com/channel/UCTvPnYPcmyQ5qkv9Sp8QLgQ</v>
      </c>
      <c r="U731" s="81"/>
      <c r="V731" s="81" t="s">
        <v>2325</v>
      </c>
      <c r="W731" s="86" t="str">
        <f>HYPERLINK("https://www.youtube.com/watch?v=P84KQT_Se70")</f>
        <v>https://www.youtube.com/watch?v=P84KQT_Se70</v>
      </c>
      <c r="X731" s="81" t="s">
        <v>2335</v>
      </c>
      <c r="Y731" s="81">
        <v>0</v>
      </c>
      <c r="Z731" s="81" t="s">
        <v>2700</v>
      </c>
      <c r="AA731" s="81" t="s">
        <v>2700</v>
      </c>
      <c r="AB731" s="81"/>
      <c r="AC731" s="81"/>
      <c r="AD731" s="84" t="s">
        <v>2782</v>
      </c>
      <c r="AE731" s="82">
        <v>1</v>
      </c>
      <c r="AF731" s="83" t="str">
        <f>REPLACE(INDEX(GroupVertices[Group],MATCH(Edges[[#This Row],[Vertex 1]],GroupVertices[Vertex],0)),1,1,"")</f>
        <v>11</v>
      </c>
      <c r="AG731" s="83" t="str">
        <f>REPLACE(INDEX(GroupVertices[Group],MATCH(Edges[[#This Row],[Vertex 2]],GroupVertices[Vertex],0)),1,1,"")</f>
        <v>11</v>
      </c>
      <c r="AH731" s="111">
        <v>0</v>
      </c>
      <c r="AI731" s="112">
        <v>0</v>
      </c>
      <c r="AJ731" s="111">
        <v>0</v>
      </c>
      <c r="AK731" s="112">
        <v>0</v>
      </c>
      <c r="AL731" s="111">
        <v>0</v>
      </c>
      <c r="AM731" s="112">
        <v>0</v>
      </c>
      <c r="AN731" s="111">
        <v>0</v>
      </c>
      <c r="AO731" s="112">
        <v>0</v>
      </c>
      <c r="AP731" s="111">
        <v>0</v>
      </c>
    </row>
    <row r="732" spans="1:42" ht="15">
      <c r="A732" s="65" t="s">
        <v>697</v>
      </c>
      <c r="B732" s="65" t="s">
        <v>759</v>
      </c>
      <c r="C732" s="66" t="s">
        <v>5345</v>
      </c>
      <c r="D732" s="67">
        <v>3</v>
      </c>
      <c r="E732" s="68"/>
      <c r="F732" s="69">
        <v>40</v>
      </c>
      <c r="G732" s="66"/>
      <c r="H732" s="70"/>
      <c r="I732" s="71"/>
      <c r="J732" s="71"/>
      <c r="K732" s="35" t="s">
        <v>65</v>
      </c>
      <c r="L732" s="79">
        <v>732</v>
      </c>
      <c r="M732" s="79"/>
      <c r="N732" s="73"/>
      <c r="O732" s="81" t="s">
        <v>760</v>
      </c>
      <c r="P732" s="81" t="s">
        <v>215</v>
      </c>
      <c r="Q732" s="84" t="s">
        <v>1464</v>
      </c>
      <c r="R732" s="81" t="s">
        <v>697</v>
      </c>
      <c r="S732" s="81" t="s">
        <v>2025</v>
      </c>
      <c r="T732" s="86" t="str">
        <f>HYPERLINK("http://www.youtube.com/channel/UCoGFC5t3WEgQ28VKiIsVimw")</f>
        <v>http://www.youtube.com/channel/UCoGFC5t3WEgQ28VKiIsVimw</v>
      </c>
      <c r="U732" s="81"/>
      <c r="V732" s="81" t="s">
        <v>2325</v>
      </c>
      <c r="W732" s="86" t="str">
        <f>HYPERLINK("https://www.youtube.com/watch?v=P84KQT_Se70")</f>
        <v>https://www.youtube.com/watch?v=P84KQT_Se70</v>
      </c>
      <c r="X732" s="81" t="s">
        <v>2335</v>
      </c>
      <c r="Y732" s="81">
        <v>0</v>
      </c>
      <c r="Z732" s="81" t="s">
        <v>2701</v>
      </c>
      <c r="AA732" s="81" t="s">
        <v>2701</v>
      </c>
      <c r="AB732" s="81"/>
      <c r="AC732" s="81"/>
      <c r="AD732" s="84" t="s">
        <v>2782</v>
      </c>
      <c r="AE732" s="82">
        <v>1</v>
      </c>
      <c r="AF732" s="83" t="str">
        <f>REPLACE(INDEX(GroupVertices[Group],MATCH(Edges[[#This Row],[Vertex 1]],GroupVertices[Vertex],0)),1,1,"")</f>
        <v>11</v>
      </c>
      <c r="AG732" s="83" t="str">
        <f>REPLACE(INDEX(GroupVertices[Group],MATCH(Edges[[#This Row],[Vertex 2]],GroupVertices[Vertex],0)),1,1,"")</f>
        <v>11</v>
      </c>
      <c r="AH732" s="111">
        <v>2</v>
      </c>
      <c r="AI732" s="112">
        <v>22.22222222222222</v>
      </c>
      <c r="AJ732" s="111">
        <v>0</v>
      </c>
      <c r="AK732" s="112">
        <v>0</v>
      </c>
      <c r="AL732" s="111">
        <v>0</v>
      </c>
      <c r="AM732" s="112">
        <v>0</v>
      </c>
      <c r="AN732" s="111">
        <v>7</v>
      </c>
      <c r="AO732" s="112">
        <v>77.77777777777777</v>
      </c>
      <c r="AP732" s="111">
        <v>9</v>
      </c>
    </row>
    <row r="733" spans="1:42" ht="15">
      <c r="A733" s="65" t="s">
        <v>698</v>
      </c>
      <c r="B733" s="65" t="s">
        <v>759</v>
      </c>
      <c r="C733" s="66" t="s">
        <v>5345</v>
      </c>
      <c r="D733" s="67">
        <v>3</v>
      </c>
      <c r="E733" s="68"/>
      <c r="F733" s="69">
        <v>40</v>
      </c>
      <c r="G733" s="66"/>
      <c r="H733" s="70"/>
      <c r="I733" s="71"/>
      <c r="J733" s="71"/>
      <c r="K733" s="35" t="s">
        <v>65</v>
      </c>
      <c r="L733" s="79">
        <v>733</v>
      </c>
      <c r="M733" s="79"/>
      <c r="N733" s="73"/>
      <c r="O733" s="81" t="s">
        <v>760</v>
      </c>
      <c r="P733" s="81" t="s">
        <v>215</v>
      </c>
      <c r="Q733" s="84" t="s">
        <v>1465</v>
      </c>
      <c r="R733" s="81" t="s">
        <v>698</v>
      </c>
      <c r="S733" s="81" t="s">
        <v>2026</v>
      </c>
      <c r="T733" s="86" t="str">
        <f>HYPERLINK("http://www.youtube.com/channel/UCXuaGae3oCzPTaSp0gdBJJQ")</f>
        <v>http://www.youtube.com/channel/UCXuaGae3oCzPTaSp0gdBJJQ</v>
      </c>
      <c r="U733" s="81"/>
      <c r="V733" s="81" t="s">
        <v>2325</v>
      </c>
      <c r="W733" s="86" t="str">
        <f>HYPERLINK("https://www.youtube.com/watch?v=P84KQT_Se70")</f>
        <v>https://www.youtube.com/watch?v=P84KQT_Se70</v>
      </c>
      <c r="X733" s="81" t="s">
        <v>2335</v>
      </c>
      <c r="Y733" s="81">
        <v>0</v>
      </c>
      <c r="Z733" s="81" t="s">
        <v>2702</v>
      </c>
      <c r="AA733" s="81" t="s">
        <v>2702</v>
      </c>
      <c r="AB733" s="81"/>
      <c r="AC733" s="81"/>
      <c r="AD733" s="84" t="s">
        <v>2782</v>
      </c>
      <c r="AE733" s="82">
        <v>1</v>
      </c>
      <c r="AF733" s="83" t="str">
        <f>REPLACE(INDEX(GroupVertices[Group],MATCH(Edges[[#This Row],[Vertex 1]],GroupVertices[Vertex],0)),1,1,"")</f>
        <v>11</v>
      </c>
      <c r="AG733" s="83" t="str">
        <f>REPLACE(INDEX(GroupVertices[Group],MATCH(Edges[[#This Row],[Vertex 2]],GroupVertices[Vertex],0)),1,1,"")</f>
        <v>11</v>
      </c>
      <c r="AH733" s="111">
        <v>1</v>
      </c>
      <c r="AI733" s="112">
        <v>5.2631578947368425</v>
      </c>
      <c r="AJ733" s="111">
        <v>1</v>
      </c>
      <c r="AK733" s="112">
        <v>5.2631578947368425</v>
      </c>
      <c r="AL733" s="111">
        <v>0</v>
      </c>
      <c r="AM733" s="112">
        <v>0</v>
      </c>
      <c r="AN733" s="111">
        <v>17</v>
      </c>
      <c r="AO733" s="112">
        <v>89.47368421052632</v>
      </c>
      <c r="AP733" s="111">
        <v>19</v>
      </c>
    </row>
    <row r="734" spans="1:42" ht="15">
      <c r="A734" s="65" t="s">
        <v>699</v>
      </c>
      <c r="B734" s="65" t="s">
        <v>759</v>
      </c>
      <c r="C734" s="66" t="s">
        <v>5345</v>
      </c>
      <c r="D734" s="67">
        <v>3</v>
      </c>
      <c r="E734" s="68"/>
      <c r="F734" s="69">
        <v>40</v>
      </c>
      <c r="G734" s="66"/>
      <c r="H734" s="70"/>
      <c r="I734" s="71"/>
      <c r="J734" s="71"/>
      <c r="K734" s="35" t="s">
        <v>65</v>
      </c>
      <c r="L734" s="79">
        <v>734</v>
      </c>
      <c r="M734" s="79"/>
      <c r="N734" s="73"/>
      <c r="O734" s="81" t="s">
        <v>760</v>
      </c>
      <c r="P734" s="81" t="s">
        <v>215</v>
      </c>
      <c r="Q734" s="84" t="s">
        <v>1466</v>
      </c>
      <c r="R734" s="81" t="s">
        <v>699</v>
      </c>
      <c r="S734" s="81" t="s">
        <v>2027</v>
      </c>
      <c r="T734" s="86" t="str">
        <f>HYPERLINK("http://www.youtube.com/channel/UCpmP1HYDUxOdw7omF5Dztyw")</f>
        <v>http://www.youtube.com/channel/UCpmP1HYDUxOdw7omF5Dztyw</v>
      </c>
      <c r="U734" s="81"/>
      <c r="V734" s="81" t="s">
        <v>2325</v>
      </c>
      <c r="W734" s="86" t="str">
        <f>HYPERLINK("https://www.youtube.com/watch?v=P84KQT_Se70")</f>
        <v>https://www.youtube.com/watch?v=P84KQT_Se70</v>
      </c>
      <c r="X734" s="81" t="s">
        <v>2335</v>
      </c>
      <c r="Y734" s="81">
        <v>0</v>
      </c>
      <c r="Z734" s="81" t="s">
        <v>2703</v>
      </c>
      <c r="AA734" s="81" t="s">
        <v>2703</v>
      </c>
      <c r="AB734" s="81"/>
      <c r="AC734" s="81"/>
      <c r="AD734" s="84" t="s">
        <v>2782</v>
      </c>
      <c r="AE734" s="82">
        <v>1</v>
      </c>
      <c r="AF734" s="83" t="str">
        <f>REPLACE(INDEX(GroupVertices[Group],MATCH(Edges[[#This Row],[Vertex 1]],GroupVertices[Vertex],0)),1,1,"")</f>
        <v>11</v>
      </c>
      <c r="AG734" s="83" t="str">
        <f>REPLACE(INDEX(GroupVertices[Group],MATCH(Edges[[#This Row],[Vertex 2]],GroupVertices[Vertex],0)),1,1,"")</f>
        <v>11</v>
      </c>
      <c r="AH734" s="111">
        <v>1</v>
      </c>
      <c r="AI734" s="112">
        <v>100</v>
      </c>
      <c r="AJ734" s="111">
        <v>0</v>
      </c>
      <c r="AK734" s="112">
        <v>0</v>
      </c>
      <c r="AL734" s="111">
        <v>0</v>
      </c>
      <c r="AM734" s="112">
        <v>0</v>
      </c>
      <c r="AN734" s="111">
        <v>0</v>
      </c>
      <c r="AO734" s="112">
        <v>0</v>
      </c>
      <c r="AP734" s="111">
        <v>1</v>
      </c>
    </row>
    <row r="735" spans="1:42" ht="15">
      <c r="A735" s="65" t="s">
        <v>700</v>
      </c>
      <c r="B735" s="65" t="s">
        <v>701</v>
      </c>
      <c r="C735" s="66" t="s">
        <v>5345</v>
      </c>
      <c r="D735" s="67">
        <v>3</v>
      </c>
      <c r="E735" s="68"/>
      <c r="F735" s="69">
        <v>40</v>
      </c>
      <c r="G735" s="66"/>
      <c r="H735" s="70"/>
      <c r="I735" s="71"/>
      <c r="J735" s="71"/>
      <c r="K735" s="35" t="s">
        <v>65</v>
      </c>
      <c r="L735" s="79">
        <v>735</v>
      </c>
      <c r="M735" s="79"/>
      <c r="N735" s="73"/>
      <c r="O735" s="81" t="s">
        <v>761</v>
      </c>
      <c r="P735" s="81" t="s">
        <v>763</v>
      </c>
      <c r="Q735" s="84" t="s">
        <v>1467</v>
      </c>
      <c r="R735" s="81" t="s">
        <v>700</v>
      </c>
      <c r="S735" s="81" t="s">
        <v>2028</v>
      </c>
      <c r="T735" s="86" t="str">
        <f>HYPERLINK("http://www.youtube.com/channel/UCBq4yo8cH6tY3klFlLldmmQ")</f>
        <v>http://www.youtube.com/channel/UCBq4yo8cH6tY3klFlLldmmQ</v>
      </c>
      <c r="U735" s="81" t="s">
        <v>2278</v>
      </c>
      <c r="V735" s="81" t="s">
        <v>2326</v>
      </c>
      <c r="W735" s="86" t="str">
        <f>HYPERLINK("https://www.youtube.com/watch?v=k0WsWXSk1dc")</f>
        <v>https://www.youtube.com/watch?v=k0WsWXSk1dc</v>
      </c>
      <c r="X735" s="81" t="s">
        <v>2335</v>
      </c>
      <c r="Y735" s="81">
        <v>0</v>
      </c>
      <c r="Z735" s="81" t="s">
        <v>2704</v>
      </c>
      <c r="AA735" s="81" t="s">
        <v>2704</v>
      </c>
      <c r="AB735" s="81"/>
      <c r="AC735" s="81"/>
      <c r="AD735" s="84" t="s">
        <v>2782</v>
      </c>
      <c r="AE735" s="82">
        <v>1</v>
      </c>
      <c r="AF735" s="83" t="str">
        <f>REPLACE(INDEX(GroupVertices[Group],MATCH(Edges[[#This Row],[Vertex 1]],GroupVertices[Vertex],0)),1,1,"")</f>
        <v>13</v>
      </c>
      <c r="AG735" s="83" t="str">
        <f>REPLACE(INDEX(GroupVertices[Group],MATCH(Edges[[#This Row],[Vertex 2]],GroupVertices[Vertex],0)),1,1,"")</f>
        <v>13</v>
      </c>
      <c r="AH735" s="111">
        <v>0</v>
      </c>
      <c r="AI735" s="112">
        <v>0</v>
      </c>
      <c r="AJ735" s="111">
        <v>0</v>
      </c>
      <c r="AK735" s="112">
        <v>0</v>
      </c>
      <c r="AL735" s="111">
        <v>0</v>
      </c>
      <c r="AM735" s="112">
        <v>0</v>
      </c>
      <c r="AN735" s="111">
        <v>10</v>
      </c>
      <c r="AO735" s="112">
        <v>100</v>
      </c>
      <c r="AP735" s="111">
        <v>10</v>
      </c>
    </row>
    <row r="736" spans="1:42" ht="15">
      <c r="A736" s="65" t="s">
        <v>701</v>
      </c>
      <c r="B736" s="65" t="s">
        <v>702</v>
      </c>
      <c r="C736" s="66" t="s">
        <v>5345</v>
      </c>
      <c r="D736" s="67">
        <v>3</v>
      </c>
      <c r="E736" s="68"/>
      <c r="F736" s="69">
        <v>40</v>
      </c>
      <c r="G736" s="66"/>
      <c r="H736" s="70"/>
      <c r="I736" s="71"/>
      <c r="J736" s="71"/>
      <c r="K736" s="35" t="s">
        <v>65</v>
      </c>
      <c r="L736" s="79">
        <v>736</v>
      </c>
      <c r="M736" s="79"/>
      <c r="N736" s="73"/>
      <c r="O736" s="81" t="s">
        <v>760</v>
      </c>
      <c r="P736" s="81" t="s">
        <v>215</v>
      </c>
      <c r="Q736" s="84" t="s">
        <v>1468</v>
      </c>
      <c r="R736" s="81" t="s">
        <v>701</v>
      </c>
      <c r="S736" s="81" t="s">
        <v>2029</v>
      </c>
      <c r="T736" s="86" t="str">
        <f>HYPERLINK("http://www.youtube.com/channel/UC9Td1TpXDp_w8s7zyX2dJTA")</f>
        <v>http://www.youtube.com/channel/UC9Td1TpXDp_w8s7zyX2dJTA</v>
      </c>
      <c r="U736" s="81"/>
      <c r="V736" s="81" t="s">
        <v>2326</v>
      </c>
      <c r="W736" s="86" t="str">
        <f>HYPERLINK("https://www.youtube.com/watch?v=k0WsWXSk1dc")</f>
        <v>https://www.youtube.com/watch?v=k0WsWXSk1dc</v>
      </c>
      <c r="X736" s="81" t="s">
        <v>2335</v>
      </c>
      <c r="Y736" s="81">
        <v>0</v>
      </c>
      <c r="Z736" s="81" t="s">
        <v>2705</v>
      </c>
      <c r="AA736" s="81" t="s">
        <v>2705</v>
      </c>
      <c r="AB736" s="81"/>
      <c r="AC736" s="81"/>
      <c r="AD736" s="84" t="s">
        <v>2782</v>
      </c>
      <c r="AE736" s="82">
        <v>1</v>
      </c>
      <c r="AF736" s="83" t="str">
        <f>REPLACE(INDEX(GroupVertices[Group],MATCH(Edges[[#This Row],[Vertex 1]],GroupVertices[Vertex],0)),1,1,"")</f>
        <v>13</v>
      </c>
      <c r="AG736" s="83" t="str">
        <f>REPLACE(INDEX(GroupVertices[Group],MATCH(Edges[[#This Row],[Vertex 2]],GroupVertices[Vertex],0)),1,1,"")</f>
        <v>13</v>
      </c>
      <c r="AH736" s="111">
        <v>1</v>
      </c>
      <c r="AI736" s="112">
        <v>16.666666666666668</v>
      </c>
      <c r="AJ736" s="111">
        <v>1</v>
      </c>
      <c r="AK736" s="112">
        <v>16.666666666666668</v>
      </c>
      <c r="AL736" s="111">
        <v>0</v>
      </c>
      <c r="AM736" s="112">
        <v>0</v>
      </c>
      <c r="AN736" s="111">
        <v>4</v>
      </c>
      <c r="AO736" s="112">
        <v>66.66666666666667</v>
      </c>
      <c r="AP736" s="111">
        <v>6</v>
      </c>
    </row>
    <row r="737" spans="1:42" ht="15">
      <c r="A737" s="65" t="s">
        <v>702</v>
      </c>
      <c r="B737" s="65" t="s">
        <v>703</v>
      </c>
      <c r="C737" s="66" t="s">
        <v>5345</v>
      </c>
      <c r="D737" s="67">
        <v>3</v>
      </c>
      <c r="E737" s="68"/>
      <c r="F737" s="69">
        <v>40</v>
      </c>
      <c r="G737" s="66"/>
      <c r="H737" s="70"/>
      <c r="I737" s="71"/>
      <c r="J737" s="71"/>
      <c r="K737" s="35" t="s">
        <v>66</v>
      </c>
      <c r="L737" s="79">
        <v>737</v>
      </c>
      <c r="M737" s="79"/>
      <c r="N737" s="73"/>
      <c r="O737" s="81" t="s">
        <v>761</v>
      </c>
      <c r="P737" s="81" t="s">
        <v>763</v>
      </c>
      <c r="Q737" s="84" t="s">
        <v>1469</v>
      </c>
      <c r="R737" s="81" t="s">
        <v>702</v>
      </c>
      <c r="S737" s="81" t="s">
        <v>2030</v>
      </c>
      <c r="T737" s="86" t="str">
        <f>HYPERLINK("http://www.youtube.com/channel/UCdNO3SSyxVGqW-xKmIVv9pQ")</f>
        <v>http://www.youtube.com/channel/UCdNO3SSyxVGqW-xKmIVv9pQ</v>
      </c>
      <c r="U737" s="81" t="s">
        <v>2279</v>
      </c>
      <c r="V737" s="81" t="s">
        <v>2326</v>
      </c>
      <c r="W737" s="86" t="str">
        <f>HYPERLINK("https://www.youtube.com/watch?v=k0WsWXSk1dc")</f>
        <v>https://www.youtube.com/watch?v=k0WsWXSk1dc</v>
      </c>
      <c r="X737" s="81" t="s">
        <v>2335</v>
      </c>
      <c r="Y737" s="81">
        <v>2</v>
      </c>
      <c r="Z737" s="81" t="s">
        <v>2706</v>
      </c>
      <c r="AA737" s="81" t="s">
        <v>2706</v>
      </c>
      <c r="AB737" s="81"/>
      <c r="AC737" s="81"/>
      <c r="AD737" s="84" t="s">
        <v>2782</v>
      </c>
      <c r="AE737" s="82">
        <v>1</v>
      </c>
      <c r="AF737" s="83" t="str">
        <f>REPLACE(INDEX(GroupVertices[Group],MATCH(Edges[[#This Row],[Vertex 1]],GroupVertices[Vertex],0)),1,1,"")</f>
        <v>13</v>
      </c>
      <c r="AG737" s="83" t="str">
        <f>REPLACE(INDEX(GroupVertices[Group],MATCH(Edges[[#This Row],[Vertex 2]],GroupVertices[Vertex],0)),1,1,"")</f>
        <v>13</v>
      </c>
      <c r="AH737" s="111">
        <v>1</v>
      </c>
      <c r="AI737" s="112">
        <v>50</v>
      </c>
      <c r="AJ737" s="111">
        <v>0</v>
      </c>
      <c r="AK737" s="112">
        <v>0</v>
      </c>
      <c r="AL737" s="111">
        <v>0</v>
      </c>
      <c r="AM737" s="112">
        <v>0</v>
      </c>
      <c r="AN737" s="111">
        <v>1</v>
      </c>
      <c r="AO737" s="112">
        <v>50</v>
      </c>
      <c r="AP737" s="111">
        <v>2</v>
      </c>
    </row>
    <row r="738" spans="1:42" ht="15">
      <c r="A738" s="65" t="s">
        <v>703</v>
      </c>
      <c r="B738" s="65" t="s">
        <v>702</v>
      </c>
      <c r="C738" s="66" t="s">
        <v>5345</v>
      </c>
      <c r="D738" s="67">
        <v>3</v>
      </c>
      <c r="E738" s="68"/>
      <c r="F738" s="69">
        <v>40</v>
      </c>
      <c r="G738" s="66"/>
      <c r="H738" s="70"/>
      <c r="I738" s="71"/>
      <c r="J738" s="71"/>
      <c r="K738" s="35" t="s">
        <v>66</v>
      </c>
      <c r="L738" s="79">
        <v>738</v>
      </c>
      <c r="M738" s="79"/>
      <c r="N738" s="73"/>
      <c r="O738" s="81" t="s">
        <v>760</v>
      </c>
      <c r="P738" s="81" t="s">
        <v>215</v>
      </c>
      <c r="Q738" s="84" t="s">
        <v>1470</v>
      </c>
      <c r="R738" s="81" t="s">
        <v>703</v>
      </c>
      <c r="S738" s="81" t="s">
        <v>2031</v>
      </c>
      <c r="T738" s="86" t="str">
        <f>HYPERLINK("http://www.youtube.com/channel/UCMh0ZdReKP6-QF7-DpuyeiA")</f>
        <v>http://www.youtube.com/channel/UCMh0ZdReKP6-QF7-DpuyeiA</v>
      </c>
      <c r="U738" s="81"/>
      <c r="V738" s="81" t="s">
        <v>2326</v>
      </c>
      <c r="W738" s="86" t="str">
        <f>HYPERLINK("https://www.youtube.com/watch?v=k0WsWXSk1dc")</f>
        <v>https://www.youtube.com/watch?v=k0WsWXSk1dc</v>
      </c>
      <c r="X738" s="81" t="s">
        <v>2335</v>
      </c>
      <c r="Y738" s="81">
        <v>2</v>
      </c>
      <c r="Z738" s="81" t="s">
        <v>2707</v>
      </c>
      <c r="AA738" s="81" t="s">
        <v>2707</v>
      </c>
      <c r="AB738" s="81"/>
      <c r="AC738" s="81"/>
      <c r="AD738" s="84" t="s">
        <v>2782</v>
      </c>
      <c r="AE738" s="82">
        <v>1</v>
      </c>
      <c r="AF738" s="83" t="str">
        <f>REPLACE(INDEX(GroupVertices[Group],MATCH(Edges[[#This Row],[Vertex 1]],GroupVertices[Vertex],0)),1,1,"")</f>
        <v>13</v>
      </c>
      <c r="AG738" s="83" t="str">
        <f>REPLACE(INDEX(GroupVertices[Group],MATCH(Edges[[#This Row],[Vertex 2]],GroupVertices[Vertex],0)),1,1,"")</f>
        <v>13</v>
      </c>
      <c r="AH738" s="111">
        <v>2</v>
      </c>
      <c r="AI738" s="112">
        <v>9.523809523809524</v>
      </c>
      <c r="AJ738" s="111">
        <v>0</v>
      </c>
      <c r="AK738" s="112">
        <v>0</v>
      </c>
      <c r="AL738" s="111">
        <v>0</v>
      </c>
      <c r="AM738" s="112">
        <v>0</v>
      </c>
      <c r="AN738" s="111">
        <v>19</v>
      </c>
      <c r="AO738" s="112">
        <v>90.47619047619048</v>
      </c>
      <c r="AP738" s="111">
        <v>21</v>
      </c>
    </row>
    <row r="739" spans="1:42" ht="15">
      <c r="A739" s="65" t="s">
        <v>702</v>
      </c>
      <c r="B739" s="65" t="s">
        <v>704</v>
      </c>
      <c r="C739" s="66" t="s">
        <v>5345</v>
      </c>
      <c r="D739" s="67">
        <v>3</v>
      </c>
      <c r="E739" s="68"/>
      <c r="F739" s="69">
        <v>40</v>
      </c>
      <c r="G739" s="66"/>
      <c r="H739" s="70"/>
      <c r="I739" s="71"/>
      <c r="J739" s="71"/>
      <c r="K739" s="35" t="s">
        <v>66</v>
      </c>
      <c r="L739" s="79">
        <v>739</v>
      </c>
      <c r="M739" s="79"/>
      <c r="N739" s="73"/>
      <c r="O739" s="81" t="s">
        <v>761</v>
      </c>
      <c r="P739" s="81" t="s">
        <v>763</v>
      </c>
      <c r="Q739" s="84" t="s">
        <v>1469</v>
      </c>
      <c r="R739" s="81" t="s">
        <v>702</v>
      </c>
      <c r="S739" s="81" t="s">
        <v>2030</v>
      </c>
      <c r="T739" s="86" t="str">
        <f>HYPERLINK("http://www.youtube.com/channel/UCdNO3SSyxVGqW-xKmIVv9pQ")</f>
        <v>http://www.youtube.com/channel/UCdNO3SSyxVGqW-xKmIVv9pQ</v>
      </c>
      <c r="U739" s="81" t="s">
        <v>2280</v>
      </c>
      <c r="V739" s="81" t="s">
        <v>2326</v>
      </c>
      <c r="W739" s="86" t="str">
        <f>HYPERLINK("https://www.youtube.com/watch?v=k0WsWXSk1dc")</f>
        <v>https://www.youtube.com/watch?v=k0WsWXSk1dc</v>
      </c>
      <c r="X739" s="81" t="s">
        <v>2335</v>
      </c>
      <c r="Y739" s="81">
        <v>1</v>
      </c>
      <c r="Z739" s="81" t="s">
        <v>2708</v>
      </c>
      <c r="AA739" s="81" t="s">
        <v>2708</v>
      </c>
      <c r="AB739" s="81"/>
      <c r="AC739" s="81"/>
      <c r="AD739" s="84" t="s">
        <v>2782</v>
      </c>
      <c r="AE739" s="82">
        <v>1</v>
      </c>
      <c r="AF739" s="83" t="str">
        <f>REPLACE(INDEX(GroupVertices[Group],MATCH(Edges[[#This Row],[Vertex 1]],GroupVertices[Vertex],0)),1,1,"")</f>
        <v>13</v>
      </c>
      <c r="AG739" s="83" t="str">
        <f>REPLACE(INDEX(GroupVertices[Group],MATCH(Edges[[#This Row],[Vertex 2]],GroupVertices[Vertex],0)),1,1,"")</f>
        <v>13</v>
      </c>
      <c r="AH739" s="111">
        <v>1</v>
      </c>
      <c r="AI739" s="112">
        <v>50</v>
      </c>
      <c r="AJ739" s="111">
        <v>0</v>
      </c>
      <c r="AK739" s="112">
        <v>0</v>
      </c>
      <c r="AL739" s="111">
        <v>0</v>
      </c>
      <c r="AM739" s="112">
        <v>0</v>
      </c>
      <c r="AN739" s="111">
        <v>1</v>
      </c>
      <c r="AO739" s="112">
        <v>50</v>
      </c>
      <c r="AP739" s="111">
        <v>2</v>
      </c>
    </row>
    <row r="740" spans="1:42" ht="15">
      <c r="A740" s="65" t="s">
        <v>704</v>
      </c>
      <c r="B740" s="65" t="s">
        <v>702</v>
      </c>
      <c r="C740" s="66" t="s">
        <v>5345</v>
      </c>
      <c r="D740" s="67">
        <v>3</v>
      </c>
      <c r="E740" s="68"/>
      <c r="F740" s="69">
        <v>40</v>
      </c>
      <c r="G740" s="66"/>
      <c r="H740" s="70"/>
      <c r="I740" s="71"/>
      <c r="J740" s="71"/>
      <c r="K740" s="35" t="s">
        <v>66</v>
      </c>
      <c r="L740" s="79">
        <v>740</v>
      </c>
      <c r="M740" s="79"/>
      <c r="N740" s="73"/>
      <c r="O740" s="81" t="s">
        <v>760</v>
      </c>
      <c r="P740" s="81" t="s">
        <v>215</v>
      </c>
      <c r="Q740" s="84" t="s">
        <v>1471</v>
      </c>
      <c r="R740" s="81" t="s">
        <v>704</v>
      </c>
      <c r="S740" s="81" t="s">
        <v>2032</v>
      </c>
      <c r="T740" s="86" t="str">
        <f>HYPERLINK("http://www.youtube.com/channel/UC0OnbMLow17AdDG-WSvDpxg")</f>
        <v>http://www.youtube.com/channel/UC0OnbMLow17AdDG-WSvDpxg</v>
      </c>
      <c r="U740" s="81"/>
      <c r="V740" s="81" t="s">
        <v>2326</v>
      </c>
      <c r="W740" s="86" t="str">
        <f>HYPERLINK("https://www.youtube.com/watch?v=k0WsWXSk1dc")</f>
        <v>https://www.youtube.com/watch?v=k0WsWXSk1dc</v>
      </c>
      <c r="X740" s="81" t="s">
        <v>2335</v>
      </c>
      <c r="Y740" s="81">
        <v>1</v>
      </c>
      <c r="Z740" s="81" t="s">
        <v>2709</v>
      </c>
      <c r="AA740" s="81" t="s">
        <v>2709</v>
      </c>
      <c r="AB740" s="81"/>
      <c r="AC740" s="81"/>
      <c r="AD740" s="84" t="s">
        <v>2782</v>
      </c>
      <c r="AE740" s="82">
        <v>1</v>
      </c>
      <c r="AF740" s="83" t="str">
        <f>REPLACE(INDEX(GroupVertices[Group],MATCH(Edges[[#This Row],[Vertex 1]],GroupVertices[Vertex],0)),1,1,"")</f>
        <v>13</v>
      </c>
      <c r="AG740" s="83" t="str">
        <f>REPLACE(INDEX(GroupVertices[Group],MATCH(Edges[[#This Row],[Vertex 2]],GroupVertices[Vertex],0)),1,1,"")</f>
        <v>13</v>
      </c>
      <c r="AH740" s="111">
        <v>0</v>
      </c>
      <c r="AI740" s="112">
        <v>0</v>
      </c>
      <c r="AJ740" s="111">
        <v>0</v>
      </c>
      <c r="AK740" s="112">
        <v>0</v>
      </c>
      <c r="AL740" s="111">
        <v>0</v>
      </c>
      <c r="AM740" s="112">
        <v>0</v>
      </c>
      <c r="AN740" s="111">
        <v>4</v>
      </c>
      <c r="AO740" s="112">
        <v>100</v>
      </c>
      <c r="AP740" s="111">
        <v>4</v>
      </c>
    </row>
    <row r="741" spans="1:42" ht="15">
      <c r="A741" s="65" t="s">
        <v>705</v>
      </c>
      <c r="B741" s="65" t="s">
        <v>702</v>
      </c>
      <c r="C741" s="66" t="s">
        <v>5345</v>
      </c>
      <c r="D741" s="67">
        <v>3</v>
      </c>
      <c r="E741" s="68"/>
      <c r="F741" s="69">
        <v>40</v>
      </c>
      <c r="G741" s="66"/>
      <c r="H741" s="70"/>
      <c r="I741" s="71"/>
      <c r="J741" s="71"/>
      <c r="K741" s="35" t="s">
        <v>65</v>
      </c>
      <c r="L741" s="79">
        <v>741</v>
      </c>
      <c r="M741" s="79"/>
      <c r="N741" s="73"/>
      <c r="O741" s="81" t="s">
        <v>760</v>
      </c>
      <c r="P741" s="81" t="s">
        <v>215</v>
      </c>
      <c r="Q741" s="84" t="s">
        <v>1472</v>
      </c>
      <c r="R741" s="81" t="s">
        <v>705</v>
      </c>
      <c r="S741" s="81" t="s">
        <v>2033</v>
      </c>
      <c r="T741" s="86" t="str">
        <f>HYPERLINK("http://www.youtube.com/channel/UC1-JSnAwpM5UVxddNIK0bsQ")</f>
        <v>http://www.youtube.com/channel/UC1-JSnAwpM5UVxddNIK0bsQ</v>
      </c>
      <c r="U741" s="81"/>
      <c r="V741" s="81" t="s">
        <v>2326</v>
      </c>
      <c r="W741" s="86" t="str">
        <f>HYPERLINK("https://www.youtube.com/watch?v=k0WsWXSk1dc")</f>
        <v>https://www.youtube.com/watch?v=k0WsWXSk1dc</v>
      </c>
      <c r="X741" s="81" t="s">
        <v>2335</v>
      </c>
      <c r="Y741" s="81">
        <v>2</v>
      </c>
      <c r="Z741" s="81" t="s">
        <v>2710</v>
      </c>
      <c r="AA741" s="81" t="s">
        <v>2710</v>
      </c>
      <c r="AB741" s="81"/>
      <c r="AC741" s="81"/>
      <c r="AD741" s="84" t="s">
        <v>2782</v>
      </c>
      <c r="AE741" s="82">
        <v>1</v>
      </c>
      <c r="AF741" s="83" t="str">
        <f>REPLACE(INDEX(GroupVertices[Group],MATCH(Edges[[#This Row],[Vertex 1]],GroupVertices[Vertex],0)),1,1,"")</f>
        <v>13</v>
      </c>
      <c r="AG741" s="83" t="str">
        <f>REPLACE(INDEX(GroupVertices[Group],MATCH(Edges[[#This Row],[Vertex 2]],GroupVertices[Vertex],0)),1,1,"")</f>
        <v>13</v>
      </c>
      <c r="AH741" s="111">
        <v>2</v>
      </c>
      <c r="AI741" s="112">
        <v>14.285714285714286</v>
      </c>
      <c r="AJ741" s="111">
        <v>0</v>
      </c>
      <c r="AK741" s="112">
        <v>0</v>
      </c>
      <c r="AL741" s="111">
        <v>0</v>
      </c>
      <c r="AM741" s="112">
        <v>0</v>
      </c>
      <c r="AN741" s="111">
        <v>12</v>
      </c>
      <c r="AO741" s="112">
        <v>85.71428571428571</v>
      </c>
      <c r="AP741" s="111">
        <v>14</v>
      </c>
    </row>
    <row r="742" spans="1:42" ht="15">
      <c r="A742" s="65" t="s">
        <v>706</v>
      </c>
      <c r="B742" s="65" t="s">
        <v>702</v>
      </c>
      <c r="C742" s="66" t="s">
        <v>5345</v>
      </c>
      <c r="D742" s="67">
        <v>3</v>
      </c>
      <c r="E742" s="68"/>
      <c r="F742" s="69">
        <v>40</v>
      </c>
      <c r="G742" s="66"/>
      <c r="H742" s="70"/>
      <c r="I742" s="71"/>
      <c r="J742" s="71"/>
      <c r="K742" s="35" t="s">
        <v>65</v>
      </c>
      <c r="L742" s="79">
        <v>742</v>
      </c>
      <c r="M742" s="79"/>
      <c r="N742" s="73"/>
      <c r="O742" s="81" t="s">
        <v>760</v>
      </c>
      <c r="P742" s="81" t="s">
        <v>215</v>
      </c>
      <c r="Q742" s="84" t="s">
        <v>1473</v>
      </c>
      <c r="R742" s="81" t="s">
        <v>706</v>
      </c>
      <c r="S742" s="81" t="s">
        <v>2034</v>
      </c>
      <c r="T742" s="86" t="str">
        <f>HYPERLINK("http://www.youtube.com/channel/UCJ5RQc_IezXrN-RkNnYBbDw")</f>
        <v>http://www.youtube.com/channel/UCJ5RQc_IezXrN-RkNnYBbDw</v>
      </c>
      <c r="U742" s="81"/>
      <c r="V742" s="81" t="s">
        <v>2326</v>
      </c>
      <c r="W742" s="86" t="str">
        <f>HYPERLINK("https://www.youtube.com/watch?v=k0WsWXSk1dc")</f>
        <v>https://www.youtube.com/watch?v=k0WsWXSk1dc</v>
      </c>
      <c r="X742" s="81" t="s">
        <v>2335</v>
      </c>
      <c r="Y742" s="81">
        <v>0</v>
      </c>
      <c r="Z742" s="88">
        <v>43254.07179398148</v>
      </c>
      <c r="AA742" s="88">
        <v>43254.07179398148</v>
      </c>
      <c r="AB742" s="81"/>
      <c r="AC742" s="81"/>
      <c r="AD742" s="84" t="s">
        <v>2782</v>
      </c>
      <c r="AE742" s="82">
        <v>1</v>
      </c>
      <c r="AF742" s="83" t="str">
        <f>REPLACE(INDEX(GroupVertices[Group],MATCH(Edges[[#This Row],[Vertex 1]],GroupVertices[Vertex],0)),1,1,"")</f>
        <v>13</v>
      </c>
      <c r="AG742" s="83" t="str">
        <f>REPLACE(INDEX(GroupVertices[Group],MATCH(Edges[[#This Row],[Vertex 2]],GroupVertices[Vertex],0)),1,1,"")</f>
        <v>13</v>
      </c>
      <c r="AH742" s="111">
        <v>2</v>
      </c>
      <c r="AI742" s="112">
        <v>66.66666666666667</v>
      </c>
      <c r="AJ742" s="111">
        <v>0</v>
      </c>
      <c r="AK742" s="112">
        <v>0</v>
      </c>
      <c r="AL742" s="111">
        <v>0</v>
      </c>
      <c r="AM742" s="112">
        <v>0</v>
      </c>
      <c r="AN742" s="111">
        <v>1</v>
      </c>
      <c r="AO742" s="112">
        <v>33.333333333333336</v>
      </c>
      <c r="AP742" s="111">
        <v>3</v>
      </c>
    </row>
    <row r="743" spans="1:42" ht="15">
      <c r="A743" s="65" t="s">
        <v>707</v>
      </c>
      <c r="B743" s="65" t="s">
        <v>702</v>
      </c>
      <c r="C743" s="66" t="s">
        <v>5345</v>
      </c>
      <c r="D743" s="67">
        <v>3</v>
      </c>
      <c r="E743" s="68"/>
      <c r="F743" s="69">
        <v>40</v>
      </c>
      <c r="G743" s="66"/>
      <c r="H743" s="70"/>
      <c r="I743" s="71"/>
      <c r="J743" s="71"/>
      <c r="K743" s="35" t="s">
        <v>65</v>
      </c>
      <c r="L743" s="79">
        <v>743</v>
      </c>
      <c r="M743" s="79"/>
      <c r="N743" s="73"/>
      <c r="O743" s="81" t="s">
        <v>760</v>
      </c>
      <c r="P743" s="81" t="s">
        <v>215</v>
      </c>
      <c r="Q743" s="84" t="s">
        <v>1474</v>
      </c>
      <c r="R743" s="81" t="s">
        <v>707</v>
      </c>
      <c r="S743" s="81" t="s">
        <v>2035</v>
      </c>
      <c r="T743" s="86" t="str">
        <f>HYPERLINK("http://www.youtube.com/channel/UCwI6bvoIYtPRh7Vgl7In0Sw")</f>
        <v>http://www.youtube.com/channel/UCwI6bvoIYtPRh7Vgl7In0Sw</v>
      </c>
      <c r="U743" s="81"/>
      <c r="V743" s="81" t="s">
        <v>2326</v>
      </c>
      <c r="W743" s="86" t="str">
        <f>HYPERLINK("https://www.youtube.com/watch?v=k0WsWXSk1dc")</f>
        <v>https://www.youtube.com/watch?v=k0WsWXSk1dc</v>
      </c>
      <c r="X743" s="81" t="s">
        <v>2335</v>
      </c>
      <c r="Y743" s="81">
        <v>7</v>
      </c>
      <c r="Z743" s="81" t="s">
        <v>2711</v>
      </c>
      <c r="AA743" s="81" t="s">
        <v>2711</v>
      </c>
      <c r="AB743" s="81"/>
      <c r="AC743" s="81"/>
      <c r="AD743" s="84" t="s">
        <v>2782</v>
      </c>
      <c r="AE743" s="82">
        <v>1</v>
      </c>
      <c r="AF743" s="83" t="str">
        <f>REPLACE(INDEX(GroupVertices[Group],MATCH(Edges[[#This Row],[Vertex 1]],GroupVertices[Vertex],0)),1,1,"")</f>
        <v>13</v>
      </c>
      <c r="AG743" s="83" t="str">
        <f>REPLACE(INDEX(GroupVertices[Group],MATCH(Edges[[#This Row],[Vertex 2]],GroupVertices[Vertex],0)),1,1,"")</f>
        <v>13</v>
      </c>
      <c r="AH743" s="111">
        <v>3</v>
      </c>
      <c r="AI743" s="112">
        <v>27.272727272727273</v>
      </c>
      <c r="AJ743" s="111">
        <v>0</v>
      </c>
      <c r="AK743" s="112">
        <v>0</v>
      </c>
      <c r="AL743" s="111">
        <v>0</v>
      </c>
      <c r="AM743" s="112">
        <v>0</v>
      </c>
      <c r="AN743" s="111">
        <v>8</v>
      </c>
      <c r="AO743" s="112">
        <v>72.72727272727273</v>
      </c>
      <c r="AP743" s="111">
        <v>11</v>
      </c>
    </row>
    <row r="744" spans="1:42" ht="15">
      <c r="A744" s="65" t="s">
        <v>708</v>
      </c>
      <c r="B744" s="65" t="s">
        <v>702</v>
      </c>
      <c r="C744" s="66" t="s">
        <v>5345</v>
      </c>
      <c r="D744" s="67">
        <v>3</v>
      </c>
      <c r="E744" s="68"/>
      <c r="F744" s="69">
        <v>40</v>
      </c>
      <c r="G744" s="66"/>
      <c r="H744" s="70"/>
      <c r="I744" s="71"/>
      <c r="J744" s="71"/>
      <c r="K744" s="35" t="s">
        <v>65</v>
      </c>
      <c r="L744" s="79">
        <v>744</v>
      </c>
      <c r="M744" s="79"/>
      <c r="N744" s="73"/>
      <c r="O744" s="81" t="s">
        <v>760</v>
      </c>
      <c r="P744" s="81" t="s">
        <v>215</v>
      </c>
      <c r="Q744" s="84" t="s">
        <v>1475</v>
      </c>
      <c r="R744" s="81" t="s">
        <v>708</v>
      </c>
      <c r="S744" s="81" t="s">
        <v>2036</v>
      </c>
      <c r="T744" s="86" t="str">
        <f>HYPERLINK("http://www.youtube.com/channel/UCUMzXoG3zYGxL9zLS9ohBgg")</f>
        <v>http://www.youtube.com/channel/UCUMzXoG3zYGxL9zLS9ohBgg</v>
      </c>
      <c r="U744" s="81"/>
      <c r="V744" s="81" t="s">
        <v>2326</v>
      </c>
      <c r="W744" s="86" t="str">
        <f>HYPERLINK("https://www.youtube.com/watch?v=k0WsWXSk1dc")</f>
        <v>https://www.youtube.com/watch?v=k0WsWXSk1dc</v>
      </c>
      <c r="X744" s="81" t="s">
        <v>2335</v>
      </c>
      <c r="Y744" s="81">
        <v>0</v>
      </c>
      <c r="Z744" s="88">
        <v>43384.64336805556</v>
      </c>
      <c r="AA744" s="88">
        <v>43384.64336805556</v>
      </c>
      <c r="AB744" s="81"/>
      <c r="AC744" s="81"/>
      <c r="AD744" s="84" t="s">
        <v>2782</v>
      </c>
      <c r="AE744" s="82">
        <v>1</v>
      </c>
      <c r="AF744" s="83" t="str">
        <f>REPLACE(INDEX(GroupVertices[Group],MATCH(Edges[[#This Row],[Vertex 1]],GroupVertices[Vertex],0)),1,1,"")</f>
        <v>13</v>
      </c>
      <c r="AG744" s="83" t="str">
        <f>REPLACE(INDEX(GroupVertices[Group],MATCH(Edges[[#This Row],[Vertex 2]],GroupVertices[Vertex],0)),1,1,"")</f>
        <v>13</v>
      </c>
      <c r="AH744" s="111">
        <v>0</v>
      </c>
      <c r="AI744" s="112">
        <v>0</v>
      </c>
      <c r="AJ744" s="111">
        <v>0</v>
      </c>
      <c r="AK744" s="112">
        <v>0</v>
      </c>
      <c r="AL744" s="111">
        <v>0</v>
      </c>
      <c r="AM744" s="112">
        <v>0</v>
      </c>
      <c r="AN744" s="111">
        <v>21</v>
      </c>
      <c r="AO744" s="112">
        <v>100</v>
      </c>
      <c r="AP744" s="111">
        <v>21</v>
      </c>
    </row>
    <row r="745" spans="1:42" ht="15">
      <c r="A745" s="65" t="s">
        <v>709</v>
      </c>
      <c r="B745" s="65" t="s">
        <v>702</v>
      </c>
      <c r="C745" s="66" t="s">
        <v>5345</v>
      </c>
      <c r="D745" s="67">
        <v>3</v>
      </c>
      <c r="E745" s="68"/>
      <c r="F745" s="69">
        <v>40</v>
      </c>
      <c r="G745" s="66"/>
      <c r="H745" s="70"/>
      <c r="I745" s="71"/>
      <c r="J745" s="71"/>
      <c r="K745" s="35" t="s">
        <v>65</v>
      </c>
      <c r="L745" s="79">
        <v>745</v>
      </c>
      <c r="M745" s="79"/>
      <c r="N745" s="73"/>
      <c r="O745" s="81" t="s">
        <v>760</v>
      </c>
      <c r="P745" s="81" t="s">
        <v>215</v>
      </c>
      <c r="Q745" s="84" t="s">
        <v>1476</v>
      </c>
      <c r="R745" s="81" t="s">
        <v>709</v>
      </c>
      <c r="S745" s="81" t="s">
        <v>2037</v>
      </c>
      <c r="T745" s="86" t="str">
        <f>HYPERLINK("http://www.youtube.com/channel/UCe_keHGR4qOcBanKbYy1f1w")</f>
        <v>http://www.youtube.com/channel/UCe_keHGR4qOcBanKbYy1f1w</v>
      </c>
      <c r="U745" s="81"/>
      <c r="V745" s="81" t="s">
        <v>2326</v>
      </c>
      <c r="W745" s="86" t="str">
        <f>HYPERLINK("https://www.youtube.com/watch?v=k0WsWXSk1dc")</f>
        <v>https://www.youtube.com/watch?v=k0WsWXSk1dc</v>
      </c>
      <c r="X745" s="81" t="s">
        <v>2335</v>
      </c>
      <c r="Y745" s="81">
        <v>2</v>
      </c>
      <c r="Z745" s="88">
        <v>43986.86371527778</v>
      </c>
      <c r="AA745" s="88">
        <v>43986.86371527778</v>
      </c>
      <c r="AB745" s="81"/>
      <c r="AC745" s="81"/>
      <c r="AD745" s="84" t="s">
        <v>2782</v>
      </c>
      <c r="AE745" s="82">
        <v>1</v>
      </c>
      <c r="AF745" s="83" t="str">
        <f>REPLACE(INDEX(GroupVertices[Group],MATCH(Edges[[#This Row],[Vertex 1]],GroupVertices[Vertex],0)),1,1,"")</f>
        <v>13</v>
      </c>
      <c r="AG745" s="83" t="str">
        <f>REPLACE(INDEX(GroupVertices[Group],MATCH(Edges[[#This Row],[Vertex 2]],GroupVertices[Vertex],0)),1,1,"")</f>
        <v>13</v>
      </c>
      <c r="AH745" s="111">
        <v>0</v>
      </c>
      <c r="AI745" s="112">
        <v>0</v>
      </c>
      <c r="AJ745" s="111">
        <v>0</v>
      </c>
      <c r="AK745" s="112">
        <v>0</v>
      </c>
      <c r="AL745" s="111">
        <v>0</v>
      </c>
      <c r="AM745" s="112">
        <v>0</v>
      </c>
      <c r="AN745" s="111">
        <v>11</v>
      </c>
      <c r="AO745" s="112">
        <v>100</v>
      </c>
      <c r="AP745" s="111">
        <v>11</v>
      </c>
    </row>
    <row r="746" spans="1:42" ht="15">
      <c r="A746" s="65" t="s">
        <v>710</v>
      </c>
      <c r="B746" s="65" t="s">
        <v>711</v>
      </c>
      <c r="C746" s="66" t="s">
        <v>5345</v>
      </c>
      <c r="D746" s="67">
        <v>3</v>
      </c>
      <c r="E746" s="68"/>
      <c r="F746" s="69">
        <v>40</v>
      </c>
      <c r="G746" s="66"/>
      <c r="H746" s="70"/>
      <c r="I746" s="71"/>
      <c r="J746" s="71"/>
      <c r="K746" s="35" t="s">
        <v>65</v>
      </c>
      <c r="L746" s="79">
        <v>746</v>
      </c>
      <c r="M746" s="79"/>
      <c r="N746" s="73"/>
      <c r="O746" s="81" t="s">
        <v>760</v>
      </c>
      <c r="P746" s="81" t="s">
        <v>215</v>
      </c>
      <c r="Q746" s="84" t="s">
        <v>1477</v>
      </c>
      <c r="R746" s="81" t="s">
        <v>710</v>
      </c>
      <c r="S746" s="81" t="s">
        <v>2038</v>
      </c>
      <c r="T746" s="86" t="str">
        <f>HYPERLINK("http://www.youtube.com/channel/UCgnaHdju6k0N0Ee7rwnXMJg")</f>
        <v>http://www.youtube.com/channel/UCgnaHdju6k0N0Ee7rwnXMJg</v>
      </c>
      <c r="U746" s="81"/>
      <c r="V746" s="81" t="s">
        <v>2327</v>
      </c>
      <c r="W746" s="86" t="str">
        <f>HYPERLINK("https://www.youtube.com/watch?v=tS9IXHSdzJs")</f>
        <v>https://www.youtube.com/watch?v=tS9IXHSdzJs</v>
      </c>
      <c r="X746" s="81" t="s">
        <v>2335</v>
      </c>
      <c r="Y746" s="81">
        <v>5</v>
      </c>
      <c r="Z746" s="88">
        <v>43558.751747685186</v>
      </c>
      <c r="AA746" s="88">
        <v>43558.751747685186</v>
      </c>
      <c r="AB746" s="81"/>
      <c r="AC746" s="81"/>
      <c r="AD746" s="84" t="s">
        <v>2782</v>
      </c>
      <c r="AE746" s="82">
        <v>1</v>
      </c>
      <c r="AF746" s="83" t="str">
        <f>REPLACE(INDEX(GroupVertices[Group],MATCH(Edges[[#This Row],[Vertex 1]],GroupVertices[Vertex],0)),1,1,"")</f>
        <v>4</v>
      </c>
      <c r="AG746" s="83" t="str">
        <f>REPLACE(INDEX(GroupVertices[Group],MATCH(Edges[[#This Row],[Vertex 2]],GroupVertices[Vertex],0)),1,1,"")</f>
        <v>4</v>
      </c>
      <c r="AH746" s="111">
        <v>2</v>
      </c>
      <c r="AI746" s="112">
        <v>33.333333333333336</v>
      </c>
      <c r="AJ746" s="111">
        <v>0</v>
      </c>
      <c r="AK746" s="112">
        <v>0</v>
      </c>
      <c r="AL746" s="111">
        <v>0</v>
      </c>
      <c r="AM746" s="112">
        <v>0</v>
      </c>
      <c r="AN746" s="111">
        <v>4</v>
      </c>
      <c r="AO746" s="112">
        <v>66.66666666666667</v>
      </c>
      <c r="AP746" s="111">
        <v>6</v>
      </c>
    </row>
    <row r="747" spans="1:42" ht="15">
      <c r="A747" s="65" t="s">
        <v>711</v>
      </c>
      <c r="B747" s="65" t="s">
        <v>712</v>
      </c>
      <c r="C747" s="66" t="s">
        <v>5345</v>
      </c>
      <c r="D747" s="67">
        <v>3</v>
      </c>
      <c r="E747" s="68"/>
      <c r="F747" s="69">
        <v>40</v>
      </c>
      <c r="G747" s="66"/>
      <c r="H747" s="70"/>
      <c r="I747" s="71"/>
      <c r="J747" s="71"/>
      <c r="K747" s="35" t="s">
        <v>66</v>
      </c>
      <c r="L747" s="79">
        <v>747</v>
      </c>
      <c r="M747" s="79"/>
      <c r="N747" s="73"/>
      <c r="O747" s="81" t="s">
        <v>761</v>
      </c>
      <c r="P747" s="81" t="s">
        <v>763</v>
      </c>
      <c r="Q747" s="84" t="s">
        <v>1478</v>
      </c>
      <c r="R747" s="81" t="s">
        <v>711</v>
      </c>
      <c r="S747" s="81" t="s">
        <v>2039</v>
      </c>
      <c r="T747" s="86" t="str">
        <f>HYPERLINK("http://www.youtube.com/channel/UC_mzz_JnzArhhpGUy8KdGwg")</f>
        <v>http://www.youtube.com/channel/UC_mzz_JnzArhhpGUy8KdGwg</v>
      </c>
      <c r="U747" s="81" t="s">
        <v>2281</v>
      </c>
      <c r="V747" s="81" t="s">
        <v>2327</v>
      </c>
      <c r="W747" s="86" t="str">
        <f>HYPERLINK("https://www.youtube.com/watch?v=tS9IXHSdzJs")</f>
        <v>https://www.youtube.com/watch?v=tS9IXHSdzJs</v>
      </c>
      <c r="X747" s="81" t="s">
        <v>2335</v>
      </c>
      <c r="Y747" s="81">
        <v>1</v>
      </c>
      <c r="Z747" s="88">
        <v>43558.76278935185</v>
      </c>
      <c r="AA747" s="88">
        <v>43558.76278935185</v>
      </c>
      <c r="AB747" s="81"/>
      <c r="AC747" s="81"/>
      <c r="AD747" s="84" t="s">
        <v>2782</v>
      </c>
      <c r="AE747" s="82">
        <v>1</v>
      </c>
      <c r="AF747" s="83" t="str">
        <f>REPLACE(INDEX(GroupVertices[Group],MATCH(Edges[[#This Row],[Vertex 1]],GroupVertices[Vertex],0)),1,1,"")</f>
        <v>4</v>
      </c>
      <c r="AG747" s="83" t="str">
        <f>REPLACE(INDEX(GroupVertices[Group],MATCH(Edges[[#This Row],[Vertex 2]],GroupVertices[Vertex],0)),1,1,"")</f>
        <v>4</v>
      </c>
      <c r="AH747" s="111">
        <v>1</v>
      </c>
      <c r="AI747" s="112">
        <v>12.5</v>
      </c>
      <c r="AJ747" s="111">
        <v>0</v>
      </c>
      <c r="AK747" s="112">
        <v>0</v>
      </c>
      <c r="AL747" s="111">
        <v>0</v>
      </c>
      <c r="AM747" s="112">
        <v>0</v>
      </c>
      <c r="AN747" s="111">
        <v>7</v>
      </c>
      <c r="AO747" s="112">
        <v>87.5</v>
      </c>
      <c r="AP747" s="111">
        <v>8</v>
      </c>
    </row>
    <row r="748" spans="1:42" ht="15">
      <c r="A748" s="65" t="s">
        <v>712</v>
      </c>
      <c r="B748" s="65" t="s">
        <v>711</v>
      </c>
      <c r="C748" s="66" t="s">
        <v>5345</v>
      </c>
      <c r="D748" s="67">
        <v>3</v>
      </c>
      <c r="E748" s="68"/>
      <c r="F748" s="69">
        <v>40</v>
      </c>
      <c r="G748" s="66"/>
      <c r="H748" s="70"/>
      <c r="I748" s="71"/>
      <c r="J748" s="71"/>
      <c r="K748" s="35" t="s">
        <v>66</v>
      </c>
      <c r="L748" s="79">
        <v>748</v>
      </c>
      <c r="M748" s="79"/>
      <c r="N748" s="73"/>
      <c r="O748" s="81" t="s">
        <v>760</v>
      </c>
      <c r="P748" s="81" t="s">
        <v>215</v>
      </c>
      <c r="Q748" s="84" t="s">
        <v>1479</v>
      </c>
      <c r="R748" s="81" t="s">
        <v>712</v>
      </c>
      <c r="S748" s="81" t="s">
        <v>2040</v>
      </c>
      <c r="T748" s="86" t="str">
        <f>HYPERLINK("http://www.youtube.com/channel/UCEwcfuw3xlPdi5v1FdONZ2w")</f>
        <v>http://www.youtube.com/channel/UCEwcfuw3xlPdi5v1FdONZ2w</v>
      </c>
      <c r="U748" s="81"/>
      <c r="V748" s="81" t="s">
        <v>2327</v>
      </c>
      <c r="W748" s="86" t="str">
        <f>HYPERLINK("https://www.youtube.com/watch?v=tS9IXHSdzJs")</f>
        <v>https://www.youtube.com/watch?v=tS9IXHSdzJs</v>
      </c>
      <c r="X748" s="81" t="s">
        <v>2335</v>
      </c>
      <c r="Y748" s="81">
        <v>5</v>
      </c>
      <c r="Z748" s="88">
        <v>43558.75635416667</v>
      </c>
      <c r="AA748" s="88">
        <v>43558.75635416667</v>
      </c>
      <c r="AB748" s="81"/>
      <c r="AC748" s="81"/>
      <c r="AD748" s="84" t="s">
        <v>2782</v>
      </c>
      <c r="AE748" s="82">
        <v>1</v>
      </c>
      <c r="AF748" s="83" t="str">
        <f>REPLACE(INDEX(GroupVertices[Group],MATCH(Edges[[#This Row],[Vertex 1]],GroupVertices[Vertex],0)),1,1,"")</f>
        <v>4</v>
      </c>
      <c r="AG748" s="83" t="str">
        <f>REPLACE(INDEX(GroupVertices[Group],MATCH(Edges[[#This Row],[Vertex 2]],GroupVertices[Vertex],0)),1,1,"")</f>
        <v>4</v>
      </c>
      <c r="AH748" s="111">
        <v>2</v>
      </c>
      <c r="AI748" s="112">
        <v>7.407407407407407</v>
      </c>
      <c r="AJ748" s="111">
        <v>0</v>
      </c>
      <c r="AK748" s="112">
        <v>0</v>
      </c>
      <c r="AL748" s="111">
        <v>0</v>
      </c>
      <c r="AM748" s="112">
        <v>0</v>
      </c>
      <c r="AN748" s="111">
        <v>25</v>
      </c>
      <c r="AO748" s="112">
        <v>92.5925925925926</v>
      </c>
      <c r="AP748" s="111">
        <v>27</v>
      </c>
    </row>
    <row r="749" spans="1:42" ht="15">
      <c r="A749" s="65" t="s">
        <v>713</v>
      </c>
      <c r="B749" s="65" t="s">
        <v>711</v>
      </c>
      <c r="C749" s="66" t="s">
        <v>5345</v>
      </c>
      <c r="D749" s="67">
        <v>3</v>
      </c>
      <c r="E749" s="68"/>
      <c r="F749" s="69">
        <v>40</v>
      </c>
      <c r="G749" s="66"/>
      <c r="H749" s="70"/>
      <c r="I749" s="71"/>
      <c r="J749" s="71"/>
      <c r="K749" s="35" t="s">
        <v>65</v>
      </c>
      <c r="L749" s="79">
        <v>749</v>
      </c>
      <c r="M749" s="79"/>
      <c r="N749" s="73"/>
      <c r="O749" s="81" t="s">
        <v>760</v>
      </c>
      <c r="P749" s="81" t="s">
        <v>215</v>
      </c>
      <c r="Q749" s="84" t="s">
        <v>1480</v>
      </c>
      <c r="R749" s="81" t="s">
        <v>713</v>
      </c>
      <c r="S749" s="81" t="s">
        <v>2041</v>
      </c>
      <c r="T749" s="86" t="str">
        <f>HYPERLINK("http://www.youtube.com/channel/UCd5tGuyf50rswHW6ysms79Q")</f>
        <v>http://www.youtube.com/channel/UCd5tGuyf50rswHW6ysms79Q</v>
      </c>
      <c r="U749" s="81"/>
      <c r="V749" s="81" t="s">
        <v>2327</v>
      </c>
      <c r="W749" s="86" t="str">
        <f>HYPERLINK("https://www.youtube.com/watch?v=tS9IXHSdzJs")</f>
        <v>https://www.youtube.com/watch?v=tS9IXHSdzJs</v>
      </c>
      <c r="X749" s="81" t="s">
        <v>2335</v>
      </c>
      <c r="Y749" s="81">
        <v>0</v>
      </c>
      <c r="Z749" s="88">
        <v>43558.75734953704</v>
      </c>
      <c r="AA749" s="88">
        <v>43558.75734953704</v>
      </c>
      <c r="AB749" s="81"/>
      <c r="AC749" s="81"/>
      <c r="AD749" s="84" t="s">
        <v>2782</v>
      </c>
      <c r="AE749" s="82">
        <v>1</v>
      </c>
      <c r="AF749" s="83" t="str">
        <f>REPLACE(INDEX(GroupVertices[Group],MATCH(Edges[[#This Row],[Vertex 1]],GroupVertices[Vertex],0)),1,1,"")</f>
        <v>4</v>
      </c>
      <c r="AG749" s="83" t="str">
        <f>REPLACE(INDEX(GroupVertices[Group],MATCH(Edges[[#This Row],[Vertex 2]],GroupVertices[Vertex],0)),1,1,"")</f>
        <v>4</v>
      </c>
      <c r="AH749" s="111">
        <v>1</v>
      </c>
      <c r="AI749" s="112">
        <v>50</v>
      </c>
      <c r="AJ749" s="111">
        <v>0</v>
      </c>
      <c r="AK749" s="112">
        <v>0</v>
      </c>
      <c r="AL749" s="111">
        <v>0</v>
      </c>
      <c r="AM749" s="112">
        <v>0</v>
      </c>
      <c r="AN749" s="111">
        <v>1</v>
      </c>
      <c r="AO749" s="112">
        <v>50</v>
      </c>
      <c r="AP749" s="111">
        <v>2</v>
      </c>
    </row>
    <row r="750" spans="1:42" ht="15">
      <c r="A750" s="65" t="s">
        <v>714</v>
      </c>
      <c r="B750" s="65" t="s">
        <v>711</v>
      </c>
      <c r="C750" s="66" t="s">
        <v>5345</v>
      </c>
      <c r="D750" s="67">
        <v>3</v>
      </c>
      <c r="E750" s="68"/>
      <c r="F750" s="69">
        <v>40</v>
      </c>
      <c r="G750" s="66"/>
      <c r="H750" s="70"/>
      <c r="I750" s="71"/>
      <c r="J750" s="71"/>
      <c r="K750" s="35" t="s">
        <v>65</v>
      </c>
      <c r="L750" s="79">
        <v>750</v>
      </c>
      <c r="M750" s="79"/>
      <c r="N750" s="73"/>
      <c r="O750" s="81" t="s">
        <v>760</v>
      </c>
      <c r="P750" s="81" t="s">
        <v>215</v>
      </c>
      <c r="Q750" s="84" t="s">
        <v>1481</v>
      </c>
      <c r="R750" s="81" t="s">
        <v>714</v>
      </c>
      <c r="S750" s="81" t="s">
        <v>2042</v>
      </c>
      <c r="T750" s="86" t="str">
        <f>HYPERLINK("http://www.youtube.com/channel/UC5ZcPA6-X0whhYP1npEwe4Q")</f>
        <v>http://www.youtube.com/channel/UC5ZcPA6-X0whhYP1npEwe4Q</v>
      </c>
      <c r="U750" s="81"/>
      <c r="V750" s="81" t="s">
        <v>2327</v>
      </c>
      <c r="W750" s="86" t="str">
        <f>HYPERLINK("https://www.youtube.com/watch?v=tS9IXHSdzJs")</f>
        <v>https://www.youtube.com/watch?v=tS9IXHSdzJs</v>
      </c>
      <c r="X750" s="81" t="s">
        <v>2335</v>
      </c>
      <c r="Y750" s="81">
        <v>0</v>
      </c>
      <c r="Z750" s="88">
        <v>43558.76219907407</v>
      </c>
      <c r="AA750" s="88">
        <v>43558.76219907407</v>
      </c>
      <c r="AB750" s="81"/>
      <c r="AC750" s="81"/>
      <c r="AD750" s="84" t="s">
        <v>2782</v>
      </c>
      <c r="AE750" s="82">
        <v>1</v>
      </c>
      <c r="AF750" s="83" t="str">
        <f>REPLACE(INDEX(GroupVertices[Group],MATCH(Edges[[#This Row],[Vertex 1]],GroupVertices[Vertex],0)),1,1,"")</f>
        <v>4</v>
      </c>
      <c r="AG750" s="83" t="str">
        <f>REPLACE(INDEX(GroupVertices[Group],MATCH(Edges[[#This Row],[Vertex 2]],GroupVertices[Vertex],0)),1,1,"")</f>
        <v>4</v>
      </c>
      <c r="AH750" s="111">
        <v>1</v>
      </c>
      <c r="AI750" s="112">
        <v>14.285714285714286</v>
      </c>
      <c r="AJ750" s="111">
        <v>0</v>
      </c>
      <c r="AK750" s="112">
        <v>0</v>
      </c>
      <c r="AL750" s="111">
        <v>0</v>
      </c>
      <c r="AM750" s="112">
        <v>0</v>
      </c>
      <c r="AN750" s="111">
        <v>6</v>
      </c>
      <c r="AO750" s="112">
        <v>85.71428571428571</v>
      </c>
      <c r="AP750" s="111">
        <v>7</v>
      </c>
    </row>
    <row r="751" spans="1:42" ht="15">
      <c r="A751" s="65" t="s">
        <v>715</v>
      </c>
      <c r="B751" s="65" t="s">
        <v>711</v>
      </c>
      <c r="C751" s="66" t="s">
        <v>5345</v>
      </c>
      <c r="D751" s="67">
        <v>3</v>
      </c>
      <c r="E751" s="68"/>
      <c r="F751" s="69">
        <v>40</v>
      </c>
      <c r="G751" s="66"/>
      <c r="H751" s="70"/>
      <c r="I751" s="71"/>
      <c r="J751" s="71"/>
      <c r="K751" s="35" t="s">
        <v>65</v>
      </c>
      <c r="L751" s="79">
        <v>751</v>
      </c>
      <c r="M751" s="79"/>
      <c r="N751" s="73"/>
      <c r="O751" s="81" t="s">
        <v>760</v>
      </c>
      <c r="P751" s="81" t="s">
        <v>215</v>
      </c>
      <c r="Q751" s="84" t="s">
        <v>1482</v>
      </c>
      <c r="R751" s="81" t="s">
        <v>715</v>
      </c>
      <c r="S751" s="81" t="s">
        <v>2043</v>
      </c>
      <c r="T751" s="86" t="str">
        <f>HYPERLINK("http://www.youtube.com/channel/UCEviggN0WxNwHiufusRgv_A")</f>
        <v>http://www.youtube.com/channel/UCEviggN0WxNwHiufusRgv_A</v>
      </c>
      <c r="U751" s="81"/>
      <c r="V751" s="81" t="s">
        <v>2327</v>
      </c>
      <c r="W751" s="86" t="str">
        <f>HYPERLINK("https://www.youtube.com/watch?v=tS9IXHSdzJs")</f>
        <v>https://www.youtube.com/watch?v=tS9IXHSdzJs</v>
      </c>
      <c r="X751" s="81" t="s">
        <v>2335</v>
      </c>
      <c r="Y751" s="81">
        <v>1</v>
      </c>
      <c r="Z751" s="88">
        <v>43558.7746412037</v>
      </c>
      <c r="AA751" s="88">
        <v>43558.7746412037</v>
      </c>
      <c r="AB751" s="81"/>
      <c r="AC751" s="81"/>
      <c r="AD751" s="84" t="s">
        <v>2782</v>
      </c>
      <c r="AE751" s="82">
        <v>1</v>
      </c>
      <c r="AF751" s="83" t="str">
        <f>REPLACE(INDEX(GroupVertices[Group],MATCH(Edges[[#This Row],[Vertex 1]],GroupVertices[Vertex],0)),1,1,"")</f>
        <v>4</v>
      </c>
      <c r="AG751" s="83" t="str">
        <f>REPLACE(INDEX(GroupVertices[Group],MATCH(Edges[[#This Row],[Vertex 2]],GroupVertices[Vertex],0)),1,1,"")</f>
        <v>4</v>
      </c>
      <c r="AH751" s="111">
        <v>2</v>
      </c>
      <c r="AI751" s="112">
        <v>22.22222222222222</v>
      </c>
      <c r="AJ751" s="111">
        <v>0</v>
      </c>
      <c r="AK751" s="112">
        <v>0</v>
      </c>
      <c r="AL751" s="111">
        <v>0</v>
      </c>
      <c r="AM751" s="112">
        <v>0</v>
      </c>
      <c r="AN751" s="111">
        <v>7</v>
      </c>
      <c r="AO751" s="112">
        <v>77.77777777777777</v>
      </c>
      <c r="AP751" s="111">
        <v>9</v>
      </c>
    </row>
    <row r="752" spans="1:42" ht="15">
      <c r="A752" s="65" t="s">
        <v>716</v>
      </c>
      <c r="B752" s="65" t="s">
        <v>711</v>
      </c>
      <c r="C752" s="66" t="s">
        <v>5345</v>
      </c>
      <c r="D752" s="67">
        <v>3</v>
      </c>
      <c r="E752" s="68"/>
      <c r="F752" s="69">
        <v>40</v>
      </c>
      <c r="G752" s="66"/>
      <c r="H752" s="70"/>
      <c r="I752" s="71"/>
      <c r="J752" s="71"/>
      <c r="K752" s="35" t="s">
        <v>65</v>
      </c>
      <c r="L752" s="79">
        <v>752</v>
      </c>
      <c r="M752" s="79"/>
      <c r="N752" s="73"/>
      <c r="O752" s="81" t="s">
        <v>760</v>
      </c>
      <c r="P752" s="81" t="s">
        <v>215</v>
      </c>
      <c r="Q752" s="84" t="s">
        <v>1483</v>
      </c>
      <c r="R752" s="81" t="s">
        <v>716</v>
      </c>
      <c r="S752" s="81" t="s">
        <v>2044</v>
      </c>
      <c r="T752" s="86" t="str">
        <f>HYPERLINK("http://www.youtube.com/channel/UCjf8R1DW406K8XAXDLi-kOA")</f>
        <v>http://www.youtube.com/channel/UCjf8R1DW406K8XAXDLi-kOA</v>
      </c>
      <c r="U752" s="81"/>
      <c r="V752" s="81" t="s">
        <v>2327</v>
      </c>
      <c r="W752" s="86" t="str">
        <f>HYPERLINK("https://www.youtube.com/watch?v=tS9IXHSdzJs")</f>
        <v>https://www.youtube.com/watch?v=tS9IXHSdzJs</v>
      </c>
      <c r="X752" s="81" t="s">
        <v>2335</v>
      </c>
      <c r="Y752" s="81">
        <v>1</v>
      </c>
      <c r="Z752" s="88">
        <v>43558.77662037037</v>
      </c>
      <c r="AA752" s="88">
        <v>43558.77662037037</v>
      </c>
      <c r="AB752" s="81"/>
      <c r="AC752" s="81"/>
      <c r="AD752" s="84" t="s">
        <v>2782</v>
      </c>
      <c r="AE752" s="82">
        <v>1</v>
      </c>
      <c r="AF752" s="83" t="str">
        <f>REPLACE(INDEX(GroupVertices[Group],MATCH(Edges[[#This Row],[Vertex 1]],GroupVertices[Vertex],0)),1,1,"")</f>
        <v>4</v>
      </c>
      <c r="AG752" s="83" t="str">
        <f>REPLACE(INDEX(GroupVertices[Group],MATCH(Edges[[#This Row],[Vertex 2]],GroupVertices[Vertex],0)),1,1,"")</f>
        <v>4</v>
      </c>
      <c r="AH752" s="111">
        <v>0</v>
      </c>
      <c r="AI752" s="112">
        <v>0</v>
      </c>
      <c r="AJ752" s="111">
        <v>0</v>
      </c>
      <c r="AK752" s="112">
        <v>0</v>
      </c>
      <c r="AL752" s="111">
        <v>0</v>
      </c>
      <c r="AM752" s="112">
        <v>0</v>
      </c>
      <c r="AN752" s="111">
        <v>3</v>
      </c>
      <c r="AO752" s="112">
        <v>100</v>
      </c>
      <c r="AP752" s="111">
        <v>3</v>
      </c>
    </row>
    <row r="753" spans="1:42" ht="15">
      <c r="A753" s="65" t="s">
        <v>711</v>
      </c>
      <c r="B753" s="65" t="s">
        <v>717</v>
      </c>
      <c r="C753" s="66" t="s">
        <v>5345</v>
      </c>
      <c r="D753" s="67">
        <v>3</v>
      </c>
      <c r="E753" s="68"/>
      <c r="F753" s="69">
        <v>40</v>
      </c>
      <c r="G753" s="66"/>
      <c r="H753" s="70"/>
      <c r="I753" s="71"/>
      <c r="J753" s="71"/>
      <c r="K753" s="35" t="s">
        <v>66</v>
      </c>
      <c r="L753" s="79">
        <v>753</v>
      </c>
      <c r="M753" s="79"/>
      <c r="N753" s="73"/>
      <c r="O753" s="81" t="s">
        <v>761</v>
      </c>
      <c r="P753" s="81" t="s">
        <v>763</v>
      </c>
      <c r="Q753" s="84" t="s">
        <v>1484</v>
      </c>
      <c r="R753" s="81" t="s">
        <v>711</v>
      </c>
      <c r="S753" s="81" t="s">
        <v>2039</v>
      </c>
      <c r="T753" s="86" t="str">
        <f>HYPERLINK("http://www.youtube.com/channel/UC_mzz_JnzArhhpGUy8KdGwg")</f>
        <v>http://www.youtube.com/channel/UC_mzz_JnzArhhpGUy8KdGwg</v>
      </c>
      <c r="U753" s="81" t="s">
        <v>2282</v>
      </c>
      <c r="V753" s="81" t="s">
        <v>2327</v>
      </c>
      <c r="W753" s="86" t="str">
        <f>HYPERLINK("https://www.youtube.com/watch?v=tS9IXHSdzJs")</f>
        <v>https://www.youtube.com/watch?v=tS9IXHSdzJs</v>
      </c>
      <c r="X753" s="81" t="s">
        <v>2335</v>
      </c>
      <c r="Y753" s="81">
        <v>0</v>
      </c>
      <c r="Z753" s="88">
        <v>43558.784050925926</v>
      </c>
      <c r="AA753" s="88">
        <v>43558.784050925926</v>
      </c>
      <c r="AB753" s="81"/>
      <c r="AC753" s="81"/>
      <c r="AD753" s="84" t="s">
        <v>2782</v>
      </c>
      <c r="AE753" s="82">
        <v>1</v>
      </c>
      <c r="AF753" s="83" t="str">
        <f>REPLACE(INDEX(GroupVertices[Group],MATCH(Edges[[#This Row],[Vertex 1]],GroupVertices[Vertex],0)),1,1,"")</f>
        <v>4</v>
      </c>
      <c r="AG753" s="83" t="str">
        <f>REPLACE(INDEX(GroupVertices[Group],MATCH(Edges[[#This Row],[Vertex 2]],GroupVertices[Vertex],0)),1,1,"")</f>
        <v>4</v>
      </c>
      <c r="AH753" s="111">
        <v>2</v>
      </c>
      <c r="AI753" s="112">
        <v>10</v>
      </c>
      <c r="AJ753" s="111">
        <v>0</v>
      </c>
      <c r="AK753" s="112">
        <v>0</v>
      </c>
      <c r="AL753" s="111">
        <v>0</v>
      </c>
      <c r="AM753" s="112">
        <v>0</v>
      </c>
      <c r="AN753" s="111">
        <v>18</v>
      </c>
      <c r="AO753" s="112">
        <v>90</v>
      </c>
      <c r="AP753" s="111">
        <v>20</v>
      </c>
    </row>
    <row r="754" spans="1:42" ht="15">
      <c r="A754" s="65" t="s">
        <v>717</v>
      </c>
      <c r="B754" s="65" t="s">
        <v>711</v>
      </c>
      <c r="C754" s="66" t="s">
        <v>5345</v>
      </c>
      <c r="D754" s="67">
        <v>3</v>
      </c>
      <c r="E754" s="68"/>
      <c r="F754" s="69">
        <v>40</v>
      </c>
      <c r="G754" s="66"/>
      <c r="H754" s="70"/>
      <c r="I754" s="71"/>
      <c r="J754" s="71"/>
      <c r="K754" s="35" t="s">
        <v>66</v>
      </c>
      <c r="L754" s="79">
        <v>754</v>
      </c>
      <c r="M754" s="79"/>
      <c r="N754" s="73"/>
      <c r="O754" s="81" t="s">
        <v>760</v>
      </c>
      <c r="P754" s="81" t="s">
        <v>215</v>
      </c>
      <c r="Q754" s="84" t="s">
        <v>1485</v>
      </c>
      <c r="R754" s="81" t="s">
        <v>717</v>
      </c>
      <c r="S754" s="81" t="s">
        <v>2045</v>
      </c>
      <c r="T754" s="86" t="str">
        <f>HYPERLINK("http://www.youtube.com/channel/UCVCfdXYA9VBy89Rrc1NsOkA")</f>
        <v>http://www.youtube.com/channel/UCVCfdXYA9VBy89Rrc1NsOkA</v>
      </c>
      <c r="U754" s="81"/>
      <c r="V754" s="81" t="s">
        <v>2327</v>
      </c>
      <c r="W754" s="86" t="str">
        <f>HYPERLINK("https://www.youtube.com/watch?v=tS9IXHSdzJs")</f>
        <v>https://www.youtube.com/watch?v=tS9IXHSdzJs</v>
      </c>
      <c r="X754" s="81" t="s">
        <v>2335</v>
      </c>
      <c r="Y754" s="81">
        <v>0</v>
      </c>
      <c r="Z754" s="88">
        <v>43558.779756944445</v>
      </c>
      <c r="AA754" s="88">
        <v>43558.779756944445</v>
      </c>
      <c r="AB754" s="81"/>
      <c r="AC754" s="81"/>
      <c r="AD754" s="84" t="s">
        <v>2782</v>
      </c>
      <c r="AE754" s="82">
        <v>1</v>
      </c>
      <c r="AF754" s="83" t="str">
        <f>REPLACE(INDEX(GroupVertices[Group],MATCH(Edges[[#This Row],[Vertex 1]],GroupVertices[Vertex],0)),1,1,"")</f>
        <v>4</v>
      </c>
      <c r="AG754" s="83" t="str">
        <f>REPLACE(INDEX(GroupVertices[Group],MATCH(Edges[[#This Row],[Vertex 2]],GroupVertices[Vertex],0)),1,1,"")</f>
        <v>4</v>
      </c>
      <c r="AH754" s="111">
        <v>2</v>
      </c>
      <c r="AI754" s="112">
        <v>8</v>
      </c>
      <c r="AJ754" s="111">
        <v>0</v>
      </c>
      <c r="AK754" s="112">
        <v>0</v>
      </c>
      <c r="AL754" s="111">
        <v>0</v>
      </c>
      <c r="AM754" s="112">
        <v>0</v>
      </c>
      <c r="AN754" s="111">
        <v>23</v>
      </c>
      <c r="AO754" s="112">
        <v>92</v>
      </c>
      <c r="AP754" s="111">
        <v>25</v>
      </c>
    </row>
    <row r="755" spans="1:42" ht="15">
      <c r="A755" s="65" t="s">
        <v>711</v>
      </c>
      <c r="B755" s="65" t="s">
        <v>718</v>
      </c>
      <c r="C755" s="66" t="s">
        <v>5345</v>
      </c>
      <c r="D755" s="67">
        <v>3</v>
      </c>
      <c r="E755" s="68"/>
      <c r="F755" s="69">
        <v>40</v>
      </c>
      <c r="G755" s="66"/>
      <c r="H755" s="70"/>
      <c r="I755" s="71"/>
      <c r="J755" s="71"/>
      <c r="K755" s="35" t="s">
        <v>66</v>
      </c>
      <c r="L755" s="79">
        <v>755</v>
      </c>
      <c r="M755" s="79"/>
      <c r="N755" s="73"/>
      <c r="O755" s="81" t="s">
        <v>761</v>
      </c>
      <c r="P755" s="81" t="s">
        <v>763</v>
      </c>
      <c r="Q755" s="84" t="s">
        <v>1486</v>
      </c>
      <c r="R755" s="81" t="s">
        <v>711</v>
      </c>
      <c r="S755" s="81" t="s">
        <v>2039</v>
      </c>
      <c r="T755" s="86" t="str">
        <f>HYPERLINK("http://www.youtube.com/channel/UC_mzz_JnzArhhpGUy8KdGwg")</f>
        <v>http://www.youtube.com/channel/UC_mzz_JnzArhhpGUy8KdGwg</v>
      </c>
      <c r="U755" s="81" t="s">
        <v>2283</v>
      </c>
      <c r="V755" s="81" t="s">
        <v>2327</v>
      </c>
      <c r="W755" s="86" t="str">
        <f>HYPERLINK("https://www.youtube.com/watch?v=tS9IXHSdzJs")</f>
        <v>https://www.youtube.com/watch?v=tS9IXHSdzJs</v>
      </c>
      <c r="X755" s="81" t="s">
        <v>2335</v>
      </c>
      <c r="Y755" s="81">
        <v>1</v>
      </c>
      <c r="Z755" s="88">
        <v>43558.785474537035</v>
      </c>
      <c r="AA755" s="88">
        <v>43558.785474537035</v>
      </c>
      <c r="AB755" s="81"/>
      <c r="AC755" s="81"/>
      <c r="AD755" s="84" t="s">
        <v>2782</v>
      </c>
      <c r="AE755" s="82">
        <v>1</v>
      </c>
      <c r="AF755" s="83" t="str">
        <f>REPLACE(INDEX(GroupVertices[Group],MATCH(Edges[[#This Row],[Vertex 1]],GroupVertices[Vertex],0)),1,1,"")</f>
        <v>4</v>
      </c>
      <c r="AG755" s="83" t="str">
        <f>REPLACE(INDEX(GroupVertices[Group],MATCH(Edges[[#This Row],[Vertex 2]],GroupVertices[Vertex],0)),1,1,"")</f>
        <v>4</v>
      </c>
      <c r="AH755" s="111">
        <v>0</v>
      </c>
      <c r="AI755" s="112">
        <v>0</v>
      </c>
      <c r="AJ755" s="111">
        <v>0</v>
      </c>
      <c r="AK755" s="112">
        <v>0</v>
      </c>
      <c r="AL755" s="111">
        <v>0</v>
      </c>
      <c r="AM755" s="112">
        <v>0</v>
      </c>
      <c r="AN755" s="111">
        <v>11</v>
      </c>
      <c r="AO755" s="112">
        <v>100</v>
      </c>
      <c r="AP755" s="111">
        <v>11</v>
      </c>
    </row>
    <row r="756" spans="1:42" ht="15">
      <c r="A756" s="65" t="s">
        <v>718</v>
      </c>
      <c r="B756" s="65" t="s">
        <v>711</v>
      </c>
      <c r="C756" s="66" t="s">
        <v>5345</v>
      </c>
      <c r="D756" s="67">
        <v>3</v>
      </c>
      <c r="E756" s="68"/>
      <c r="F756" s="69">
        <v>40</v>
      </c>
      <c r="G756" s="66"/>
      <c r="H756" s="70"/>
      <c r="I756" s="71"/>
      <c r="J756" s="71"/>
      <c r="K756" s="35" t="s">
        <v>66</v>
      </c>
      <c r="L756" s="79">
        <v>756</v>
      </c>
      <c r="M756" s="79"/>
      <c r="N756" s="73"/>
      <c r="O756" s="81" t="s">
        <v>760</v>
      </c>
      <c r="P756" s="81" t="s">
        <v>215</v>
      </c>
      <c r="Q756" s="84" t="s">
        <v>1487</v>
      </c>
      <c r="R756" s="81" t="s">
        <v>718</v>
      </c>
      <c r="S756" s="81" t="s">
        <v>2046</v>
      </c>
      <c r="T756" s="86" t="str">
        <f>HYPERLINK("http://www.youtube.com/channel/UCdqC1ybp2Mbv2xR608Wboqg")</f>
        <v>http://www.youtube.com/channel/UCdqC1ybp2Mbv2xR608Wboqg</v>
      </c>
      <c r="U756" s="81"/>
      <c r="V756" s="81" t="s">
        <v>2327</v>
      </c>
      <c r="W756" s="86" t="str">
        <f>HYPERLINK("https://www.youtube.com/watch?v=tS9IXHSdzJs")</f>
        <v>https://www.youtube.com/watch?v=tS9IXHSdzJs</v>
      </c>
      <c r="X756" s="81" t="s">
        <v>2335</v>
      </c>
      <c r="Y756" s="81">
        <v>5</v>
      </c>
      <c r="Z756" s="88">
        <v>43558.779861111114</v>
      </c>
      <c r="AA756" s="88">
        <v>43558.779861111114</v>
      </c>
      <c r="AB756" s="81" t="s">
        <v>2767</v>
      </c>
      <c r="AC756" s="81" t="s">
        <v>2772</v>
      </c>
      <c r="AD756" s="84" t="s">
        <v>2782</v>
      </c>
      <c r="AE756" s="82">
        <v>1</v>
      </c>
      <c r="AF756" s="83" t="str">
        <f>REPLACE(INDEX(GroupVertices[Group],MATCH(Edges[[#This Row],[Vertex 1]],GroupVertices[Vertex],0)),1,1,"")</f>
        <v>4</v>
      </c>
      <c r="AG756" s="83" t="str">
        <f>REPLACE(INDEX(GroupVertices[Group],MATCH(Edges[[#This Row],[Vertex 2]],GroupVertices[Vertex],0)),1,1,"")</f>
        <v>4</v>
      </c>
      <c r="AH756" s="111">
        <v>0</v>
      </c>
      <c r="AI756" s="112">
        <v>0</v>
      </c>
      <c r="AJ756" s="111">
        <v>0</v>
      </c>
      <c r="AK756" s="112">
        <v>0</v>
      </c>
      <c r="AL756" s="111">
        <v>0</v>
      </c>
      <c r="AM756" s="112">
        <v>0</v>
      </c>
      <c r="AN756" s="111">
        <v>20</v>
      </c>
      <c r="AO756" s="112">
        <v>100</v>
      </c>
      <c r="AP756" s="111">
        <v>20</v>
      </c>
    </row>
    <row r="757" spans="1:42" ht="15">
      <c r="A757" s="65" t="s">
        <v>711</v>
      </c>
      <c r="B757" s="65" t="s">
        <v>719</v>
      </c>
      <c r="C757" s="66" t="s">
        <v>5350</v>
      </c>
      <c r="D757" s="67">
        <v>10</v>
      </c>
      <c r="E757" s="68"/>
      <c r="F757" s="69">
        <v>15</v>
      </c>
      <c r="G757" s="66"/>
      <c r="H757" s="70"/>
      <c r="I757" s="71"/>
      <c r="J757" s="71"/>
      <c r="K757" s="35" t="s">
        <v>66</v>
      </c>
      <c r="L757" s="79">
        <v>757</v>
      </c>
      <c r="M757" s="79"/>
      <c r="N757" s="73"/>
      <c r="O757" s="81" t="s">
        <v>761</v>
      </c>
      <c r="P757" s="81" t="s">
        <v>763</v>
      </c>
      <c r="Q757" s="84" t="s">
        <v>1488</v>
      </c>
      <c r="R757" s="81" t="s">
        <v>711</v>
      </c>
      <c r="S757" s="81" t="s">
        <v>2039</v>
      </c>
      <c r="T757" s="86" t="str">
        <f>HYPERLINK("http://www.youtube.com/channel/UC_mzz_JnzArhhpGUy8KdGwg")</f>
        <v>http://www.youtube.com/channel/UC_mzz_JnzArhhpGUy8KdGwg</v>
      </c>
      <c r="U757" s="81" t="s">
        <v>2284</v>
      </c>
      <c r="V757" s="81" t="s">
        <v>2327</v>
      </c>
      <c r="W757" s="86" t="str">
        <f>HYPERLINK("https://www.youtube.com/watch?v=tS9IXHSdzJs")</f>
        <v>https://www.youtube.com/watch?v=tS9IXHSdzJs</v>
      </c>
      <c r="X757" s="81" t="s">
        <v>2335</v>
      </c>
      <c r="Y757" s="81">
        <v>1</v>
      </c>
      <c r="Z757" s="88">
        <v>43558.78273148148</v>
      </c>
      <c r="AA757" s="88">
        <v>43558.78273148148</v>
      </c>
      <c r="AB757" s="81"/>
      <c r="AC757" s="81"/>
      <c r="AD757" s="84" t="s">
        <v>2782</v>
      </c>
      <c r="AE757" s="82">
        <v>5</v>
      </c>
      <c r="AF757" s="83" t="str">
        <f>REPLACE(INDEX(GroupVertices[Group],MATCH(Edges[[#This Row],[Vertex 1]],GroupVertices[Vertex],0)),1,1,"")</f>
        <v>4</v>
      </c>
      <c r="AG757" s="83" t="str">
        <f>REPLACE(INDEX(GroupVertices[Group],MATCH(Edges[[#This Row],[Vertex 2]],GroupVertices[Vertex],0)),1,1,"")</f>
        <v>4</v>
      </c>
      <c r="AH757" s="111">
        <v>0</v>
      </c>
      <c r="AI757" s="112">
        <v>0</v>
      </c>
      <c r="AJ757" s="111">
        <v>0</v>
      </c>
      <c r="AK757" s="112">
        <v>0</v>
      </c>
      <c r="AL757" s="111">
        <v>0</v>
      </c>
      <c r="AM757" s="112">
        <v>0</v>
      </c>
      <c r="AN757" s="111">
        <v>3</v>
      </c>
      <c r="AO757" s="112">
        <v>100</v>
      </c>
      <c r="AP757" s="111">
        <v>3</v>
      </c>
    </row>
    <row r="758" spans="1:42" ht="15">
      <c r="A758" s="65" t="s">
        <v>719</v>
      </c>
      <c r="B758" s="65" t="s">
        <v>711</v>
      </c>
      <c r="C758" s="66" t="s">
        <v>5346</v>
      </c>
      <c r="D758" s="67">
        <v>10</v>
      </c>
      <c r="E758" s="68"/>
      <c r="F758" s="69">
        <v>15</v>
      </c>
      <c r="G758" s="66"/>
      <c r="H758" s="70"/>
      <c r="I758" s="71"/>
      <c r="J758" s="71"/>
      <c r="K758" s="35" t="s">
        <v>66</v>
      </c>
      <c r="L758" s="79">
        <v>758</v>
      </c>
      <c r="M758" s="79"/>
      <c r="N758" s="73"/>
      <c r="O758" s="81" t="s">
        <v>760</v>
      </c>
      <c r="P758" s="81" t="s">
        <v>215</v>
      </c>
      <c r="Q758" s="84" t="s">
        <v>1489</v>
      </c>
      <c r="R758" s="81" t="s">
        <v>719</v>
      </c>
      <c r="S758" s="81" t="s">
        <v>2047</v>
      </c>
      <c r="T758" s="86" t="str">
        <f>HYPERLINK("http://www.youtube.com/channel/UC83yBpdeTa_AkuuvKbtTACQ")</f>
        <v>http://www.youtube.com/channel/UC83yBpdeTa_AkuuvKbtTACQ</v>
      </c>
      <c r="U758" s="81"/>
      <c r="V758" s="81" t="s">
        <v>2327</v>
      </c>
      <c r="W758" s="86" t="str">
        <f>HYPERLINK("https://www.youtube.com/watch?v=tS9IXHSdzJs")</f>
        <v>https://www.youtube.com/watch?v=tS9IXHSdzJs</v>
      </c>
      <c r="X758" s="81" t="s">
        <v>2335</v>
      </c>
      <c r="Y758" s="81">
        <v>0</v>
      </c>
      <c r="Z758" s="88">
        <v>43558.78010416667</v>
      </c>
      <c r="AA758" s="88">
        <v>43558.78010416667</v>
      </c>
      <c r="AB758" s="81"/>
      <c r="AC758" s="81"/>
      <c r="AD758" s="84" t="s">
        <v>2782</v>
      </c>
      <c r="AE758" s="82">
        <v>2</v>
      </c>
      <c r="AF758" s="83" t="str">
        <f>REPLACE(INDEX(GroupVertices[Group],MATCH(Edges[[#This Row],[Vertex 1]],GroupVertices[Vertex],0)),1,1,"")</f>
        <v>4</v>
      </c>
      <c r="AG758" s="83" t="str">
        <f>REPLACE(INDEX(GroupVertices[Group],MATCH(Edges[[#This Row],[Vertex 2]],GroupVertices[Vertex],0)),1,1,"")</f>
        <v>4</v>
      </c>
      <c r="AH758" s="111">
        <v>0</v>
      </c>
      <c r="AI758" s="112">
        <v>0</v>
      </c>
      <c r="AJ758" s="111">
        <v>0</v>
      </c>
      <c r="AK758" s="112">
        <v>0</v>
      </c>
      <c r="AL758" s="111">
        <v>0</v>
      </c>
      <c r="AM758" s="112">
        <v>0</v>
      </c>
      <c r="AN758" s="111">
        <v>4</v>
      </c>
      <c r="AO758" s="112">
        <v>100</v>
      </c>
      <c r="AP758" s="111">
        <v>4</v>
      </c>
    </row>
    <row r="759" spans="1:42" ht="15">
      <c r="A759" s="65" t="s">
        <v>711</v>
      </c>
      <c r="B759" s="65" t="s">
        <v>719</v>
      </c>
      <c r="C759" s="66" t="s">
        <v>5350</v>
      </c>
      <c r="D759" s="67">
        <v>10</v>
      </c>
      <c r="E759" s="68"/>
      <c r="F759" s="69">
        <v>15</v>
      </c>
      <c r="G759" s="66"/>
      <c r="H759" s="70"/>
      <c r="I759" s="71"/>
      <c r="J759" s="71"/>
      <c r="K759" s="35" t="s">
        <v>66</v>
      </c>
      <c r="L759" s="79">
        <v>759</v>
      </c>
      <c r="M759" s="79"/>
      <c r="N759" s="73"/>
      <c r="O759" s="81" t="s">
        <v>761</v>
      </c>
      <c r="P759" s="81" t="s">
        <v>763</v>
      </c>
      <c r="Q759" s="84" t="s">
        <v>1490</v>
      </c>
      <c r="R759" s="81" t="s">
        <v>711</v>
      </c>
      <c r="S759" s="81" t="s">
        <v>2039</v>
      </c>
      <c r="T759" s="86" t="str">
        <f>HYPERLINK("http://www.youtube.com/channel/UC_mzz_JnzArhhpGUy8KdGwg")</f>
        <v>http://www.youtube.com/channel/UC_mzz_JnzArhhpGUy8KdGwg</v>
      </c>
      <c r="U759" s="81" t="s">
        <v>2285</v>
      </c>
      <c r="V759" s="81" t="s">
        <v>2327</v>
      </c>
      <c r="W759" s="86" t="str">
        <f>HYPERLINK("https://www.youtube.com/watch?v=")</f>
        <v>https://www.youtube.com/watch?v=</v>
      </c>
      <c r="X759" s="81" t="s">
        <v>2335</v>
      </c>
      <c r="Y759" s="81">
        <v>1</v>
      </c>
      <c r="Z759" s="88">
        <v>43558.78859953704</v>
      </c>
      <c r="AA759" s="88">
        <v>43558.78859953704</v>
      </c>
      <c r="AB759" s="81"/>
      <c r="AC759" s="81"/>
      <c r="AD759" s="84" t="s">
        <v>2782</v>
      </c>
      <c r="AE759" s="82">
        <v>5</v>
      </c>
      <c r="AF759" s="83" t="str">
        <f>REPLACE(INDEX(GroupVertices[Group],MATCH(Edges[[#This Row],[Vertex 1]],GroupVertices[Vertex],0)),1,1,"")</f>
        <v>4</v>
      </c>
      <c r="AG759" s="83" t="str">
        <f>REPLACE(INDEX(GroupVertices[Group],MATCH(Edges[[#This Row],[Vertex 2]],GroupVertices[Vertex],0)),1,1,"")</f>
        <v>4</v>
      </c>
      <c r="AH759" s="111">
        <v>3</v>
      </c>
      <c r="AI759" s="112">
        <v>14.285714285714286</v>
      </c>
      <c r="AJ759" s="111">
        <v>0</v>
      </c>
      <c r="AK759" s="112">
        <v>0</v>
      </c>
      <c r="AL759" s="111">
        <v>0</v>
      </c>
      <c r="AM759" s="112">
        <v>0</v>
      </c>
      <c r="AN759" s="111">
        <v>18</v>
      </c>
      <c r="AO759" s="112">
        <v>85.71428571428571</v>
      </c>
      <c r="AP759" s="111">
        <v>21</v>
      </c>
    </row>
    <row r="760" spans="1:42" ht="15">
      <c r="A760" s="65" t="s">
        <v>719</v>
      </c>
      <c r="B760" s="65" t="s">
        <v>719</v>
      </c>
      <c r="C760" s="66" t="s">
        <v>5348</v>
      </c>
      <c r="D760" s="67">
        <v>10</v>
      </c>
      <c r="E760" s="68"/>
      <c r="F760" s="69">
        <v>15</v>
      </c>
      <c r="G760" s="66"/>
      <c r="H760" s="70"/>
      <c r="I760" s="71"/>
      <c r="J760" s="71"/>
      <c r="K760" s="35" t="s">
        <v>65</v>
      </c>
      <c r="L760" s="79">
        <v>760</v>
      </c>
      <c r="M760" s="79"/>
      <c r="N760" s="73"/>
      <c r="O760" s="81" t="s">
        <v>761</v>
      </c>
      <c r="P760" s="81" t="s">
        <v>763</v>
      </c>
      <c r="Q760" s="84" t="s">
        <v>1491</v>
      </c>
      <c r="R760" s="81" t="s">
        <v>719</v>
      </c>
      <c r="S760" s="81" t="s">
        <v>2047</v>
      </c>
      <c r="T760" s="86" t="str">
        <f>HYPERLINK("http://www.youtube.com/channel/UC83yBpdeTa_AkuuvKbtTACQ")</f>
        <v>http://www.youtube.com/channel/UC83yBpdeTa_AkuuvKbtTACQ</v>
      </c>
      <c r="U760" s="81" t="s">
        <v>2285</v>
      </c>
      <c r="V760" s="81" t="s">
        <v>2327</v>
      </c>
      <c r="W760" s="86" t="str">
        <f>HYPERLINK("https://www.youtube.com/watch?v=")</f>
        <v>https://www.youtube.com/watch?v=</v>
      </c>
      <c r="X760" s="81" t="s">
        <v>2335</v>
      </c>
      <c r="Y760" s="81">
        <v>0</v>
      </c>
      <c r="Z760" s="88">
        <v>43558.79363425926</v>
      </c>
      <c r="AA760" s="88">
        <v>43558.79363425926</v>
      </c>
      <c r="AB760" s="81"/>
      <c r="AC760" s="81"/>
      <c r="AD760" s="84" t="s">
        <v>2782</v>
      </c>
      <c r="AE760" s="82">
        <v>4</v>
      </c>
      <c r="AF760" s="83" t="str">
        <f>REPLACE(INDEX(GroupVertices[Group],MATCH(Edges[[#This Row],[Vertex 1]],GroupVertices[Vertex],0)),1,1,"")</f>
        <v>4</v>
      </c>
      <c r="AG760" s="83" t="str">
        <f>REPLACE(INDEX(GroupVertices[Group],MATCH(Edges[[#This Row],[Vertex 2]],GroupVertices[Vertex],0)),1,1,"")</f>
        <v>4</v>
      </c>
      <c r="AH760" s="111">
        <v>0</v>
      </c>
      <c r="AI760" s="112">
        <v>0</v>
      </c>
      <c r="AJ760" s="111">
        <v>0</v>
      </c>
      <c r="AK760" s="112">
        <v>0</v>
      </c>
      <c r="AL760" s="111">
        <v>0</v>
      </c>
      <c r="AM760" s="112">
        <v>0</v>
      </c>
      <c r="AN760" s="111">
        <v>13</v>
      </c>
      <c r="AO760" s="112">
        <v>100</v>
      </c>
      <c r="AP760" s="111">
        <v>13</v>
      </c>
    </row>
    <row r="761" spans="1:42" ht="15">
      <c r="A761" s="65" t="s">
        <v>711</v>
      </c>
      <c r="B761" s="65" t="s">
        <v>719</v>
      </c>
      <c r="C761" s="66" t="s">
        <v>5350</v>
      </c>
      <c r="D761" s="67">
        <v>10</v>
      </c>
      <c r="E761" s="68"/>
      <c r="F761" s="69">
        <v>15</v>
      </c>
      <c r="G761" s="66"/>
      <c r="H761" s="70"/>
      <c r="I761" s="71"/>
      <c r="J761" s="71"/>
      <c r="K761" s="35" t="s">
        <v>66</v>
      </c>
      <c r="L761" s="79">
        <v>761</v>
      </c>
      <c r="M761" s="79"/>
      <c r="N761" s="73"/>
      <c r="O761" s="81" t="s">
        <v>761</v>
      </c>
      <c r="P761" s="81" t="s">
        <v>763</v>
      </c>
      <c r="Q761" s="84" t="s">
        <v>1492</v>
      </c>
      <c r="R761" s="81" t="s">
        <v>711</v>
      </c>
      <c r="S761" s="81" t="s">
        <v>2039</v>
      </c>
      <c r="T761" s="86" t="str">
        <f>HYPERLINK("http://www.youtube.com/channel/UC_mzz_JnzArhhpGUy8KdGwg")</f>
        <v>http://www.youtube.com/channel/UC_mzz_JnzArhhpGUy8KdGwg</v>
      </c>
      <c r="U761" s="81" t="s">
        <v>2285</v>
      </c>
      <c r="V761" s="81" t="s">
        <v>2327</v>
      </c>
      <c r="W761" s="86" t="str">
        <f>HYPERLINK("https://www.youtube.com/watch?v=")</f>
        <v>https://www.youtube.com/watch?v=</v>
      </c>
      <c r="X761" s="81" t="s">
        <v>2335</v>
      </c>
      <c r="Y761" s="81">
        <v>0</v>
      </c>
      <c r="Z761" s="88">
        <v>43558.81517361111</v>
      </c>
      <c r="AA761" s="88">
        <v>43558.81517361111</v>
      </c>
      <c r="AB761" s="81"/>
      <c r="AC761" s="81"/>
      <c r="AD761" s="84" t="s">
        <v>2782</v>
      </c>
      <c r="AE761" s="82">
        <v>5</v>
      </c>
      <c r="AF761" s="83" t="str">
        <f>REPLACE(INDEX(GroupVertices[Group],MATCH(Edges[[#This Row],[Vertex 1]],GroupVertices[Vertex],0)),1,1,"")</f>
        <v>4</v>
      </c>
      <c r="AG761" s="83" t="str">
        <f>REPLACE(INDEX(GroupVertices[Group],MATCH(Edges[[#This Row],[Vertex 2]],GroupVertices[Vertex],0)),1,1,"")</f>
        <v>4</v>
      </c>
      <c r="AH761" s="111">
        <v>0</v>
      </c>
      <c r="AI761" s="112">
        <v>0</v>
      </c>
      <c r="AJ761" s="111">
        <v>0</v>
      </c>
      <c r="AK761" s="112">
        <v>0</v>
      </c>
      <c r="AL761" s="111">
        <v>0</v>
      </c>
      <c r="AM761" s="112">
        <v>0</v>
      </c>
      <c r="AN761" s="111">
        <v>6</v>
      </c>
      <c r="AO761" s="112">
        <v>100</v>
      </c>
      <c r="AP761" s="111">
        <v>6</v>
      </c>
    </row>
    <row r="762" spans="1:42" ht="15">
      <c r="A762" s="65" t="s">
        <v>719</v>
      </c>
      <c r="B762" s="65" t="s">
        <v>719</v>
      </c>
      <c r="C762" s="66" t="s">
        <v>5348</v>
      </c>
      <c r="D762" s="67">
        <v>10</v>
      </c>
      <c r="E762" s="68"/>
      <c r="F762" s="69">
        <v>15</v>
      </c>
      <c r="G762" s="66"/>
      <c r="H762" s="70"/>
      <c r="I762" s="71"/>
      <c r="J762" s="71"/>
      <c r="K762" s="35" t="s">
        <v>65</v>
      </c>
      <c r="L762" s="79">
        <v>762</v>
      </c>
      <c r="M762" s="79"/>
      <c r="N762" s="73"/>
      <c r="O762" s="81" t="s">
        <v>761</v>
      </c>
      <c r="P762" s="81" t="s">
        <v>763</v>
      </c>
      <c r="Q762" s="84" t="s">
        <v>1493</v>
      </c>
      <c r="R762" s="81" t="s">
        <v>719</v>
      </c>
      <c r="S762" s="81" t="s">
        <v>2047</v>
      </c>
      <c r="T762" s="86" t="str">
        <f>HYPERLINK("http://www.youtube.com/channel/UC83yBpdeTa_AkuuvKbtTACQ")</f>
        <v>http://www.youtube.com/channel/UC83yBpdeTa_AkuuvKbtTACQ</v>
      </c>
      <c r="U762" s="81" t="s">
        <v>2285</v>
      </c>
      <c r="V762" s="81" t="s">
        <v>2327</v>
      </c>
      <c r="W762" s="86" t="str">
        <f>HYPERLINK("https://www.youtube.com/watch?v=")</f>
        <v>https://www.youtube.com/watch?v=</v>
      </c>
      <c r="X762" s="81" t="s">
        <v>2335</v>
      </c>
      <c r="Y762" s="81">
        <v>0</v>
      </c>
      <c r="Z762" s="88">
        <v>43558.81854166667</v>
      </c>
      <c r="AA762" s="88">
        <v>43558.81854166667</v>
      </c>
      <c r="AB762" s="81"/>
      <c r="AC762" s="81"/>
      <c r="AD762" s="84" t="s">
        <v>2782</v>
      </c>
      <c r="AE762" s="82">
        <v>4</v>
      </c>
      <c r="AF762" s="83" t="str">
        <f>REPLACE(INDEX(GroupVertices[Group],MATCH(Edges[[#This Row],[Vertex 1]],GroupVertices[Vertex],0)),1,1,"")</f>
        <v>4</v>
      </c>
      <c r="AG762" s="83" t="str">
        <f>REPLACE(INDEX(GroupVertices[Group],MATCH(Edges[[#This Row],[Vertex 2]],GroupVertices[Vertex],0)),1,1,"")</f>
        <v>4</v>
      </c>
      <c r="AH762" s="111">
        <v>0</v>
      </c>
      <c r="AI762" s="112">
        <v>0</v>
      </c>
      <c r="AJ762" s="111">
        <v>0</v>
      </c>
      <c r="AK762" s="112">
        <v>0</v>
      </c>
      <c r="AL762" s="111">
        <v>0</v>
      </c>
      <c r="AM762" s="112">
        <v>0</v>
      </c>
      <c r="AN762" s="111">
        <v>29</v>
      </c>
      <c r="AO762" s="112">
        <v>100</v>
      </c>
      <c r="AP762" s="111">
        <v>29</v>
      </c>
    </row>
    <row r="763" spans="1:42" ht="15">
      <c r="A763" s="65" t="s">
        <v>719</v>
      </c>
      <c r="B763" s="65" t="s">
        <v>719</v>
      </c>
      <c r="C763" s="66" t="s">
        <v>5348</v>
      </c>
      <c r="D763" s="67">
        <v>10</v>
      </c>
      <c r="E763" s="68"/>
      <c r="F763" s="69">
        <v>15</v>
      </c>
      <c r="G763" s="66"/>
      <c r="H763" s="70"/>
      <c r="I763" s="71"/>
      <c r="J763" s="71"/>
      <c r="K763" s="35" t="s">
        <v>65</v>
      </c>
      <c r="L763" s="79">
        <v>763</v>
      </c>
      <c r="M763" s="79"/>
      <c r="N763" s="73"/>
      <c r="O763" s="81" t="s">
        <v>761</v>
      </c>
      <c r="P763" s="81" t="s">
        <v>763</v>
      </c>
      <c r="Q763" s="84" t="s">
        <v>1494</v>
      </c>
      <c r="R763" s="81" t="s">
        <v>719</v>
      </c>
      <c r="S763" s="81" t="s">
        <v>2047</v>
      </c>
      <c r="T763" s="86" t="str">
        <f>HYPERLINK("http://www.youtube.com/channel/UC83yBpdeTa_AkuuvKbtTACQ")</f>
        <v>http://www.youtube.com/channel/UC83yBpdeTa_AkuuvKbtTACQ</v>
      </c>
      <c r="U763" s="81" t="s">
        <v>2285</v>
      </c>
      <c r="V763" s="81" t="s">
        <v>2327</v>
      </c>
      <c r="W763" s="86" t="str">
        <f>HYPERLINK("https://www.youtube.com/watch?v=")</f>
        <v>https://www.youtube.com/watch?v=</v>
      </c>
      <c r="X763" s="81" t="s">
        <v>2335</v>
      </c>
      <c r="Y763" s="81">
        <v>0</v>
      </c>
      <c r="Z763" s="88">
        <v>43558.91069444444</v>
      </c>
      <c r="AA763" s="88">
        <v>43558.91069444444</v>
      </c>
      <c r="AB763" s="81"/>
      <c r="AC763" s="81"/>
      <c r="AD763" s="84" t="s">
        <v>2782</v>
      </c>
      <c r="AE763" s="82">
        <v>4</v>
      </c>
      <c r="AF763" s="83" t="str">
        <f>REPLACE(INDEX(GroupVertices[Group],MATCH(Edges[[#This Row],[Vertex 1]],GroupVertices[Vertex],0)),1,1,"")</f>
        <v>4</v>
      </c>
      <c r="AG763" s="83" t="str">
        <f>REPLACE(INDEX(GroupVertices[Group],MATCH(Edges[[#This Row],[Vertex 2]],GroupVertices[Vertex],0)),1,1,"")</f>
        <v>4</v>
      </c>
      <c r="AH763" s="111">
        <v>0</v>
      </c>
      <c r="AI763" s="112">
        <v>0</v>
      </c>
      <c r="AJ763" s="111">
        <v>0</v>
      </c>
      <c r="AK763" s="112">
        <v>0</v>
      </c>
      <c r="AL763" s="111">
        <v>0</v>
      </c>
      <c r="AM763" s="112">
        <v>0</v>
      </c>
      <c r="AN763" s="111">
        <v>17</v>
      </c>
      <c r="AO763" s="112">
        <v>100</v>
      </c>
      <c r="AP763" s="111">
        <v>17</v>
      </c>
    </row>
    <row r="764" spans="1:42" ht="15">
      <c r="A764" s="65" t="s">
        <v>711</v>
      </c>
      <c r="B764" s="65" t="s">
        <v>719</v>
      </c>
      <c r="C764" s="66" t="s">
        <v>5350</v>
      </c>
      <c r="D764" s="67">
        <v>10</v>
      </c>
      <c r="E764" s="68"/>
      <c r="F764" s="69">
        <v>15</v>
      </c>
      <c r="G764" s="66"/>
      <c r="H764" s="70"/>
      <c r="I764" s="71"/>
      <c r="J764" s="71"/>
      <c r="K764" s="35" t="s">
        <v>66</v>
      </c>
      <c r="L764" s="79">
        <v>764</v>
      </c>
      <c r="M764" s="79"/>
      <c r="N764" s="73"/>
      <c r="O764" s="81" t="s">
        <v>761</v>
      </c>
      <c r="P764" s="81" t="s">
        <v>763</v>
      </c>
      <c r="Q764" s="84" t="s">
        <v>1495</v>
      </c>
      <c r="R764" s="81" t="s">
        <v>711</v>
      </c>
      <c r="S764" s="81" t="s">
        <v>2039</v>
      </c>
      <c r="T764" s="86" t="str">
        <f>HYPERLINK("http://www.youtube.com/channel/UC_mzz_JnzArhhpGUy8KdGwg")</f>
        <v>http://www.youtube.com/channel/UC_mzz_JnzArhhpGUy8KdGwg</v>
      </c>
      <c r="U764" s="81" t="s">
        <v>2285</v>
      </c>
      <c r="V764" s="81" t="s">
        <v>2327</v>
      </c>
      <c r="W764" s="86" t="str">
        <f>HYPERLINK("https://www.youtube.com/watch?v=")</f>
        <v>https://www.youtube.com/watch?v=</v>
      </c>
      <c r="X764" s="81" t="s">
        <v>2335</v>
      </c>
      <c r="Y764" s="81">
        <v>1</v>
      </c>
      <c r="Z764" s="88">
        <v>43558.91239583334</v>
      </c>
      <c r="AA764" s="88">
        <v>43558.91239583334</v>
      </c>
      <c r="AB764" s="81"/>
      <c r="AC764" s="81"/>
      <c r="AD764" s="84" t="s">
        <v>2782</v>
      </c>
      <c r="AE764" s="82">
        <v>5</v>
      </c>
      <c r="AF764" s="83" t="str">
        <f>REPLACE(INDEX(GroupVertices[Group],MATCH(Edges[[#This Row],[Vertex 1]],GroupVertices[Vertex],0)),1,1,"")</f>
        <v>4</v>
      </c>
      <c r="AG764" s="83" t="str">
        <f>REPLACE(INDEX(GroupVertices[Group],MATCH(Edges[[#This Row],[Vertex 2]],GroupVertices[Vertex],0)),1,1,"")</f>
        <v>4</v>
      </c>
      <c r="AH764" s="111">
        <v>0</v>
      </c>
      <c r="AI764" s="112">
        <v>0</v>
      </c>
      <c r="AJ764" s="111">
        <v>0</v>
      </c>
      <c r="AK764" s="112">
        <v>0</v>
      </c>
      <c r="AL764" s="111">
        <v>0</v>
      </c>
      <c r="AM764" s="112">
        <v>0</v>
      </c>
      <c r="AN764" s="111">
        <v>11</v>
      </c>
      <c r="AO764" s="112">
        <v>100</v>
      </c>
      <c r="AP764" s="111">
        <v>11</v>
      </c>
    </row>
    <row r="765" spans="1:42" ht="15">
      <c r="A765" s="65" t="s">
        <v>711</v>
      </c>
      <c r="B765" s="65" t="s">
        <v>719</v>
      </c>
      <c r="C765" s="66" t="s">
        <v>5350</v>
      </c>
      <c r="D765" s="67">
        <v>10</v>
      </c>
      <c r="E765" s="68"/>
      <c r="F765" s="69">
        <v>15</v>
      </c>
      <c r="G765" s="66"/>
      <c r="H765" s="70"/>
      <c r="I765" s="71"/>
      <c r="J765" s="71"/>
      <c r="K765" s="35" t="s">
        <v>66</v>
      </c>
      <c r="L765" s="79">
        <v>765</v>
      </c>
      <c r="M765" s="79"/>
      <c r="N765" s="73"/>
      <c r="O765" s="81" t="s">
        <v>761</v>
      </c>
      <c r="P765" s="81" t="s">
        <v>763</v>
      </c>
      <c r="Q765" s="84" t="s">
        <v>1496</v>
      </c>
      <c r="R765" s="81" t="s">
        <v>711</v>
      </c>
      <c r="S765" s="81" t="s">
        <v>2039</v>
      </c>
      <c r="T765" s="86" t="str">
        <f>HYPERLINK("http://www.youtube.com/channel/UC_mzz_JnzArhhpGUy8KdGwg")</f>
        <v>http://www.youtube.com/channel/UC_mzz_JnzArhhpGUy8KdGwg</v>
      </c>
      <c r="U765" s="81" t="s">
        <v>2285</v>
      </c>
      <c r="V765" s="81" t="s">
        <v>2327</v>
      </c>
      <c r="W765" s="86" t="str">
        <f>HYPERLINK("https://www.youtube.com/watch?v=")</f>
        <v>https://www.youtube.com/watch?v=</v>
      </c>
      <c r="X765" s="81" t="s">
        <v>2335</v>
      </c>
      <c r="Y765" s="81">
        <v>0</v>
      </c>
      <c r="Z765" s="88">
        <v>43558.913148148145</v>
      </c>
      <c r="AA765" s="88">
        <v>43558.913148148145</v>
      </c>
      <c r="AB765" s="81"/>
      <c r="AC765" s="81"/>
      <c r="AD765" s="84" t="s">
        <v>2782</v>
      </c>
      <c r="AE765" s="82">
        <v>5</v>
      </c>
      <c r="AF765" s="83" t="str">
        <f>REPLACE(INDEX(GroupVertices[Group],MATCH(Edges[[#This Row],[Vertex 1]],GroupVertices[Vertex],0)),1,1,"")</f>
        <v>4</v>
      </c>
      <c r="AG765" s="83" t="str">
        <f>REPLACE(INDEX(GroupVertices[Group],MATCH(Edges[[#This Row],[Vertex 2]],GroupVertices[Vertex],0)),1,1,"")</f>
        <v>4</v>
      </c>
      <c r="AH765" s="111">
        <v>1</v>
      </c>
      <c r="AI765" s="112">
        <v>5.2631578947368425</v>
      </c>
      <c r="AJ765" s="111">
        <v>0</v>
      </c>
      <c r="AK765" s="112">
        <v>0</v>
      </c>
      <c r="AL765" s="111">
        <v>0</v>
      </c>
      <c r="AM765" s="112">
        <v>0</v>
      </c>
      <c r="AN765" s="111">
        <v>18</v>
      </c>
      <c r="AO765" s="112">
        <v>94.73684210526316</v>
      </c>
      <c r="AP765" s="111">
        <v>19</v>
      </c>
    </row>
    <row r="766" spans="1:42" ht="15">
      <c r="A766" s="65" t="s">
        <v>719</v>
      </c>
      <c r="B766" s="65" t="s">
        <v>719</v>
      </c>
      <c r="C766" s="66" t="s">
        <v>5348</v>
      </c>
      <c r="D766" s="67">
        <v>10</v>
      </c>
      <c r="E766" s="68"/>
      <c r="F766" s="69">
        <v>15</v>
      </c>
      <c r="G766" s="66"/>
      <c r="H766" s="70"/>
      <c r="I766" s="71"/>
      <c r="J766" s="71"/>
      <c r="K766" s="35" t="s">
        <v>65</v>
      </c>
      <c r="L766" s="79">
        <v>766</v>
      </c>
      <c r="M766" s="79"/>
      <c r="N766" s="73"/>
      <c r="O766" s="81" t="s">
        <v>761</v>
      </c>
      <c r="P766" s="81" t="s">
        <v>763</v>
      </c>
      <c r="Q766" s="84" t="s">
        <v>1497</v>
      </c>
      <c r="R766" s="81" t="s">
        <v>719</v>
      </c>
      <c r="S766" s="81" t="s">
        <v>2047</v>
      </c>
      <c r="T766" s="86" t="str">
        <f>HYPERLINK("http://www.youtube.com/channel/UC83yBpdeTa_AkuuvKbtTACQ")</f>
        <v>http://www.youtube.com/channel/UC83yBpdeTa_AkuuvKbtTACQ</v>
      </c>
      <c r="U766" s="81" t="s">
        <v>2285</v>
      </c>
      <c r="V766" s="81" t="s">
        <v>2327</v>
      </c>
      <c r="W766" s="86" t="str">
        <f>HYPERLINK("https://www.youtube.com/watch?v=")</f>
        <v>https://www.youtube.com/watch?v=</v>
      </c>
      <c r="X766" s="81" t="s">
        <v>2335</v>
      </c>
      <c r="Y766" s="81">
        <v>0</v>
      </c>
      <c r="Z766" s="88">
        <v>43558.915185185186</v>
      </c>
      <c r="AA766" s="88">
        <v>43558.915185185186</v>
      </c>
      <c r="AB766" s="81"/>
      <c r="AC766" s="81"/>
      <c r="AD766" s="84" t="s">
        <v>2782</v>
      </c>
      <c r="AE766" s="82">
        <v>4</v>
      </c>
      <c r="AF766" s="83" t="str">
        <f>REPLACE(INDEX(GroupVertices[Group],MATCH(Edges[[#This Row],[Vertex 1]],GroupVertices[Vertex],0)),1,1,"")</f>
        <v>4</v>
      </c>
      <c r="AG766" s="83" t="str">
        <f>REPLACE(INDEX(GroupVertices[Group],MATCH(Edges[[#This Row],[Vertex 2]],GroupVertices[Vertex],0)),1,1,"")</f>
        <v>4</v>
      </c>
      <c r="AH766" s="111">
        <v>1</v>
      </c>
      <c r="AI766" s="112">
        <v>10</v>
      </c>
      <c r="AJ766" s="111">
        <v>0</v>
      </c>
      <c r="AK766" s="112">
        <v>0</v>
      </c>
      <c r="AL766" s="111">
        <v>0</v>
      </c>
      <c r="AM766" s="112">
        <v>0</v>
      </c>
      <c r="AN766" s="111">
        <v>9</v>
      </c>
      <c r="AO766" s="112">
        <v>90</v>
      </c>
      <c r="AP766" s="111">
        <v>10</v>
      </c>
    </row>
    <row r="767" spans="1:42" ht="15">
      <c r="A767" s="65" t="s">
        <v>719</v>
      </c>
      <c r="B767" s="65" t="s">
        <v>711</v>
      </c>
      <c r="C767" s="66" t="s">
        <v>5346</v>
      </c>
      <c r="D767" s="67">
        <v>10</v>
      </c>
      <c r="E767" s="68"/>
      <c r="F767" s="69">
        <v>15</v>
      </c>
      <c r="G767" s="66"/>
      <c r="H767" s="70"/>
      <c r="I767" s="71"/>
      <c r="J767" s="71"/>
      <c r="K767" s="35" t="s">
        <v>66</v>
      </c>
      <c r="L767" s="79">
        <v>767</v>
      </c>
      <c r="M767" s="79"/>
      <c r="N767" s="73"/>
      <c r="O767" s="81" t="s">
        <v>760</v>
      </c>
      <c r="P767" s="81" t="s">
        <v>215</v>
      </c>
      <c r="Q767" s="84" t="s">
        <v>1498</v>
      </c>
      <c r="R767" s="81" t="s">
        <v>719</v>
      </c>
      <c r="S767" s="81" t="s">
        <v>2047</v>
      </c>
      <c r="T767" s="86" t="str">
        <f>HYPERLINK("http://www.youtube.com/channel/UC83yBpdeTa_AkuuvKbtTACQ")</f>
        <v>http://www.youtube.com/channel/UC83yBpdeTa_AkuuvKbtTACQ</v>
      </c>
      <c r="U767" s="81"/>
      <c r="V767" s="81" t="s">
        <v>2327</v>
      </c>
      <c r="W767" s="86" t="str">
        <f>HYPERLINK("https://www.youtube.com/watch?v=tS9IXHSdzJs")</f>
        <v>https://www.youtube.com/watch?v=tS9IXHSdzJs</v>
      </c>
      <c r="X767" s="81" t="s">
        <v>2335</v>
      </c>
      <c r="Y767" s="81">
        <v>0</v>
      </c>
      <c r="Z767" s="88">
        <v>43558.78679398148</v>
      </c>
      <c r="AA767" s="88">
        <v>43558.78679398148</v>
      </c>
      <c r="AB767" s="81"/>
      <c r="AC767" s="81"/>
      <c r="AD767" s="84" t="s">
        <v>2782</v>
      </c>
      <c r="AE767" s="82">
        <v>2</v>
      </c>
      <c r="AF767" s="83" t="str">
        <f>REPLACE(INDEX(GroupVertices[Group],MATCH(Edges[[#This Row],[Vertex 1]],GroupVertices[Vertex],0)),1,1,"")</f>
        <v>4</v>
      </c>
      <c r="AG767" s="83" t="str">
        <f>REPLACE(INDEX(GroupVertices[Group],MATCH(Edges[[#This Row],[Vertex 2]],GroupVertices[Vertex],0)),1,1,"")</f>
        <v>4</v>
      </c>
      <c r="AH767" s="111">
        <v>2</v>
      </c>
      <c r="AI767" s="112">
        <v>4.761904761904762</v>
      </c>
      <c r="AJ767" s="111">
        <v>0</v>
      </c>
      <c r="AK767" s="112">
        <v>0</v>
      </c>
      <c r="AL767" s="111">
        <v>0</v>
      </c>
      <c r="AM767" s="112">
        <v>0</v>
      </c>
      <c r="AN767" s="111">
        <v>40</v>
      </c>
      <c r="AO767" s="112">
        <v>95.23809523809524</v>
      </c>
      <c r="AP767" s="111">
        <v>42</v>
      </c>
    </row>
    <row r="768" spans="1:42" ht="15">
      <c r="A768" s="65" t="s">
        <v>711</v>
      </c>
      <c r="B768" s="65" t="s">
        <v>720</v>
      </c>
      <c r="C768" s="66" t="s">
        <v>5345</v>
      </c>
      <c r="D768" s="67">
        <v>3</v>
      </c>
      <c r="E768" s="68"/>
      <c r="F768" s="69">
        <v>40</v>
      </c>
      <c r="G768" s="66"/>
      <c r="H768" s="70"/>
      <c r="I768" s="71"/>
      <c r="J768" s="71"/>
      <c r="K768" s="35" t="s">
        <v>66</v>
      </c>
      <c r="L768" s="79">
        <v>768</v>
      </c>
      <c r="M768" s="79"/>
      <c r="N768" s="73"/>
      <c r="O768" s="81" t="s">
        <v>761</v>
      </c>
      <c r="P768" s="81" t="s">
        <v>763</v>
      </c>
      <c r="Q768" s="84" t="s">
        <v>1499</v>
      </c>
      <c r="R768" s="81" t="s">
        <v>711</v>
      </c>
      <c r="S768" s="81" t="s">
        <v>2039</v>
      </c>
      <c r="T768" s="86" t="str">
        <f>HYPERLINK("http://www.youtube.com/channel/UC_mzz_JnzArhhpGUy8KdGwg")</f>
        <v>http://www.youtube.com/channel/UC_mzz_JnzArhhpGUy8KdGwg</v>
      </c>
      <c r="U768" s="81" t="s">
        <v>2286</v>
      </c>
      <c r="V768" s="81" t="s">
        <v>2327</v>
      </c>
      <c r="W768" s="86" t="str">
        <f>HYPERLINK("https://www.youtube.com/watch?v=tS9IXHSdzJs")</f>
        <v>https://www.youtube.com/watch?v=tS9IXHSdzJs</v>
      </c>
      <c r="X768" s="81" t="s">
        <v>2335</v>
      </c>
      <c r="Y768" s="81">
        <v>1</v>
      </c>
      <c r="Z768" s="88">
        <v>43558.790451388886</v>
      </c>
      <c r="AA768" s="88">
        <v>43558.790451388886</v>
      </c>
      <c r="AB768" s="81"/>
      <c r="AC768" s="81"/>
      <c r="AD768" s="84" t="s">
        <v>2782</v>
      </c>
      <c r="AE768" s="82">
        <v>1</v>
      </c>
      <c r="AF768" s="83" t="str">
        <f>REPLACE(INDEX(GroupVertices[Group],MATCH(Edges[[#This Row],[Vertex 1]],GroupVertices[Vertex],0)),1,1,"")</f>
        <v>4</v>
      </c>
      <c r="AG768" s="83" t="str">
        <f>REPLACE(INDEX(GroupVertices[Group],MATCH(Edges[[#This Row],[Vertex 2]],GroupVertices[Vertex],0)),1,1,"")</f>
        <v>4</v>
      </c>
      <c r="AH768" s="111">
        <v>1</v>
      </c>
      <c r="AI768" s="112">
        <v>20</v>
      </c>
      <c r="AJ768" s="111">
        <v>0</v>
      </c>
      <c r="AK768" s="112">
        <v>0</v>
      </c>
      <c r="AL768" s="111">
        <v>0</v>
      </c>
      <c r="AM768" s="112">
        <v>0</v>
      </c>
      <c r="AN768" s="111">
        <v>4</v>
      </c>
      <c r="AO768" s="112">
        <v>80</v>
      </c>
      <c r="AP768" s="111">
        <v>5</v>
      </c>
    </row>
    <row r="769" spans="1:42" ht="15">
      <c r="A769" s="65" t="s">
        <v>720</v>
      </c>
      <c r="B769" s="65" t="s">
        <v>711</v>
      </c>
      <c r="C769" s="66" t="s">
        <v>5345</v>
      </c>
      <c r="D769" s="67">
        <v>3</v>
      </c>
      <c r="E769" s="68"/>
      <c r="F769" s="69">
        <v>40</v>
      </c>
      <c r="G769" s="66"/>
      <c r="H769" s="70"/>
      <c r="I769" s="71"/>
      <c r="J769" s="71"/>
      <c r="K769" s="35" t="s">
        <v>66</v>
      </c>
      <c r="L769" s="79">
        <v>769</v>
      </c>
      <c r="M769" s="79"/>
      <c r="N769" s="73"/>
      <c r="O769" s="81" t="s">
        <v>760</v>
      </c>
      <c r="P769" s="81" t="s">
        <v>215</v>
      </c>
      <c r="Q769" s="84" t="s">
        <v>1500</v>
      </c>
      <c r="R769" s="81" t="s">
        <v>720</v>
      </c>
      <c r="S769" s="81" t="s">
        <v>2048</v>
      </c>
      <c r="T769" s="86" t="str">
        <f>HYPERLINK("http://www.youtube.com/channel/UCira_mhcRZQgqIjC-KtGPRQ")</f>
        <v>http://www.youtube.com/channel/UCira_mhcRZQgqIjC-KtGPRQ</v>
      </c>
      <c r="U769" s="81"/>
      <c r="V769" s="81" t="s">
        <v>2327</v>
      </c>
      <c r="W769" s="86" t="str">
        <f>HYPERLINK("https://www.youtube.com/watch?v=tS9IXHSdzJs")</f>
        <v>https://www.youtube.com/watch?v=tS9IXHSdzJs</v>
      </c>
      <c r="X769" s="81" t="s">
        <v>2335</v>
      </c>
      <c r="Y769" s="81">
        <v>0</v>
      </c>
      <c r="Z769" s="88">
        <v>43558.78988425926</v>
      </c>
      <c r="AA769" s="88">
        <v>43558.78988425926</v>
      </c>
      <c r="AB769" s="81"/>
      <c r="AC769" s="81"/>
      <c r="AD769" s="84" t="s">
        <v>2782</v>
      </c>
      <c r="AE769" s="82">
        <v>1</v>
      </c>
      <c r="AF769" s="83" t="str">
        <f>REPLACE(INDEX(GroupVertices[Group],MATCH(Edges[[#This Row],[Vertex 1]],GroupVertices[Vertex],0)),1,1,"")</f>
        <v>4</v>
      </c>
      <c r="AG769" s="83" t="str">
        <f>REPLACE(INDEX(GroupVertices[Group],MATCH(Edges[[#This Row],[Vertex 2]],GroupVertices[Vertex],0)),1,1,"")</f>
        <v>4</v>
      </c>
      <c r="AH769" s="111">
        <v>1</v>
      </c>
      <c r="AI769" s="112">
        <v>20</v>
      </c>
      <c r="AJ769" s="111">
        <v>0</v>
      </c>
      <c r="AK769" s="112">
        <v>0</v>
      </c>
      <c r="AL769" s="111">
        <v>0</v>
      </c>
      <c r="AM769" s="112">
        <v>0</v>
      </c>
      <c r="AN769" s="111">
        <v>4</v>
      </c>
      <c r="AO769" s="112">
        <v>80</v>
      </c>
      <c r="AP769" s="111">
        <v>5</v>
      </c>
    </row>
    <row r="770" spans="1:42" ht="15">
      <c r="A770" s="65" t="s">
        <v>711</v>
      </c>
      <c r="B770" s="65" t="s">
        <v>721</v>
      </c>
      <c r="C770" s="66" t="s">
        <v>5345</v>
      </c>
      <c r="D770" s="67">
        <v>3</v>
      </c>
      <c r="E770" s="68"/>
      <c r="F770" s="69">
        <v>40</v>
      </c>
      <c r="G770" s="66"/>
      <c r="H770" s="70"/>
      <c r="I770" s="71"/>
      <c r="J770" s="71"/>
      <c r="K770" s="35" t="s">
        <v>66</v>
      </c>
      <c r="L770" s="79">
        <v>770</v>
      </c>
      <c r="M770" s="79"/>
      <c r="N770" s="73"/>
      <c r="O770" s="81" t="s">
        <v>761</v>
      </c>
      <c r="P770" s="81" t="s">
        <v>763</v>
      </c>
      <c r="Q770" s="84" t="s">
        <v>1501</v>
      </c>
      <c r="R770" s="81" t="s">
        <v>711</v>
      </c>
      <c r="S770" s="81" t="s">
        <v>2039</v>
      </c>
      <c r="T770" s="86" t="str">
        <f>HYPERLINK("http://www.youtube.com/channel/UC_mzz_JnzArhhpGUy8KdGwg")</f>
        <v>http://www.youtube.com/channel/UC_mzz_JnzArhhpGUy8KdGwg</v>
      </c>
      <c r="U770" s="81" t="s">
        <v>2287</v>
      </c>
      <c r="V770" s="81" t="s">
        <v>2327</v>
      </c>
      <c r="W770" s="86" t="str">
        <f>HYPERLINK("https://www.youtube.com/watch?v=tS9IXHSdzJs")</f>
        <v>https://www.youtube.com/watch?v=tS9IXHSdzJs</v>
      </c>
      <c r="X770" s="81" t="s">
        <v>2335</v>
      </c>
      <c r="Y770" s="81">
        <v>1</v>
      </c>
      <c r="Z770" s="88">
        <v>43558.79076388889</v>
      </c>
      <c r="AA770" s="88">
        <v>43558.79076388889</v>
      </c>
      <c r="AB770" s="81"/>
      <c r="AC770" s="81"/>
      <c r="AD770" s="84" t="s">
        <v>2782</v>
      </c>
      <c r="AE770" s="82">
        <v>1</v>
      </c>
      <c r="AF770" s="83" t="str">
        <f>REPLACE(INDEX(GroupVertices[Group],MATCH(Edges[[#This Row],[Vertex 1]],GroupVertices[Vertex],0)),1,1,"")</f>
        <v>4</v>
      </c>
      <c r="AG770" s="83" t="str">
        <f>REPLACE(INDEX(GroupVertices[Group],MATCH(Edges[[#This Row],[Vertex 2]],GroupVertices[Vertex],0)),1,1,"")</f>
        <v>4</v>
      </c>
      <c r="AH770" s="111">
        <v>0</v>
      </c>
      <c r="AI770" s="112">
        <v>0</v>
      </c>
      <c r="AJ770" s="111">
        <v>0</v>
      </c>
      <c r="AK770" s="112">
        <v>0</v>
      </c>
      <c r="AL770" s="111">
        <v>0</v>
      </c>
      <c r="AM770" s="112">
        <v>0</v>
      </c>
      <c r="AN770" s="111">
        <v>5</v>
      </c>
      <c r="AO770" s="112">
        <v>100</v>
      </c>
      <c r="AP770" s="111">
        <v>5</v>
      </c>
    </row>
    <row r="771" spans="1:42" ht="15">
      <c r="A771" s="65" t="s">
        <v>721</v>
      </c>
      <c r="B771" s="65" t="s">
        <v>721</v>
      </c>
      <c r="C771" s="66" t="s">
        <v>5345</v>
      </c>
      <c r="D771" s="67">
        <v>3</v>
      </c>
      <c r="E771" s="68"/>
      <c r="F771" s="69">
        <v>40</v>
      </c>
      <c r="G771" s="66"/>
      <c r="H771" s="70"/>
      <c r="I771" s="71"/>
      <c r="J771" s="71"/>
      <c r="K771" s="35" t="s">
        <v>65</v>
      </c>
      <c r="L771" s="79">
        <v>771</v>
      </c>
      <c r="M771" s="79"/>
      <c r="N771" s="73"/>
      <c r="O771" s="81" t="s">
        <v>761</v>
      </c>
      <c r="P771" s="81" t="s">
        <v>763</v>
      </c>
      <c r="Q771" s="84" t="s">
        <v>1502</v>
      </c>
      <c r="R771" s="81" t="s">
        <v>721</v>
      </c>
      <c r="S771" s="81" t="s">
        <v>2049</v>
      </c>
      <c r="T771" s="86" t="str">
        <f>HYPERLINK("http://www.youtube.com/channel/UCM_vSQzPcjN_L-1EMslIjow")</f>
        <v>http://www.youtube.com/channel/UCM_vSQzPcjN_L-1EMslIjow</v>
      </c>
      <c r="U771" s="81" t="s">
        <v>2287</v>
      </c>
      <c r="V771" s="81" t="s">
        <v>2327</v>
      </c>
      <c r="W771" s="86" t="str">
        <f>HYPERLINK("https://www.youtube.com/watch?v=tS9IXHSdzJs")</f>
        <v>https://www.youtube.com/watch?v=tS9IXHSdzJs</v>
      </c>
      <c r="X771" s="81" t="s">
        <v>2335</v>
      </c>
      <c r="Y771" s="81">
        <v>1</v>
      </c>
      <c r="Z771" s="88">
        <v>43558.79211805556</v>
      </c>
      <c r="AA771" s="88">
        <v>43558.79211805556</v>
      </c>
      <c r="AB771" s="81"/>
      <c r="AC771" s="81"/>
      <c r="AD771" s="84" t="s">
        <v>2782</v>
      </c>
      <c r="AE771" s="82">
        <v>1</v>
      </c>
      <c r="AF771" s="83" t="str">
        <f>REPLACE(INDEX(GroupVertices[Group],MATCH(Edges[[#This Row],[Vertex 1]],GroupVertices[Vertex],0)),1,1,"")</f>
        <v>4</v>
      </c>
      <c r="AG771" s="83" t="str">
        <f>REPLACE(INDEX(GroupVertices[Group],MATCH(Edges[[#This Row],[Vertex 2]],GroupVertices[Vertex],0)),1,1,"")</f>
        <v>4</v>
      </c>
      <c r="AH771" s="111">
        <v>2</v>
      </c>
      <c r="AI771" s="112">
        <v>5.882352941176471</v>
      </c>
      <c r="AJ771" s="111">
        <v>0</v>
      </c>
      <c r="AK771" s="112">
        <v>0</v>
      </c>
      <c r="AL771" s="111">
        <v>0</v>
      </c>
      <c r="AM771" s="112">
        <v>0</v>
      </c>
      <c r="AN771" s="111">
        <v>32</v>
      </c>
      <c r="AO771" s="112">
        <v>94.11764705882354</v>
      </c>
      <c r="AP771" s="111">
        <v>34</v>
      </c>
    </row>
    <row r="772" spans="1:42" ht="15">
      <c r="A772" s="65" t="s">
        <v>721</v>
      </c>
      <c r="B772" s="65" t="s">
        <v>711</v>
      </c>
      <c r="C772" s="66" t="s">
        <v>5345</v>
      </c>
      <c r="D772" s="67">
        <v>3</v>
      </c>
      <c r="E772" s="68"/>
      <c r="F772" s="69">
        <v>40</v>
      </c>
      <c r="G772" s="66"/>
      <c r="H772" s="70"/>
      <c r="I772" s="71"/>
      <c r="J772" s="71"/>
      <c r="K772" s="35" t="s">
        <v>66</v>
      </c>
      <c r="L772" s="79">
        <v>772</v>
      </c>
      <c r="M772" s="79"/>
      <c r="N772" s="73"/>
      <c r="O772" s="81" t="s">
        <v>760</v>
      </c>
      <c r="P772" s="81" t="s">
        <v>215</v>
      </c>
      <c r="Q772" s="84" t="s">
        <v>1503</v>
      </c>
      <c r="R772" s="81" t="s">
        <v>721</v>
      </c>
      <c r="S772" s="81" t="s">
        <v>2049</v>
      </c>
      <c r="T772" s="86" t="str">
        <f>HYPERLINK("http://www.youtube.com/channel/UCM_vSQzPcjN_L-1EMslIjow")</f>
        <v>http://www.youtube.com/channel/UCM_vSQzPcjN_L-1EMslIjow</v>
      </c>
      <c r="U772" s="81"/>
      <c r="V772" s="81" t="s">
        <v>2327</v>
      </c>
      <c r="W772" s="86" t="str">
        <f>HYPERLINK("https://www.youtube.com/watch?v=tS9IXHSdzJs")</f>
        <v>https://www.youtube.com/watch?v=tS9IXHSdzJs</v>
      </c>
      <c r="X772" s="81" t="s">
        <v>2335</v>
      </c>
      <c r="Y772" s="81">
        <v>8</v>
      </c>
      <c r="Z772" s="88">
        <v>43558.789930555555</v>
      </c>
      <c r="AA772" s="88">
        <v>43558.789930555555</v>
      </c>
      <c r="AB772" s="81"/>
      <c r="AC772" s="81"/>
      <c r="AD772" s="84" t="s">
        <v>2782</v>
      </c>
      <c r="AE772" s="82">
        <v>1</v>
      </c>
      <c r="AF772" s="83" t="str">
        <f>REPLACE(INDEX(GroupVertices[Group],MATCH(Edges[[#This Row],[Vertex 1]],GroupVertices[Vertex],0)),1,1,"")</f>
        <v>4</v>
      </c>
      <c r="AG772" s="83" t="str">
        <f>REPLACE(INDEX(GroupVertices[Group],MATCH(Edges[[#This Row],[Vertex 2]],GroupVertices[Vertex],0)),1,1,"")</f>
        <v>4</v>
      </c>
      <c r="AH772" s="111">
        <v>1</v>
      </c>
      <c r="AI772" s="112">
        <v>6.666666666666667</v>
      </c>
      <c r="AJ772" s="111">
        <v>0</v>
      </c>
      <c r="AK772" s="112">
        <v>0</v>
      </c>
      <c r="AL772" s="111">
        <v>0</v>
      </c>
      <c r="AM772" s="112">
        <v>0</v>
      </c>
      <c r="AN772" s="111">
        <v>14</v>
      </c>
      <c r="AO772" s="112">
        <v>93.33333333333333</v>
      </c>
      <c r="AP772" s="111">
        <v>15</v>
      </c>
    </row>
    <row r="773" spans="1:42" ht="15">
      <c r="A773" s="65" t="s">
        <v>722</v>
      </c>
      <c r="B773" s="65" t="s">
        <v>711</v>
      </c>
      <c r="C773" s="66" t="s">
        <v>5345</v>
      </c>
      <c r="D773" s="67">
        <v>3</v>
      </c>
      <c r="E773" s="68"/>
      <c r="F773" s="69">
        <v>40</v>
      </c>
      <c r="G773" s="66"/>
      <c r="H773" s="70"/>
      <c r="I773" s="71"/>
      <c r="J773" s="71"/>
      <c r="K773" s="35" t="s">
        <v>65</v>
      </c>
      <c r="L773" s="79">
        <v>773</v>
      </c>
      <c r="M773" s="79"/>
      <c r="N773" s="73"/>
      <c r="O773" s="81" t="s">
        <v>760</v>
      </c>
      <c r="P773" s="81" t="s">
        <v>215</v>
      </c>
      <c r="Q773" s="84" t="s">
        <v>1504</v>
      </c>
      <c r="R773" s="81" t="s">
        <v>722</v>
      </c>
      <c r="S773" s="81" t="s">
        <v>2050</v>
      </c>
      <c r="T773" s="86" t="str">
        <f>HYPERLINK("http://www.youtube.com/channel/UC3suJoT2zJUqzYE1Y5-8dhg")</f>
        <v>http://www.youtube.com/channel/UC3suJoT2zJUqzYE1Y5-8dhg</v>
      </c>
      <c r="U773" s="81"/>
      <c r="V773" s="81" t="s">
        <v>2327</v>
      </c>
      <c r="W773" s="86" t="str">
        <f>HYPERLINK("https://www.youtube.com/watch?v=tS9IXHSdzJs")</f>
        <v>https://www.youtube.com/watch?v=tS9IXHSdzJs</v>
      </c>
      <c r="X773" s="81" t="s">
        <v>2335</v>
      </c>
      <c r="Y773" s="81">
        <v>1</v>
      </c>
      <c r="Z773" s="88">
        <v>43558.791875</v>
      </c>
      <c r="AA773" s="88">
        <v>43558.791875</v>
      </c>
      <c r="AB773" s="81"/>
      <c r="AC773" s="81"/>
      <c r="AD773" s="84" t="s">
        <v>2782</v>
      </c>
      <c r="AE773" s="82">
        <v>1</v>
      </c>
      <c r="AF773" s="83" t="str">
        <f>REPLACE(INDEX(GroupVertices[Group],MATCH(Edges[[#This Row],[Vertex 1]],GroupVertices[Vertex],0)),1,1,"")</f>
        <v>4</v>
      </c>
      <c r="AG773" s="83" t="str">
        <f>REPLACE(INDEX(GroupVertices[Group],MATCH(Edges[[#This Row],[Vertex 2]],GroupVertices[Vertex],0)),1,1,"")</f>
        <v>4</v>
      </c>
      <c r="AH773" s="111">
        <v>1</v>
      </c>
      <c r="AI773" s="112">
        <v>100</v>
      </c>
      <c r="AJ773" s="111">
        <v>0</v>
      </c>
      <c r="AK773" s="112">
        <v>0</v>
      </c>
      <c r="AL773" s="111">
        <v>0</v>
      </c>
      <c r="AM773" s="112">
        <v>0</v>
      </c>
      <c r="AN773" s="111">
        <v>0</v>
      </c>
      <c r="AO773" s="112">
        <v>0</v>
      </c>
      <c r="AP773" s="111">
        <v>1</v>
      </c>
    </row>
    <row r="774" spans="1:42" ht="15">
      <c r="A774" s="65" t="s">
        <v>711</v>
      </c>
      <c r="B774" s="65" t="s">
        <v>723</v>
      </c>
      <c r="C774" s="66" t="s">
        <v>5345</v>
      </c>
      <c r="D774" s="67">
        <v>3</v>
      </c>
      <c r="E774" s="68"/>
      <c r="F774" s="69">
        <v>40</v>
      </c>
      <c r="G774" s="66"/>
      <c r="H774" s="70"/>
      <c r="I774" s="71"/>
      <c r="J774" s="71"/>
      <c r="K774" s="35" t="s">
        <v>66</v>
      </c>
      <c r="L774" s="79">
        <v>774</v>
      </c>
      <c r="M774" s="79"/>
      <c r="N774" s="73"/>
      <c r="O774" s="81" t="s">
        <v>761</v>
      </c>
      <c r="P774" s="81" t="s">
        <v>763</v>
      </c>
      <c r="Q774" s="84" t="s">
        <v>1505</v>
      </c>
      <c r="R774" s="81" t="s">
        <v>711</v>
      </c>
      <c r="S774" s="81" t="s">
        <v>2039</v>
      </c>
      <c r="T774" s="86" t="str">
        <f>HYPERLINK("http://www.youtube.com/channel/UC_mzz_JnzArhhpGUy8KdGwg")</f>
        <v>http://www.youtube.com/channel/UC_mzz_JnzArhhpGUy8KdGwg</v>
      </c>
      <c r="U774" s="81" t="s">
        <v>2288</v>
      </c>
      <c r="V774" s="81" t="s">
        <v>2327</v>
      </c>
      <c r="W774" s="86" t="str">
        <f>HYPERLINK("https://www.youtube.com/watch?v=tS9IXHSdzJs")</f>
        <v>https://www.youtube.com/watch?v=tS9IXHSdzJs</v>
      </c>
      <c r="X774" s="81" t="s">
        <v>2335</v>
      </c>
      <c r="Y774" s="81">
        <v>1</v>
      </c>
      <c r="Z774" s="88">
        <v>43558.84085648148</v>
      </c>
      <c r="AA774" s="88">
        <v>43558.84085648148</v>
      </c>
      <c r="AB774" s="81"/>
      <c r="AC774" s="81"/>
      <c r="AD774" s="84" t="s">
        <v>2782</v>
      </c>
      <c r="AE774" s="82">
        <v>1</v>
      </c>
      <c r="AF774" s="83" t="str">
        <f>REPLACE(INDEX(GroupVertices[Group],MATCH(Edges[[#This Row],[Vertex 1]],GroupVertices[Vertex],0)),1,1,"")</f>
        <v>4</v>
      </c>
      <c r="AG774" s="83" t="str">
        <f>REPLACE(INDEX(GroupVertices[Group],MATCH(Edges[[#This Row],[Vertex 2]],GroupVertices[Vertex],0)),1,1,"")</f>
        <v>4</v>
      </c>
      <c r="AH774" s="111">
        <v>1</v>
      </c>
      <c r="AI774" s="112">
        <v>9.090909090909092</v>
      </c>
      <c r="AJ774" s="111">
        <v>0</v>
      </c>
      <c r="AK774" s="112">
        <v>0</v>
      </c>
      <c r="AL774" s="111">
        <v>0</v>
      </c>
      <c r="AM774" s="112">
        <v>0</v>
      </c>
      <c r="AN774" s="111">
        <v>10</v>
      </c>
      <c r="AO774" s="112">
        <v>90.9090909090909</v>
      </c>
      <c r="AP774" s="111">
        <v>11</v>
      </c>
    </row>
    <row r="775" spans="1:42" ht="15">
      <c r="A775" s="65" t="s">
        <v>723</v>
      </c>
      <c r="B775" s="65" t="s">
        <v>711</v>
      </c>
      <c r="C775" s="66" t="s">
        <v>5345</v>
      </c>
      <c r="D775" s="67">
        <v>3</v>
      </c>
      <c r="E775" s="68"/>
      <c r="F775" s="69">
        <v>40</v>
      </c>
      <c r="G775" s="66"/>
      <c r="H775" s="70"/>
      <c r="I775" s="71"/>
      <c r="J775" s="71"/>
      <c r="K775" s="35" t="s">
        <v>66</v>
      </c>
      <c r="L775" s="79">
        <v>775</v>
      </c>
      <c r="M775" s="79"/>
      <c r="N775" s="73"/>
      <c r="O775" s="81" t="s">
        <v>760</v>
      </c>
      <c r="P775" s="81" t="s">
        <v>215</v>
      </c>
      <c r="Q775" s="84" t="s">
        <v>1506</v>
      </c>
      <c r="R775" s="81" t="s">
        <v>723</v>
      </c>
      <c r="S775" s="81" t="s">
        <v>2051</v>
      </c>
      <c r="T775" s="86" t="str">
        <f>HYPERLINK("http://www.youtube.com/channel/UCWk8qaRj7jShI_2tBUK7APw")</f>
        <v>http://www.youtube.com/channel/UCWk8qaRj7jShI_2tBUK7APw</v>
      </c>
      <c r="U775" s="81"/>
      <c r="V775" s="81" t="s">
        <v>2327</v>
      </c>
      <c r="W775" s="86" t="str">
        <f>HYPERLINK("https://www.youtube.com/watch?v=tS9IXHSdzJs")</f>
        <v>https://www.youtube.com/watch?v=tS9IXHSdzJs</v>
      </c>
      <c r="X775" s="81" t="s">
        <v>2335</v>
      </c>
      <c r="Y775" s="81">
        <v>0</v>
      </c>
      <c r="Z775" s="88">
        <v>43558.822430555556</v>
      </c>
      <c r="AA775" s="88">
        <v>43558.822430555556</v>
      </c>
      <c r="AB775" s="81"/>
      <c r="AC775" s="81"/>
      <c r="AD775" s="84" t="s">
        <v>2782</v>
      </c>
      <c r="AE775" s="82">
        <v>1</v>
      </c>
      <c r="AF775" s="83" t="str">
        <f>REPLACE(INDEX(GroupVertices[Group],MATCH(Edges[[#This Row],[Vertex 1]],GroupVertices[Vertex],0)),1,1,"")</f>
        <v>4</v>
      </c>
      <c r="AG775" s="83" t="str">
        <f>REPLACE(INDEX(GroupVertices[Group],MATCH(Edges[[#This Row],[Vertex 2]],GroupVertices[Vertex],0)),1,1,"")</f>
        <v>4</v>
      </c>
      <c r="AH775" s="111">
        <v>7</v>
      </c>
      <c r="AI775" s="112">
        <v>21.21212121212121</v>
      </c>
      <c r="AJ775" s="111">
        <v>0</v>
      </c>
      <c r="AK775" s="112">
        <v>0</v>
      </c>
      <c r="AL775" s="111">
        <v>0</v>
      </c>
      <c r="AM775" s="112">
        <v>0</v>
      </c>
      <c r="AN775" s="111">
        <v>26</v>
      </c>
      <c r="AO775" s="112">
        <v>78.78787878787878</v>
      </c>
      <c r="AP775" s="111">
        <v>33</v>
      </c>
    </row>
    <row r="776" spans="1:42" ht="15">
      <c r="A776" s="65" t="s">
        <v>711</v>
      </c>
      <c r="B776" s="65" t="s">
        <v>724</v>
      </c>
      <c r="C776" s="66" t="s">
        <v>5345</v>
      </c>
      <c r="D776" s="67">
        <v>3</v>
      </c>
      <c r="E776" s="68"/>
      <c r="F776" s="69">
        <v>40</v>
      </c>
      <c r="G776" s="66"/>
      <c r="H776" s="70"/>
      <c r="I776" s="71"/>
      <c r="J776" s="71"/>
      <c r="K776" s="35" t="s">
        <v>66</v>
      </c>
      <c r="L776" s="79">
        <v>776</v>
      </c>
      <c r="M776" s="79"/>
      <c r="N776" s="73"/>
      <c r="O776" s="81" t="s">
        <v>761</v>
      </c>
      <c r="P776" s="81" t="s">
        <v>763</v>
      </c>
      <c r="Q776" s="84" t="s">
        <v>1507</v>
      </c>
      <c r="R776" s="81" t="s">
        <v>711</v>
      </c>
      <c r="S776" s="81" t="s">
        <v>2039</v>
      </c>
      <c r="T776" s="86" t="str">
        <f>HYPERLINK("http://www.youtube.com/channel/UC_mzz_JnzArhhpGUy8KdGwg")</f>
        <v>http://www.youtube.com/channel/UC_mzz_JnzArhhpGUy8KdGwg</v>
      </c>
      <c r="U776" s="81" t="s">
        <v>2289</v>
      </c>
      <c r="V776" s="81" t="s">
        <v>2327</v>
      </c>
      <c r="W776" s="86" t="str">
        <f>HYPERLINK("https://www.youtube.com/watch?v=tS9IXHSdzJs")</f>
        <v>https://www.youtube.com/watch?v=tS9IXHSdzJs</v>
      </c>
      <c r="X776" s="81" t="s">
        <v>2335</v>
      </c>
      <c r="Y776" s="81">
        <v>0</v>
      </c>
      <c r="Z776" s="88">
        <v>43558.84186342593</v>
      </c>
      <c r="AA776" s="88">
        <v>43558.84186342593</v>
      </c>
      <c r="AB776" s="81"/>
      <c r="AC776" s="81"/>
      <c r="AD776" s="84" t="s">
        <v>2782</v>
      </c>
      <c r="AE776" s="82">
        <v>1</v>
      </c>
      <c r="AF776" s="83" t="str">
        <f>REPLACE(INDEX(GroupVertices[Group],MATCH(Edges[[#This Row],[Vertex 1]],GroupVertices[Vertex],0)),1,1,"")</f>
        <v>4</v>
      </c>
      <c r="AG776" s="83" t="str">
        <f>REPLACE(INDEX(GroupVertices[Group],MATCH(Edges[[#This Row],[Vertex 2]],GroupVertices[Vertex],0)),1,1,"")</f>
        <v>4</v>
      </c>
      <c r="AH776" s="111">
        <v>2</v>
      </c>
      <c r="AI776" s="112">
        <v>12.5</v>
      </c>
      <c r="AJ776" s="111">
        <v>0</v>
      </c>
      <c r="AK776" s="112">
        <v>0</v>
      </c>
      <c r="AL776" s="111">
        <v>0</v>
      </c>
      <c r="AM776" s="112">
        <v>0</v>
      </c>
      <c r="AN776" s="111">
        <v>14</v>
      </c>
      <c r="AO776" s="112">
        <v>87.5</v>
      </c>
      <c r="AP776" s="111">
        <v>16</v>
      </c>
    </row>
    <row r="777" spans="1:42" ht="15">
      <c r="A777" s="65" t="s">
        <v>724</v>
      </c>
      <c r="B777" s="65" t="s">
        <v>711</v>
      </c>
      <c r="C777" s="66" t="s">
        <v>5345</v>
      </c>
      <c r="D777" s="67">
        <v>3</v>
      </c>
      <c r="E777" s="68"/>
      <c r="F777" s="69">
        <v>40</v>
      </c>
      <c r="G777" s="66"/>
      <c r="H777" s="70"/>
      <c r="I777" s="71"/>
      <c r="J777" s="71"/>
      <c r="K777" s="35" t="s">
        <v>66</v>
      </c>
      <c r="L777" s="79">
        <v>777</v>
      </c>
      <c r="M777" s="79"/>
      <c r="N777" s="73"/>
      <c r="O777" s="81" t="s">
        <v>760</v>
      </c>
      <c r="P777" s="81" t="s">
        <v>215</v>
      </c>
      <c r="Q777" s="84" t="s">
        <v>1508</v>
      </c>
      <c r="R777" s="81" t="s">
        <v>724</v>
      </c>
      <c r="S777" s="81" t="s">
        <v>2052</v>
      </c>
      <c r="T777" s="86" t="str">
        <f>HYPERLINK("http://www.youtube.com/channel/UCQdDgvr7KJSbiSMQuKef7_g")</f>
        <v>http://www.youtube.com/channel/UCQdDgvr7KJSbiSMQuKef7_g</v>
      </c>
      <c r="U777" s="81"/>
      <c r="V777" s="81" t="s">
        <v>2327</v>
      </c>
      <c r="W777" s="86" t="str">
        <f>HYPERLINK("https://www.youtube.com/watch?v=tS9IXHSdzJs")</f>
        <v>https://www.youtube.com/watch?v=tS9IXHSdzJs</v>
      </c>
      <c r="X777" s="81" t="s">
        <v>2335</v>
      </c>
      <c r="Y777" s="81">
        <v>0</v>
      </c>
      <c r="Z777" s="88">
        <v>43558.83356481481</v>
      </c>
      <c r="AA777" s="88">
        <v>43558.83375</v>
      </c>
      <c r="AB777" s="81"/>
      <c r="AC777" s="81"/>
      <c r="AD777" s="84" t="s">
        <v>2782</v>
      </c>
      <c r="AE777" s="82">
        <v>1</v>
      </c>
      <c r="AF777" s="83" t="str">
        <f>REPLACE(INDEX(GroupVertices[Group],MATCH(Edges[[#This Row],[Vertex 1]],GroupVertices[Vertex],0)),1,1,"")</f>
        <v>4</v>
      </c>
      <c r="AG777" s="83" t="str">
        <f>REPLACE(INDEX(GroupVertices[Group],MATCH(Edges[[#This Row],[Vertex 2]],GroupVertices[Vertex],0)),1,1,"")</f>
        <v>4</v>
      </c>
      <c r="AH777" s="111">
        <v>2</v>
      </c>
      <c r="AI777" s="112">
        <v>10</v>
      </c>
      <c r="AJ777" s="111">
        <v>0</v>
      </c>
      <c r="AK777" s="112">
        <v>0</v>
      </c>
      <c r="AL777" s="111">
        <v>0</v>
      </c>
      <c r="AM777" s="112">
        <v>0</v>
      </c>
      <c r="AN777" s="111">
        <v>18</v>
      </c>
      <c r="AO777" s="112">
        <v>90</v>
      </c>
      <c r="AP777" s="111">
        <v>20</v>
      </c>
    </row>
    <row r="778" spans="1:42" ht="15">
      <c r="A778" s="65" t="s">
        <v>711</v>
      </c>
      <c r="B778" s="65" t="s">
        <v>725</v>
      </c>
      <c r="C778" s="66" t="s">
        <v>5345</v>
      </c>
      <c r="D778" s="67">
        <v>3</v>
      </c>
      <c r="E778" s="68"/>
      <c r="F778" s="69">
        <v>40</v>
      </c>
      <c r="G778" s="66"/>
      <c r="H778" s="70"/>
      <c r="I778" s="71"/>
      <c r="J778" s="71"/>
      <c r="K778" s="35" t="s">
        <v>66</v>
      </c>
      <c r="L778" s="79">
        <v>778</v>
      </c>
      <c r="M778" s="79"/>
      <c r="N778" s="73"/>
      <c r="O778" s="81" t="s">
        <v>761</v>
      </c>
      <c r="P778" s="81" t="s">
        <v>763</v>
      </c>
      <c r="Q778" s="84" t="s">
        <v>1509</v>
      </c>
      <c r="R778" s="81" t="s">
        <v>711</v>
      </c>
      <c r="S778" s="81" t="s">
        <v>2039</v>
      </c>
      <c r="T778" s="86" t="str">
        <f>HYPERLINK("http://www.youtube.com/channel/UC_mzz_JnzArhhpGUy8KdGwg")</f>
        <v>http://www.youtube.com/channel/UC_mzz_JnzArhhpGUy8KdGwg</v>
      </c>
      <c r="U778" s="81" t="s">
        <v>2290</v>
      </c>
      <c r="V778" s="81" t="s">
        <v>2327</v>
      </c>
      <c r="W778" s="86" t="str">
        <f>HYPERLINK("https://www.youtube.com/watch?v=tS9IXHSdzJs")</f>
        <v>https://www.youtube.com/watch?v=tS9IXHSdzJs</v>
      </c>
      <c r="X778" s="81" t="s">
        <v>2335</v>
      </c>
      <c r="Y778" s="81">
        <v>0</v>
      </c>
      <c r="Z778" s="88">
        <v>43558.844988425924</v>
      </c>
      <c r="AA778" s="88">
        <v>43558.844988425924</v>
      </c>
      <c r="AB778" s="81"/>
      <c r="AC778" s="81"/>
      <c r="AD778" s="84" t="s">
        <v>2782</v>
      </c>
      <c r="AE778" s="82">
        <v>1</v>
      </c>
      <c r="AF778" s="83" t="str">
        <f>REPLACE(INDEX(GroupVertices[Group],MATCH(Edges[[#This Row],[Vertex 1]],GroupVertices[Vertex],0)),1,1,"")</f>
        <v>4</v>
      </c>
      <c r="AG778" s="83" t="str">
        <f>REPLACE(INDEX(GroupVertices[Group],MATCH(Edges[[#This Row],[Vertex 2]],GroupVertices[Vertex],0)),1,1,"")</f>
        <v>4</v>
      </c>
      <c r="AH778" s="111">
        <v>1</v>
      </c>
      <c r="AI778" s="112">
        <v>6.666666666666667</v>
      </c>
      <c r="AJ778" s="111">
        <v>0</v>
      </c>
      <c r="AK778" s="112">
        <v>0</v>
      </c>
      <c r="AL778" s="111">
        <v>0</v>
      </c>
      <c r="AM778" s="112">
        <v>0</v>
      </c>
      <c r="AN778" s="111">
        <v>14</v>
      </c>
      <c r="AO778" s="112">
        <v>93.33333333333333</v>
      </c>
      <c r="AP778" s="111">
        <v>15</v>
      </c>
    </row>
    <row r="779" spans="1:42" ht="15">
      <c r="A779" s="65" t="s">
        <v>725</v>
      </c>
      <c r="B779" s="65" t="s">
        <v>711</v>
      </c>
      <c r="C779" s="66" t="s">
        <v>5345</v>
      </c>
      <c r="D779" s="67">
        <v>3</v>
      </c>
      <c r="E779" s="68"/>
      <c r="F779" s="69">
        <v>40</v>
      </c>
      <c r="G779" s="66"/>
      <c r="H779" s="70"/>
      <c r="I779" s="71"/>
      <c r="J779" s="71"/>
      <c r="K779" s="35" t="s">
        <v>66</v>
      </c>
      <c r="L779" s="79">
        <v>779</v>
      </c>
      <c r="M779" s="79"/>
      <c r="N779" s="73"/>
      <c r="O779" s="81" t="s">
        <v>760</v>
      </c>
      <c r="P779" s="81" t="s">
        <v>215</v>
      </c>
      <c r="Q779" s="84" t="s">
        <v>1510</v>
      </c>
      <c r="R779" s="81" t="s">
        <v>725</v>
      </c>
      <c r="S779" s="81" t="s">
        <v>2053</v>
      </c>
      <c r="T779" s="86" t="str">
        <f>HYPERLINK("http://www.youtube.com/channel/UC9eAx4k9U2-MfIgrk6Lprgg")</f>
        <v>http://www.youtube.com/channel/UC9eAx4k9U2-MfIgrk6Lprgg</v>
      </c>
      <c r="U779" s="81"/>
      <c r="V779" s="81" t="s">
        <v>2327</v>
      </c>
      <c r="W779" s="86" t="str">
        <f>HYPERLINK("https://www.youtube.com/watch?v=tS9IXHSdzJs")</f>
        <v>https://www.youtube.com/watch?v=tS9IXHSdzJs</v>
      </c>
      <c r="X779" s="81" t="s">
        <v>2335</v>
      </c>
      <c r="Y779" s="81">
        <v>0</v>
      </c>
      <c r="Z779" s="88">
        <v>43558.83707175926</v>
      </c>
      <c r="AA779" s="88">
        <v>43558.83707175926</v>
      </c>
      <c r="AB779" s="81"/>
      <c r="AC779" s="81"/>
      <c r="AD779" s="84" t="s">
        <v>2782</v>
      </c>
      <c r="AE779" s="82">
        <v>1</v>
      </c>
      <c r="AF779" s="83" t="str">
        <f>REPLACE(INDEX(GroupVertices[Group],MATCH(Edges[[#This Row],[Vertex 1]],GroupVertices[Vertex],0)),1,1,"")</f>
        <v>4</v>
      </c>
      <c r="AG779" s="83" t="str">
        <f>REPLACE(INDEX(GroupVertices[Group],MATCH(Edges[[#This Row],[Vertex 2]],GroupVertices[Vertex],0)),1,1,"")</f>
        <v>4</v>
      </c>
      <c r="AH779" s="111">
        <v>1</v>
      </c>
      <c r="AI779" s="112">
        <v>3.8461538461538463</v>
      </c>
      <c r="AJ779" s="111">
        <v>0</v>
      </c>
      <c r="AK779" s="112">
        <v>0</v>
      </c>
      <c r="AL779" s="111">
        <v>0</v>
      </c>
      <c r="AM779" s="112">
        <v>0</v>
      </c>
      <c r="AN779" s="111">
        <v>25</v>
      </c>
      <c r="AO779" s="112">
        <v>96.15384615384616</v>
      </c>
      <c r="AP779" s="111">
        <v>26</v>
      </c>
    </row>
    <row r="780" spans="1:42" ht="15">
      <c r="A780" s="65" t="s">
        <v>711</v>
      </c>
      <c r="B780" s="65" t="s">
        <v>726</v>
      </c>
      <c r="C780" s="66" t="s">
        <v>5345</v>
      </c>
      <c r="D780" s="67">
        <v>3</v>
      </c>
      <c r="E780" s="68"/>
      <c r="F780" s="69">
        <v>40</v>
      </c>
      <c r="G780" s="66"/>
      <c r="H780" s="70"/>
      <c r="I780" s="71"/>
      <c r="J780" s="71"/>
      <c r="K780" s="35" t="s">
        <v>66</v>
      </c>
      <c r="L780" s="79">
        <v>780</v>
      </c>
      <c r="M780" s="79"/>
      <c r="N780" s="73"/>
      <c r="O780" s="81" t="s">
        <v>761</v>
      </c>
      <c r="P780" s="81" t="s">
        <v>763</v>
      </c>
      <c r="Q780" s="84" t="s">
        <v>1511</v>
      </c>
      <c r="R780" s="81" t="s">
        <v>711</v>
      </c>
      <c r="S780" s="81" t="s">
        <v>2039</v>
      </c>
      <c r="T780" s="86" t="str">
        <f>HYPERLINK("http://www.youtube.com/channel/UC_mzz_JnzArhhpGUy8KdGwg")</f>
        <v>http://www.youtube.com/channel/UC_mzz_JnzArhhpGUy8KdGwg</v>
      </c>
      <c r="U780" s="81" t="s">
        <v>2291</v>
      </c>
      <c r="V780" s="81" t="s">
        <v>2327</v>
      </c>
      <c r="W780" s="86" t="str">
        <f>HYPERLINK("https://www.youtube.com/watch?v=tS9IXHSdzJs")</f>
        <v>https://www.youtube.com/watch?v=tS9IXHSdzJs</v>
      </c>
      <c r="X780" s="81" t="s">
        <v>2335</v>
      </c>
      <c r="Y780" s="81">
        <v>1</v>
      </c>
      <c r="Z780" s="88">
        <v>43558.88337962963</v>
      </c>
      <c r="AA780" s="88">
        <v>43558.88337962963</v>
      </c>
      <c r="AB780" s="81"/>
      <c r="AC780" s="81"/>
      <c r="AD780" s="84" t="s">
        <v>2782</v>
      </c>
      <c r="AE780" s="82">
        <v>1</v>
      </c>
      <c r="AF780" s="83" t="str">
        <f>REPLACE(INDEX(GroupVertices[Group],MATCH(Edges[[#This Row],[Vertex 1]],GroupVertices[Vertex],0)),1,1,"")</f>
        <v>4</v>
      </c>
      <c r="AG780" s="83" t="str">
        <f>REPLACE(INDEX(GroupVertices[Group],MATCH(Edges[[#This Row],[Vertex 2]],GroupVertices[Vertex],0)),1,1,"")</f>
        <v>4</v>
      </c>
      <c r="AH780" s="111">
        <v>4</v>
      </c>
      <c r="AI780" s="112">
        <v>10.526315789473685</v>
      </c>
      <c r="AJ780" s="111">
        <v>1</v>
      </c>
      <c r="AK780" s="112">
        <v>2.6315789473684212</v>
      </c>
      <c r="AL780" s="111">
        <v>0</v>
      </c>
      <c r="AM780" s="112">
        <v>0</v>
      </c>
      <c r="AN780" s="111">
        <v>33</v>
      </c>
      <c r="AO780" s="112">
        <v>86.84210526315789</v>
      </c>
      <c r="AP780" s="111">
        <v>38</v>
      </c>
    </row>
    <row r="781" spans="1:42" ht="15">
      <c r="A781" s="65" t="s">
        <v>726</v>
      </c>
      <c r="B781" s="65" t="s">
        <v>711</v>
      </c>
      <c r="C781" s="66" t="s">
        <v>5345</v>
      </c>
      <c r="D781" s="67">
        <v>3</v>
      </c>
      <c r="E781" s="68"/>
      <c r="F781" s="69">
        <v>40</v>
      </c>
      <c r="G781" s="66"/>
      <c r="H781" s="70"/>
      <c r="I781" s="71"/>
      <c r="J781" s="71"/>
      <c r="K781" s="35" t="s">
        <v>66</v>
      </c>
      <c r="L781" s="79">
        <v>781</v>
      </c>
      <c r="M781" s="79"/>
      <c r="N781" s="73"/>
      <c r="O781" s="81" t="s">
        <v>760</v>
      </c>
      <c r="P781" s="81" t="s">
        <v>215</v>
      </c>
      <c r="Q781" s="84" t="s">
        <v>1512</v>
      </c>
      <c r="R781" s="81" t="s">
        <v>726</v>
      </c>
      <c r="S781" s="81" t="s">
        <v>2054</v>
      </c>
      <c r="T781" s="86" t="str">
        <f>HYPERLINK("http://www.youtube.com/channel/UC-lMDmalvYSq1BI7zNiTDaw")</f>
        <v>http://www.youtube.com/channel/UC-lMDmalvYSq1BI7zNiTDaw</v>
      </c>
      <c r="U781" s="81"/>
      <c r="V781" s="81" t="s">
        <v>2327</v>
      </c>
      <c r="W781" s="86" t="str">
        <f>HYPERLINK("https://www.youtube.com/watch?v=tS9IXHSdzJs")</f>
        <v>https://www.youtube.com/watch?v=tS9IXHSdzJs</v>
      </c>
      <c r="X781" s="81" t="s">
        <v>2335</v>
      </c>
      <c r="Y781" s="81">
        <v>0</v>
      </c>
      <c r="Z781" s="88">
        <v>43558.87275462963</v>
      </c>
      <c r="AA781" s="88">
        <v>43558.87275462963</v>
      </c>
      <c r="AB781" s="81"/>
      <c r="AC781" s="81"/>
      <c r="AD781" s="84" t="s">
        <v>2782</v>
      </c>
      <c r="AE781" s="82">
        <v>1</v>
      </c>
      <c r="AF781" s="83" t="str">
        <f>REPLACE(INDEX(GroupVertices[Group],MATCH(Edges[[#This Row],[Vertex 1]],GroupVertices[Vertex],0)),1,1,"")</f>
        <v>4</v>
      </c>
      <c r="AG781" s="83" t="str">
        <f>REPLACE(INDEX(GroupVertices[Group],MATCH(Edges[[#This Row],[Vertex 2]],GroupVertices[Vertex],0)),1,1,"")</f>
        <v>4</v>
      </c>
      <c r="AH781" s="111">
        <v>1</v>
      </c>
      <c r="AI781" s="112">
        <v>4.761904761904762</v>
      </c>
      <c r="AJ781" s="111">
        <v>0</v>
      </c>
      <c r="AK781" s="112">
        <v>0</v>
      </c>
      <c r="AL781" s="111">
        <v>0</v>
      </c>
      <c r="AM781" s="112">
        <v>0</v>
      </c>
      <c r="AN781" s="111">
        <v>20</v>
      </c>
      <c r="AO781" s="112">
        <v>95.23809523809524</v>
      </c>
      <c r="AP781" s="111">
        <v>21</v>
      </c>
    </row>
    <row r="782" spans="1:42" ht="15">
      <c r="A782" s="65" t="s">
        <v>711</v>
      </c>
      <c r="B782" s="65" t="s">
        <v>727</v>
      </c>
      <c r="C782" s="66" t="s">
        <v>5345</v>
      </c>
      <c r="D782" s="67">
        <v>3</v>
      </c>
      <c r="E782" s="68"/>
      <c r="F782" s="69">
        <v>40</v>
      </c>
      <c r="G782" s="66"/>
      <c r="H782" s="70"/>
      <c r="I782" s="71"/>
      <c r="J782" s="71"/>
      <c r="K782" s="35" t="s">
        <v>66</v>
      </c>
      <c r="L782" s="79">
        <v>782</v>
      </c>
      <c r="M782" s="79"/>
      <c r="N782" s="73"/>
      <c r="O782" s="81" t="s">
        <v>761</v>
      </c>
      <c r="P782" s="81" t="s">
        <v>763</v>
      </c>
      <c r="Q782" s="84" t="s">
        <v>1052</v>
      </c>
      <c r="R782" s="81" t="s">
        <v>711</v>
      </c>
      <c r="S782" s="81" t="s">
        <v>2039</v>
      </c>
      <c r="T782" s="86" t="str">
        <f>HYPERLINK("http://www.youtube.com/channel/UC_mzz_JnzArhhpGUy8KdGwg")</f>
        <v>http://www.youtube.com/channel/UC_mzz_JnzArhhpGUy8KdGwg</v>
      </c>
      <c r="U782" s="81" t="s">
        <v>2292</v>
      </c>
      <c r="V782" s="81" t="s">
        <v>2327</v>
      </c>
      <c r="W782" s="86" t="str">
        <f>HYPERLINK("https://www.youtube.com/watch?v=tS9IXHSdzJs")</f>
        <v>https://www.youtube.com/watch?v=tS9IXHSdzJs</v>
      </c>
      <c r="X782" s="81" t="s">
        <v>2335</v>
      </c>
      <c r="Y782" s="81">
        <v>1</v>
      </c>
      <c r="Z782" s="88">
        <v>43558.927777777775</v>
      </c>
      <c r="AA782" s="88">
        <v>43558.927777777775</v>
      </c>
      <c r="AB782" s="81"/>
      <c r="AC782" s="81"/>
      <c r="AD782" s="84" t="s">
        <v>2782</v>
      </c>
      <c r="AE782" s="82">
        <v>1</v>
      </c>
      <c r="AF782" s="83" t="str">
        <f>REPLACE(INDEX(GroupVertices[Group],MATCH(Edges[[#This Row],[Vertex 1]],GroupVertices[Vertex],0)),1,1,"")</f>
        <v>4</v>
      </c>
      <c r="AG782" s="83" t="str">
        <f>REPLACE(INDEX(GroupVertices[Group],MATCH(Edges[[#This Row],[Vertex 2]],GroupVertices[Vertex],0)),1,1,"")</f>
        <v>4</v>
      </c>
      <c r="AH782" s="111">
        <v>1</v>
      </c>
      <c r="AI782" s="112">
        <v>50</v>
      </c>
      <c r="AJ782" s="111">
        <v>0</v>
      </c>
      <c r="AK782" s="112">
        <v>0</v>
      </c>
      <c r="AL782" s="111">
        <v>0</v>
      </c>
      <c r="AM782" s="112">
        <v>0</v>
      </c>
      <c r="AN782" s="111">
        <v>1</v>
      </c>
      <c r="AO782" s="112">
        <v>50</v>
      </c>
      <c r="AP782" s="111">
        <v>2</v>
      </c>
    </row>
    <row r="783" spans="1:42" ht="15">
      <c r="A783" s="65" t="s">
        <v>727</v>
      </c>
      <c r="B783" s="65" t="s">
        <v>711</v>
      </c>
      <c r="C783" s="66" t="s">
        <v>5345</v>
      </c>
      <c r="D783" s="67">
        <v>3</v>
      </c>
      <c r="E783" s="68"/>
      <c r="F783" s="69">
        <v>40</v>
      </c>
      <c r="G783" s="66"/>
      <c r="H783" s="70"/>
      <c r="I783" s="71"/>
      <c r="J783" s="71"/>
      <c r="K783" s="35" t="s">
        <v>66</v>
      </c>
      <c r="L783" s="79">
        <v>783</v>
      </c>
      <c r="M783" s="79"/>
      <c r="N783" s="73"/>
      <c r="O783" s="81" t="s">
        <v>760</v>
      </c>
      <c r="P783" s="81" t="s">
        <v>215</v>
      </c>
      <c r="Q783" s="84" t="s">
        <v>1513</v>
      </c>
      <c r="R783" s="81" t="s">
        <v>727</v>
      </c>
      <c r="S783" s="81" t="s">
        <v>2055</v>
      </c>
      <c r="T783" s="86" t="str">
        <f>HYPERLINK("http://www.youtube.com/channel/UC-hDebHnHerDnjqU_Wz5owQ")</f>
        <v>http://www.youtube.com/channel/UC-hDebHnHerDnjqU_Wz5owQ</v>
      </c>
      <c r="U783" s="81"/>
      <c r="V783" s="81" t="s">
        <v>2327</v>
      </c>
      <c r="W783" s="86" t="str">
        <f>HYPERLINK("https://www.youtube.com/watch?v=tS9IXHSdzJs")</f>
        <v>https://www.youtube.com/watch?v=tS9IXHSdzJs</v>
      </c>
      <c r="X783" s="81" t="s">
        <v>2335</v>
      </c>
      <c r="Y783" s="81">
        <v>0</v>
      </c>
      <c r="Z783" s="88">
        <v>43558.92056712963</v>
      </c>
      <c r="AA783" s="88">
        <v>43558.92056712963</v>
      </c>
      <c r="AB783" s="81"/>
      <c r="AC783" s="81"/>
      <c r="AD783" s="84" t="s">
        <v>2782</v>
      </c>
      <c r="AE783" s="82">
        <v>1</v>
      </c>
      <c r="AF783" s="83" t="str">
        <f>REPLACE(INDEX(GroupVertices[Group],MATCH(Edges[[#This Row],[Vertex 1]],GroupVertices[Vertex],0)),1,1,"")</f>
        <v>4</v>
      </c>
      <c r="AG783" s="83" t="str">
        <f>REPLACE(INDEX(GroupVertices[Group],MATCH(Edges[[#This Row],[Vertex 2]],GroupVertices[Vertex],0)),1,1,"")</f>
        <v>4</v>
      </c>
      <c r="AH783" s="111">
        <v>3</v>
      </c>
      <c r="AI783" s="112">
        <v>11.11111111111111</v>
      </c>
      <c r="AJ783" s="111">
        <v>1</v>
      </c>
      <c r="AK783" s="112">
        <v>3.7037037037037037</v>
      </c>
      <c r="AL783" s="111">
        <v>0</v>
      </c>
      <c r="AM783" s="112">
        <v>0</v>
      </c>
      <c r="AN783" s="111">
        <v>23</v>
      </c>
      <c r="AO783" s="112">
        <v>85.18518518518519</v>
      </c>
      <c r="AP783" s="111">
        <v>27</v>
      </c>
    </row>
    <row r="784" spans="1:42" ht="15">
      <c r="A784" s="65" t="s">
        <v>728</v>
      </c>
      <c r="B784" s="65" t="s">
        <v>711</v>
      </c>
      <c r="C784" s="66" t="s">
        <v>5345</v>
      </c>
      <c r="D784" s="67">
        <v>3</v>
      </c>
      <c r="E784" s="68"/>
      <c r="F784" s="69">
        <v>40</v>
      </c>
      <c r="G784" s="66"/>
      <c r="H784" s="70"/>
      <c r="I784" s="71"/>
      <c r="J784" s="71"/>
      <c r="K784" s="35" t="s">
        <v>65</v>
      </c>
      <c r="L784" s="79">
        <v>784</v>
      </c>
      <c r="M784" s="79"/>
      <c r="N784" s="73"/>
      <c r="O784" s="81" t="s">
        <v>760</v>
      </c>
      <c r="P784" s="81" t="s">
        <v>215</v>
      </c>
      <c r="Q784" s="84" t="s">
        <v>1514</v>
      </c>
      <c r="R784" s="81" t="s">
        <v>728</v>
      </c>
      <c r="S784" s="81" t="s">
        <v>2056</v>
      </c>
      <c r="T784" s="86" t="str">
        <f>HYPERLINK("http://www.youtube.com/channel/UCs9MJ-TmN0-CLY2eNBHAltw")</f>
        <v>http://www.youtube.com/channel/UCs9MJ-TmN0-CLY2eNBHAltw</v>
      </c>
      <c r="U784" s="81"/>
      <c r="V784" s="81" t="s">
        <v>2327</v>
      </c>
      <c r="W784" s="86" t="str">
        <f>HYPERLINK("https://www.youtube.com/watch?v=tS9IXHSdzJs")</f>
        <v>https://www.youtube.com/watch?v=tS9IXHSdzJs</v>
      </c>
      <c r="X784" s="81" t="s">
        <v>2335</v>
      </c>
      <c r="Y784" s="81">
        <v>1</v>
      </c>
      <c r="Z784" s="88">
        <v>43558.92616898148</v>
      </c>
      <c r="AA784" s="88">
        <v>43558.92616898148</v>
      </c>
      <c r="AB784" s="81"/>
      <c r="AC784" s="81"/>
      <c r="AD784" s="84" t="s">
        <v>2782</v>
      </c>
      <c r="AE784" s="82">
        <v>1</v>
      </c>
      <c r="AF784" s="83" t="str">
        <f>REPLACE(INDEX(GroupVertices[Group],MATCH(Edges[[#This Row],[Vertex 1]],GroupVertices[Vertex],0)),1,1,"")</f>
        <v>4</v>
      </c>
      <c r="AG784" s="83" t="str">
        <f>REPLACE(INDEX(GroupVertices[Group],MATCH(Edges[[#This Row],[Vertex 2]],GroupVertices[Vertex],0)),1,1,"")</f>
        <v>4</v>
      </c>
      <c r="AH784" s="111">
        <v>1</v>
      </c>
      <c r="AI784" s="112">
        <v>50</v>
      </c>
      <c r="AJ784" s="111">
        <v>0</v>
      </c>
      <c r="AK784" s="112">
        <v>0</v>
      </c>
      <c r="AL784" s="111">
        <v>0</v>
      </c>
      <c r="AM784" s="112">
        <v>0</v>
      </c>
      <c r="AN784" s="111">
        <v>1</v>
      </c>
      <c r="AO784" s="112">
        <v>50</v>
      </c>
      <c r="AP784" s="111">
        <v>2</v>
      </c>
    </row>
    <row r="785" spans="1:42" ht="15">
      <c r="A785" s="65" t="s">
        <v>729</v>
      </c>
      <c r="B785" s="65" t="s">
        <v>711</v>
      </c>
      <c r="C785" s="66" t="s">
        <v>5345</v>
      </c>
      <c r="D785" s="67">
        <v>3</v>
      </c>
      <c r="E785" s="68"/>
      <c r="F785" s="69">
        <v>40</v>
      </c>
      <c r="G785" s="66"/>
      <c r="H785" s="70"/>
      <c r="I785" s="71"/>
      <c r="J785" s="71"/>
      <c r="K785" s="35" t="s">
        <v>65</v>
      </c>
      <c r="L785" s="79">
        <v>785</v>
      </c>
      <c r="M785" s="79"/>
      <c r="N785" s="73"/>
      <c r="O785" s="81" t="s">
        <v>760</v>
      </c>
      <c r="P785" s="81" t="s">
        <v>215</v>
      </c>
      <c r="Q785" s="84" t="s">
        <v>1515</v>
      </c>
      <c r="R785" s="81" t="s">
        <v>729</v>
      </c>
      <c r="S785" s="81" t="s">
        <v>2057</v>
      </c>
      <c r="T785" s="86" t="str">
        <f>HYPERLINK("http://www.youtube.com/channel/UCeLqxe2Fyy1zpvb36shuJGw")</f>
        <v>http://www.youtube.com/channel/UCeLqxe2Fyy1zpvb36shuJGw</v>
      </c>
      <c r="U785" s="81"/>
      <c r="V785" s="81" t="s">
        <v>2327</v>
      </c>
      <c r="W785" s="86" t="str">
        <f>HYPERLINK("https://www.youtube.com/watch?v=tS9IXHSdzJs")</f>
        <v>https://www.youtube.com/watch?v=tS9IXHSdzJs</v>
      </c>
      <c r="X785" s="81" t="s">
        <v>2335</v>
      </c>
      <c r="Y785" s="81">
        <v>2</v>
      </c>
      <c r="Z785" s="88">
        <v>43558.94137731481</v>
      </c>
      <c r="AA785" s="88">
        <v>43558.94137731481</v>
      </c>
      <c r="AB785" s="81"/>
      <c r="AC785" s="81"/>
      <c r="AD785" s="84" t="s">
        <v>2782</v>
      </c>
      <c r="AE785" s="82">
        <v>1</v>
      </c>
      <c r="AF785" s="83" t="str">
        <f>REPLACE(INDEX(GroupVertices[Group],MATCH(Edges[[#This Row],[Vertex 1]],GroupVertices[Vertex],0)),1,1,"")</f>
        <v>4</v>
      </c>
      <c r="AG785" s="83" t="str">
        <f>REPLACE(INDEX(GroupVertices[Group],MATCH(Edges[[#This Row],[Vertex 2]],GroupVertices[Vertex],0)),1,1,"")</f>
        <v>4</v>
      </c>
      <c r="AH785" s="111">
        <v>3</v>
      </c>
      <c r="AI785" s="112">
        <v>30</v>
      </c>
      <c r="AJ785" s="111">
        <v>0</v>
      </c>
      <c r="AK785" s="112">
        <v>0</v>
      </c>
      <c r="AL785" s="111">
        <v>0</v>
      </c>
      <c r="AM785" s="112">
        <v>0</v>
      </c>
      <c r="AN785" s="111">
        <v>7</v>
      </c>
      <c r="AO785" s="112">
        <v>70</v>
      </c>
      <c r="AP785" s="111">
        <v>10</v>
      </c>
    </row>
    <row r="786" spans="1:42" ht="15">
      <c r="A786" s="65" t="s">
        <v>711</v>
      </c>
      <c r="B786" s="65" t="s">
        <v>730</v>
      </c>
      <c r="C786" s="66" t="s">
        <v>5345</v>
      </c>
      <c r="D786" s="67">
        <v>3</v>
      </c>
      <c r="E786" s="68"/>
      <c r="F786" s="69">
        <v>40</v>
      </c>
      <c r="G786" s="66"/>
      <c r="H786" s="70"/>
      <c r="I786" s="71"/>
      <c r="J786" s="71"/>
      <c r="K786" s="35" t="s">
        <v>66</v>
      </c>
      <c r="L786" s="79">
        <v>786</v>
      </c>
      <c r="M786" s="79"/>
      <c r="N786" s="73"/>
      <c r="O786" s="81" t="s">
        <v>761</v>
      </c>
      <c r="P786" s="81" t="s">
        <v>763</v>
      </c>
      <c r="Q786" s="84" t="s">
        <v>1020</v>
      </c>
      <c r="R786" s="81" t="s">
        <v>711</v>
      </c>
      <c r="S786" s="81" t="s">
        <v>2039</v>
      </c>
      <c r="T786" s="86" t="str">
        <f>HYPERLINK("http://www.youtube.com/channel/UC_mzz_JnzArhhpGUy8KdGwg")</f>
        <v>http://www.youtube.com/channel/UC_mzz_JnzArhhpGUy8KdGwg</v>
      </c>
      <c r="U786" s="81" t="s">
        <v>2293</v>
      </c>
      <c r="V786" s="81" t="s">
        <v>2327</v>
      </c>
      <c r="W786" s="86" t="str">
        <f>HYPERLINK("https://www.youtube.com/watch?v=tS9IXHSdzJs")</f>
        <v>https://www.youtube.com/watch?v=tS9IXHSdzJs</v>
      </c>
      <c r="X786" s="81" t="s">
        <v>2335</v>
      </c>
      <c r="Y786" s="81">
        <v>0</v>
      </c>
      <c r="Z786" s="88">
        <v>43558.9759375</v>
      </c>
      <c r="AA786" s="88">
        <v>43558.9759375</v>
      </c>
      <c r="AB786" s="81"/>
      <c r="AC786" s="81"/>
      <c r="AD786" s="84" t="s">
        <v>2782</v>
      </c>
      <c r="AE786" s="82">
        <v>1</v>
      </c>
      <c r="AF786" s="83" t="str">
        <f>REPLACE(INDEX(GroupVertices[Group],MATCH(Edges[[#This Row],[Vertex 1]],GroupVertices[Vertex],0)),1,1,"")</f>
        <v>4</v>
      </c>
      <c r="AG786" s="83" t="str">
        <f>REPLACE(INDEX(GroupVertices[Group],MATCH(Edges[[#This Row],[Vertex 2]],GroupVertices[Vertex],0)),1,1,"")</f>
        <v>4</v>
      </c>
      <c r="AH786" s="111">
        <v>1</v>
      </c>
      <c r="AI786" s="112">
        <v>50</v>
      </c>
      <c r="AJ786" s="111">
        <v>0</v>
      </c>
      <c r="AK786" s="112">
        <v>0</v>
      </c>
      <c r="AL786" s="111">
        <v>0</v>
      </c>
      <c r="AM786" s="112">
        <v>0</v>
      </c>
      <c r="AN786" s="111">
        <v>1</v>
      </c>
      <c r="AO786" s="112">
        <v>50</v>
      </c>
      <c r="AP786" s="111">
        <v>2</v>
      </c>
    </row>
    <row r="787" spans="1:42" ht="15">
      <c r="A787" s="65" t="s">
        <v>730</v>
      </c>
      <c r="B787" s="65" t="s">
        <v>711</v>
      </c>
      <c r="C787" s="66" t="s">
        <v>5345</v>
      </c>
      <c r="D787" s="67">
        <v>3</v>
      </c>
      <c r="E787" s="68"/>
      <c r="F787" s="69">
        <v>40</v>
      </c>
      <c r="G787" s="66"/>
      <c r="H787" s="70"/>
      <c r="I787" s="71"/>
      <c r="J787" s="71"/>
      <c r="K787" s="35" t="s">
        <v>66</v>
      </c>
      <c r="L787" s="79">
        <v>787</v>
      </c>
      <c r="M787" s="79"/>
      <c r="N787" s="73"/>
      <c r="O787" s="81" t="s">
        <v>760</v>
      </c>
      <c r="P787" s="81" t="s">
        <v>215</v>
      </c>
      <c r="Q787" s="84" t="s">
        <v>1516</v>
      </c>
      <c r="R787" s="81" t="s">
        <v>730</v>
      </c>
      <c r="S787" s="81" t="s">
        <v>2058</v>
      </c>
      <c r="T787" s="86" t="str">
        <f>HYPERLINK("http://www.youtube.com/channel/UCyOnDaKILlNWEmejJMiuKGg")</f>
        <v>http://www.youtube.com/channel/UCyOnDaKILlNWEmejJMiuKGg</v>
      </c>
      <c r="U787" s="81"/>
      <c r="V787" s="81" t="s">
        <v>2327</v>
      </c>
      <c r="W787" s="86" t="str">
        <f>HYPERLINK("https://www.youtube.com/watch?v=tS9IXHSdzJs")</f>
        <v>https://www.youtube.com/watch?v=tS9IXHSdzJs</v>
      </c>
      <c r="X787" s="81" t="s">
        <v>2335</v>
      </c>
      <c r="Y787" s="81">
        <v>0</v>
      </c>
      <c r="Z787" s="88">
        <v>43558.9703125</v>
      </c>
      <c r="AA787" s="88">
        <v>43558.9703125</v>
      </c>
      <c r="AB787" s="81"/>
      <c r="AC787" s="81"/>
      <c r="AD787" s="84" t="s">
        <v>2782</v>
      </c>
      <c r="AE787" s="82">
        <v>1</v>
      </c>
      <c r="AF787" s="83" t="str">
        <f>REPLACE(INDEX(GroupVertices[Group],MATCH(Edges[[#This Row],[Vertex 1]],GroupVertices[Vertex],0)),1,1,"")</f>
        <v>4</v>
      </c>
      <c r="AG787" s="83" t="str">
        <f>REPLACE(INDEX(GroupVertices[Group],MATCH(Edges[[#This Row],[Vertex 2]],GroupVertices[Vertex],0)),1,1,"")</f>
        <v>4</v>
      </c>
      <c r="AH787" s="111">
        <v>1</v>
      </c>
      <c r="AI787" s="112">
        <v>25</v>
      </c>
      <c r="AJ787" s="111">
        <v>0</v>
      </c>
      <c r="AK787" s="112">
        <v>0</v>
      </c>
      <c r="AL787" s="111">
        <v>0</v>
      </c>
      <c r="AM787" s="112">
        <v>0</v>
      </c>
      <c r="AN787" s="111">
        <v>3</v>
      </c>
      <c r="AO787" s="112">
        <v>75</v>
      </c>
      <c r="AP787" s="111">
        <v>4</v>
      </c>
    </row>
    <row r="788" spans="1:42" ht="15">
      <c r="A788" s="65" t="s">
        <v>711</v>
      </c>
      <c r="B788" s="65" t="s">
        <v>731</v>
      </c>
      <c r="C788" s="66" t="s">
        <v>5345</v>
      </c>
      <c r="D788" s="67">
        <v>3</v>
      </c>
      <c r="E788" s="68"/>
      <c r="F788" s="69">
        <v>40</v>
      </c>
      <c r="G788" s="66"/>
      <c r="H788" s="70"/>
      <c r="I788" s="71"/>
      <c r="J788" s="71"/>
      <c r="K788" s="35" t="s">
        <v>66</v>
      </c>
      <c r="L788" s="79">
        <v>788</v>
      </c>
      <c r="M788" s="79"/>
      <c r="N788" s="73"/>
      <c r="O788" s="81" t="s">
        <v>761</v>
      </c>
      <c r="P788" s="81" t="s">
        <v>763</v>
      </c>
      <c r="Q788" s="84" t="s">
        <v>1517</v>
      </c>
      <c r="R788" s="81" t="s">
        <v>711</v>
      </c>
      <c r="S788" s="81" t="s">
        <v>2039</v>
      </c>
      <c r="T788" s="86" t="str">
        <f>HYPERLINK("http://www.youtube.com/channel/UC_mzz_JnzArhhpGUy8KdGwg")</f>
        <v>http://www.youtube.com/channel/UC_mzz_JnzArhhpGUy8KdGwg</v>
      </c>
      <c r="U788" s="81" t="s">
        <v>2294</v>
      </c>
      <c r="V788" s="81" t="s">
        <v>2327</v>
      </c>
      <c r="W788" s="86" t="str">
        <f>HYPERLINK("https://www.youtube.com/watch?v=tS9IXHSdzJs")</f>
        <v>https://www.youtube.com/watch?v=tS9IXHSdzJs</v>
      </c>
      <c r="X788" s="81" t="s">
        <v>2335</v>
      </c>
      <c r="Y788" s="81">
        <v>0</v>
      </c>
      <c r="Z788" s="88">
        <v>43588.03135416667</v>
      </c>
      <c r="AA788" s="88">
        <v>43588.03135416667</v>
      </c>
      <c r="AB788" s="81"/>
      <c r="AC788" s="81"/>
      <c r="AD788" s="84" t="s">
        <v>2782</v>
      </c>
      <c r="AE788" s="82">
        <v>1</v>
      </c>
      <c r="AF788" s="83" t="str">
        <f>REPLACE(INDEX(GroupVertices[Group],MATCH(Edges[[#This Row],[Vertex 1]],GroupVertices[Vertex],0)),1,1,"")</f>
        <v>4</v>
      </c>
      <c r="AG788" s="83" t="str">
        <f>REPLACE(INDEX(GroupVertices[Group],MATCH(Edges[[#This Row],[Vertex 2]],GroupVertices[Vertex],0)),1,1,"")</f>
        <v>4</v>
      </c>
      <c r="AH788" s="111">
        <v>1</v>
      </c>
      <c r="AI788" s="112">
        <v>2.9411764705882355</v>
      </c>
      <c r="AJ788" s="111">
        <v>1</v>
      </c>
      <c r="AK788" s="112">
        <v>2.9411764705882355</v>
      </c>
      <c r="AL788" s="111">
        <v>0</v>
      </c>
      <c r="AM788" s="112">
        <v>0</v>
      </c>
      <c r="AN788" s="111">
        <v>32</v>
      </c>
      <c r="AO788" s="112">
        <v>94.11764705882354</v>
      </c>
      <c r="AP788" s="111">
        <v>34</v>
      </c>
    </row>
    <row r="789" spans="1:42" ht="15">
      <c r="A789" s="65" t="s">
        <v>731</v>
      </c>
      <c r="B789" s="65" t="s">
        <v>711</v>
      </c>
      <c r="C789" s="66" t="s">
        <v>5345</v>
      </c>
      <c r="D789" s="67">
        <v>3</v>
      </c>
      <c r="E789" s="68"/>
      <c r="F789" s="69">
        <v>40</v>
      </c>
      <c r="G789" s="66"/>
      <c r="H789" s="70"/>
      <c r="I789" s="71"/>
      <c r="J789" s="71"/>
      <c r="K789" s="35" t="s">
        <v>66</v>
      </c>
      <c r="L789" s="79">
        <v>789</v>
      </c>
      <c r="M789" s="79"/>
      <c r="N789" s="73"/>
      <c r="O789" s="81" t="s">
        <v>760</v>
      </c>
      <c r="P789" s="81" t="s">
        <v>215</v>
      </c>
      <c r="Q789" s="84" t="s">
        <v>1518</v>
      </c>
      <c r="R789" s="81" t="s">
        <v>731</v>
      </c>
      <c r="S789" s="81" t="s">
        <v>2059</v>
      </c>
      <c r="T789" s="86" t="str">
        <f>HYPERLINK("http://www.youtube.com/channel/UCdQ9iOrNVbO94hDax02BryA")</f>
        <v>http://www.youtube.com/channel/UCdQ9iOrNVbO94hDax02BryA</v>
      </c>
      <c r="U789" s="81"/>
      <c r="V789" s="81" t="s">
        <v>2327</v>
      </c>
      <c r="W789" s="86" t="str">
        <f>HYPERLINK("https://www.youtube.com/watch?v=tS9IXHSdzJs")</f>
        <v>https://www.youtube.com/watch?v=tS9IXHSdzJs</v>
      </c>
      <c r="X789" s="81" t="s">
        <v>2335</v>
      </c>
      <c r="Y789" s="81">
        <v>0</v>
      </c>
      <c r="Z789" s="88">
        <v>43588.016284722224</v>
      </c>
      <c r="AA789" s="88">
        <v>43588.0183912037</v>
      </c>
      <c r="AB789" s="81"/>
      <c r="AC789" s="81"/>
      <c r="AD789" s="84" t="s">
        <v>2782</v>
      </c>
      <c r="AE789" s="82">
        <v>1</v>
      </c>
      <c r="AF789" s="83" t="str">
        <f>REPLACE(INDEX(GroupVertices[Group],MATCH(Edges[[#This Row],[Vertex 1]],GroupVertices[Vertex],0)),1,1,"")</f>
        <v>4</v>
      </c>
      <c r="AG789" s="83" t="str">
        <f>REPLACE(INDEX(GroupVertices[Group],MATCH(Edges[[#This Row],[Vertex 2]],GroupVertices[Vertex],0)),1,1,"")</f>
        <v>4</v>
      </c>
      <c r="AH789" s="111">
        <v>2</v>
      </c>
      <c r="AI789" s="112">
        <v>6.25</v>
      </c>
      <c r="AJ789" s="111">
        <v>0</v>
      </c>
      <c r="AK789" s="112">
        <v>0</v>
      </c>
      <c r="AL789" s="111">
        <v>0</v>
      </c>
      <c r="AM789" s="112">
        <v>0</v>
      </c>
      <c r="AN789" s="111">
        <v>30</v>
      </c>
      <c r="AO789" s="112">
        <v>93.75</v>
      </c>
      <c r="AP789" s="111">
        <v>32</v>
      </c>
    </row>
    <row r="790" spans="1:42" ht="15">
      <c r="A790" s="65" t="s">
        <v>732</v>
      </c>
      <c r="B790" s="65" t="s">
        <v>711</v>
      </c>
      <c r="C790" s="66" t="s">
        <v>5345</v>
      </c>
      <c r="D790" s="67">
        <v>3</v>
      </c>
      <c r="E790" s="68"/>
      <c r="F790" s="69">
        <v>40</v>
      </c>
      <c r="G790" s="66"/>
      <c r="H790" s="70"/>
      <c r="I790" s="71"/>
      <c r="J790" s="71"/>
      <c r="K790" s="35" t="s">
        <v>65</v>
      </c>
      <c r="L790" s="79">
        <v>790</v>
      </c>
      <c r="M790" s="79"/>
      <c r="N790" s="73"/>
      <c r="O790" s="81" t="s">
        <v>760</v>
      </c>
      <c r="P790" s="81" t="s">
        <v>215</v>
      </c>
      <c r="Q790" s="84" t="s">
        <v>1519</v>
      </c>
      <c r="R790" s="81" t="s">
        <v>732</v>
      </c>
      <c r="S790" s="81" t="s">
        <v>2060</v>
      </c>
      <c r="T790" s="86" t="str">
        <f>HYPERLINK("http://www.youtube.com/channel/UCBBX3hvZHXUnGPnFCoEobwA")</f>
        <v>http://www.youtube.com/channel/UCBBX3hvZHXUnGPnFCoEobwA</v>
      </c>
      <c r="U790" s="81"/>
      <c r="V790" s="81" t="s">
        <v>2327</v>
      </c>
      <c r="W790" s="86" t="str">
        <f>HYPERLINK("https://www.youtube.com/watch?v=tS9IXHSdzJs")</f>
        <v>https://www.youtube.com/watch?v=tS9IXHSdzJs</v>
      </c>
      <c r="X790" s="81" t="s">
        <v>2335</v>
      </c>
      <c r="Y790" s="81">
        <v>0</v>
      </c>
      <c r="Z790" s="88">
        <v>43588.19011574074</v>
      </c>
      <c r="AA790" s="88">
        <v>43588.19011574074</v>
      </c>
      <c r="AB790" s="81"/>
      <c r="AC790" s="81"/>
      <c r="AD790" s="84" t="s">
        <v>2782</v>
      </c>
      <c r="AE790" s="82">
        <v>1</v>
      </c>
      <c r="AF790" s="83" t="str">
        <f>REPLACE(INDEX(GroupVertices[Group],MATCH(Edges[[#This Row],[Vertex 1]],GroupVertices[Vertex],0)),1,1,"")</f>
        <v>4</v>
      </c>
      <c r="AG790" s="83" t="str">
        <f>REPLACE(INDEX(GroupVertices[Group],MATCH(Edges[[#This Row],[Vertex 2]],GroupVertices[Vertex],0)),1,1,"")</f>
        <v>4</v>
      </c>
      <c r="AH790" s="111">
        <v>1</v>
      </c>
      <c r="AI790" s="112">
        <v>33.333333333333336</v>
      </c>
      <c r="AJ790" s="111">
        <v>0</v>
      </c>
      <c r="AK790" s="112">
        <v>0</v>
      </c>
      <c r="AL790" s="111">
        <v>0</v>
      </c>
      <c r="AM790" s="112">
        <v>0</v>
      </c>
      <c r="AN790" s="111">
        <v>2</v>
      </c>
      <c r="AO790" s="112">
        <v>66.66666666666667</v>
      </c>
      <c r="AP790" s="111">
        <v>3</v>
      </c>
    </row>
    <row r="791" spans="1:42" ht="15">
      <c r="A791" s="65" t="s">
        <v>230</v>
      </c>
      <c r="B791" s="65" t="s">
        <v>733</v>
      </c>
      <c r="C791" s="66" t="s">
        <v>5345</v>
      </c>
      <c r="D791" s="67">
        <v>3</v>
      </c>
      <c r="E791" s="68"/>
      <c r="F791" s="69">
        <v>40</v>
      </c>
      <c r="G791" s="66"/>
      <c r="H791" s="70"/>
      <c r="I791" s="71"/>
      <c r="J791" s="71"/>
      <c r="K791" s="35" t="s">
        <v>66</v>
      </c>
      <c r="L791" s="79">
        <v>791</v>
      </c>
      <c r="M791" s="79"/>
      <c r="N791" s="73"/>
      <c r="O791" s="81" t="s">
        <v>761</v>
      </c>
      <c r="P791" s="81" t="s">
        <v>763</v>
      </c>
      <c r="Q791" s="84" t="s">
        <v>765</v>
      </c>
      <c r="R791" s="81" t="s">
        <v>230</v>
      </c>
      <c r="S791" s="81" t="s">
        <v>1559</v>
      </c>
      <c r="T791" s="86" t="str">
        <f>HYPERLINK("http://www.youtube.com/channel/UCbbx7msYKamwOeRUkaqCTAQ")</f>
        <v>http://www.youtube.com/channel/UCbbx7msYKamwOeRUkaqCTAQ</v>
      </c>
      <c r="U791" s="81" t="s">
        <v>2295</v>
      </c>
      <c r="V791" s="81" t="s">
        <v>2306</v>
      </c>
      <c r="W791" s="86" t="str">
        <f>HYPERLINK("https://www.youtube.com/watch?v=-0Iauhp_Kug")</f>
        <v>https://www.youtube.com/watch?v=-0Iauhp_Kug</v>
      </c>
      <c r="X791" s="81" t="s">
        <v>2335</v>
      </c>
      <c r="Y791" s="81">
        <v>0</v>
      </c>
      <c r="Z791" s="88">
        <v>44170.937685185185</v>
      </c>
      <c r="AA791" s="88">
        <v>44170.937685185185</v>
      </c>
      <c r="AB791" s="81"/>
      <c r="AC791" s="81"/>
      <c r="AD791" s="84" t="s">
        <v>2782</v>
      </c>
      <c r="AE791" s="82">
        <v>1</v>
      </c>
      <c r="AF791" s="83" t="str">
        <f>REPLACE(INDEX(GroupVertices[Group],MATCH(Edges[[#This Row],[Vertex 1]],GroupVertices[Vertex],0)),1,1,"")</f>
        <v>5</v>
      </c>
      <c r="AG791" s="83" t="str">
        <f>REPLACE(INDEX(GroupVertices[Group],MATCH(Edges[[#This Row],[Vertex 2]],GroupVertices[Vertex],0)),1,1,"")</f>
        <v>5</v>
      </c>
      <c r="AH791" s="111">
        <v>0</v>
      </c>
      <c r="AI791" s="112">
        <v>0</v>
      </c>
      <c r="AJ791" s="111">
        <v>0</v>
      </c>
      <c r="AK791" s="112">
        <v>0</v>
      </c>
      <c r="AL791" s="111">
        <v>0</v>
      </c>
      <c r="AM791" s="112">
        <v>0</v>
      </c>
      <c r="AN791" s="111">
        <v>3</v>
      </c>
      <c r="AO791" s="112">
        <v>100</v>
      </c>
      <c r="AP791" s="111">
        <v>3</v>
      </c>
    </row>
    <row r="792" spans="1:42" ht="15">
      <c r="A792" s="65" t="s">
        <v>733</v>
      </c>
      <c r="B792" s="65" t="s">
        <v>230</v>
      </c>
      <c r="C792" s="66" t="s">
        <v>5345</v>
      </c>
      <c r="D792" s="67">
        <v>3</v>
      </c>
      <c r="E792" s="68"/>
      <c r="F792" s="69">
        <v>40</v>
      </c>
      <c r="G792" s="66"/>
      <c r="H792" s="70"/>
      <c r="I792" s="71"/>
      <c r="J792" s="71"/>
      <c r="K792" s="35" t="s">
        <v>66</v>
      </c>
      <c r="L792" s="79">
        <v>792</v>
      </c>
      <c r="M792" s="79"/>
      <c r="N792" s="73"/>
      <c r="O792" s="81" t="s">
        <v>760</v>
      </c>
      <c r="P792" s="81" t="s">
        <v>215</v>
      </c>
      <c r="Q792" s="84" t="s">
        <v>1520</v>
      </c>
      <c r="R792" s="81" t="s">
        <v>733</v>
      </c>
      <c r="S792" s="81" t="s">
        <v>2061</v>
      </c>
      <c r="T792" s="86" t="str">
        <f>HYPERLINK("http://www.youtube.com/channel/UCvUJkGPWzj100gTHN2AJopA")</f>
        <v>http://www.youtube.com/channel/UCvUJkGPWzj100gTHN2AJopA</v>
      </c>
      <c r="U792" s="81"/>
      <c r="V792" s="81" t="s">
        <v>2306</v>
      </c>
      <c r="W792" s="86" t="str">
        <f>HYPERLINK("https://www.youtube.com/watch?v=-0Iauhp_Kug")</f>
        <v>https://www.youtube.com/watch?v=-0Iauhp_Kug</v>
      </c>
      <c r="X792" s="81" t="s">
        <v>2335</v>
      </c>
      <c r="Y792" s="81">
        <v>1</v>
      </c>
      <c r="Z792" s="88">
        <v>43895.41685185185</v>
      </c>
      <c r="AA792" s="88">
        <v>43895.41685185185</v>
      </c>
      <c r="AB792" s="81"/>
      <c r="AC792" s="81"/>
      <c r="AD792" s="84" t="s">
        <v>2782</v>
      </c>
      <c r="AE792" s="82">
        <v>1</v>
      </c>
      <c r="AF792" s="83" t="str">
        <f>REPLACE(INDEX(GroupVertices[Group],MATCH(Edges[[#This Row],[Vertex 1]],GroupVertices[Vertex],0)),1,1,"")</f>
        <v>5</v>
      </c>
      <c r="AG792" s="83" t="str">
        <f>REPLACE(INDEX(GroupVertices[Group],MATCH(Edges[[#This Row],[Vertex 2]],GroupVertices[Vertex],0)),1,1,"")</f>
        <v>5</v>
      </c>
      <c r="AH792" s="111">
        <v>3</v>
      </c>
      <c r="AI792" s="112">
        <v>12</v>
      </c>
      <c r="AJ792" s="111">
        <v>0</v>
      </c>
      <c r="AK792" s="112">
        <v>0</v>
      </c>
      <c r="AL792" s="111">
        <v>0</v>
      </c>
      <c r="AM792" s="112">
        <v>0</v>
      </c>
      <c r="AN792" s="111">
        <v>22</v>
      </c>
      <c r="AO792" s="112">
        <v>88</v>
      </c>
      <c r="AP792" s="111">
        <v>25</v>
      </c>
    </row>
    <row r="793" spans="1:42" ht="15">
      <c r="A793" s="65" t="s">
        <v>733</v>
      </c>
      <c r="B793" s="65" t="s">
        <v>711</v>
      </c>
      <c r="C793" s="66" t="s">
        <v>5345</v>
      </c>
      <c r="D793" s="67">
        <v>3</v>
      </c>
      <c r="E793" s="68"/>
      <c r="F793" s="69">
        <v>40</v>
      </c>
      <c r="G793" s="66"/>
      <c r="H793" s="70"/>
      <c r="I793" s="71"/>
      <c r="J793" s="71"/>
      <c r="K793" s="35" t="s">
        <v>65</v>
      </c>
      <c r="L793" s="79">
        <v>793</v>
      </c>
      <c r="M793" s="79"/>
      <c r="N793" s="73"/>
      <c r="O793" s="81" t="s">
        <v>760</v>
      </c>
      <c r="P793" s="81" t="s">
        <v>215</v>
      </c>
      <c r="Q793" s="84" t="s">
        <v>1521</v>
      </c>
      <c r="R793" s="81" t="s">
        <v>733</v>
      </c>
      <c r="S793" s="81" t="s">
        <v>2061</v>
      </c>
      <c r="T793" s="86" t="str">
        <f>HYPERLINK("http://www.youtube.com/channel/UCvUJkGPWzj100gTHN2AJopA")</f>
        <v>http://www.youtube.com/channel/UCvUJkGPWzj100gTHN2AJopA</v>
      </c>
      <c r="U793" s="81"/>
      <c r="V793" s="81" t="s">
        <v>2327</v>
      </c>
      <c r="W793" s="86" t="str">
        <f>HYPERLINK("https://www.youtube.com/watch?v=tS9IXHSdzJs")</f>
        <v>https://www.youtube.com/watch?v=tS9IXHSdzJs</v>
      </c>
      <c r="X793" s="81" t="s">
        <v>2335</v>
      </c>
      <c r="Y793" s="81">
        <v>0</v>
      </c>
      <c r="Z793" s="88">
        <v>43588.22041666666</v>
      </c>
      <c r="AA793" s="88">
        <v>43588.22041666666</v>
      </c>
      <c r="AB793" s="81"/>
      <c r="AC793" s="81"/>
      <c r="AD793" s="84" t="s">
        <v>2782</v>
      </c>
      <c r="AE793" s="82">
        <v>1</v>
      </c>
      <c r="AF793" s="83" t="str">
        <f>REPLACE(INDEX(GroupVertices[Group],MATCH(Edges[[#This Row],[Vertex 1]],GroupVertices[Vertex],0)),1,1,"")</f>
        <v>5</v>
      </c>
      <c r="AG793" s="83" t="str">
        <f>REPLACE(INDEX(GroupVertices[Group],MATCH(Edges[[#This Row],[Vertex 2]],GroupVertices[Vertex],0)),1,1,"")</f>
        <v>4</v>
      </c>
      <c r="AH793" s="111">
        <v>1</v>
      </c>
      <c r="AI793" s="112">
        <v>100</v>
      </c>
      <c r="AJ793" s="111">
        <v>0</v>
      </c>
      <c r="AK793" s="112">
        <v>0</v>
      </c>
      <c r="AL793" s="111">
        <v>0</v>
      </c>
      <c r="AM793" s="112">
        <v>0</v>
      </c>
      <c r="AN793" s="111">
        <v>0</v>
      </c>
      <c r="AO793" s="112">
        <v>0</v>
      </c>
      <c r="AP793" s="111">
        <v>1</v>
      </c>
    </row>
    <row r="794" spans="1:42" ht="15">
      <c r="A794" s="65" t="s">
        <v>734</v>
      </c>
      <c r="B794" s="65" t="s">
        <v>711</v>
      </c>
      <c r="C794" s="66" t="s">
        <v>5345</v>
      </c>
      <c r="D794" s="67">
        <v>3</v>
      </c>
      <c r="E794" s="68"/>
      <c r="F794" s="69">
        <v>40</v>
      </c>
      <c r="G794" s="66"/>
      <c r="H794" s="70"/>
      <c r="I794" s="71"/>
      <c r="J794" s="71"/>
      <c r="K794" s="35" t="s">
        <v>65</v>
      </c>
      <c r="L794" s="79">
        <v>794</v>
      </c>
      <c r="M794" s="79"/>
      <c r="N794" s="73"/>
      <c r="O794" s="81" t="s">
        <v>760</v>
      </c>
      <c r="P794" s="81" t="s">
        <v>215</v>
      </c>
      <c r="Q794" s="84" t="s">
        <v>1522</v>
      </c>
      <c r="R794" s="81" t="s">
        <v>734</v>
      </c>
      <c r="S794" s="81" t="s">
        <v>2062</v>
      </c>
      <c r="T794" s="86" t="str">
        <f>HYPERLINK("http://www.youtube.com/channel/UCn2YnnD2g33upkbSMkQK-Bw")</f>
        <v>http://www.youtube.com/channel/UCn2YnnD2g33upkbSMkQK-Bw</v>
      </c>
      <c r="U794" s="81"/>
      <c r="V794" s="81" t="s">
        <v>2327</v>
      </c>
      <c r="W794" s="86" t="str">
        <f>HYPERLINK("https://www.youtube.com/watch?v=tS9IXHSdzJs")</f>
        <v>https://www.youtube.com/watch?v=tS9IXHSdzJs</v>
      </c>
      <c r="X794" s="81" t="s">
        <v>2335</v>
      </c>
      <c r="Y794" s="81">
        <v>0</v>
      </c>
      <c r="Z794" s="88">
        <v>43588.336331018516</v>
      </c>
      <c r="AA794" s="88">
        <v>43588.336331018516</v>
      </c>
      <c r="AB794" s="81"/>
      <c r="AC794" s="81"/>
      <c r="AD794" s="84" t="s">
        <v>2782</v>
      </c>
      <c r="AE794" s="82">
        <v>1</v>
      </c>
      <c r="AF794" s="83" t="str">
        <f>REPLACE(INDEX(GroupVertices[Group],MATCH(Edges[[#This Row],[Vertex 1]],GroupVertices[Vertex],0)),1,1,"")</f>
        <v>4</v>
      </c>
      <c r="AG794" s="83" t="str">
        <f>REPLACE(INDEX(GroupVertices[Group],MATCH(Edges[[#This Row],[Vertex 2]],GroupVertices[Vertex],0)),1,1,"")</f>
        <v>4</v>
      </c>
      <c r="AH794" s="111">
        <v>1</v>
      </c>
      <c r="AI794" s="112">
        <v>50</v>
      </c>
      <c r="AJ794" s="111">
        <v>0</v>
      </c>
      <c r="AK794" s="112">
        <v>0</v>
      </c>
      <c r="AL794" s="111">
        <v>0</v>
      </c>
      <c r="AM794" s="112">
        <v>0</v>
      </c>
      <c r="AN794" s="111">
        <v>1</v>
      </c>
      <c r="AO794" s="112">
        <v>50</v>
      </c>
      <c r="AP794" s="111">
        <v>2</v>
      </c>
    </row>
    <row r="795" spans="1:42" ht="15">
      <c r="A795" s="65" t="s">
        <v>711</v>
      </c>
      <c r="B795" s="65" t="s">
        <v>735</v>
      </c>
      <c r="C795" s="66" t="s">
        <v>5345</v>
      </c>
      <c r="D795" s="67">
        <v>3</v>
      </c>
      <c r="E795" s="68"/>
      <c r="F795" s="69">
        <v>40</v>
      </c>
      <c r="G795" s="66"/>
      <c r="H795" s="70"/>
      <c r="I795" s="71"/>
      <c r="J795" s="71"/>
      <c r="K795" s="35" t="s">
        <v>66</v>
      </c>
      <c r="L795" s="79">
        <v>795</v>
      </c>
      <c r="M795" s="79"/>
      <c r="N795" s="73"/>
      <c r="O795" s="81" t="s">
        <v>761</v>
      </c>
      <c r="P795" s="81" t="s">
        <v>763</v>
      </c>
      <c r="Q795" s="84" t="s">
        <v>1523</v>
      </c>
      <c r="R795" s="81" t="s">
        <v>711</v>
      </c>
      <c r="S795" s="81" t="s">
        <v>2039</v>
      </c>
      <c r="T795" s="86" t="str">
        <f>HYPERLINK("http://www.youtube.com/channel/UC_mzz_JnzArhhpGUy8KdGwg")</f>
        <v>http://www.youtube.com/channel/UC_mzz_JnzArhhpGUy8KdGwg</v>
      </c>
      <c r="U795" s="81" t="s">
        <v>2296</v>
      </c>
      <c r="V795" s="81" t="s">
        <v>2327</v>
      </c>
      <c r="W795" s="86" t="str">
        <f>HYPERLINK("https://www.youtube.com/watch?v=tS9IXHSdzJs")</f>
        <v>https://www.youtube.com/watch?v=tS9IXHSdzJs</v>
      </c>
      <c r="X795" s="81" t="s">
        <v>2335</v>
      </c>
      <c r="Y795" s="81">
        <v>1</v>
      </c>
      <c r="Z795" s="88">
        <v>43588.50879629629</v>
      </c>
      <c r="AA795" s="88">
        <v>43588.50879629629</v>
      </c>
      <c r="AB795" s="81"/>
      <c r="AC795" s="81"/>
      <c r="AD795" s="84" t="s">
        <v>2782</v>
      </c>
      <c r="AE795" s="82">
        <v>1</v>
      </c>
      <c r="AF795" s="83" t="str">
        <f>REPLACE(INDEX(GroupVertices[Group],MATCH(Edges[[#This Row],[Vertex 1]],GroupVertices[Vertex],0)),1,1,"")</f>
        <v>4</v>
      </c>
      <c r="AG795" s="83" t="str">
        <f>REPLACE(INDEX(GroupVertices[Group],MATCH(Edges[[#This Row],[Vertex 2]],GroupVertices[Vertex],0)),1,1,"")</f>
        <v>4</v>
      </c>
      <c r="AH795" s="111">
        <v>2</v>
      </c>
      <c r="AI795" s="112">
        <v>14.285714285714286</v>
      </c>
      <c r="AJ795" s="111">
        <v>0</v>
      </c>
      <c r="AK795" s="112">
        <v>0</v>
      </c>
      <c r="AL795" s="111">
        <v>0</v>
      </c>
      <c r="AM795" s="112">
        <v>0</v>
      </c>
      <c r="AN795" s="111">
        <v>12</v>
      </c>
      <c r="AO795" s="112">
        <v>85.71428571428571</v>
      </c>
      <c r="AP795" s="111">
        <v>14</v>
      </c>
    </row>
    <row r="796" spans="1:42" ht="15">
      <c r="A796" s="65" t="s">
        <v>735</v>
      </c>
      <c r="B796" s="65" t="s">
        <v>711</v>
      </c>
      <c r="C796" s="66" t="s">
        <v>5345</v>
      </c>
      <c r="D796" s="67">
        <v>3</v>
      </c>
      <c r="E796" s="68"/>
      <c r="F796" s="69">
        <v>40</v>
      </c>
      <c r="G796" s="66"/>
      <c r="H796" s="70"/>
      <c r="I796" s="71"/>
      <c r="J796" s="71"/>
      <c r="K796" s="35" t="s">
        <v>66</v>
      </c>
      <c r="L796" s="79">
        <v>796</v>
      </c>
      <c r="M796" s="79"/>
      <c r="N796" s="73"/>
      <c r="O796" s="81" t="s">
        <v>760</v>
      </c>
      <c r="P796" s="81" t="s">
        <v>215</v>
      </c>
      <c r="Q796" s="84" t="s">
        <v>1524</v>
      </c>
      <c r="R796" s="81" t="s">
        <v>735</v>
      </c>
      <c r="S796" s="81" t="s">
        <v>2063</v>
      </c>
      <c r="T796" s="86" t="str">
        <f>HYPERLINK("http://www.youtube.com/channel/UCKCmUCH4vlzGIpc59vWVf7Q")</f>
        <v>http://www.youtube.com/channel/UCKCmUCH4vlzGIpc59vWVf7Q</v>
      </c>
      <c r="U796" s="81"/>
      <c r="V796" s="81" t="s">
        <v>2327</v>
      </c>
      <c r="W796" s="86" t="str">
        <f>HYPERLINK("https://www.youtube.com/watch?v=tS9IXHSdzJs")</f>
        <v>https://www.youtube.com/watch?v=tS9IXHSdzJs</v>
      </c>
      <c r="X796" s="81" t="s">
        <v>2335</v>
      </c>
      <c r="Y796" s="81">
        <v>0</v>
      </c>
      <c r="Z796" s="88">
        <v>43588.4865162037</v>
      </c>
      <c r="AA796" s="88">
        <v>43588.4865162037</v>
      </c>
      <c r="AB796" s="81"/>
      <c r="AC796" s="81"/>
      <c r="AD796" s="84" t="s">
        <v>2782</v>
      </c>
      <c r="AE796" s="82">
        <v>1</v>
      </c>
      <c r="AF796" s="83" t="str">
        <f>REPLACE(INDEX(GroupVertices[Group],MATCH(Edges[[#This Row],[Vertex 1]],GroupVertices[Vertex],0)),1,1,"")</f>
        <v>4</v>
      </c>
      <c r="AG796" s="83" t="str">
        <f>REPLACE(INDEX(GroupVertices[Group],MATCH(Edges[[#This Row],[Vertex 2]],GroupVertices[Vertex],0)),1,1,"")</f>
        <v>4</v>
      </c>
      <c r="AH796" s="111">
        <v>2</v>
      </c>
      <c r="AI796" s="112">
        <v>8.695652173913043</v>
      </c>
      <c r="AJ796" s="111">
        <v>0</v>
      </c>
      <c r="AK796" s="112">
        <v>0</v>
      </c>
      <c r="AL796" s="111">
        <v>0</v>
      </c>
      <c r="AM796" s="112">
        <v>0</v>
      </c>
      <c r="AN796" s="111">
        <v>21</v>
      </c>
      <c r="AO796" s="112">
        <v>91.30434782608695</v>
      </c>
      <c r="AP796" s="111">
        <v>23</v>
      </c>
    </row>
    <row r="797" spans="1:42" ht="15">
      <c r="A797" s="65" t="s">
        <v>736</v>
      </c>
      <c r="B797" s="65" t="s">
        <v>711</v>
      </c>
      <c r="C797" s="66" t="s">
        <v>5345</v>
      </c>
      <c r="D797" s="67">
        <v>3</v>
      </c>
      <c r="E797" s="68"/>
      <c r="F797" s="69">
        <v>40</v>
      </c>
      <c r="G797" s="66"/>
      <c r="H797" s="70"/>
      <c r="I797" s="71"/>
      <c r="J797" s="71"/>
      <c r="K797" s="35" t="s">
        <v>65</v>
      </c>
      <c r="L797" s="79">
        <v>797</v>
      </c>
      <c r="M797" s="79"/>
      <c r="N797" s="73"/>
      <c r="O797" s="81" t="s">
        <v>760</v>
      </c>
      <c r="P797" s="81" t="s">
        <v>215</v>
      </c>
      <c r="Q797" s="84" t="s">
        <v>1525</v>
      </c>
      <c r="R797" s="81" t="s">
        <v>736</v>
      </c>
      <c r="S797" s="81" t="s">
        <v>2064</v>
      </c>
      <c r="T797" s="86" t="str">
        <f>HYPERLINK("http://www.youtube.com/channel/UCBenSqtEDQHj7oh518x-87A")</f>
        <v>http://www.youtube.com/channel/UCBenSqtEDQHj7oh518x-87A</v>
      </c>
      <c r="U797" s="81"/>
      <c r="V797" s="81" t="s">
        <v>2327</v>
      </c>
      <c r="W797" s="86" t="str">
        <f>HYPERLINK("https://www.youtube.com/watch?v=tS9IXHSdzJs")</f>
        <v>https://www.youtube.com/watch?v=tS9IXHSdzJs</v>
      </c>
      <c r="X797" s="81" t="s">
        <v>2335</v>
      </c>
      <c r="Y797" s="81">
        <v>1</v>
      </c>
      <c r="Z797" s="88">
        <v>43588.508784722224</v>
      </c>
      <c r="AA797" s="88">
        <v>43588.508784722224</v>
      </c>
      <c r="AB797" s="81"/>
      <c r="AC797" s="81"/>
      <c r="AD797" s="84" t="s">
        <v>2782</v>
      </c>
      <c r="AE797" s="82">
        <v>1</v>
      </c>
      <c r="AF797" s="83" t="str">
        <f>REPLACE(INDEX(GroupVertices[Group],MATCH(Edges[[#This Row],[Vertex 1]],GroupVertices[Vertex],0)),1,1,"")</f>
        <v>4</v>
      </c>
      <c r="AG797" s="83" t="str">
        <f>REPLACE(INDEX(GroupVertices[Group],MATCH(Edges[[#This Row],[Vertex 2]],GroupVertices[Vertex],0)),1,1,"")</f>
        <v>4</v>
      </c>
      <c r="AH797" s="111">
        <v>1</v>
      </c>
      <c r="AI797" s="112">
        <v>20</v>
      </c>
      <c r="AJ797" s="111">
        <v>0</v>
      </c>
      <c r="AK797" s="112">
        <v>0</v>
      </c>
      <c r="AL797" s="111">
        <v>0</v>
      </c>
      <c r="AM797" s="112">
        <v>0</v>
      </c>
      <c r="AN797" s="111">
        <v>4</v>
      </c>
      <c r="AO797" s="112">
        <v>80</v>
      </c>
      <c r="AP797" s="111">
        <v>5</v>
      </c>
    </row>
    <row r="798" spans="1:42" ht="15">
      <c r="A798" s="65" t="s">
        <v>711</v>
      </c>
      <c r="B798" s="65" t="s">
        <v>737</v>
      </c>
      <c r="C798" s="66" t="s">
        <v>5345</v>
      </c>
      <c r="D798" s="67">
        <v>3</v>
      </c>
      <c r="E798" s="68"/>
      <c r="F798" s="69">
        <v>40</v>
      </c>
      <c r="G798" s="66"/>
      <c r="H798" s="70"/>
      <c r="I798" s="71"/>
      <c r="J798" s="71"/>
      <c r="K798" s="35" t="s">
        <v>66</v>
      </c>
      <c r="L798" s="79">
        <v>798</v>
      </c>
      <c r="M798" s="79"/>
      <c r="N798" s="73"/>
      <c r="O798" s="81" t="s">
        <v>761</v>
      </c>
      <c r="P798" s="81" t="s">
        <v>763</v>
      </c>
      <c r="Q798" s="84" t="s">
        <v>1526</v>
      </c>
      <c r="R798" s="81" t="s">
        <v>711</v>
      </c>
      <c r="S798" s="81" t="s">
        <v>2039</v>
      </c>
      <c r="T798" s="86" t="str">
        <f>HYPERLINK("http://www.youtube.com/channel/UC_mzz_JnzArhhpGUy8KdGwg")</f>
        <v>http://www.youtube.com/channel/UC_mzz_JnzArhhpGUy8KdGwg</v>
      </c>
      <c r="U798" s="81" t="s">
        <v>2297</v>
      </c>
      <c r="V798" s="81" t="s">
        <v>2327</v>
      </c>
      <c r="W798" s="86" t="str">
        <f>HYPERLINK("https://www.youtube.com/watch?v=tS9IXHSdzJs")</f>
        <v>https://www.youtube.com/watch?v=tS9IXHSdzJs</v>
      </c>
      <c r="X798" s="81" t="s">
        <v>2335</v>
      </c>
      <c r="Y798" s="81">
        <v>1</v>
      </c>
      <c r="Z798" s="88">
        <v>43588.6678125</v>
      </c>
      <c r="AA798" s="88">
        <v>43588.6678125</v>
      </c>
      <c r="AB798" s="81"/>
      <c r="AC798" s="81"/>
      <c r="AD798" s="84" t="s">
        <v>2782</v>
      </c>
      <c r="AE798" s="82">
        <v>1</v>
      </c>
      <c r="AF798" s="83" t="str">
        <f>REPLACE(INDEX(GroupVertices[Group],MATCH(Edges[[#This Row],[Vertex 1]],GroupVertices[Vertex],0)),1,1,"")</f>
        <v>4</v>
      </c>
      <c r="AG798" s="83" t="str">
        <f>REPLACE(INDEX(GroupVertices[Group],MATCH(Edges[[#This Row],[Vertex 2]],GroupVertices[Vertex],0)),1,1,"")</f>
        <v>4</v>
      </c>
      <c r="AH798" s="111">
        <v>2</v>
      </c>
      <c r="AI798" s="112">
        <v>11.11111111111111</v>
      </c>
      <c r="AJ798" s="111">
        <v>0</v>
      </c>
      <c r="AK798" s="112">
        <v>0</v>
      </c>
      <c r="AL798" s="111">
        <v>0</v>
      </c>
      <c r="AM798" s="112">
        <v>0</v>
      </c>
      <c r="AN798" s="111">
        <v>16</v>
      </c>
      <c r="AO798" s="112">
        <v>88.88888888888889</v>
      </c>
      <c r="AP798" s="111">
        <v>18</v>
      </c>
    </row>
    <row r="799" spans="1:42" ht="15">
      <c r="A799" s="65" t="s">
        <v>737</v>
      </c>
      <c r="B799" s="65" t="s">
        <v>711</v>
      </c>
      <c r="C799" s="66" t="s">
        <v>5345</v>
      </c>
      <c r="D799" s="67">
        <v>3</v>
      </c>
      <c r="E799" s="68"/>
      <c r="F799" s="69">
        <v>40</v>
      </c>
      <c r="G799" s="66"/>
      <c r="H799" s="70"/>
      <c r="I799" s="71"/>
      <c r="J799" s="71"/>
      <c r="K799" s="35" t="s">
        <v>66</v>
      </c>
      <c r="L799" s="79">
        <v>799</v>
      </c>
      <c r="M799" s="79"/>
      <c r="N799" s="73"/>
      <c r="O799" s="81" t="s">
        <v>760</v>
      </c>
      <c r="P799" s="81" t="s">
        <v>215</v>
      </c>
      <c r="Q799" s="84" t="s">
        <v>1527</v>
      </c>
      <c r="R799" s="81" t="s">
        <v>737</v>
      </c>
      <c r="S799" s="81" t="s">
        <v>2065</v>
      </c>
      <c r="T799" s="86" t="str">
        <f>HYPERLINK("http://www.youtube.com/channel/UCgIhMfk4dHm-1QFKcaewNQA")</f>
        <v>http://www.youtube.com/channel/UCgIhMfk4dHm-1QFKcaewNQA</v>
      </c>
      <c r="U799" s="81"/>
      <c r="V799" s="81" t="s">
        <v>2327</v>
      </c>
      <c r="W799" s="86" t="str">
        <f>HYPERLINK("https://www.youtube.com/watch?v=tS9IXHSdzJs")</f>
        <v>https://www.youtube.com/watch?v=tS9IXHSdzJs</v>
      </c>
      <c r="X799" s="81" t="s">
        <v>2335</v>
      </c>
      <c r="Y799" s="81">
        <v>0</v>
      </c>
      <c r="Z799" s="88">
        <v>43588.618414351855</v>
      </c>
      <c r="AA799" s="88">
        <v>43588.618414351855</v>
      </c>
      <c r="AB799" s="81"/>
      <c r="AC799" s="81"/>
      <c r="AD799" s="84" t="s">
        <v>2782</v>
      </c>
      <c r="AE799" s="82">
        <v>1</v>
      </c>
      <c r="AF799" s="83" t="str">
        <f>REPLACE(INDEX(GroupVertices[Group],MATCH(Edges[[#This Row],[Vertex 1]],GroupVertices[Vertex],0)),1,1,"")</f>
        <v>4</v>
      </c>
      <c r="AG799" s="83" t="str">
        <f>REPLACE(INDEX(GroupVertices[Group],MATCH(Edges[[#This Row],[Vertex 2]],GroupVertices[Vertex],0)),1,1,"")</f>
        <v>4</v>
      </c>
      <c r="AH799" s="111">
        <v>1</v>
      </c>
      <c r="AI799" s="112">
        <v>3.5714285714285716</v>
      </c>
      <c r="AJ799" s="111">
        <v>1</v>
      </c>
      <c r="AK799" s="112">
        <v>3.5714285714285716</v>
      </c>
      <c r="AL799" s="111">
        <v>0</v>
      </c>
      <c r="AM799" s="112">
        <v>0</v>
      </c>
      <c r="AN799" s="111">
        <v>26</v>
      </c>
      <c r="AO799" s="112">
        <v>92.85714285714286</v>
      </c>
      <c r="AP799" s="111">
        <v>28</v>
      </c>
    </row>
    <row r="800" spans="1:42" ht="15">
      <c r="A800" s="65" t="s">
        <v>738</v>
      </c>
      <c r="B800" s="65" t="s">
        <v>702</v>
      </c>
      <c r="C800" s="66" t="s">
        <v>5345</v>
      </c>
      <c r="D800" s="67">
        <v>3</v>
      </c>
      <c r="E800" s="68"/>
      <c r="F800" s="69">
        <v>40</v>
      </c>
      <c r="G800" s="66"/>
      <c r="H800" s="70"/>
      <c r="I800" s="71"/>
      <c r="J800" s="71"/>
      <c r="K800" s="35" t="s">
        <v>65</v>
      </c>
      <c r="L800" s="79">
        <v>800</v>
      </c>
      <c r="M800" s="79"/>
      <c r="N800" s="73"/>
      <c r="O800" s="81" t="s">
        <v>760</v>
      </c>
      <c r="P800" s="81" t="s">
        <v>215</v>
      </c>
      <c r="Q800" s="84" t="s">
        <v>1528</v>
      </c>
      <c r="R800" s="81" t="s">
        <v>738</v>
      </c>
      <c r="S800" s="81" t="s">
        <v>2066</v>
      </c>
      <c r="T800" s="86" t="str">
        <f>HYPERLINK("http://www.youtube.com/channel/UChhFIzikRU9cBMh-WPw0_qg")</f>
        <v>http://www.youtube.com/channel/UChhFIzikRU9cBMh-WPw0_qg</v>
      </c>
      <c r="U800" s="81"/>
      <c r="V800" s="81" t="s">
        <v>2326</v>
      </c>
      <c r="W800" s="86" t="str">
        <f>HYPERLINK("https://www.youtube.com/watch?v=k0WsWXSk1dc")</f>
        <v>https://www.youtube.com/watch?v=k0WsWXSk1dc</v>
      </c>
      <c r="X800" s="81" t="s">
        <v>2335</v>
      </c>
      <c r="Y800" s="81">
        <v>2</v>
      </c>
      <c r="Z800" s="81" t="s">
        <v>2712</v>
      </c>
      <c r="AA800" s="81" t="s">
        <v>2712</v>
      </c>
      <c r="AB800" s="81"/>
      <c r="AC800" s="81"/>
      <c r="AD800" s="84" t="s">
        <v>2782</v>
      </c>
      <c r="AE800" s="82">
        <v>1</v>
      </c>
      <c r="AF800" s="83" t="str">
        <f>REPLACE(INDEX(GroupVertices[Group],MATCH(Edges[[#This Row],[Vertex 1]],GroupVertices[Vertex],0)),1,1,"")</f>
        <v>13</v>
      </c>
      <c r="AG800" s="83" t="str">
        <f>REPLACE(INDEX(GroupVertices[Group],MATCH(Edges[[#This Row],[Vertex 2]],GroupVertices[Vertex],0)),1,1,"")</f>
        <v>13</v>
      </c>
      <c r="AH800" s="111">
        <v>2</v>
      </c>
      <c r="AI800" s="112">
        <v>33.333333333333336</v>
      </c>
      <c r="AJ800" s="111">
        <v>0</v>
      </c>
      <c r="AK800" s="112">
        <v>0</v>
      </c>
      <c r="AL800" s="111">
        <v>0</v>
      </c>
      <c r="AM800" s="112">
        <v>0</v>
      </c>
      <c r="AN800" s="111">
        <v>4</v>
      </c>
      <c r="AO800" s="112">
        <v>66.66666666666667</v>
      </c>
      <c r="AP800" s="111">
        <v>6</v>
      </c>
    </row>
    <row r="801" spans="1:42" ht="15">
      <c r="A801" s="65" t="s">
        <v>711</v>
      </c>
      <c r="B801" s="65" t="s">
        <v>738</v>
      </c>
      <c r="C801" s="66" t="s">
        <v>5345</v>
      </c>
      <c r="D801" s="67">
        <v>3</v>
      </c>
      <c r="E801" s="68"/>
      <c r="F801" s="69">
        <v>40</v>
      </c>
      <c r="G801" s="66"/>
      <c r="H801" s="70"/>
      <c r="I801" s="71"/>
      <c r="J801" s="71"/>
      <c r="K801" s="35" t="s">
        <v>66</v>
      </c>
      <c r="L801" s="79">
        <v>801</v>
      </c>
      <c r="M801" s="79"/>
      <c r="N801" s="73"/>
      <c r="O801" s="81" t="s">
        <v>761</v>
      </c>
      <c r="P801" s="81" t="s">
        <v>763</v>
      </c>
      <c r="Q801" s="84" t="s">
        <v>1529</v>
      </c>
      <c r="R801" s="81" t="s">
        <v>711</v>
      </c>
      <c r="S801" s="81" t="s">
        <v>2039</v>
      </c>
      <c r="T801" s="86" t="str">
        <f>HYPERLINK("http://www.youtube.com/channel/UC_mzz_JnzArhhpGUy8KdGwg")</f>
        <v>http://www.youtube.com/channel/UC_mzz_JnzArhhpGUy8KdGwg</v>
      </c>
      <c r="U801" s="81" t="s">
        <v>2298</v>
      </c>
      <c r="V801" s="81" t="s">
        <v>2327</v>
      </c>
      <c r="W801" s="86" t="str">
        <f>HYPERLINK("https://www.youtube.com/watch?v=tS9IXHSdzJs")</f>
        <v>https://www.youtube.com/watch?v=tS9IXHSdzJs</v>
      </c>
      <c r="X801" s="81" t="s">
        <v>2335</v>
      </c>
      <c r="Y801" s="81">
        <v>0</v>
      </c>
      <c r="Z801" s="88">
        <v>43588.94609953704</v>
      </c>
      <c r="AA801" s="88">
        <v>43588.94609953704</v>
      </c>
      <c r="AB801" s="81"/>
      <c r="AC801" s="81"/>
      <c r="AD801" s="84" t="s">
        <v>2782</v>
      </c>
      <c r="AE801" s="82">
        <v>1</v>
      </c>
      <c r="AF801" s="83" t="str">
        <f>REPLACE(INDEX(GroupVertices[Group],MATCH(Edges[[#This Row],[Vertex 1]],GroupVertices[Vertex],0)),1,1,"")</f>
        <v>4</v>
      </c>
      <c r="AG801" s="83" t="str">
        <f>REPLACE(INDEX(GroupVertices[Group],MATCH(Edges[[#This Row],[Vertex 2]],GroupVertices[Vertex],0)),1,1,"")</f>
        <v>13</v>
      </c>
      <c r="AH801" s="111">
        <v>1</v>
      </c>
      <c r="AI801" s="112">
        <v>8.333333333333334</v>
      </c>
      <c r="AJ801" s="111">
        <v>0</v>
      </c>
      <c r="AK801" s="112">
        <v>0</v>
      </c>
      <c r="AL801" s="111">
        <v>0</v>
      </c>
      <c r="AM801" s="112">
        <v>0</v>
      </c>
      <c r="AN801" s="111">
        <v>11</v>
      </c>
      <c r="AO801" s="112">
        <v>91.66666666666667</v>
      </c>
      <c r="AP801" s="111">
        <v>12</v>
      </c>
    </row>
    <row r="802" spans="1:42" ht="15">
      <c r="A802" s="65" t="s">
        <v>738</v>
      </c>
      <c r="B802" s="65" t="s">
        <v>738</v>
      </c>
      <c r="C802" s="66" t="s">
        <v>5345</v>
      </c>
      <c r="D802" s="67">
        <v>3</v>
      </c>
      <c r="E802" s="68"/>
      <c r="F802" s="69">
        <v>40</v>
      </c>
      <c r="G802" s="66"/>
      <c r="H802" s="70"/>
      <c r="I802" s="71"/>
      <c r="J802" s="71"/>
      <c r="K802" s="35" t="s">
        <v>65</v>
      </c>
      <c r="L802" s="79">
        <v>802</v>
      </c>
      <c r="M802" s="79"/>
      <c r="N802" s="73"/>
      <c r="O802" s="81" t="s">
        <v>761</v>
      </c>
      <c r="P802" s="81" t="s">
        <v>763</v>
      </c>
      <c r="Q802" s="84" t="s">
        <v>1530</v>
      </c>
      <c r="R802" s="81" t="s">
        <v>738</v>
      </c>
      <c r="S802" s="81" t="s">
        <v>2066</v>
      </c>
      <c r="T802" s="86" t="str">
        <f>HYPERLINK("http://www.youtube.com/channel/UChhFIzikRU9cBMh-WPw0_qg")</f>
        <v>http://www.youtube.com/channel/UChhFIzikRU9cBMh-WPw0_qg</v>
      </c>
      <c r="U802" s="81" t="s">
        <v>2298</v>
      </c>
      <c r="V802" s="81" t="s">
        <v>2327</v>
      </c>
      <c r="W802" s="86" t="str">
        <f>HYPERLINK("https://www.youtube.com/watch?v=tS9IXHSdzJs")</f>
        <v>https://www.youtube.com/watch?v=tS9IXHSdzJs</v>
      </c>
      <c r="X802" s="81" t="s">
        <v>2335</v>
      </c>
      <c r="Y802" s="81">
        <v>0</v>
      </c>
      <c r="Z802" s="88">
        <v>43588.96534722222</v>
      </c>
      <c r="AA802" s="88">
        <v>43588.96534722222</v>
      </c>
      <c r="AB802" s="81"/>
      <c r="AC802" s="81"/>
      <c r="AD802" s="84" t="s">
        <v>2782</v>
      </c>
      <c r="AE802" s="82">
        <v>1</v>
      </c>
      <c r="AF802" s="83" t="str">
        <f>REPLACE(INDEX(GroupVertices[Group],MATCH(Edges[[#This Row],[Vertex 1]],GroupVertices[Vertex],0)),1,1,"")</f>
        <v>13</v>
      </c>
      <c r="AG802" s="83" t="str">
        <f>REPLACE(INDEX(GroupVertices[Group],MATCH(Edges[[#This Row],[Vertex 2]],GroupVertices[Vertex],0)),1,1,"")</f>
        <v>13</v>
      </c>
      <c r="AH802" s="111">
        <v>0</v>
      </c>
      <c r="AI802" s="112">
        <v>0</v>
      </c>
      <c r="AJ802" s="111">
        <v>0</v>
      </c>
      <c r="AK802" s="112">
        <v>0</v>
      </c>
      <c r="AL802" s="111">
        <v>0</v>
      </c>
      <c r="AM802" s="112">
        <v>0</v>
      </c>
      <c r="AN802" s="111">
        <v>8</v>
      </c>
      <c r="AO802" s="112">
        <v>100</v>
      </c>
      <c r="AP802" s="111">
        <v>8</v>
      </c>
    </row>
    <row r="803" spans="1:42" ht="15">
      <c r="A803" s="65" t="s">
        <v>738</v>
      </c>
      <c r="B803" s="65" t="s">
        <v>711</v>
      </c>
      <c r="C803" s="66" t="s">
        <v>5345</v>
      </c>
      <c r="D803" s="67">
        <v>3</v>
      </c>
      <c r="E803" s="68"/>
      <c r="F803" s="69">
        <v>40</v>
      </c>
      <c r="G803" s="66"/>
      <c r="H803" s="70"/>
      <c r="I803" s="71"/>
      <c r="J803" s="71"/>
      <c r="K803" s="35" t="s">
        <v>66</v>
      </c>
      <c r="L803" s="79">
        <v>803</v>
      </c>
      <c r="M803" s="79"/>
      <c r="N803" s="73"/>
      <c r="O803" s="81" t="s">
        <v>760</v>
      </c>
      <c r="P803" s="81" t="s">
        <v>215</v>
      </c>
      <c r="Q803" s="84" t="s">
        <v>1531</v>
      </c>
      <c r="R803" s="81" t="s">
        <v>738</v>
      </c>
      <c r="S803" s="81" t="s">
        <v>2066</v>
      </c>
      <c r="T803" s="86" t="str">
        <f>HYPERLINK("http://www.youtube.com/channel/UChhFIzikRU9cBMh-WPw0_qg")</f>
        <v>http://www.youtube.com/channel/UChhFIzikRU9cBMh-WPw0_qg</v>
      </c>
      <c r="U803" s="81"/>
      <c r="V803" s="81" t="s">
        <v>2327</v>
      </c>
      <c r="W803" s="86" t="str">
        <f>HYPERLINK("https://www.youtube.com/watch?v=tS9IXHSdzJs")</f>
        <v>https://www.youtube.com/watch?v=tS9IXHSdzJs</v>
      </c>
      <c r="X803" s="81" t="s">
        <v>2335</v>
      </c>
      <c r="Y803" s="81">
        <v>0</v>
      </c>
      <c r="Z803" s="88">
        <v>43588.829780092594</v>
      </c>
      <c r="AA803" s="88">
        <v>43588.829780092594</v>
      </c>
      <c r="AB803" s="81"/>
      <c r="AC803" s="81"/>
      <c r="AD803" s="84" t="s">
        <v>2782</v>
      </c>
      <c r="AE803" s="82">
        <v>1</v>
      </c>
      <c r="AF803" s="83" t="str">
        <f>REPLACE(INDEX(GroupVertices[Group],MATCH(Edges[[#This Row],[Vertex 1]],GroupVertices[Vertex],0)),1,1,"")</f>
        <v>13</v>
      </c>
      <c r="AG803" s="83" t="str">
        <f>REPLACE(INDEX(GroupVertices[Group],MATCH(Edges[[#This Row],[Vertex 2]],GroupVertices[Vertex],0)),1,1,"")</f>
        <v>4</v>
      </c>
      <c r="AH803" s="111">
        <v>0</v>
      </c>
      <c r="AI803" s="112">
        <v>0</v>
      </c>
      <c r="AJ803" s="111">
        <v>0</v>
      </c>
      <c r="AK803" s="112">
        <v>0</v>
      </c>
      <c r="AL803" s="111">
        <v>0</v>
      </c>
      <c r="AM803" s="112">
        <v>0</v>
      </c>
      <c r="AN803" s="111">
        <v>20</v>
      </c>
      <c r="AO803" s="112">
        <v>100</v>
      </c>
      <c r="AP803" s="111">
        <v>20</v>
      </c>
    </row>
    <row r="804" spans="1:42" ht="15">
      <c r="A804" s="65" t="s">
        <v>739</v>
      </c>
      <c r="B804" s="65" t="s">
        <v>711</v>
      </c>
      <c r="C804" s="66" t="s">
        <v>5345</v>
      </c>
      <c r="D804" s="67">
        <v>3</v>
      </c>
      <c r="E804" s="68"/>
      <c r="F804" s="69">
        <v>40</v>
      </c>
      <c r="G804" s="66"/>
      <c r="H804" s="70"/>
      <c r="I804" s="71"/>
      <c r="J804" s="71"/>
      <c r="K804" s="35" t="s">
        <v>65</v>
      </c>
      <c r="L804" s="79">
        <v>804</v>
      </c>
      <c r="M804" s="79"/>
      <c r="N804" s="73"/>
      <c r="O804" s="81" t="s">
        <v>760</v>
      </c>
      <c r="P804" s="81" t="s">
        <v>215</v>
      </c>
      <c r="Q804" s="84" t="s">
        <v>1532</v>
      </c>
      <c r="R804" s="81" t="s">
        <v>739</v>
      </c>
      <c r="S804" s="81" t="s">
        <v>2067</v>
      </c>
      <c r="T804" s="86" t="str">
        <f>HYPERLINK("http://www.youtube.com/channel/UCeiPyrjvfb7XFCTDwJsIl6Q")</f>
        <v>http://www.youtube.com/channel/UCeiPyrjvfb7XFCTDwJsIl6Q</v>
      </c>
      <c r="U804" s="81"/>
      <c r="V804" s="81" t="s">
        <v>2327</v>
      </c>
      <c r="W804" s="86" t="str">
        <f>HYPERLINK("https://www.youtube.com/watch?v=tS9IXHSdzJs")</f>
        <v>https://www.youtube.com/watch?v=tS9IXHSdzJs</v>
      </c>
      <c r="X804" s="81" t="s">
        <v>2335</v>
      </c>
      <c r="Y804" s="81">
        <v>0</v>
      </c>
      <c r="Z804" s="88">
        <v>43619.494097222225</v>
      </c>
      <c r="AA804" s="88">
        <v>43619.494097222225</v>
      </c>
      <c r="AB804" s="81"/>
      <c r="AC804" s="81"/>
      <c r="AD804" s="84" t="s">
        <v>2782</v>
      </c>
      <c r="AE804" s="82">
        <v>1</v>
      </c>
      <c r="AF804" s="83" t="str">
        <f>REPLACE(INDEX(GroupVertices[Group],MATCH(Edges[[#This Row],[Vertex 1]],GroupVertices[Vertex],0)),1,1,"")</f>
        <v>4</v>
      </c>
      <c r="AG804" s="83" t="str">
        <f>REPLACE(INDEX(GroupVertices[Group],MATCH(Edges[[#This Row],[Vertex 2]],GroupVertices[Vertex],0)),1,1,"")</f>
        <v>4</v>
      </c>
      <c r="AH804" s="111">
        <v>3</v>
      </c>
      <c r="AI804" s="112">
        <v>15.789473684210526</v>
      </c>
      <c r="AJ804" s="111">
        <v>0</v>
      </c>
      <c r="AK804" s="112">
        <v>0</v>
      </c>
      <c r="AL804" s="111">
        <v>0</v>
      </c>
      <c r="AM804" s="112">
        <v>0</v>
      </c>
      <c r="AN804" s="111">
        <v>16</v>
      </c>
      <c r="AO804" s="112">
        <v>84.21052631578948</v>
      </c>
      <c r="AP804" s="111">
        <v>19</v>
      </c>
    </row>
    <row r="805" spans="1:42" ht="15">
      <c r="A805" s="65" t="s">
        <v>711</v>
      </c>
      <c r="B805" s="65" t="s">
        <v>740</v>
      </c>
      <c r="C805" s="66" t="s">
        <v>5345</v>
      </c>
      <c r="D805" s="67">
        <v>3</v>
      </c>
      <c r="E805" s="68"/>
      <c r="F805" s="69">
        <v>40</v>
      </c>
      <c r="G805" s="66"/>
      <c r="H805" s="70"/>
      <c r="I805" s="71"/>
      <c r="J805" s="71"/>
      <c r="K805" s="35" t="s">
        <v>66</v>
      </c>
      <c r="L805" s="79">
        <v>805</v>
      </c>
      <c r="M805" s="79"/>
      <c r="N805" s="73"/>
      <c r="O805" s="81" t="s">
        <v>761</v>
      </c>
      <c r="P805" s="81" t="s">
        <v>763</v>
      </c>
      <c r="Q805" s="84" t="s">
        <v>1533</v>
      </c>
      <c r="R805" s="81" t="s">
        <v>711</v>
      </c>
      <c r="S805" s="81" t="s">
        <v>2039</v>
      </c>
      <c r="T805" s="86" t="str">
        <f>HYPERLINK("http://www.youtube.com/channel/UC_mzz_JnzArhhpGUy8KdGwg")</f>
        <v>http://www.youtube.com/channel/UC_mzz_JnzArhhpGUy8KdGwg</v>
      </c>
      <c r="U805" s="81" t="s">
        <v>2299</v>
      </c>
      <c r="V805" s="81" t="s">
        <v>2327</v>
      </c>
      <c r="W805" s="86" t="str">
        <f>HYPERLINK("https://www.youtube.com/watch?v=tS9IXHSdzJs")</f>
        <v>https://www.youtube.com/watch?v=tS9IXHSdzJs</v>
      </c>
      <c r="X805" s="81" t="s">
        <v>2335</v>
      </c>
      <c r="Y805" s="81">
        <v>0</v>
      </c>
      <c r="Z805" s="88">
        <v>43619.97917824074</v>
      </c>
      <c r="AA805" s="88">
        <v>43619.980625</v>
      </c>
      <c r="AB805" s="81"/>
      <c r="AC805" s="81"/>
      <c r="AD805" s="84" t="s">
        <v>2782</v>
      </c>
      <c r="AE805" s="82">
        <v>1</v>
      </c>
      <c r="AF805" s="83" t="str">
        <f>REPLACE(INDEX(GroupVertices[Group],MATCH(Edges[[#This Row],[Vertex 1]],GroupVertices[Vertex],0)),1,1,"")</f>
        <v>4</v>
      </c>
      <c r="AG805" s="83" t="str">
        <f>REPLACE(INDEX(GroupVertices[Group],MATCH(Edges[[#This Row],[Vertex 2]],GroupVertices[Vertex],0)),1,1,"")</f>
        <v>4</v>
      </c>
      <c r="AH805" s="111">
        <v>1</v>
      </c>
      <c r="AI805" s="112">
        <v>4.3478260869565215</v>
      </c>
      <c r="AJ805" s="111">
        <v>0</v>
      </c>
      <c r="AK805" s="112">
        <v>0</v>
      </c>
      <c r="AL805" s="111">
        <v>0</v>
      </c>
      <c r="AM805" s="112">
        <v>0</v>
      </c>
      <c r="AN805" s="111">
        <v>22</v>
      </c>
      <c r="AO805" s="112">
        <v>95.65217391304348</v>
      </c>
      <c r="AP805" s="111">
        <v>23</v>
      </c>
    </row>
    <row r="806" spans="1:42" ht="15">
      <c r="A806" s="65" t="s">
        <v>740</v>
      </c>
      <c r="B806" s="65" t="s">
        <v>711</v>
      </c>
      <c r="C806" s="66" t="s">
        <v>5345</v>
      </c>
      <c r="D806" s="67">
        <v>3</v>
      </c>
      <c r="E806" s="68"/>
      <c r="F806" s="69">
        <v>40</v>
      </c>
      <c r="G806" s="66"/>
      <c r="H806" s="70"/>
      <c r="I806" s="71"/>
      <c r="J806" s="71"/>
      <c r="K806" s="35" t="s">
        <v>66</v>
      </c>
      <c r="L806" s="79">
        <v>806</v>
      </c>
      <c r="M806" s="79"/>
      <c r="N806" s="73"/>
      <c r="O806" s="81" t="s">
        <v>760</v>
      </c>
      <c r="P806" s="81" t="s">
        <v>215</v>
      </c>
      <c r="Q806" s="84" t="s">
        <v>1534</v>
      </c>
      <c r="R806" s="81" t="s">
        <v>740</v>
      </c>
      <c r="S806" s="81" t="s">
        <v>2068</v>
      </c>
      <c r="T806" s="86" t="str">
        <f>HYPERLINK("http://www.youtube.com/channel/UCSex7PTBn_MKaACHgYcfI0w")</f>
        <v>http://www.youtube.com/channel/UCSex7PTBn_MKaACHgYcfI0w</v>
      </c>
      <c r="U806" s="81"/>
      <c r="V806" s="81" t="s">
        <v>2327</v>
      </c>
      <c r="W806" s="86" t="str">
        <f>HYPERLINK("https://www.youtube.com/watch?v=tS9IXHSdzJs")</f>
        <v>https://www.youtube.com/watch?v=tS9IXHSdzJs</v>
      </c>
      <c r="X806" s="81" t="s">
        <v>2335</v>
      </c>
      <c r="Y806" s="81">
        <v>0</v>
      </c>
      <c r="Z806" s="88">
        <v>43619.96150462963</v>
      </c>
      <c r="AA806" s="88">
        <v>43619.96150462963</v>
      </c>
      <c r="AB806" s="81"/>
      <c r="AC806" s="81"/>
      <c r="AD806" s="84" t="s">
        <v>2782</v>
      </c>
      <c r="AE806" s="82">
        <v>1</v>
      </c>
      <c r="AF806" s="83" t="str">
        <f>REPLACE(INDEX(GroupVertices[Group],MATCH(Edges[[#This Row],[Vertex 1]],GroupVertices[Vertex],0)),1,1,"")</f>
        <v>4</v>
      </c>
      <c r="AG806" s="83" t="str">
        <f>REPLACE(INDEX(GroupVertices[Group],MATCH(Edges[[#This Row],[Vertex 2]],GroupVertices[Vertex],0)),1,1,"")</f>
        <v>4</v>
      </c>
      <c r="AH806" s="111">
        <v>1</v>
      </c>
      <c r="AI806" s="112">
        <v>14.285714285714286</v>
      </c>
      <c r="AJ806" s="111">
        <v>0</v>
      </c>
      <c r="AK806" s="112">
        <v>0</v>
      </c>
      <c r="AL806" s="111">
        <v>0</v>
      </c>
      <c r="AM806" s="112">
        <v>0</v>
      </c>
      <c r="AN806" s="111">
        <v>6</v>
      </c>
      <c r="AO806" s="112">
        <v>85.71428571428571</v>
      </c>
      <c r="AP806" s="111">
        <v>7</v>
      </c>
    </row>
    <row r="807" spans="1:42" ht="15">
      <c r="A807" s="65" t="s">
        <v>741</v>
      </c>
      <c r="B807" s="65" t="s">
        <v>711</v>
      </c>
      <c r="C807" s="66" t="s">
        <v>5345</v>
      </c>
      <c r="D807" s="67">
        <v>3</v>
      </c>
      <c r="E807" s="68"/>
      <c r="F807" s="69">
        <v>40</v>
      </c>
      <c r="G807" s="66"/>
      <c r="H807" s="70"/>
      <c r="I807" s="71"/>
      <c r="J807" s="71"/>
      <c r="K807" s="35" t="s">
        <v>65</v>
      </c>
      <c r="L807" s="79">
        <v>807</v>
      </c>
      <c r="M807" s="79"/>
      <c r="N807" s="73"/>
      <c r="O807" s="81" t="s">
        <v>760</v>
      </c>
      <c r="P807" s="81" t="s">
        <v>215</v>
      </c>
      <c r="Q807" s="84" t="s">
        <v>1535</v>
      </c>
      <c r="R807" s="81" t="s">
        <v>741</v>
      </c>
      <c r="S807" s="81" t="s">
        <v>2069</v>
      </c>
      <c r="T807" s="86" t="str">
        <f>HYPERLINK("http://www.youtube.com/channel/UCqQqwKmKnjNRWBPBbk0SYfQ")</f>
        <v>http://www.youtube.com/channel/UCqQqwKmKnjNRWBPBbk0SYfQ</v>
      </c>
      <c r="U807" s="81"/>
      <c r="V807" s="81" t="s">
        <v>2327</v>
      </c>
      <c r="W807" s="86" t="str">
        <f>HYPERLINK("https://www.youtube.com/watch?v=tS9IXHSdzJs")</f>
        <v>https://www.youtube.com/watch?v=tS9IXHSdzJs</v>
      </c>
      <c r="X807" s="81" t="s">
        <v>2335</v>
      </c>
      <c r="Y807" s="81">
        <v>0</v>
      </c>
      <c r="Z807" s="88">
        <v>43649.25376157407</v>
      </c>
      <c r="AA807" s="88">
        <v>43649.26803240741</v>
      </c>
      <c r="AB807" s="81" t="s">
        <v>2768</v>
      </c>
      <c r="AC807" s="81" t="s">
        <v>2778</v>
      </c>
      <c r="AD807" s="84" t="s">
        <v>2782</v>
      </c>
      <c r="AE807" s="82">
        <v>1</v>
      </c>
      <c r="AF807" s="83" t="str">
        <f>REPLACE(INDEX(GroupVertices[Group],MATCH(Edges[[#This Row],[Vertex 1]],GroupVertices[Vertex],0)),1,1,"")</f>
        <v>4</v>
      </c>
      <c r="AG807" s="83" t="str">
        <f>REPLACE(INDEX(GroupVertices[Group],MATCH(Edges[[#This Row],[Vertex 2]],GroupVertices[Vertex],0)),1,1,"")</f>
        <v>4</v>
      </c>
      <c r="AH807" s="111">
        <v>4</v>
      </c>
      <c r="AI807" s="112">
        <v>3.4482758620689653</v>
      </c>
      <c r="AJ807" s="111">
        <v>1</v>
      </c>
      <c r="AK807" s="112">
        <v>0.8620689655172413</v>
      </c>
      <c r="AL807" s="111">
        <v>0</v>
      </c>
      <c r="AM807" s="112">
        <v>0</v>
      </c>
      <c r="AN807" s="111">
        <v>111</v>
      </c>
      <c r="AO807" s="112">
        <v>95.6896551724138</v>
      </c>
      <c r="AP807" s="111">
        <v>116</v>
      </c>
    </row>
    <row r="808" spans="1:42" ht="15">
      <c r="A808" s="65" t="s">
        <v>711</v>
      </c>
      <c r="B808" s="65" t="s">
        <v>742</v>
      </c>
      <c r="C808" s="66" t="s">
        <v>5345</v>
      </c>
      <c r="D808" s="67">
        <v>3</v>
      </c>
      <c r="E808" s="68"/>
      <c r="F808" s="69">
        <v>40</v>
      </c>
      <c r="G808" s="66"/>
      <c r="H808" s="70"/>
      <c r="I808" s="71"/>
      <c r="J808" s="71"/>
      <c r="K808" s="35" t="s">
        <v>66</v>
      </c>
      <c r="L808" s="79">
        <v>808</v>
      </c>
      <c r="M808" s="79"/>
      <c r="N808" s="73"/>
      <c r="O808" s="81" t="s">
        <v>761</v>
      </c>
      <c r="P808" s="81" t="s">
        <v>763</v>
      </c>
      <c r="Q808" s="84" t="s">
        <v>1536</v>
      </c>
      <c r="R808" s="81" t="s">
        <v>711</v>
      </c>
      <c r="S808" s="81" t="s">
        <v>2039</v>
      </c>
      <c r="T808" s="86" t="str">
        <f>HYPERLINK("http://www.youtube.com/channel/UC_mzz_JnzArhhpGUy8KdGwg")</f>
        <v>http://www.youtube.com/channel/UC_mzz_JnzArhhpGUy8KdGwg</v>
      </c>
      <c r="U808" s="81" t="s">
        <v>2300</v>
      </c>
      <c r="V808" s="81" t="s">
        <v>2327</v>
      </c>
      <c r="W808" s="86" t="str">
        <f>HYPERLINK("https://www.youtube.com/watch?v=tS9IXHSdzJs")</f>
        <v>https://www.youtube.com/watch?v=tS9IXHSdzJs</v>
      </c>
      <c r="X808" s="81" t="s">
        <v>2335</v>
      </c>
      <c r="Y808" s="81">
        <v>0</v>
      </c>
      <c r="Z808" s="88">
        <v>43802.45578703703</v>
      </c>
      <c r="AA808" s="88">
        <v>43802.45578703703</v>
      </c>
      <c r="AB808" s="81"/>
      <c r="AC808" s="81"/>
      <c r="AD808" s="84" t="s">
        <v>2782</v>
      </c>
      <c r="AE808" s="82">
        <v>1</v>
      </c>
      <c r="AF808" s="83" t="str">
        <f>REPLACE(INDEX(GroupVertices[Group],MATCH(Edges[[#This Row],[Vertex 1]],GroupVertices[Vertex],0)),1,1,"")</f>
        <v>4</v>
      </c>
      <c r="AG808" s="83" t="str">
        <f>REPLACE(INDEX(GroupVertices[Group],MATCH(Edges[[#This Row],[Vertex 2]],GroupVertices[Vertex],0)),1,1,"")</f>
        <v>4</v>
      </c>
      <c r="AH808" s="111">
        <v>0</v>
      </c>
      <c r="AI808" s="112">
        <v>0</v>
      </c>
      <c r="AJ808" s="111">
        <v>0</v>
      </c>
      <c r="AK808" s="112">
        <v>0</v>
      </c>
      <c r="AL808" s="111">
        <v>0</v>
      </c>
      <c r="AM808" s="112">
        <v>0</v>
      </c>
      <c r="AN808" s="111">
        <v>2</v>
      </c>
      <c r="AO808" s="112">
        <v>100</v>
      </c>
      <c r="AP808" s="111">
        <v>2</v>
      </c>
    </row>
    <row r="809" spans="1:42" ht="15">
      <c r="A809" s="65" t="s">
        <v>742</v>
      </c>
      <c r="B809" s="65" t="s">
        <v>711</v>
      </c>
      <c r="C809" s="66" t="s">
        <v>5345</v>
      </c>
      <c r="D809" s="67">
        <v>3</v>
      </c>
      <c r="E809" s="68"/>
      <c r="F809" s="69">
        <v>40</v>
      </c>
      <c r="G809" s="66"/>
      <c r="H809" s="70"/>
      <c r="I809" s="71"/>
      <c r="J809" s="71"/>
      <c r="K809" s="35" t="s">
        <v>66</v>
      </c>
      <c r="L809" s="79">
        <v>809</v>
      </c>
      <c r="M809" s="79"/>
      <c r="N809" s="73"/>
      <c r="O809" s="81" t="s">
        <v>760</v>
      </c>
      <c r="P809" s="81" t="s">
        <v>215</v>
      </c>
      <c r="Q809" s="84" t="s">
        <v>1537</v>
      </c>
      <c r="R809" s="81" t="s">
        <v>742</v>
      </c>
      <c r="S809" s="81" t="s">
        <v>2070</v>
      </c>
      <c r="T809" s="86" t="str">
        <f>HYPERLINK("http://www.youtube.com/channel/UCBkcw8h7epT_bK0QzuY2Bmg")</f>
        <v>http://www.youtube.com/channel/UCBkcw8h7epT_bK0QzuY2Bmg</v>
      </c>
      <c r="U809" s="81"/>
      <c r="V809" s="81" t="s">
        <v>2327</v>
      </c>
      <c r="W809" s="86" t="str">
        <f>HYPERLINK("https://www.youtube.com/watch?v=tS9IXHSdzJs")</f>
        <v>https://www.youtube.com/watch?v=tS9IXHSdzJs</v>
      </c>
      <c r="X809" s="81" t="s">
        <v>2335</v>
      </c>
      <c r="Y809" s="81">
        <v>0</v>
      </c>
      <c r="Z809" s="88">
        <v>43802.07747685185</v>
      </c>
      <c r="AA809" s="88">
        <v>43802.07747685185</v>
      </c>
      <c r="AB809" s="81"/>
      <c r="AC809" s="81"/>
      <c r="AD809" s="84" t="s">
        <v>2782</v>
      </c>
      <c r="AE809" s="82">
        <v>1</v>
      </c>
      <c r="AF809" s="83" t="str">
        <f>REPLACE(INDEX(GroupVertices[Group],MATCH(Edges[[#This Row],[Vertex 1]],GroupVertices[Vertex],0)),1,1,"")</f>
        <v>4</v>
      </c>
      <c r="AG809" s="83" t="str">
        <f>REPLACE(INDEX(GroupVertices[Group],MATCH(Edges[[#This Row],[Vertex 2]],GroupVertices[Vertex],0)),1,1,"")</f>
        <v>4</v>
      </c>
      <c r="AH809" s="111">
        <v>3</v>
      </c>
      <c r="AI809" s="112">
        <v>42.857142857142854</v>
      </c>
      <c r="AJ809" s="111">
        <v>0</v>
      </c>
      <c r="AK809" s="112">
        <v>0</v>
      </c>
      <c r="AL809" s="111">
        <v>0</v>
      </c>
      <c r="AM809" s="112">
        <v>0</v>
      </c>
      <c r="AN809" s="111">
        <v>4</v>
      </c>
      <c r="AO809" s="112">
        <v>57.142857142857146</v>
      </c>
      <c r="AP809" s="111">
        <v>7</v>
      </c>
    </row>
    <row r="810" spans="1:42" ht="15">
      <c r="A810" s="65" t="s">
        <v>711</v>
      </c>
      <c r="B810" s="65" t="s">
        <v>743</v>
      </c>
      <c r="C810" s="66" t="s">
        <v>5345</v>
      </c>
      <c r="D810" s="67">
        <v>3</v>
      </c>
      <c r="E810" s="68"/>
      <c r="F810" s="69">
        <v>40</v>
      </c>
      <c r="G810" s="66"/>
      <c r="H810" s="70"/>
      <c r="I810" s="71"/>
      <c r="J810" s="71"/>
      <c r="K810" s="35" t="s">
        <v>66</v>
      </c>
      <c r="L810" s="79">
        <v>810</v>
      </c>
      <c r="M810" s="79"/>
      <c r="N810" s="73"/>
      <c r="O810" s="81" t="s">
        <v>761</v>
      </c>
      <c r="P810" s="81" t="s">
        <v>763</v>
      </c>
      <c r="Q810" s="84" t="s">
        <v>1538</v>
      </c>
      <c r="R810" s="81" t="s">
        <v>711</v>
      </c>
      <c r="S810" s="81" t="s">
        <v>2039</v>
      </c>
      <c r="T810" s="86" t="str">
        <f>HYPERLINK("http://www.youtube.com/channel/UC_mzz_JnzArhhpGUy8KdGwg")</f>
        <v>http://www.youtube.com/channel/UC_mzz_JnzArhhpGUy8KdGwg</v>
      </c>
      <c r="U810" s="81" t="s">
        <v>2301</v>
      </c>
      <c r="V810" s="81" t="s">
        <v>2327</v>
      </c>
      <c r="W810" s="86" t="str">
        <f>HYPERLINK("https://www.youtube.com/watch?v=tS9IXHSdzJs")</f>
        <v>https://www.youtube.com/watch?v=tS9IXHSdzJs</v>
      </c>
      <c r="X810" s="81" t="s">
        <v>2335</v>
      </c>
      <c r="Y810" s="81">
        <v>2</v>
      </c>
      <c r="Z810" s="81" t="s">
        <v>2713</v>
      </c>
      <c r="AA810" s="81" t="s">
        <v>2713</v>
      </c>
      <c r="AB810" s="81"/>
      <c r="AC810" s="81"/>
      <c r="AD810" s="84" t="s">
        <v>2782</v>
      </c>
      <c r="AE810" s="82">
        <v>1</v>
      </c>
      <c r="AF810" s="83" t="str">
        <f>REPLACE(INDEX(GroupVertices[Group],MATCH(Edges[[#This Row],[Vertex 1]],GroupVertices[Vertex],0)),1,1,"")</f>
        <v>4</v>
      </c>
      <c r="AG810" s="83" t="str">
        <f>REPLACE(INDEX(GroupVertices[Group],MATCH(Edges[[#This Row],[Vertex 2]],GroupVertices[Vertex],0)),1,1,"")</f>
        <v>4</v>
      </c>
      <c r="AH810" s="111">
        <v>0</v>
      </c>
      <c r="AI810" s="112">
        <v>0</v>
      </c>
      <c r="AJ810" s="111">
        <v>1</v>
      </c>
      <c r="AK810" s="112">
        <v>5.2631578947368425</v>
      </c>
      <c r="AL810" s="111">
        <v>0</v>
      </c>
      <c r="AM810" s="112">
        <v>0</v>
      </c>
      <c r="AN810" s="111">
        <v>18</v>
      </c>
      <c r="AO810" s="112">
        <v>94.73684210526316</v>
      </c>
      <c r="AP810" s="111">
        <v>19</v>
      </c>
    </row>
    <row r="811" spans="1:42" ht="15">
      <c r="A811" s="65" t="s">
        <v>743</v>
      </c>
      <c r="B811" s="65" t="s">
        <v>711</v>
      </c>
      <c r="C811" s="66" t="s">
        <v>5345</v>
      </c>
      <c r="D811" s="67">
        <v>3</v>
      </c>
      <c r="E811" s="68"/>
      <c r="F811" s="69">
        <v>40</v>
      </c>
      <c r="G811" s="66"/>
      <c r="H811" s="70"/>
      <c r="I811" s="71"/>
      <c r="J811" s="71"/>
      <c r="K811" s="35" t="s">
        <v>66</v>
      </c>
      <c r="L811" s="79">
        <v>811</v>
      </c>
      <c r="M811" s="79"/>
      <c r="N811" s="73"/>
      <c r="O811" s="81" t="s">
        <v>760</v>
      </c>
      <c r="P811" s="81" t="s">
        <v>215</v>
      </c>
      <c r="Q811" s="84" t="s">
        <v>1539</v>
      </c>
      <c r="R811" s="81" t="s">
        <v>743</v>
      </c>
      <c r="S811" s="81" t="s">
        <v>2071</v>
      </c>
      <c r="T811" s="86" t="str">
        <f>HYPERLINK("http://www.youtube.com/channel/UCnR8hz3lcn1_f1Ie5w3SUCg")</f>
        <v>http://www.youtube.com/channel/UCnR8hz3lcn1_f1Ie5w3SUCg</v>
      </c>
      <c r="U811" s="81"/>
      <c r="V811" s="81" t="s">
        <v>2327</v>
      </c>
      <c r="W811" s="86" t="str">
        <f>HYPERLINK("https://www.youtube.com/watch?v=tS9IXHSdzJs")</f>
        <v>https://www.youtube.com/watch?v=tS9IXHSdzJs</v>
      </c>
      <c r="X811" s="81" t="s">
        <v>2335</v>
      </c>
      <c r="Y811" s="81">
        <v>0</v>
      </c>
      <c r="Z811" s="81" t="s">
        <v>2714</v>
      </c>
      <c r="AA811" s="81" t="s">
        <v>2714</v>
      </c>
      <c r="AB811" s="81"/>
      <c r="AC811" s="81"/>
      <c r="AD811" s="84" t="s">
        <v>2782</v>
      </c>
      <c r="AE811" s="82">
        <v>1</v>
      </c>
      <c r="AF811" s="83" t="str">
        <f>REPLACE(INDEX(GroupVertices[Group],MATCH(Edges[[#This Row],[Vertex 1]],GroupVertices[Vertex],0)),1,1,"")</f>
        <v>4</v>
      </c>
      <c r="AG811" s="83" t="str">
        <f>REPLACE(INDEX(GroupVertices[Group],MATCH(Edges[[#This Row],[Vertex 2]],GroupVertices[Vertex],0)),1,1,"")</f>
        <v>4</v>
      </c>
      <c r="AH811" s="111">
        <v>0</v>
      </c>
      <c r="AI811" s="112">
        <v>0</v>
      </c>
      <c r="AJ811" s="111">
        <v>1</v>
      </c>
      <c r="AK811" s="112">
        <v>12.5</v>
      </c>
      <c r="AL811" s="111">
        <v>0</v>
      </c>
      <c r="AM811" s="112">
        <v>0</v>
      </c>
      <c r="AN811" s="111">
        <v>7</v>
      </c>
      <c r="AO811" s="112">
        <v>87.5</v>
      </c>
      <c r="AP811" s="111">
        <v>8</v>
      </c>
    </row>
    <row r="812" spans="1:42" ht="15">
      <c r="A812" s="65" t="s">
        <v>711</v>
      </c>
      <c r="B812" s="65" t="s">
        <v>744</v>
      </c>
      <c r="C812" s="66" t="s">
        <v>5345</v>
      </c>
      <c r="D812" s="67">
        <v>3</v>
      </c>
      <c r="E812" s="68"/>
      <c r="F812" s="69">
        <v>40</v>
      </c>
      <c r="G812" s="66"/>
      <c r="H812" s="70"/>
      <c r="I812" s="71"/>
      <c r="J812" s="71"/>
      <c r="K812" s="35" t="s">
        <v>66</v>
      </c>
      <c r="L812" s="79">
        <v>812</v>
      </c>
      <c r="M812" s="79"/>
      <c r="N812" s="73"/>
      <c r="O812" s="81" t="s">
        <v>761</v>
      </c>
      <c r="P812" s="81" t="s">
        <v>763</v>
      </c>
      <c r="Q812" s="84" t="s">
        <v>1540</v>
      </c>
      <c r="R812" s="81" t="s">
        <v>711</v>
      </c>
      <c r="S812" s="81" t="s">
        <v>2039</v>
      </c>
      <c r="T812" s="86" t="str">
        <f>HYPERLINK("http://www.youtube.com/channel/UC_mzz_JnzArhhpGUy8KdGwg")</f>
        <v>http://www.youtube.com/channel/UC_mzz_JnzArhhpGUy8KdGwg</v>
      </c>
      <c r="U812" s="81" t="s">
        <v>2302</v>
      </c>
      <c r="V812" s="81" t="s">
        <v>2327</v>
      </c>
      <c r="W812" s="86" t="str">
        <f>HYPERLINK("https://www.youtube.com/watch?v=tS9IXHSdzJs")</f>
        <v>https://www.youtube.com/watch?v=tS9IXHSdzJs</v>
      </c>
      <c r="X812" s="81" t="s">
        <v>2335</v>
      </c>
      <c r="Y812" s="81">
        <v>0</v>
      </c>
      <c r="Z812" s="81" t="s">
        <v>2715</v>
      </c>
      <c r="AA812" s="81" t="s">
        <v>2715</v>
      </c>
      <c r="AB812" s="81"/>
      <c r="AC812" s="81"/>
      <c r="AD812" s="84" t="s">
        <v>2782</v>
      </c>
      <c r="AE812" s="82">
        <v>1</v>
      </c>
      <c r="AF812" s="83" t="str">
        <f>REPLACE(INDEX(GroupVertices[Group],MATCH(Edges[[#This Row],[Vertex 1]],GroupVertices[Vertex],0)),1,1,"")</f>
        <v>4</v>
      </c>
      <c r="AG812" s="83" t="str">
        <f>REPLACE(INDEX(GroupVertices[Group],MATCH(Edges[[#This Row],[Vertex 2]],GroupVertices[Vertex],0)),1,1,"")</f>
        <v>4</v>
      </c>
      <c r="AH812" s="111">
        <v>2</v>
      </c>
      <c r="AI812" s="112">
        <v>3.8461538461538463</v>
      </c>
      <c r="AJ812" s="111">
        <v>1</v>
      </c>
      <c r="AK812" s="112">
        <v>1.9230769230769231</v>
      </c>
      <c r="AL812" s="111">
        <v>0</v>
      </c>
      <c r="AM812" s="112">
        <v>0</v>
      </c>
      <c r="AN812" s="111">
        <v>49</v>
      </c>
      <c r="AO812" s="112">
        <v>94.23076923076923</v>
      </c>
      <c r="AP812" s="111">
        <v>52</v>
      </c>
    </row>
    <row r="813" spans="1:42" ht="15">
      <c r="A813" s="65" t="s">
        <v>744</v>
      </c>
      <c r="B813" s="65" t="s">
        <v>711</v>
      </c>
      <c r="C813" s="66" t="s">
        <v>5345</v>
      </c>
      <c r="D813" s="67">
        <v>3</v>
      </c>
      <c r="E813" s="68"/>
      <c r="F813" s="69">
        <v>40</v>
      </c>
      <c r="G813" s="66"/>
      <c r="H813" s="70"/>
      <c r="I813" s="71"/>
      <c r="J813" s="71"/>
      <c r="K813" s="35" t="s">
        <v>66</v>
      </c>
      <c r="L813" s="79">
        <v>813</v>
      </c>
      <c r="M813" s="79"/>
      <c r="N813" s="73"/>
      <c r="O813" s="81" t="s">
        <v>760</v>
      </c>
      <c r="P813" s="81" t="s">
        <v>215</v>
      </c>
      <c r="Q813" s="84" t="s">
        <v>1541</v>
      </c>
      <c r="R813" s="81" t="s">
        <v>744</v>
      </c>
      <c r="S813" s="81" t="s">
        <v>2072</v>
      </c>
      <c r="T813" s="86" t="str">
        <f>HYPERLINK("http://www.youtube.com/channel/UCAnqw5P2xCAzOIovoVzZl3Q")</f>
        <v>http://www.youtube.com/channel/UCAnqw5P2xCAzOIovoVzZl3Q</v>
      </c>
      <c r="U813" s="81"/>
      <c r="V813" s="81" t="s">
        <v>2327</v>
      </c>
      <c r="W813" s="86" t="str">
        <f>HYPERLINK("https://www.youtube.com/watch?v=tS9IXHSdzJs")</f>
        <v>https://www.youtube.com/watch?v=tS9IXHSdzJs</v>
      </c>
      <c r="X813" s="81" t="s">
        <v>2335</v>
      </c>
      <c r="Y813" s="81">
        <v>0</v>
      </c>
      <c r="Z813" s="81" t="s">
        <v>2716</v>
      </c>
      <c r="AA813" s="81" t="s">
        <v>2716</v>
      </c>
      <c r="AB813" s="81"/>
      <c r="AC813" s="81"/>
      <c r="AD813" s="84" t="s">
        <v>2782</v>
      </c>
      <c r="AE813" s="82">
        <v>1</v>
      </c>
      <c r="AF813" s="83" t="str">
        <f>REPLACE(INDEX(GroupVertices[Group],MATCH(Edges[[#This Row],[Vertex 1]],GroupVertices[Vertex],0)),1,1,"")</f>
        <v>4</v>
      </c>
      <c r="AG813" s="83" t="str">
        <f>REPLACE(INDEX(GroupVertices[Group],MATCH(Edges[[#This Row],[Vertex 2]],GroupVertices[Vertex],0)),1,1,"")</f>
        <v>4</v>
      </c>
      <c r="AH813" s="111">
        <v>4</v>
      </c>
      <c r="AI813" s="112">
        <v>8.16326530612245</v>
      </c>
      <c r="AJ813" s="111">
        <v>1</v>
      </c>
      <c r="AK813" s="112">
        <v>2.0408163265306123</v>
      </c>
      <c r="AL813" s="111">
        <v>0</v>
      </c>
      <c r="AM813" s="112">
        <v>0</v>
      </c>
      <c r="AN813" s="111">
        <v>44</v>
      </c>
      <c r="AO813" s="112">
        <v>89.79591836734694</v>
      </c>
      <c r="AP813" s="111">
        <v>49</v>
      </c>
    </row>
    <row r="814" spans="1:42" ht="15">
      <c r="A814" s="65" t="s">
        <v>711</v>
      </c>
      <c r="B814" s="65" t="s">
        <v>745</v>
      </c>
      <c r="C814" s="66" t="s">
        <v>5345</v>
      </c>
      <c r="D814" s="67">
        <v>3</v>
      </c>
      <c r="E814" s="68"/>
      <c r="F814" s="69">
        <v>40</v>
      </c>
      <c r="G814" s="66"/>
      <c r="H814" s="70"/>
      <c r="I814" s="71"/>
      <c r="J814" s="71"/>
      <c r="K814" s="35" t="s">
        <v>66</v>
      </c>
      <c r="L814" s="79">
        <v>814</v>
      </c>
      <c r="M814" s="79"/>
      <c r="N814" s="73"/>
      <c r="O814" s="81" t="s">
        <v>761</v>
      </c>
      <c r="P814" s="81" t="s">
        <v>763</v>
      </c>
      <c r="Q814" s="84" t="s">
        <v>1542</v>
      </c>
      <c r="R814" s="81" t="s">
        <v>711</v>
      </c>
      <c r="S814" s="81" t="s">
        <v>2039</v>
      </c>
      <c r="T814" s="86" t="str">
        <f>HYPERLINK("http://www.youtube.com/channel/UC_mzz_JnzArhhpGUy8KdGwg")</f>
        <v>http://www.youtube.com/channel/UC_mzz_JnzArhhpGUy8KdGwg</v>
      </c>
      <c r="U814" s="81" t="s">
        <v>2303</v>
      </c>
      <c r="V814" s="81" t="s">
        <v>2327</v>
      </c>
      <c r="W814" s="86" t="str">
        <f>HYPERLINK("https://www.youtube.com/watch?v=tS9IXHSdzJs")</f>
        <v>https://www.youtube.com/watch?v=tS9IXHSdzJs</v>
      </c>
      <c r="X814" s="81" t="s">
        <v>2335</v>
      </c>
      <c r="Y814" s="81">
        <v>0</v>
      </c>
      <c r="Z814" s="81" t="s">
        <v>2717</v>
      </c>
      <c r="AA814" s="81" t="s">
        <v>2717</v>
      </c>
      <c r="AB814" s="81"/>
      <c r="AC814" s="81"/>
      <c r="AD814" s="84" t="s">
        <v>2782</v>
      </c>
      <c r="AE814" s="82">
        <v>1</v>
      </c>
      <c r="AF814" s="83" t="str">
        <f>REPLACE(INDEX(GroupVertices[Group],MATCH(Edges[[#This Row],[Vertex 1]],GroupVertices[Vertex],0)),1,1,"")</f>
        <v>4</v>
      </c>
      <c r="AG814" s="83" t="str">
        <f>REPLACE(INDEX(GroupVertices[Group],MATCH(Edges[[#This Row],[Vertex 2]],GroupVertices[Vertex],0)),1,1,"")</f>
        <v>4</v>
      </c>
      <c r="AH814" s="111">
        <v>3</v>
      </c>
      <c r="AI814" s="112">
        <v>16.666666666666668</v>
      </c>
      <c r="AJ814" s="111">
        <v>0</v>
      </c>
      <c r="AK814" s="112">
        <v>0</v>
      </c>
      <c r="AL814" s="111">
        <v>0</v>
      </c>
      <c r="AM814" s="112">
        <v>0</v>
      </c>
      <c r="AN814" s="111">
        <v>15</v>
      </c>
      <c r="AO814" s="112">
        <v>83.33333333333333</v>
      </c>
      <c r="AP814" s="111">
        <v>18</v>
      </c>
    </row>
    <row r="815" spans="1:42" ht="15">
      <c r="A815" s="65" t="s">
        <v>745</v>
      </c>
      <c r="B815" s="65" t="s">
        <v>711</v>
      </c>
      <c r="C815" s="66" t="s">
        <v>5345</v>
      </c>
      <c r="D815" s="67">
        <v>3</v>
      </c>
      <c r="E815" s="68"/>
      <c r="F815" s="69">
        <v>40</v>
      </c>
      <c r="G815" s="66"/>
      <c r="H815" s="70"/>
      <c r="I815" s="71"/>
      <c r="J815" s="71"/>
      <c r="K815" s="35" t="s">
        <v>66</v>
      </c>
      <c r="L815" s="79">
        <v>815</v>
      </c>
      <c r="M815" s="79"/>
      <c r="N815" s="73"/>
      <c r="O815" s="81" t="s">
        <v>760</v>
      </c>
      <c r="P815" s="81" t="s">
        <v>215</v>
      </c>
      <c r="Q815" s="84" t="s">
        <v>1543</v>
      </c>
      <c r="R815" s="81" t="s">
        <v>745</v>
      </c>
      <c r="S815" s="81" t="s">
        <v>2073</v>
      </c>
      <c r="T815" s="86" t="str">
        <f>HYPERLINK("http://www.youtube.com/channel/UCFPjsVOFZYYm_c2FwVjbHKw")</f>
        <v>http://www.youtube.com/channel/UCFPjsVOFZYYm_c2FwVjbHKw</v>
      </c>
      <c r="U815" s="81"/>
      <c r="V815" s="81" t="s">
        <v>2327</v>
      </c>
      <c r="W815" s="86" t="str">
        <f>HYPERLINK("https://www.youtube.com/watch?v=tS9IXHSdzJs")</f>
        <v>https://www.youtube.com/watch?v=tS9IXHSdzJs</v>
      </c>
      <c r="X815" s="81" t="s">
        <v>2335</v>
      </c>
      <c r="Y815" s="81">
        <v>1</v>
      </c>
      <c r="Z815" s="81" t="s">
        <v>2718</v>
      </c>
      <c r="AA815" s="81" t="s">
        <v>2718</v>
      </c>
      <c r="AB815" s="81"/>
      <c r="AC815" s="81"/>
      <c r="AD815" s="84" t="s">
        <v>2782</v>
      </c>
      <c r="AE815" s="82">
        <v>1</v>
      </c>
      <c r="AF815" s="83" t="str">
        <f>REPLACE(INDEX(GroupVertices[Group],MATCH(Edges[[#This Row],[Vertex 1]],GroupVertices[Vertex],0)),1,1,"")</f>
        <v>4</v>
      </c>
      <c r="AG815" s="83" t="str">
        <f>REPLACE(INDEX(GroupVertices[Group],MATCH(Edges[[#This Row],[Vertex 2]],GroupVertices[Vertex],0)),1,1,"")</f>
        <v>4</v>
      </c>
      <c r="AH815" s="111">
        <v>2</v>
      </c>
      <c r="AI815" s="112">
        <v>4</v>
      </c>
      <c r="AJ815" s="111">
        <v>0</v>
      </c>
      <c r="AK815" s="112">
        <v>0</v>
      </c>
      <c r="AL815" s="111">
        <v>0</v>
      </c>
      <c r="AM815" s="112">
        <v>0</v>
      </c>
      <c r="AN815" s="111">
        <v>48</v>
      </c>
      <c r="AO815" s="112">
        <v>96</v>
      </c>
      <c r="AP815" s="111">
        <v>50</v>
      </c>
    </row>
    <row r="816" spans="1:42" ht="15">
      <c r="A816" s="65" t="s">
        <v>746</v>
      </c>
      <c r="B816" s="65" t="s">
        <v>711</v>
      </c>
      <c r="C816" s="66" t="s">
        <v>5345</v>
      </c>
      <c r="D816" s="67">
        <v>3</v>
      </c>
      <c r="E816" s="68"/>
      <c r="F816" s="69">
        <v>40</v>
      </c>
      <c r="G816" s="66"/>
      <c r="H816" s="70"/>
      <c r="I816" s="71"/>
      <c r="J816" s="71"/>
      <c r="K816" s="35" t="s">
        <v>65</v>
      </c>
      <c r="L816" s="79">
        <v>816</v>
      </c>
      <c r="M816" s="79"/>
      <c r="N816" s="73"/>
      <c r="O816" s="81" t="s">
        <v>760</v>
      </c>
      <c r="P816" s="81" t="s">
        <v>215</v>
      </c>
      <c r="Q816" s="84" t="s">
        <v>1544</v>
      </c>
      <c r="R816" s="81" t="s">
        <v>746</v>
      </c>
      <c r="S816" s="81" t="s">
        <v>2074</v>
      </c>
      <c r="T816" s="86" t="str">
        <f>HYPERLINK("http://www.youtube.com/channel/UCDyYwvC2cbJb44iqWLPz5pQ")</f>
        <v>http://www.youtube.com/channel/UCDyYwvC2cbJb44iqWLPz5pQ</v>
      </c>
      <c r="U816" s="81"/>
      <c r="V816" s="81" t="s">
        <v>2327</v>
      </c>
      <c r="W816" s="86" t="str">
        <f>HYPERLINK("https://www.youtube.com/watch?v=tS9IXHSdzJs")</f>
        <v>https://www.youtube.com/watch?v=tS9IXHSdzJs</v>
      </c>
      <c r="X816" s="81" t="s">
        <v>2335</v>
      </c>
      <c r="Y816" s="81">
        <v>1</v>
      </c>
      <c r="Z816" s="81" t="s">
        <v>2719</v>
      </c>
      <c r="AA816" s="81" t="s">
        <v>2719</v>
      </c>
      <c r="AB816" s="81"/>
      <c r="AC816" s="81"/>
      <c r="AD816" s="84" t="s">
        <v>2782</v>
      </c>
      <c r="AE816" s="82">
        <v>1</v>
      </c>
      <c r="AF816" s="83" t="str">
        <f>REPLACE(INDEX(GroupVertices[Group],MATCH(Edges[[#This Row],[Vertex 1]],GroupVertices[Vertex],0)),1,1,"")</f>
        <v>4</v>
      </c>
      <c r="AG816" s="83" t="str">
        <f>REPLACE(INDEX(GroupVertices[Group],MATCH(Edges[[#This Row],[Vertex 2]],GroupVertices[Vertex],0)),1,1,"")</f>
        <v>4</v>
      </c>
      <c r="AH816" s="111">
        <v>1</v>
      </c>
      <c r="AI816" s="112">
        <v>100</v>
      </c>
      <c r="AJ816" s="111">
        <v>0</v>
      </c>
      <c r="AK816" s="112">
        <v>0</v>
      </c>
      <c r="AL816" s="111">
        <v>0</v>
      </c>
      <c r="AM816" s="112">
        <v>0</v>
      </c>
      <c r="AN816" s="111">
        <v>0</v>
      </c>
      <c r="AO816" s="112">
        <v>0</v>
      </c>
      <c r="AP816" s="111">
        <v>1</v>
      </c>
    </row>
    <row r="817" spans="1:42" ht="15">
      <c r="A817" s="65" t="s">
        <v>711</v>
      </c>
      <c r="B817" s="65" t="s">
        <v>747</v>
      </c>
      <c r="C817" s="66" t="s">
        <v>5345</v>
      </c>
      <c r="D817" s="67">
        <v>3</v>
      </c>
      <c r="E817" s="68"/>
      <c r="F817" s="69">
        <v>40</v>
      </c>
      <c r="G817" s="66"/>
      <c r="H817" s="70"/>
      <c r="I817" s="71"/>
      <c r="J817" s="71"/>
      <c r="K817" s="35" t="s">
        <v>66</v>
      </c>
      <c r="L817" s="79">
        <v>817</v>
      </c>
      <c r="M817" s="79"/>
      <c r="N817" s="73"/>
      <c r="O817" s="81" t="s">
        <v>761</v>
      </c>
      <c r="P817" s="81" t="s">
        <v>763</v>
      </c>
      <c r="Q817" s="84" t="s">
        <v>1545</v>
      </c>
      <c r="R817" s="81" t="s">
        <v>711</v>
      </c>
      <c r="S817" s="81" t="s">
        <v>2039</v>
      </c>
      <c r="T817" s="86" t="str">
        <f>HYPERLINK("http://www.youtube.com/channel/UC_mzz_JnzArhhpGUy8KdGwg")</f>
        <v>http://www.youtube.com/channel/UC_mzz_JnzArhhpGUy8KdGwg</v>
      </c>
      <c r="U817" s="81" t="s">
        <v>2304</v>
      </c>
      <c r="V817" s="81" t="s">
        <v>2327</v>
      </c>
      <c r="W817" s="86" t="str">
        <f>HYPERLINK("https://www.youtube.com/watch?v=tS9IXHSdzJs")</f>
        <v>https://www.youtube.com/watch?v=tS9IXHSdzJs</v>
      </c>
      <c r="X817" s="81" t="s">
        <v>2335</v>
      </c>
      <c r="Y817" s="81">
        <v>0</v>
      </c>
      <c r="Z817" s="88">
        <v>43837.619097222225</v>
      </c>
      <c r="AA817" s="88">
        <v>43837.619097222225</v>
      </c>
      <c r="AB817" s="81"/>
      <c r="AC817" s="81"/>
      <c r="AD817" s="84" t="s">
        <v>2782</v>
      </c>
      <c r="AE817" s="82">
        <v>1</v>
      </c>
      <c r="AF817" s="83" t="str">
        <f>REPLACE(INDEX(GroupVertices[Group],MATCH(Edges[[#This Row],[Vertex 1]],GroupVertices[Vertex],0)),1,1,"")</f>
        <v>4</v>
      </c>
      <c r="AG817" s="83" t="str">
        <f>REPLACE(INDEX(GroupVertices[Group],MATCH(Edges[[#This Row],[Vertex 2]],GroupVertices[Vertex],0)),1,1,"")</f>
        <v>4</v>
      </c>
      <c r="AH817" s="111">
        <v>1</v>
      </c>
      <c r="AI817" s="112">
        <v>16.666666666666668</v>
      </c>
      <c r="AJ817" s="111">
        <v>0</v>
      </c>
      <c r="AK817" s="112">
        <v>0</v>
      </c>
      <c r="AL817" s="111">
        <v>0</v>
      </c>
      <c r="AM817" s="112">
        <v>0</v>
      </c>
      <c r="AN817" s="111">
        <v>5</v>
      </c>
      <c r="AO817" s="112">
        <v>83.33333333333333</v>
      </c>
      <c r="AP817" s="111">
        <v>6</v>
      </c>
    </row>
    <row r="818" spans="1:42" ht="15">
      <c r="A818" s="65" t="s">
        <v>747</v>
      </c>
      <c r="B818" s="65" t="s">
        <v>711</v>
      </c>
      <c r="C818" s="66" t="s">
        <v>5345</v>
      </c>
      <c r="D818" s="67">
        <v>3</v>
      </c>
      <c r="E818" s="68"/>
      <c r="F818" s="69">
        <v>40</v>
      </c>
      <c r="G818" s="66"/>
      <c r="H818" s="70"/>
      <c r="I818" s="71"/>
      <c r="J818" s="71"/>
      <c r="K818" s="35" t="s">
        <v>66</v>
      </c>
      <c r="L818" s="79">
        <v>818</v>
      </c>
      <c r="M818" s="79"/>
      <c r="N818" s="73"/>
      <c r="O818" s="81" t="s">
        <v>760</v>
      </c>
      <c r="P818" s="81" t="s">
        <v>215</v>
      </c>
      <c r="Q818" s="84" t="s">
        <v>1546</v>
      </c>
      <c r="R818" s="81" t="s">
        <v>747</v>
      </c>
      <c r="S818" s="81" t="s">
        <v>2075</v>
      </c>
      <c r="T818" s="86" t="str">
        <f>HYPERLINK("http://www.youtube.com/channel/UCblMkBEHgD7uaLC0lBFebGQ")</f>
        <v>http://www.youtube.com/channel/UCblMkBEHgD7uaLC0lBFebGQ</v>
      </c>
      <c r="U818" s="81"/>
      <c r="V818" s="81" t="s">
        <v>2327</v>
      </c>
      <c r="W818" s="86" t="str">
        <f>HYPERLINK("https://www.youtube.com/watch?v=tS9IXHSdzJs")</f>
        <v>https://www.youtube.com/watch?v=tS9IXHSdzJs</v>
      </c>
      <c r="X818" s="81" t="s">
        <v>2335</v>
      </c>
      <c r="Y818" s="81">
        <v>0</v>
      </c>
      <c r="Z818" s="81" t="s">
        <v>2720</v>
      </c>
      <c r="AA818" s="81" t="s">
        <v>2720</v>
      </c>
      <c r="AB818" s="81"/>
      <c r="AC818" s="81"/>
      <c r="AD818" s="84" t="s">
        <v>2782</v>
      </c>
      <c r="AE818" s="82">
        <v>1</v>
      </c>
      <c r="AF818" s="83" t="str">
        <f>REPLACE(INDEX(GroupVertices[Group],MATCH(Edges[[#This Row],[Vertex 1]],GroupVertices[Vertex],0)),1,1,"")</f>
        <v>4</v>
      </c>
      <c r="AG818" s="83" t="str">
        <f>REPLACE(INDEX(GroupVertices[Group],MATCH(Edges[[#This Row],[Vertex 2]],GroupVertices[Vertex],0)),1,1,"")</f>
        <v>4</v>
      </c>
      <c r="AH818" s="111">
        <v>1</v>
      </c>
      <c r="AI818" s="112">
        <v>20</v>
      </c>
      <c r="AJ818" s="111">
        <v>0</v>
      </c>
      <c r="AK818" s="112">
        <v>0</v>
      </c>
      <c r="AL818" s="111">
        <v>0</v>
      </c>
      <c r="AM818" s="112">
        <v>0</v>
      </c>
      <c r="AN818" s="111">
        <v>4</v>
      </c>
      <c r="AO818" s="112">
        <v>80</v>
      </c>
      <c r="AP818" s="111">
        <v>5</v>
      </c>
    </row>
    <row r="819" spans="1:42" ht="15">
      <c r="A819" s="65" t="s">
        <v>748</v>
      </c>
      <c r="B819" s="65" t="s">
        <v>711</v>
      </c>
      <c r="C819" s="66" t="s">
        <v>5345</v>
      </c>
      <c r="D819" s="67">
        <v>3</v>
      </c>
      <c r="E819" s="68"/>
      <c r="F819" s="69">
        <v>40</v>
      </c>
      <c r="G819" s="66"/>
      <c r="H819" s="70"/>
      <c r="I819" s="71"/>
      <c r="J819" s="71"/>
      <c r="K819" s="35" t="s">
        <v>65</v>
      </c>
      <c r="L819" s="79">
        <v>819</v>
      </c>
      <c r="M819" s="79"/>
      <c r="N819" s="73"/>
      <c r="O819" s="81" t="s">
        <v>760</v>
      </c>
      <c r="P819" s="81" t="s">
        <v>215</v>
      </c>
      <c r="Q819" s="84" t="s">
        <v>1547</v>
      </c>
      <c r="R819" s="81" t="s">
        <v>748</v>
      </c>
      <c r="S819" s="81" t="s">
        <v>2076</v>
      </c>
      <c r="T819" s="86" t="str">
        <f>HYPERLINK("http://www.youtube.com/channel/UC7DURVLcH2NBsmLGwSVOP4Q")</f>
        <v>http://www.youtube.com/channel/UC7DURVLcH2NBsmLGwSVOP4Q</v>
      </c>
      <c r="U819" s="81"/>
      <c r="V819" s="81" t="s">
        <v>2327</v>
      </c>
      <c r="W819" s="86" t="str">
        <f>HYPERLINK("https://www.youtube.com/watch?v=tS9IXHSdzJs")</f>
        <v>https://www.youtube.com/watch?v=tS9IXHSdzJs</v>
      </c>
      <c r="X819" s="81" t="s">
        <v>2335</v>
      </c>
      <c r="Y819" s="81">
        <v>0</v>
      </c>
      <c r="Z819" s="88">
        <v>43932.96150462963</v>
      </c>
      <c r="AA819" s="88">
        <v>43932.96150462963</v>
      </c>
      <c r="AB819" s="81"/>
      <c r="AC819" s="81"/>
      <c r="AD819" s="84" t="s">
        <v>2782</v>
      </c>
      <c r="AE819" s="82">
        <v>1</v>
      </c>
      <c r="AF819" s="83" t="str">
        <f>REPLACE(INDEX(GroupVertices[Group],MATCH(Edges[[#This Row],[Vertex 1]],GroupVertices[Vertex],0)),1,1,"")</f>
        <v>4</v>
      </c>
      <c r="AG819" s="83" t="str">
        <f>REPLACE(INDEX(GroupVertices[Group],MATCH(Edges[[#This Row],[Vertex 2]],GroupVertices[Vertex],0)),1,1,"")</f>
        <v>4</v>
      </c>
      <c r="AH819" s="111">
        <v>0</v>
      </c>
      <c r="AI819" s="112">
        <v>0</v>
      </c>
      <c r="AJ819" s="111">
        <v>0</v>
      </c>
      <c r="AK819" s="112">
        <v>0</v>
      </c>
      <c r="AL819" s="111">
        <v>0</v>
      </c>
      <c r="AM819" s="112">
        <v>0</v>
      </c>
      <c r="AN819" s="111">
        <v>18</v>
      </c>
      <c r="AO819" s="112">
        <v>100</v>
      </c>
      <c r="AP819" s="111">
        <v>18</v>
      </c>
    </row>
    <row r="820" spans="1:42" ht="15">
      <c r="A820" s="65" t="s">
        <v>749</v>
      </c>
      <c r="B820" s="65" t="s">
        <v>605</v>
      </c>
      <c r="C820" s="66" t="s">
        <v>5348</v>
      </c>
      <c r="D820" s="67">
        <v>10</v>
      </c>
      <c r="E820" s="68"/>
      <c r="F820" s="69">
        <v>15</v>
      </c>
      <c r="G820" s="66"/>
      <c r="H820" s="70"/>
      <c r="I820" s="71"/>
      <c r="J820" s="71"/>
      <c r="K820" s="35" t="s">
        <v>65</v>
      </c>
      <c r="L820" s="79">
        <v>820</v>
      </c>
      <c r="M820" s="79"/>
      <c r="N820" s="73"/>
      <c r="O820" s="81" t="s">
        <v>760</v>
      </c>
      <c r="P820" s="81" t="s">
        <v>215</v>
      </c>
      <c r="Q820" s="84" t="s">
        <v>1548</v>
      </c>
      <c r="R820" s="81" t="s">
        <v>749</v>
      </c>
      <c r="S820" s="81" t="s">
        <v>2077</v>
      </c>
      <c r="T820" s="86" t="str">
        <f>HYPERLINK("http://www.youtube.com/channel/UCDyFrFVz6c1UPBCY5ivsQXg")</f>
        <v>http://www.youtube.com/channel/UCDyFrFVz6c1UPBCY5ivsQXg</v>
      </c>
      <c r="U820" s="81"/>
      <c r="V820" s="81" t="s">
        <v>2328</v>
      </c>
      <c r="W820" s="86" t="str">
        <f>HYPERLINK("https://www.youtube.com/watch?v=ukxbBgcz9Ow")</f>
        <v>https://www.youtube.com/watch?v=ukxbBgcz9Ow</v>
      </c>
      <c r="X820" s="81" t="s">
        <v>2335</v>
      </c>
      <c r="Y820" s="81">
        <v>0</v>
      </c>
      <c r="Z820" s="81" t="s">
        <v>2721</v>
      </c>
      <c r="AA820" s="81" t="s">
        <v>2721</v>
      </c>
      <c r="AB820" s="81"/>
      <c r="AC820" s="81"/>
      <c r="AD820" s="84" t="s">
        <v>2782</v>
      </c>
      <c r="AE820" s="82">
        <v>4</v>
      </c>
      <c r="AF820" s="83" t="str">
        <f>REPLACE(INDEX(GroupVertices[Group],MATCH(Edges[[#This Row],[Vertex 1]],GroupVertices[Vertex],0)),1,1,"")</f>
        <v>12</v>
      </c>
      <c r="AG820" s="83" t="str">
        <f>REPLACE(INDEX(GroupVertices[Group],MATCH(Edges[[#This Row],[Vertex 2]],GroupVertices[Vertex],0)),1,1,"")</f>
        <v>12</v>
      </c>
      <c r="AH820" s="111">
        <v>4</v>
      </c>
      <c r="AI820" s="112">
        <v>11.11111111111111</v>
      </c>
      <c r="AJ820" s="111">
        <v>2</v>
      </c>
      <c r="AK820" s="112">
        <v>5.555555555555555</v>
      </c>
      <c r="AL820" s="111">
        <v>0</v>
      </c>
      <c r="AM820" s="112">
        <v>0</v>
      </c>
      <c r="AN820" s="111">
        <v>30</v>
      </c>
      <c r="AO820" s="112">
        <v>83.33333333333333</v>
      </c>
      <c r="AP820" s="111">
        <v>36</v>
      </c>
    </row>
    <row r="821" spans="1:42" ht="15">
      <c r="A821" s="65" t="s">
        <v>749</v>
      </c>
      <c r="B821" s="65" t="s">
        <v>605</v>
      </c>
      <c r="C821" s="66" t="s">
        <v>5348</v>
      </c>
      <c r="D821" s="67">
        <v>10</v>
      </c>
      <c r="E821" s="68"/>
      <c r="F821" s="69">
        <v>15</v>
      </c>
      <c r="G821" s="66"/>
      <c r="H821" s="70"/>
      <c r="I821" s="71"/>
      <c r="J821" s="71"/>
      <c r="K821" s="35" t="s">
        <v>65</v>
      </c>
      <c r="L821" s="79">
        <v>821</v>
      </c>
      <c r="M821" s="79"/>
      <c r="N821" s="73"/>
      <c r="O821" s="81" t="s">
        <v>760</v>
      </c>
      <c r="P821" s="81" t="s">
        <v>215</v>
      </c>
      <c r="Q821" s="84" t="s">
        <v>1549</v>
      </c>
      <c r="R821" s="81" t="s">
        <v>749</v>
      </c>
      <c r="S821" s="81" t="s">
        <v>2077</v>
      </c>
      <c r="T821" s="86" t="str">
        <f>HYPERLINK("http://www.youtube.com/channel/UCDyFrFVz6c1UPBCY5ivsQXg")</f>
        <v>http://www.youtube.com/channel/UCDyFrFVz6c1UPBCY5ivsQXg</v>
      </c>
      <c r="U821" s="81"/>
      <c r="V821" s="81" t="s">
        <v>2328</v>
      </c>
      <c r="W821" s="86" t="str">
        <f>HYPERLINK("https://www.youtube.com/watch?v=ukxbBgcz9Ow")</f>
        <v>https://www.youtube.com/watch?v=ukxbBgcz9Ow</v>
      </c>
      <c r="X821" s="81" t="s">
        <v>2335</v>
      </c>
      <c r="Y821" s="81">
        <v>0</v>
      </c>
      <c r="Z821" s="81" t="s">
        <v>2722</v>
      </c>
      <c r="AA821" s="81" t="s">
        <v>2722</v>
      </c>
      <c r="AB821" s="81"/>
      <c r="AC821" s="81"/>
      <c r="AD821" s="84" t="s">
        <v>2782</v>
      </c>
      <c r="AE821" s="82">
        <v>4</v>
      </c>
      <c r="AF821" s="83" t="str">
        <f>REPLACE(INDEX(GroupVertices[Group],MATCH(Edges[[#This Row],[Vertex 1]],GroupVertices[Vertex],0)),1,1,"")</f>
        <v>12</v>
      </c>
      <c r="AG821" s="83" t="str">
        <f>REPLACE(INDEX(GroupVertices[Group],MATCH(Edges[[#This Row],[Vertex 2]],GroupVertices[Vertex],0)),1,1,"")</f>
        <v>12</v>
      </c>
      <c r="AH821" s="111">
        <v>1</v>
      </c>
      <c r="AI821" s="112">
        <v>16.666666666666668</v>
      </c>
      <c r="AJ821" s="111">
        <v>0</v>
      </c>
      <c r="AK821" s="112">
        <v>0</v>
      </c>
      <c r="AL821" s="111">
        <v>0</v>
      </c>
      <c r="AM821" s="112">
        <v>0</v>
      </c>
      <c r="AN821" s="111">
        <v>5</v>
      </c>
      <c r="AO821" s="112">
        <v>83.33333333333333</v>
      </c>
      <c r="AP821" s="111">
        <v>6</v>
      </c>
    </row>
    <row r="822" spans="1:42" ht="15">
      <c r="A822" s="65" t="s">
        <v>749</v>
      </c>
      <c r="B822" s="65" t="s">
        <v>605</v>
      </c>
      <c r="C822" s="66" t="s">
        <v>5348</v>
      </c>
      <c r="D822" s="67">
        <v>10</v>
      </c>
      <c r="E822" s="68"/>
      <c r="F822" s="69">
        <v>15</v>
      </c>
      <c r="G822" s="66"/>
      <c r="H822" s="70"/>
      <c r="I822" s="71"/>
      <c r="J822" s="71"/>
      <c r="K822" s="35" t="s">
        <v>65</v>
      </c>
      <c r="L822" s="79">
        <v>822</v>
      </c>
      <c r="M822" s="79"/>
      <c r="N822" s="73"/>
      <c r="O822" s="81" t="s">
        <v>760</v>
      </c>
      <c r="P822" s="81" t="s">
        <v>215</v>
      </c>
      <c r="Q822" s="84" t="s">
        <v>1550</v>
      </c>
      <c r="R822" s="81" t="s">
        <v>749</v>
      </c>
      <c r="S822" s="81" t="s">
        <v>2077</v>
      </c>
      <c r="T822" s="86" t="str">
        <f>HYPERLINK("http://www.youtube.com/channel/UCDyFrFVz6c1UPBCY5ivsQXg")</f>
        <v>http://www.youtube.com/channel/UCDyFrFVz6c1UPBCY5ivsQXg</v>
      </c>
      <c r="U822" s="81"/>
      <c r="V822" s="81" t="s">
        <v>2328</v>
      </c>
      <c r="W822" s="86" t="str">
        <f>HYPERLINK("https://www.youtube.com/watch?v=ukxbBgcz9Ow")</f>
        <v>https://www.youtube.com/watch?v=ukxbBgcz9Ow</v>
      </c>
      <c r="X822" s="81" t="s">
        <v>2335</v>
      </c>
      <c r="Y822" s="81">
        <v>0</v>
      </c>
      <c r="Z822" s="81" t="s">
        <v>2723</v>
      </c>
      <c r="AA822" s="81" t="s">
        <v>2723</v>
      </c>
      <c r="AB822" s="81"/>
      <c r="AC822" s="81"/>
      <c r="AD822" s="84" t="s">
        <v>2782</v>
      </c>
      <c r="AE822" s="82">
        <v>4</v>
      </c>
      <c r="AF822" s="83" t="str">
        <f>REPLACE(INDEX(GroupVertices[Group],MATCH(Edges[[#This Row],[Vertex 1]],GroupVertices[Vertex],0)),1,1,"")</f>
        <v>12</v>
      </c>
      <c r="AG822" s="83" t="str">
        <f>REPLACE(INDEX(GroupVertices[Group],MATCH(Edges[[#This Row],[Vertex 2]],GroupVertices[Vertex],0)),1,1,"")</f>
        <v>12</v>
      </c>
      <c r="AH822" s="111">
        <v>1</v>
      </c>
      <c r="AI822" s="112">
        <v>25</v>
      </c>
      <c r="AJ822" s="111">
        <v>0</v>
      </c>
      <c r="AK822" s="112">
        <v>0</v>
      </c>
      <c r="AL822" s="111">
        <v>0</v>
      </c>
      <c r="AM822" s="112">
        <v>0</v>
      </c>
      <c r="AN822" s="111">
        <v>3</v>
      </c>
      <c r="AO822" s="112">
        <v>75</v>
      </c>
      <c r="AP822" s="111">
        <v>4</v>
      </c>
    </row>
    <row r="823" spans="1:42" ht="15">
      <c r="A823" s="65" t="s">
        <v>749</v>
      </c>
      <c r="B823" s="65" t="s">
        <v>605</v>
      </c>
      <c r="C823" s="66" t="s">
        <v>5348</v>
      </c>
      <c r="D823" s="67">
        <v>10</v>
      </c>
      <c r="E823" s="68"/>
      <c r="F823" s="69">
        <v>15</v>
      </c>
      <c r="G823" s="66"/>
      <c r="H823" s="70"/>
      <c r="I823" s="71"/>
      <c r="J823" s="71"/>
      <c r="K823" s="35" t="s">
        <v>65</v>
      </c>
      <c r="L823" s="79">
        <v>823</v>
      </c>
      <c r="M823" s="79"/>
      <c r="N823" s="73"/>
      <c r="O823" s="81" t="s">
        <v>760</v>
      </c>
      <c r="P823" s="81" t="s">
        <v>215</v>
      </c>
      <c r="Q823" s="84" t="s">
        <v>1551</v>
      </c>
      <c r="R823" s="81" t="s">
        <v>749</v>
      </c>
      <c r="S823" s="81" t="s">
        <v>2077</v>
      </c>
      <c r="T823" s="86" t="str">
        <f>HYPERLINK("http://www.youtube.com/channel/UCDyFrFVz6c1UPBCY5ivsQXg")</f>
        <v>http://www.youtube.com/channel/UCDyFrFVz6c1UPBCY5ivsQXg</v>
      </c>
      <c r="U823" s="81"/>
      <c r="V823" s="81" t="s">
        <v>2328</v>
      </c>
      <c r="W823" s="86" t="str">
        <f>HYPERLINK("https://www.youtube.com/watch?v=ukxbBgcz9Ow")</f>
        <v>https://www.youtube.com/watch?v=ukxbBgcz9Ow</v>
      </c>
      <c r="X823" s="81" t="s">
        <v>2335</v>
      </c>
      <c r="Y823" s="81">
        <v>0</v>
      </c>
      <c r="Z823" s="81" t="s">
        <v>2724</v>
      </c>
      <c r="AA823" s="81" t="s">
        <v>2724</v>
      </c>
      <c r="AB823" s="81"/>
      <c r="AC823" s="81"/>
      <c r="AD823" s="84" t="s">
        <v>2782</v>
      </c>
      <c r="AE823" s="82">
        <v>4</v>
      </c>
      <c r="AF823" s="83" t="str">
        <f>REPLACE(INDEX(GroupVertices[Group],MATCH(Edges[[#This Row],[Vertex 1]],GroupVertices[Vertex],0)),1,1,"")</f>
        <v>12</v>
      </c>
      <c r="AG823" s="83" t="str">
        <f>REPLACE(INDEX(GroupVertices[Group],MATCH(Edges[[#This Row],[Vertex 2]],GroupVertices[Vertex],0)),1,1,"")</f>
        <v>12</v>
      </c>
      <c r="AH823" s="111">
        <v>1</v>
      </c>
      <c r="AI823" s="112">
        <v>8.333333333333334</v>
      </c>
      <c r="AJ823" s="111">
        <v>2</v>
      </c>
      <c r="AK823" s="112">
        <v>16.666666666666668</v>
      </c>
      <c r="AL823" s="111">
        <v>0</v>
      </c>
      <c r="AM823" s="112">
        <v>0</v>
      </c>
      <c r="AN823" s="111">
        <v>9</v>
      </c>
      <c r="AO823" s="112">
        <v>75</v>
      </c>
      <c r="AP823" s="111">
        <v>12</v>
      </c>
    </row>
    <row r="824" spans="1:42" ht="15">
      <c r="A824" s="65" t="s">
        <v>230</v>
      </c>
      <c r="B824" s="65" t="s">
        <v>230</v>
      </c>
      <c r="C824" s="66" t="s">
        <v>5346</v>
      </c>
      <c r="D824" s="67">
        <v>10</v>
      </c>
      <c r="E824" s="68"/>
      <c r="F824" s="69">
        <v>15</v>
      </c>
      <c r="G824" s="66"/>
      <c r="H824" s="70"/>
      <c r="I824" s="71"/>
      <c r="J824" s="71"/>
      <c r="K824" s="35" t="s">
        <v>65</v>
      </c>
      <c r="L824" s="79">
        <v>824</v>
      </c>
      <c r="M824" s="79"/>
      <c r="N824" s="73"/>
      <c r="O824" s="81" t="s">
        <v>760</v>
      </c>
      <c r="P824" s="81" t="s">
        <v>215</v>
      </c>
      <c r="Q824" s="84" t="s">
        <v>1552</v>
      </c>
      <c r="R824" s="81" t="s">
        <v>230</v>
      </c>
      <c r="S824" s="81" t="s">
        <v>1559</v>
      </c>
      <c r="T824" s="86" t="str">
        <f>HYPERLINK("http://www.youtube.com/channel/UCbbx7msYKamwOeRUkaqCTAQ")</f>
        <v>http://www.youtube.com/channel/UCbbx7msYKamwOeRUkaqCTAQ</v>
      </c>
      <c r="U824" s="81"/>
      <c r="V824" s="81" t="s">
        <v>2306</v>
      </c>
      <c r="W824" s="86" t="str">
        <f>HYPERLINK("https://www.youtube.com/watch?v=-0Iauhp_Kug")</f>
        <v>https://www.youtube.com/watch?v=-0Iauhp_Kug</v>
      </c>
      <c r="X824" s="81" t="s">
        <v>2335</v>
      </c>
      <c r="Y824" s="81">
        <v>1</v>
      </c>
      <c r="Z824" s="88">
        <v>43895.408900462964</v>
      </c>
      <c r="AA824" s="88">
        <v>43895.408900462964</v>
      </c>
      <c r="AB824" s="81" t="s">
        <v>2769</v>
      </c>
      <c r="AC824" s="81" t="s">
        <v>2779</v>
      </c>
      <c r="AD824" s="84" t="s">
        <v>2782</v>
      </c>
      <c r="AE824" s="82">
        <v>2</v>
      </c>
      <c r="AF824" s="83" t="str">
        <f>REPLACE(INDEX(GroupVertices[Group],MATCH(Edges[[#This Row],[Vertex 1]],GroupVertices[Vertex],0)),1,1,"")</f>
        <v>5</v>
      </c>
      <c r="AG824" s="83" t="str">
        <f>REPLACE(INDEX(GroupVertices[Group],MATCH(Edges[[#This Row],[Vertex 2]],GroupVertices[Vertex],0)),1,1,"")</f>
        <v>5</v>
      </c>
      <c r="AH824" s="111">
        <v>3</v>
      </c>
      <c r="AI824" s="112">
        <v>4.761904761904762</v>
      </c>
      <c r="AJ824" s="111">
        <v>0</v>
      </c>
      <c r="AK824" s="112">
        <v>0</v>
      </c>
      <c r="AL824" s="111">
        <v>0</v>
      </c>
      <c r="AM824" s="112">
        <v>0</v>
      </c>
      <c r="AN824" s="111">
        <v>60</v>
      </c>
      <c r="AO824" s="112">
        <v>95.23809523809524</v>
      </c>
      <c r="AP824" s="111">
        <v>63</v>
      </c>
    </row>
    <row r="825" spans="1:42" ht="15">
      <c r="A825" s="65" t="s">
        <v>230</v>
      </c>
      <c r="B825" s="65" t="s">
        <v>230</v>
      </c>
      <c r="C825" s="66" t="s">
        <v>5346</v>
      </c>
      <c r="D825" s="67">
        <v>10</v>
      </c>
      <c r="E825" s="68"/>
      <c r="F825" s="69">
        <v>15</v>
      </c>
      <c r="G825" s="66"/>
      <c r="H825" s="70"/>
      <c r="I825" s="71"/>
      <c r="J825" s="71"/>
      <c r="K825" s="35" t="s">
        <v>65</v>
      </c>
      <c r="L825" s="79">
        <v>825</v>
      </c>
      <c r="M825" s="79"/>
      <c r="N825" s="73"/>
      <c r="O825" s="81" t="s">
        <v>762</v>
      </c>
      <c r="P825" s="81"/>
      <c r="Q825" s="81"/>
      <c r="R825" s="81"/>
      <c r="S825" s="81"/>
      <c r="T825" s="81"/>
      <c r="U825" s="81"/>
      <c r="V825" s="81" t="s">
        <v>2306</v>
      </c>
      <c r="W825" s="86" t="str">
        <f>HYPERLINK("https://www.youtube.com/watch?v=-0Iauhp_Kug")</f>
        <v>https://www.youtube.com/watch?v=-0Iauhp_Kug</v>
      </c>
      <c r="X825" s="81"/>
      <c r="Y825" s="81"/>
      <c r="Z825" s="88">
        <v>43895.37501157408</v>
      </c>
      <c r="AA825" s="81"/>
      <c r="AB825" s="81"/>
      <c r="AC825" s="81"/>
      <c r="AD825" s="81"/>
      <c r="AE825">
        <v>2</v>
      </c>
      <c r="AF825" s="80" t="str">
        <f>REPLACE(INDEX(GroupVertices[Group],MATCH(Edges[[#This Row],[Vertex 1]],GroupVertices[Vertex],0)),1,1,"")</f>
        <v>5</v>
      </c>
      <c r="AG825" s="80" t="str">
        <f>REPLACE(INDEX(GroupVertices[Group],MATCH(Edges[[#This Row],[Vertex 2]],GroupVertices[Vertex],0)),1,1,"")</f>
        <v>5</v>
      </c>
      <c r="AH825" s="49"/>
      <c r="AI825" s="50"/>
      <c r="AJ825" s="49"/>
      <c r="AK825" s="50"/>
      <c r="AL825" s="49"/>
      <c r="AM825" s="50"/>
      <c r="AN825" s="49"/>
      <c r="AO825" s="50"/>
      <c r="AP825" s="49"/>
    </row>
    <row r="826" spans="1:42" ht="15">
      <c r="A826" s="65" t="s">
        <v>256</v>
      </c>
      <c r="B826" s="65" t="s">
        <v>256</v>
      </c>
      <c r="C826" s="66" t="s">
        <v>5345</v>
      </c>
      <c r="D826" s="67">
        <v>3</v>
      </c>
      <c r="E826" s="68"/>
      <c r="F826" s="69">
        <v>40</v>
      </c>
      <c r="G826" s="66"/>
      <c r="H826" s="70"/>
      <c r="I826" s="71"/>
      <c r="J826" s="71"/>
      <c r="K826" s="35" t="s">
        <v>65</v>
      </c>
      <c r="L826" s="79">
        <v>826</v>
      </c>
      <c r="M826" s="79"/>
      <c r="N826" s="73"/>
      <c r="O826" s="81" t="s">
        <v>762</v>
      </c>
      <c r="P826" s="81"/>
      <c r="Q826" s="81"/>
      <c r="R826" s="81"/>
      <c r="S826" s="81"/>
      <c r="T826" s="81"/>
      <c r="U826" s="81"/>
      <c r="V826" s="81" t="s">
        <v>2307</v>
      </c>
      <c r="W826" s="86" t="str">
        <f>HYPERLINK("https://www.youtube.com/watch?v=fdCzHc_2pAk")</f>
        <v>https://www.youtube.com/watch?v=fdCzHc_2pAk</v>
      </c>
      <c r="X826" s="81"/>
      <c r="Y826" s="81"/>
      <c r="Z826" s="81" t="s">
        <v>2725</v>
      </c>
      <c r="AA826" s="81"/>
      <c r="AB826" s="81"/>
      <c r="AC826" s="81"/>
      <c r="AD826" s="81"/>
      <c r="AE826">
        <v>1</v>
      </c>
      <c r="AF826" s="80" t="str">
        <f>REPLACE(INDEX(GroupVertices[Group],MATCH(Edges[[#This Row],[Vertex 1]],GroupVertices[Vertex],0)),1,1,"")</f>
        <v>14</v>
      </c>
      <c r="AG826" s="80" t="str">
        <f>REPLACE(INDEX(GroupVertices[Group],MATCH(Edges[[#This Row],[Vertex 2]],GroupVertices[Vertex],0)),1,1,"")</f>
        <v>14</v>
      </c>
      <c r="AH826" s="49"/>
      <c r="AI826" s="50"/>
      <c r="AJ826" s="49"/>
      <c r="AK826" s="50"/>
      <c r="AL826" s="49"/>
      <c r="AM826" s="50"/>
      <c r="AN826" s="49"/>
      <c r="AO826" s="50"/>
      <c r="AP826" s="49"/>
    </row>
    <row r="827" spans="1:42" ht="15">
      <c r="A827" s="65" t="s">
        <v>750</v>
      </c>
      <c r="B827" s="65" t="s">
        <v>750</v>
      </c>
      <c r="C827" s="66" t="s">
        <v>5345</v>
      </c>
      <c r="D827" s="67">
        <v>3</v>
      </c>
      <c r="E827" s="68"/>
      <c r="F827" s="69">
        <v>40</v>
      </c>
      <c r="G827" s="66"/>
      <c r="H827" s="70"/>
      <c r="I827" s="71"/>
      <c r="J827" s="71"/>
      <c r="K827" s="35" t="s">
        <v>65</v>
      </c>
      <c r="L827" s="79">
        <v>827</v>
      </c>
      <c r="M827" s="79"/>
      <c r="N827" s="73"/>
      <c r="O827" s="81" t="s">
        <v>762</v>
      </c>
      <c r="P827" s="81"/>
      <c r="Q827" s="81"/>
      <c r="R827" s="81"/>
      <c r="S827" s="81"/>
      <c r="T827" s="81"/>
      <c r="U827" s="81"/>
      <c r="V827" s="81" t="s">
        <v>2309</v>
      </c>
      <c r="W827" s="86" t="str">
        <f>HYPERLINK("https://www.youtube.com/watch?v=1inpqIvABKc")</f>
        <v>https://www.youtube.com/watch?v=1inpqIvABKc</v>
      </c>
      <c r="X827" s="81"/>
      <c r="Y827" s="81"/>
      <c r="Z827" s="88">
        <v>43900.980891203704</v>
      </c>
      <c r="AA827" s="81"/>
      <c r="AB827" s="81"/>
      <c r="AC827" s="81"/>
      <c r="AD827" s="81"/>
      <c r="AE827">
        <v>1</v>
      </c>
      <c r="AF827" s="80" t="str">
        <f>REPLACE(INDEX(GroupVertices[Group],MATCH(Edges[[#This Row],[Vertex 1]],GroupVertices[Vertex],0)),1,1,"")</f>
        <v>2</v>
      </c>
      <c r="AG827" s="80" t="str">
        <f>REPLACE(INDEX(GroupVertices[Group],MATCH(Edges[[#This Row],[Vertex 2]],GroupVertices[Vertex],0)),1,1,"")</f>
        <v>2</v>
      </c>
      <c r="AH827" s="49"/>
      <c r="AI827" s="50"/>
      <c r="AJ827" s="49"/>
      <c r="AK827" s="50"/>
      <c r="AL827" s="49"/>
      <c r="AM827" s="50"/>
      <c r="AN827" s="49"/>
      <c r="AO827" s="50"/>
      <c r="AP827" s="49"/>
    </row>
    <row r="828" spans="1:42" ht="15">
      <c r="A828" s="65" t="s">
        <v>751</v>
      </c>
      <c r="B828" s="65" t="s">
        <v>751</v>
      </c>
      <c r="C828" s="66" t="s">
        <v>5345</v>
      </c>
      <c r="D828" s="67">
        <v>3</v>
      </c>
      <c r="E828" s="68"/>
      <c r="F828" s="69">
        <v>40</v>
      </c>
      <c r="G828" s="66"/>
      <c r="H828" s="70"/>
      <c r="I828" s="71"/>
      <c r="J828" s="71"/>
      <c r="K828" s="35" t="s">
        <v>65</v>
      </c>
      <c r="L828" s="79">
        <v>828</v>
      </c>
      <c r="M828" s="79"/>
      <c r="N828" s="73"/>
      <c r="O828" s="81" t="s">
        <v>762</v>
      </c>
      <c r="P828" s="81"/>
      <c r="Q828" s="81"/>
      <c r="R828" s="81"/>
      <c r="S828" s="81"/>
      <c r="T828" s="81"/>
      <c r="U828" s="81"/>
      <c r="V828" s="81" t="s">
        <v>2310</v>
      </c>
      <c r="W828" s="86" t="str">
        <f>HYPERLINK("https://www.youtube.com/watch?v=4Xrg5FtQnp4")</f>
        <v>https://www.youtube.com/watch?v=4Xrg5FtQnp4</v>
      </c>
      <c r="X828" s="81"/>
      <c r="Y828" s="81"/>
      <c r="Z828" s="88">
        <v>39029.2133912037</v>
      </c>
      <c r="AA828" s="81"/>
      <c r="AB828" s="81"/>
      <c r="AC828" s="81"/>
      <c r="AD828" s="81"/>
      <c r="AE828">
        <v>1</v>
      </c>
      <c r="AF828" s="80" t="str">
        <f>REPLACE(INDEX(GroupVertices[Group],MATCH(Edges[[#This Row],[Vertex 1]],GroupVertices[Vertex],0)),1,1,"")</f>
        <v>10</v>
      </c>
      <c r="AG828" s="80" t="str">
        <f>REPLACE(INDEX(GroupVertices[Group],MATCH(Edges[[#This Row],[Vertex 2]],GroupVertices[Vertex],0)),1,1,"")</f>
        <v>10</v>
      </c>
      <c r="AH828" s="49"/>
      <c r="AI828" s="50"/>
      <c r="AJ828" s="49"/>
      <c r="AK828" s="50"/>
      <c r="AL828" s="49"/>
      <c r="AM828" s="50"/>
      <c r="AN828" s="49"/>
      <c r="AO828" s="50"/>
      <c r="AP828" s="49"/>
    </row>
    <row r="829" spans="1:42" ht="15">
      <c r="A829" s="65" t="s">
        <v>417</v>
      </c>
      <c r="B829" s="65" t="s">
        <v>417</v>
      </c>
      <c r="C829" s="66" t="s">
        <v>5345</v>
      </c>
      <c r="D829" s="67">
        <v>3</v>
      </c>
      <c r="E829" s="68"/>
      <c r="F829" s="69">
        <v>40</v>
      </c>
      <c r="G829" s="66"/>
      <c r="H829" s="70"/>
      <c r="I829" s="71"/>
      <c r="J829" s="71"/>
      <c r="K829" s="35" t="s">
        <v>65</v>
      </c>
      <c r="L829" s="79">
        <v>829</v>
      </c>
      <c r="M829" s="79"/>
      <c r="N829" s="73"/>
      <c r="O829" s="81" t="s">
        <v>762</v>
      </c>
      <c r="P829" s="81"/>
      <c r="Q829" s="81"/>
      <c r="R829" s="81"/>
      <c r="S829" s="81"/>
      <c r="T829" s="81"/>
      <c r="U829" s="81"/>
      <c r="V829" s="81" t="s">
        <v>2312</v>
      </c>
      <c r="W829" s="86" t="str">
        <f>HYPERLINK("https://www.youtube.com/watch?v=vWMAV6nNPbo")</f>
        <v>https://www.youtube.com/watch?v=vWMAV6nNPbo</v>
      </c>
      <c r="X829" s="81"/>
      <c r="Y829" s="81"/>
      <c r="Z829" s="81" t="s">
        <v>2726</v>
      </c>
      <c r="AA829" s="81"/>
      <c r="AB829" s="81"/>
      <c r="AC829" s="81"/>
      <c r="AD829" s="81"/>
      <c r="AE829">
        <v>1</v>
      </c>
      <c r="AF829" s="80" t="str">
        <f>REPLACE(INDEX(GroupVertices[Group],MATCH(Edges[[#This Row],[Vertex 1]],GroupVertices[Vertex],0)),1,1,"")</f>
        <v>8</v>
      </c>
      <c r="AG829" s="80" t="str">
        <f>REPLACE(INDEX(GroupVertices[Group],MATCH(Edges[[#This Row],[Vertex 2]],GroupVertices[Vertex],0)),1,1,"")</f>
        <v>8</v>
      </c>
      <c r="AH829" s="49"/>
      <c r="AI829" s="50"/>
      <c r="AJ829" s="49"/>
      <c r="AK829" s="50"/>
      <c r="AL829" s="49"/>
      <c r="AM829" s="50"/>
      <c r="AN829" s="49"/>
      <c r="AO829" s="50"/>
      <c r="AP829" s="49"/>
    </row>
    <row r="830" spans="1:42" ht="15">
      <c r="A830" s="65" t="s">
        <v>752</v>
      </c>
      <c r="B830" s="65" t="s">
        <v>752</v>
      </c>
      <c r="C830" s="66" t="s">
        <v>5345</v>
      </c>
      <c r="D830" s="67">
        <v>3</v>
      </c>
      <c r="E830" s="68"/>
      <c r="F830" s="69">
        <v>40</v>
      </c>
      <c r="G830" s="66"/>
      <c r="H830" s="70"/>
      <c r="I830" s="71"/>
      <c r="J830" s="71"/>
      <c r="K830" s="35" t="s">
        <v>65</v>
      </c>
      <c r="L830" s="79">
        <v>830</v>
      </c>
      <c r="M830" s="79"/>
      <c r="N830" s="73"/>
      <c r="O830" s="81" t="s">
        <v>762</v>
      </c>
      <c r="P830" s="81"/>
      <c r="Q830" s="81"/>
      <c r="R830" s="81"/>
      <c r="S830" s="81"/>
      <c r="T830" s="81"/>
      <c r="U830" s="81"/>
      <c r="V830" s="81" t="s">
        <v>2329</v>
      </c>
      <c r="W830" s="86" t="str">
        <f>HYPERLINK("https://www.youtube.com/watch?v=fN_6Kdu91so")</f>
        <v>https://www.youtube.com/watch?v=fN_6Kdu91so</v>
      </c>
      <c r="X830" s="81"/>
      <c r="Y830" s="81"/>
      <c r="Z830" s="81" t="s">
        <v>2727</v>
      </c>
      <c r="AA830" s="81"/>
      <c r="AB830" s="81"/>
      <c r="AC830" s="81"/>
      <c r="AD830" s="81"/>
      <c r="AE830">
        <v>1</v>
      </c>
      <c r="AF830" s="80" t="str">
        <f>REPLACE(INDEX(GroupVertices[Group],MATCH(Edges[[#This Row],[Vertex 1]],GroupVertices[Vertex],0)),1,1,"")</f>
        <v>15</v>
      </c>
      <c r="AG830" s="80" t="str">
        <f>REPLACE(INDEX(GroupVertices[Group],MATCH(Edges[[#This Row],[Vertex 2]],GroupVertices[Vertex],0)),1,1,"")</f>
        <v>15</v>
      </c>
      <c r="AH830" s="49"/>
      <c r="AI830" s="50"/>
      <c r="AJ830" s="49"/>
      <c r="AK830" s="50"/>
      <c r="AL830" s="49"/>
      <c r="AM830" s="50"/>
      <c r="AN830" s="49"/>
      <c r="AO830" s="50"/>
      <c r="AP830" s="49"/>
    </row>
    <row r="831" spans="1:42" ht="15">
      <c r="A831" s="65" t="s">
        <v>467</v>
      </c>
      <c r="B831" s="65" t="s">
        <v>467</v>
      </c>
      <c r="C831" s="66" t="s">
        <v>5346</v>
      </c>
      <c r="D831" s="67">
        <v>10</v>
      </c>
      <c r="E831" s="68"/>
      <c r="F831" s="69">
        <v>15</v>
      </c>
      <c r="G831" s="66"/>
      <c r="H831" s="70"/>
      <c r="I831" s="71"/>
      <c r="J831" s="71"/>
      <c r="K831" s="35" t="s">
        <v>65</v>
      </c>
      <c r="L831" s="79">
        <v>831</v>
      </c>
      <c r="M831" s="79"/>
      <c r="N831" s="73"/>
      <c r="O831" s="81" t="s">
        <v>760</v>
      </c>
      <c r="P831" s="81" t="s">
        <v>215</v>
      </c>
      <c r="Q831" s="84" t="s">
        <v>1553</v>
      </c>
      <c r="R831" s="81" t="s">
        <v>467</v>
      </c>
      <c r="S831" s="81" t="s">
        <v>1796</v>
      </c>
      <c r="T831" s="86" t="str">
        <f>HYPERLINK("http://www.youtube.com/channel/UCgnm8eOSP2muRSWY3JJqZ6Q")</f>
        <v>http://www.youtube.com/channel/UCgnm8eOSP2muRSWY3JJqZ6Q</v>
      </c>
      <c r="U831" s="81"/>
      <c r="V831" s="81" t="s">
        <v>2314</v>
      </c>
      <c r="W831" s="86" t="str">
        <f>HYPERLINK("https://www.youtube.com/watch?v=z_W3kQxvRqY")</f>
        <v>https://www.youtube.com/watch?v=z_W3kQxvRqY</v>
      </c>
      <c r="X831" s="81" t="s">
        <v>2335</v>
      </c>
      <c r="Y831" s="81">
        <v>0</v>
      </c>
      <c r="Z831" s="81" t="s">
        <v>2728</v>
      </c>
      <c r="AA831" s="81" t="s">
        <v>2728</v>
      </c>
      <c r="AB831" s="81"/>
      <c r="AC831" s="81"/>
      <c r="AD831" s="84" t="s">
        <v>2782</v>
      </c>
      <c r="AE831" s="82">
        <v>2</v>
      </c>
      <c r="AF831" s="83" t="str">
        <f>REPLACE(INDEX(GroupVertices[Group],MATCH(Edges[[#This Row],[Vertex 1]],GroupVertices[Vertex],0)),1,1,"")</f>
        <v>9</v>
      </c>
      <c r="AG831" s="83" t="str">
        <f>REPLACE(INDEX(GroupVertices[Group],MATCH(Edges[[#This Row],[Vertex 2]],GroupVertices[Vertex],0)),1,1,"")</f>
        <v>9</v>
      </c>
      <c r="AH831" s="111">
        <v>2</v>
      </c>
      <c r="AI831" s="112">
        <v>9.090909090909092</v>
      </c>
      <c r="AJ831" s="111">
        <v>0</v>
      </c>
      <c r="AK831" s="112">
        <v>0</v>
      </c>
      <c r="AL831" s="111">
        <v>0</v>
      </c>
      <c r="AM831" s="112">
        <v>0</v>
      </c>
      <c r="AN831" s="111">
        <v>20</v>
      </c>
      <c r="AO831" s="112">
        <v>90.9090909090909</v>
      </c>
      <c r="AP831" s="111">
        <v>22</v>
      </c>
    </row>
    <row r="832" spans="1:42" ht="15">
      <c r="A832" s="65" t="s">
        <v>467</v>
      </c>
      <c r="B832" s="65" t="s">
        <v>467</v>
      </c>
      <c r="C832" s="66" t="s">
        <v>5346</v>
      </c>
      <c r="D832" s="67">
        <v>10</v>
      </c>
      <c r="E832" s="68"/>
      <c r="F832" s="69">
        <v>15</v>
      </c>
      <c r="G832" s="66"/>
      <c r="H832" s="70"/>
      <c r="I832" s="71"/>
      <c r="J832" s="71"/>
      <c r="K832" s="35" t="s">
        <v>65</v>
      </c>
      <c r="L832" s="79">
        <v>832</v>
      </c>
      <c r="M832" s="79"/>
      <c r="N832" s="73"/>
      <c r="O832" s="81" t="s">
        <v>762</v>
      </c>
      <c r="P832" s="81"/>
      <c r="Q832" s="81"/>
      <c r="R832" s="81"/>
      <c r="S832" s="81"/>
      <c r="T832" s="81"/>
      <c r="U832" s="81"/>
      <c r="V832" s="81" t="s">
        <v>2314</v>
      </c>
      <c r="W832" s="86" t="str">
        <f>HYPERLINK("https://www.youtube.com/watch?v=z_W3kQxvRqY")</f>
        <v>https://www.youtube.com/watch?v=z_W3kQxvRqY</v>
      </c>
      <c r="X832" s="81"/>
      <c r="Y832" s="81"/>
      <c r="Z832" s="81" t="s">
        <v>2729</v>
      </c>
      <c r="AA832" s="81"/>
      <c r="AB832" s="81"/>
      <c r="AC832" s="81"/>
      <c r="AD832" s="81"/>
      <c r="AE832">
        <v>2</v>
      </c>
      <c r="AF832" s="80" t="str">
        <f>REPLACE(INDEX(GroupVertices[Group],MATCH(Edges[[#This Row],[Vertex 1]],GroupVertices[Vertex],0)),1,1,"")</f>
        <v>9</v>
      </c>
      <c r="AG832" s="80" t="str">
        <f>REPLACE(INDEX(GroupVertices[Group],MATCH(Edges[[#This Row],[Vertex 2]],GroupVertices[Vertex],0)),1,1,"")</f>
        <v>9</v>
      </c>
      <c r="AH832" s="49"/>
      <c r="AI832" s="50"/>
      <c r="AJ832" s="49"/>
      <c r="AK832" s="50"/>
      <c r="AL832" s="49"/>
      <c r="AM832" s="50"/>
      <c r="AN832" s="49"/>
      <c r="AO832" s="50"/>
      <c r="AP832" s="49"/>
    </row>
    <row r="833" spans="1:42" ht="15">
      <c r="A833" s="65" t="s">
        <v>514</v>
      </c>
      <c r="B833" s="65" t="s">
        <v>514</v>
      </c>
      <c r="C833" s="66" t="s">
        <v>5345</v>
      </c>
      <c r="D833" s="67">
        <v>3</v>
      </c>
      <c r="E833" s="68"/>
      <c r="F833" s="69">
        <v>40</v>
      </c>
      <c r="G833" s="66"/>
      <c r="H833" s="70"/>
      <c r="I833" s="71"/>
      <c r="J833" s="71"/>
      <c r="K833" s="35" t="s">
        <v>65</v>
      </c>
      <c r="L833" s="79">
        <v>833</v>
      </c>
      <c r="M833" s="79"/>
      <c r="N833" s="73"/>
      <c r="O833" s="81" t="s">
        <v>762</v>
      </c>
      <c r="P833" s="81"/>
      <c r="Q833" s="81"/>
      <c r="R833" s="81"/>
      <c r="S833" s="81"/>
      <c r="T833" s="81"/>
      <c r="U833" s="81"/>
      <c r="V833" s="81" t="s">
        <v>2316</v>
      </c>
      <c r="W833" s="86" t="str">
        <f>HYPERLINK("https://www.youtube.com/watch?v=-X8Nj_r5zGE")</f>
        <v>https://www.youtube.com/watch?v=-X8Nj_r5zGE</v>
      </c>
      <c r="X833" s="81"/>
      <c r="Y833" s="81"/>
      <c r="Z833" s="88">
        <v>44409.55097222222</v>
      </c>
      <c r="AA833" s="81"/>
      <c r="AB833" s="81"/>
      <c r="AC833" s="81"/>
      <c r="AD833" s="81"/>
      <c r="AE833">
        <v>1</v>
      </c>
      <c r="AF833" s="80" t="str">
        <f>REPLACE(INDEX(GroupVertices[Group],MATCH(Edges[[#This Row],[Vertex 1]],GroupVertices[Vertex],0)),1,1,"")</f>
        <v>16</v>
      </c>
      <c r="AG833" s="80" t="str">
        <f>REPLACE(INDEX(GroupVertices[Group],MATCH(Edges[[#This Row],[Vertex 2]],GroupVertices[Vertex],0)),1,1,"")</f>
        <v>16</v>
      </c>
      <c r="AH833" s="49"/>
      <c r="AI833" s="50"/>
      <c r="AJ833" s="49"/>
      <c r="AK833" s="50"/>
      <c r="AL833" s="49"/>
      <c r="AM833" s="50"/>
      <c r="AN833" s="49"/>
      <c r="AO833" s="50"/>
      <c r="AP833" s="49"/>
    </row>
    <row r="834" spans="1:42" ht="15">
      <c r="A834" s="65" t="s">
        <v>753</v>
      </c>
      <c r="B834" s="65" t="s">
        <v>753</v>
      </c>
      <c r="C834" s="66" t="s">
        <v>5345</v>
      </c>
      <c r="D834" s="67">
        <v>3</v>
      </c>
      <c r="E834" s="68"/>
      <c r="F834" s="69">
        <v>40</v>
      </c>
      <c r="G834" s="66"/>
      <c r="H834" s="70"/>
      <c r="I834" s="71"/>
      <c r="J834" s="71"/>
      <c r="K834" s="35" t="s">
        <v>65</v>
      </c>
      <c r="L834" s="79">
        <v>834</v>
      </c>
      <c r="M834" s="79"/>
      <c r="N834" s="73"/>
      <c r="O834" s="81" t="s">
        <v>762</v>
      </c>
      <c r="P834" s="81"/>
      <c r="Q834" s="81"/>
      <c r="R834" s="81"/>
      <c r="S834" s="81"/>
      <c r="T834" s="81"/>
      <c r="U834" s="81"/>
      <c r="V834" s="81" t="s">
        <v>2317</v>
      </c>
      <c r="W834" s="86" t="str">
        <f>HYPERLINK("https://www.youtube.com/watch?v=Id2c6MkIsQM")</f>
        <v>https://www.youtube.com/watch?v=Id2c6MkIsQM</v>
      </c>
      <c r="X834" s="81"/>
      <c r="Y834" s="81"/>
      <c r="Z834" s="81" t="s">
        <v>2730</v>
      </c>
      <c r="AA834" s="81"/>
      <c r="AB834" s="81"/>
      <c r="AC834" s="81"/>
      <c r="AD834" s="81"/>
      <c r="AE834">
        <v>1</v>
      </c>
      <c r="AF834" s="80" t="str">
        <f>REPLACE(INDEX(GroupVertices[Group],MATCH(Edges[[#This Row],[Vertex 1]],GroupVertices[Vertex],0)),1,1,"")</f>
        <v>7</v>
      </c>
      <c r="AG834" s="80" t="str">
        <f>REPLACE(INDEX(GroupVertices[Group],MATCH(Edges[[#This Row],[Vertex 2]],GroupVertices[Vertex],0)),1,1,"")</f>
        <v>7</v>
      </c>
      <c r="AH834" s="49"/>
      <c r="AI834" s="50"/>
      <c r="AJ834" s="49"/>
      <c r="AK834" s="50"/>
      <c r="AL834" s="49"/>
      <c r="AM834" s="50"/>
      <c r="AN834" s="49"/>
      <c r="AO834" s="50"/>
      <c r="AP834" s="49"/>
    </row>
    <row r="835" spans="1:42" ht="15">
      <c r="A835" s="65" t="s">
        <v>547</v>
      </c>
      <c r="B835" s="65" t="s">
        <v>547</v>
      </c>
      <c r="C835" s="66" t="s">
        <v>5346</v>
      </c>
      <c r="D835" s="67">
        <v>10</v>
      </c>
      <c r="E835" s="68"/>
      <c r="F835" s="69">
        <v>15</v>
      </c>
      <c r="G835" s="66"/>
      <c r="H835" s="70"/>
      <c r="I835" s="71"/>
      <c r="J835" s="71"/>
      <c r="K835" s="35" t="s">
        <v>65</v>
      </c>
      <c r="L835" s="79">
        <v>835</v>
      </c>
      <c r="M835" s="79"/>
      <c r="N835" s="73"/>
      <c r="O835" s="81" t="s">
        <v>760</v>
      </c>
      <c r="P835" s="81" t="s">
        <v>215</v>
      </c>
      <c r="Q835" s="84" t="s">
        <v>1554</v>
      </c>
      <c r="R835" s="81" t="s">
        <v>547</v>
      </c>
      <c r="S835" s="81" t="s">
        <v>1876</v>
      </c>
      <c r="T835" s="86" t="str">
        <f>HYPERLINK("http://www.youtube.com/channel/UCrpWTj_O0oLZilvnDaLqElw")</f>
        <v>http://www.youtube.com/channel/UCrpWTj_O0oLZilvnDaLqElw</v>
      </c>
      <c r="U835" s="81"/>
      <c r="V835" s="81" t="s">
        <v>2318</v>
      </c>
      <c r="W835" s="86" t="str">
        <f>HYPERLINK("https://www.youtube.com/watch?v=kIHMxfUtGmI")</f>
        <v>https://www.youtube.com/watch?v=kIHMxfUtGmI</v>
      </c>
      <c r="X835" s="81" t="s">
        <v>2335</v>
      </c>
      <c r="Y835" s="81">
        <v>4</v>
      </c>
      <c r="Z835" s="81" t="s">
        <v>2731</v>
      </c>
      <c r="AA835" s="81" t="s">
        <v>2731</v>
      </c>
      <c r="AB835" s="81"/>
      <c r="AC835" s="81"/>
      <c r="AD835" s="84" t="s">
        <v>2782</v>
      </c>
      <c r="AE835" s="82">
        <v>2</v>
      </c>
      <c r="AF835" s="83" t="str">
        <f>REPLACE(INDEX(GroupVertices[Group],MATCH(Edges[[#This Row],[Vertex 1]],GroupVertices[Vertex],0)),1,1,"")</f>
        <v>6</v>
      </c>
      <c r="AG835" s="83" t="str">
        <f>REPLACE(INDEX(GroupVertices[Group],MATCH(Edges[[#This Row],[Vertex 2]],GroupVertices[Vertex],0)),1,1,"")</f>
        <v>6</v>
      </c>
      <c r="AH835" s="111">
        <v>1</v>
      </c>
      <c r="AI835" s="112">
        <v>8.333333333333334</v>
      </c>
      <c r="AJ835" s="111">
        <v>0</v>
      </c>
      <c r="AK835" s="112">
        <v>0</v>
      </c>
      <c r="AL835" s="111">
        <v>0</v>
      </c>
      <c r="AM835" s="112">
        <v>0</v>
      </c>
      <c r="AN835" s="111">
        <v>11</v>
      </c>
      <c r="AO835" s="112">
        <v>91.66666666666667</v>
      </c>
      <c r="AP835" s="111">
        <v>12</v>
      </c>
    </row>
    <row r="836" spans="1:42" ht="15">
      <c r="A836" s="65" t="s">
        <v>547</v>
      </c>
      <c r="B836" s="65" t="s">
        <v>623</v>
      </c>
      <c r="C836" s="66" t="s">
        <v>5345</v>
      </c>
      <c r="D836" s="67">
        <v>3</v>
      </c>
      <c r="E836" s="68"/>
      <c r="F836" s="69">
        <v>40</v>
      </c>
      <c r="G836" s="66"/>
      <c r="H836" s="70"/>
      <c r="I836" s="71"/>
      <c r="J836" s="71"/>
      <c r="K836" s="35" t="s">
        <v>65</v>
      </c>
      <c r="L836" s="79">
        <v>836</v>
      </c>
      <c r="M836" s="79"/>
      <c r="N836" s="73"/>
      <c r="O836" s="81" t="s">
        <v>760</v>
      </c>
      <c r="P836" s="81" t="s">
        <v>215</v>
      </c>
      <c r="Q836" s="84" t="s">
        <v>1555</v>
      </c>
      <c r="R836" s="81" t="s">
        <v>547</v>
      </c>
      <c r="S836" s="81" t="s">
        <v>1876</v>
      </c>
      <c r="T836" s="86" t="str">
        <f>HYPERLINK("http://www.youtube.com/channel/UCrpWTj_O0oLZilvnDaLqElw")</f>
        <v>http://www.youtube.com/channel/UCrpWTj_O0oLZilvnDaLqElw</v>
      </c>
      <c r="U836" s="81"/>
      <c r="V836" s="81" t="s">
        <v>2322</v>
      </c>
      <c r="W836" s="86" t="str">
        <f>HYPERLINK("https://www.youtube.com/watch?v=80f3JVN05YQ")</f>
        <v>https://www.youtube.com/watch?v=80f3JVN05YQ</v>
      </c>
      <c r="X836" s="81" t="s">
        <v>2335</v>
      </c>
      <c r="Y836" s="81">
        <v>2</v>
      </c>
      <c r="Z836" s="81" t="s">
        <v>2732</v>
      </c>
      <c r="AA836" s="81" t="s">
        <v>2732</v>
      </c>
      <c r="AB836" s="81"/>
      <c r="AC836" s="81"/>
      <c r="AD836" s="84" t="s">
        <v>2782</v>
      </c>
      <c r="AE836" s="82">
        <v>1</v>
      </c>
      <c r="AF836" s="83" t="str">
        <f>REPLACE(INDEX(GroupVertices[Group],MATCH(Edges[[#This Row],[Vertex 1]],GroupVertices[Vertex],0)),1,1,"")</f>
        <v>6</v>
      </c>
      <c r="AG836" s="83" t="str">
        <f>REPLACE(INDEX(GroupVertices[Group],MATCH(Edges[[#This Row],[Vertex 2]],GroupVertices[Vertex],0)),1,1,"")</f>
        <v>3</v>
      </c>
      <c r="AH836" s="111">
        <v>1</v>
      </c>
      <c r="AI836" s="112">
        <v>7.6923076923076925</v>
      </c>
      <c r="AJ836" s="111">
        <v>0</v>
      </c>
      <c r="AK836" s="112">
        <v>0</v>
      </c>
      <c r="AL836" s="111">
        <v>0</v>
      </c>
      <c r="AM836" s="112">
        <v>0</v>
      </c>
      <c r="AN836" s="111">
        <v>12</v>
      </c>
      <c r="AO836" s="112">
        <v>92.3076923076923</v>
      </c>
      <c r="AP836" s="111">
        <v>13</v>
      </c>
    </row>
    <row r="837" spans="1:42" ht="15">
      <c r="A837" s="65" t="s">
        <v>547</v>
      </c>
      <c r="B837" s="65" t="s">
        <v>547</v>
      </c>
      <c r="C837" s="66" t="s">
        <v>5346</v>
      </c>
      <c r="D837" s="67">
        <v>10</v>
      </c>
      <c r="E837" s="68"/>
      <c r="F837" s="69">
        <v>15</v>
      </c>
      <c r="G837" s="66"/>
      <c r="H837" s="70"/>
      <c r="I837" s="71"/>
      <c r="J837" s="71"/>
      <c r="K837" s="35" t="s">
        <v>65</v>
      </c>
      <c r="L837" s="79">
        <v>837</v>
      </c>
      <c r="M837" s="79"/>
      <c r="N837" s="73"/>
      <c r="O837" s="81" t="s">
        <v>762</v>
      </c>
      <c r="P837" s="81"/>
      <c r="Q837" s="81"/>
      <c r="R837" s="81"/>
      <c r="S837" s="81"/>
      <c r="T837" s="81"/>
      <c r="U837" s="81"/>
      <c r="V837" s="81" t="s">
        <v>2318</v>
      </c>
      <c r="W837" s="86" t="str">
        <f>HYPERLINK("https://www.youtube.com/watch?v=kIHMxfUtGmI")</f>
        <v>https://www.youtube.com/watch?v=kIHMxfUtGmI</v>
      </c>
      <c r="X837" s="81"/>
      <c r="Y837" s="81"/>
      <c r="Z837" s="81" t="s">
        <v>2733</v>
      </c>
      <c r="AA837" s="81"/>
      <c r="AB837" s="81"/>
      <c r="AC837" s="81"/>
      <c r="AD837" s="81"/>
      <c r="AE837">
        <v>2</v>
      </c>
      <c r="AF837" s="80" t="str">
        <f>REPLACE(INDEX(GroupVertices[Group],MATCH(Edges[[#This Row],[Vertex 1]],GroupVertices[Vertex],0)),1,1,"")</f>
        <v>6</v>
      </c>
      <c r="AG837" s="80" t="str">
        <f>REPLACE(INDEX(GroupVertices[Group],MATCH(Edges[[#This Row],[Vertex 2]],GroupVertices[Vertex],0)),1,1,"")</f>
        <v>6</v>
      </c>
      <c r="AH837" s="49"/>
      <c r="AI837" s="50"/>
      <c r="AJ837" s="49"/>
      <c r="AK837" s="50"/>
      <c r="AL837" s="49"/>
      <c r="AM837" s="50"/>
      <c r="AN837" s="49"/>
      <c r="AO837" s="50"/>
      <c r="AP837" s="49"/>
    </row>
    <row r="838" spans="1:42" ht="15">
      <c r="A838" s="65" t="s">
        <v>754</v>
      </c>
      <c r="B838" s="65" t="s">
        <v>754</v>
      </c>
      <c r="C838" s="66" t="s">
        <v>5346</v>
      </c>
      <c r="D838" s="67">
        <v>10</v>
      </c>
      <c r="E838" s="68"/>
      <c r="F838" s="69">
        <v>15</v>
      </c>
      <c r="G838" s="66"/>
      <c r="H838" s="70"/>
      <c r="I838" s="71"/>
      <c r="J838" s="71"/>
      <c r="K838" s="35" t="s">
        <v>65</v>
      </c>
      <c r="L838" s="79">
        <v>838</v>
      </c>
      <c r="M838" s="79"/>
      <c r="N838" s="73"/>
      <c r="O838" s="81" t="s">
        <v>762</v>
      </c>
      <c r="P838" s="81"/>
      <c r="Q838" s="81"/>
      <c r="R838" s="81"/>
      <c r="S838" s="81"/>
      <c r="T838" s="81"/>
      <c r="U838" s="81"/>
      <c r="V838" s="81" t="s">
        <v>2330</v>
      </c>
      <c r="W838" s="86" t="str">
        <f>HYPERLINK("https://www.youtube.com/watch?v=qdZIVBRGIec")</f>
        <v>https://www.youtube.com/watch?v=qdZIVBRGIec</v>
      </c>
      <c r="X838" s="81"/>
      <c r="Y838" s="81"/>
      <c r="Z838" s="88">
        <v>44199.31109953704</v>
      </c>
      <c r="AA838" s="81"/>
      <c r="AB838" s="81"/>
      <c r="AC838" s="81"/>
      <c r="AD838" s="81"/>
      <c r="AE838">
        <v>2</v>
      </c>
      <c r="AF838" s="80" t="str">
        <f>REPLACE(INDEX(GroupVertices[Group],MATCH(Edges[[#This Row],[Vertex 1]],GroupVertices[Vertex],0)),1,1,"")</f>
        <v>15</v>
      </c>
      <c r="AG838" s="80" t="str">
        <f>REPLACE(INDEX(GroupVertices[Group],MATCH(Edges[[#This Row],[Vertex 2]],GroupVertices[Vertex],0)),1,1,"")</f>
        <v>15</v>
      </c>
      <c r="AH838" s="49"/>
      <c r="AI838" s="50"/>
      <c r="AJ838" s="49"/>
      <c r="AK838" s="50"/>
      <c r="AL838" s="49"/>
      <c r="AM838" s="50"/>
      <c r="AN838" s="49"/>
      <c r="AO838" s="50"/>
      <c r="AP838" s="49"/>
    </row>
    <row r="839" spans="1:42" ht="15">
      <c r="A839" s="65" t="s">
        <v>754</v>
      </c>
      <c r="B839" s="65" t="s">
        <v>754</v>
      </c>
      <c r="C839" s="66" t="s">
        <v>5346</v>
      </c>
      <c r="D839" s="67">
        <v>10</v>
      </c>
      <c r="E839" s="68"/>
      <c r="F839" s="69">
        <v>15</v>
      </c>
      <c r="G839" s="66"/>
      <c r="H839" s="70"/>
      <c r="I839" s="71"/>
      <c r="J839" s="71"/>
      <c r="K839" s="35" t="s">
        <v>65</v>
      </c>
      <c r="L839" s="79">
        <v>839</v>
      </c>
      <c r="M839" s="79"/>
      <c r="N839" s="73"/>
      <c r="O839" s="81" t="s">
        <v>762</v>
      </c>
      <c r="P839" s="81"/>
      <c r="Q839" s="81"/>
      <c r="R839" s="81"/>
      <c r="S839" s="81"/>
      <c r="T839" s="81"/>
      <c r="U839" s="81"/>
      <c r="V839" s="81" t="s">
        <v>2331</v>
      </c>
      <c r="W839" s="86" t="str">
        <f>HYPERLINK("https://www.youtube.com/watch?v=4SPuWhxLyb0")</f>
        <v>https://www.youtube.com/watch?v=4SPuWhxLyb0</v>
      </c>
      <c r="X839" s="81"/>
      <c r="Y839" s="81"/>
      <c r="Z839" s="81" t="s">
        <v>2734</v>
      </c>
      <c r="AA839" s="81"/>
      <c r="AB839" s="81"/>
      <c r="AC839" s="81"/>
      <c r="AD839" s="81"/>
      <c r="AE839">
        <v>2</v>
      </c>
      <c r="AF839" s="80" t="str">
        <f>REPLACE(INDEX(GroupVertices[Group],MATCH(Edges[[#This Row],[Vertex 1]],GroupVertices[Vertex],0)),1,1,"")</f>
        <v>15</v>
      </c>
      <c r="AG839" s="80" t="str">
        <f>REPLACE(INDEX(GroupVertices[Group],MATCH(Edges[[#This Row],[Vertex 2]],GroupVertices[Vertex],0)),1,1,"")</f>
        <v>15</v>
      </c>
      <c r="AH839" s="49"/>
      <c r="AI839" s="50"/>
      <c r="AJ839" s="49"/>
      <c r="AK839" s="50"/>
      <c r="AL839" s="49"/>
      <c r="AM839" s="50"/>
      <c r="AN839" s="49"/>
      <c r="AO839" s="50"/>
      <c r="AP839" s="49"/>
    </row>
    <row r="840" spans="1:42" ht="15">
      <c r="A840" s="65" t="s">
        <v>287</v>
      </c>
      <c r="B840" s="65" t="s">
        <v>287</v>
      </c>
      <c r="C840" s="66" t="s">
        <v>5350</v>
      </c>
      <c r="D840" s="67">
        <v>10</v>
      </c>
      <c r="E840" s="68"/>
      <c r="F840" s="69">
        <v>15</v>
      </c>
      <c r="G840" s="66"/>
      <c r="H840" s="70"/>
      <c r="I840" s="71"/>
      <c r="J840" s="71"/>
      <c r="K840" s="35" t="s">
        <v>65</v>
      </c>
      <c r="L840" s="79">
        <v>840</v>
      </c>
      <c r="M840" s="79"/>
      <c r="N840" s="73"/>
      <c r="O840" s="81" t="s">
        <v>762</v>
      </c>
      <c r="P840" s="81"/>
      <c r="Q840" s="81"/>
      <c r="R840" s="81"/>
      <c r="S840" s="81"/>
      <c r="T840" s="81"/>
      <c r="U840" s="81"/>
      <c r="V840" s="81" t="s">
        <v>2308</v>
      </c>
      <c r="W840" s="86" t="str">
        <f>HYPERLINK("https://www.youtube.com/watch?v=xZPSNornzmk")</f>
        <v>https://www.youtube.com/watch?v=xZPSNornzmk</v>
      </c>
      <c r="X840" s="81"/>
      <c r="Y840" s="81"/>
      <c r="Z840" s="81" t="s">
        <v>2735</v>
      </c>
      <c r="AA840" s="81"/>
      <c r="AB840" s="81"/>
      <c r="AC840" s="81"/>
      <c r="AD840" s="81"/>
      <c r="AE840">
        <v>5</v>
      </c>
      <c r="AF840" s="80" t="str">
        <f>REPLACE(INDEX(GroupVertices[Group],MATCH(Edges[[#This Row],[Vertex 1]],GroupVertices[Vertex],0)),1,1,"")</f>
        <v>1</v>
      </c>
      <c r="AG840" s="80" t="str">
        <f>REPLACE(INDEX(GroupVertices[Group],MATCH(Edges[[#This Row],[Vertex 2]],GroupVertices[Vertex],0)),1,1,"")</f>
        <v>1</v>
      </c>
      <c r="AH840" s="49"/>
      <c r="AI840" s="50"/>
      <c r="AJ840" s="49"/>
      <c r="AK840" s="50"/>
      <c r="AL840" s="49"/>
      <c r="AM840" s="50"/>
      <c r="AN840" s="49"/>
      <c r="AO840" s="50"/>
      <c r="AP840" s="49"/>
    </row>
    <row r="841" spans="1:42" ht="15">
      <c r="A841" s="65" t="s">
        <v>287</v>
      </c>
      <c r="B841" s="65" t="s">
        <v>287</v>
      </c>
      <c r="C841" s="66" t="s">
        <v>5350</v>
      </c>
      <c r="D841" s="67">
        <v>10</v>
      </c>
      <c r="E841" s="68"/>
      <c r="F841" s="69">
        <v>15</v>
      </c>
      <c r="G841" s="66"/>
      <c r="H841" s="70"/>
      <c r="I841" s="71"/>
      <c r="J841" s="71"/>
      <c r="K841" s="35" t="s">
        <v>65</v>
      </c>
      <c r="L841" s="79">
        <v>841</v>
      </c>
      <c r="M841" s="79"/>
      <c r="N841" s="73"/>
      <c r="O841" s="81" t="s">
        <v>762</v>
      </c>
      <c r="P841" s="81"/>
      <c r="Q841" s="81"/>
      <c r="R841" s="81"/>
      <c r="S841" s="81"/>
      <c r="T841" s="81"/>
      <c r="U841" s="81"/>
      <c r="V841" s="81" t="s">
        <v>2311</v>
      </c>
      <c r="W841" s="86" t="str">
        <f>HYPERLINK("https://www.youtube.com/watch?v=DrCnSoZUXAc")</f>
        <v>https://www.youtube.com/watch?v=DrCnSoZUXAc</v>
      </c>
      <c r="X841" s="81"/>
      <c r="Y841" s="81"/>
      <c r="Z841" s="88">
        <v>43287.791666666664</v>
      </c>
      <c r="AA841" s="81"/>
      <c r="AB841" s="81"/>
      <c r="AC841" s="81"/>
      <c r="AD841" s="81"/>
      <c r="AE841">
        <v>5</v>
      </c>
      <c r="AF841" s="80" t="str">
        <f>REPLACE(INDEX(GroupVertices[Group],MATCH(Edges[[#This Row],[Vertex 1]],GroupVertices[Vertex],0)),1,1,"")</f>
        <v>1</v>
      </c>
      <c r="AG841" s="80" t="str">
        <f>REPLACE(INDEX(GroupVertices[Group],MATCH(Edges[[#This Row],[Vertex 2]],GroupVertices[Vertex],0)),1,1,"")</f>
        <v>1</v>
      </c>
      <c r="AH841" s="49"/>
      <c r="AI841" s="50"/>
      <c r="AJ841" s="49"/>
      <c r="AK841" s="50"/>
      <c r="AL841" s="49"/>
      <c r="AM841" s="50"/>
      <c r="AN841" s="49"/>
      <c r="AO841" s="50"/>
      <c r="AP841" s="49"/>
    </row>
    <row r="842" spans="1:42" ht="15">
      <c r="A842" s="65" t="s">
        <v>287</v>
      </c>
      <c r="B842" s="65" t="s">
        <v>287</v>
      </c>
      <c r="C842" s="66" t="s">
        <v>5350</v>
      </c>
      <c r="D842" s="67">
        <v>10</v>
      </c>
      <c r="E842" s="68"/>
      <c r="F842" s="69">
        <v>15</v>
      </c>
      <c r="G842" s="66"/>
      <c r="H842" s="70"/>
      <c r="I842" s="71"/>
      <c r="J842" s="71"/>
      <c r="K842" s="35" t="s">
        <v>65</v>
      </c>
      <c r="L842" s="79">
        <v>842</v>
      </c>
      <c r="M842" s="79"/>
      <c r="N842" s="73"/>
      <c r="O842" s="81" t="s">
        <v>762</v>
      </c>
      <c r="P842" s="81"/>
      <c r="Q842" s="81"/>
      <c r="R842" s="81"/>
      <c r="S842" s="81"/>
      <c r="T842" s="81"/>
      <c r="U842" s="81"/>
      <c r="V842" s="81" t="s">
        <v>2313</v>
      </c>
      <c r="W842" s="86" t="str">
        <f>HYPERLINK("https://www.youtube.com/watch?v=-EA6GvKa0EA")</f>
        <v>https://www.youtube.com/watch?v=-EA6GvKa0EA</v>
      </c>
      <c r="X842" s="81"/>
      <c r="Y842" s="81"/>
      <c r="Z842" s="81" t="s">
        <v>2736</v>
      </c>
      <c r="AA842" s="81"/>
      <c r="AB842" s="81"/>
      <c r="AC842" s="81"/>
      <c r="AD842" s="81"/>
      <c r="AE842">
        <v>5</v>
      </c>
      <c r="AF842" s="80" t="str">
        <f>REPLACE(INDEX(GroupVertices[Group],MATCH(Edges[[#This Row],[Vertex 1]],GroupVertices[Vertex],0)),1,1,"")</f>
        <v>1</v>
      </c>
      <c r="AG842" s="80" t="str">
        <f>REPLACE(INDEX(GroupVertices[Group],MATCH(Edges[[#This Row],[Vertex 2]],GroupVertices[Vertex],0)),1,1,"")</f>
        <v>1</v>
      </c>
      <c r="AH842" s="49"/>
      <c r="AI842" s="50"/>
      <c r="AJ842" s="49"/>
      <c r="AK842" s="50"/>
      <c r="AL842" s="49"/>
      <c r="AM842" s="50"/>
      <c r="AN842" s="49"/>
      <c r="AO842" s="50"/>
      <c r="AP842" s="49"/>
    </row>
    <row r="843" spans="1:42" ht="15">
      <c r="A843" s="65" t="s">
        <v>287</v>
      </c>
      <c r="B843" s="65" t="s">
        <v>287</v>
      </c>
      <c r="C843" s="66" t="s">
        <v>5350</v>
      </c>
      <c r="D843" s="67">
        <v>10</v>
      </c>
      <c r="E843" s="68"/>
      <c r="F843" s="69">
        <v>15</v>
      </c>
      <c r="G843" s="66"/>
      <c r="H843" s="70"/>
      <c r="I843" s="71"/>
      <c r="J843" s="71"/>
      <c r="K843" s="35" t="s">
        <v>65</v>
      </c>
      <c r="L843" s="79">
        <v>843</v>
      </c>
      <c r="M843" s="79"/>
      <c r="N843" s="73"/>
      <c r="O843" s="81" t="s">
        <v>762</v>
      </c>
      <c r="P843" s="81"/>
      <c r="Q843" s="81"/>
      <c r="R843" s="81"/>
      <c r="S843" s="81"/>
      <c r="T843" s="81"/>
      <c r="U843" s="81"/>
      <c r="V843" s="81" t="s">
        <v>2315</v>
      </c>
      <c r="W843" s="86" t="str">
        <f>HYPERLINK("https://www.youtube.com/watch?v=JCTlws1bpAY")</f>
        <v>https://www.youtube.com/watch?v=JCTlws1bpAY</v>
      </c>
      <c r="X843" s="81"/>
      <c r="Y843" s="81"/>
      <c r="Z843" s="88">
        <v>43229.769166666665</v>
      </c>
      <c r="AA843" s="81"/>
      <c r="AB843" s="81"/>
      <c r="AC843" s="81"/>
      <c r="AD843" s="81"/>
      <c r="AE843">
        <v>5</v>
      </c>
      <c r="AF843" s="80" t="str">
        <f>REPLACE(INDEX(GroupVertices[Group],MATCH(Edges[[#This Row],[Vertex 1]],GroupVertices[Vertex],0)),1,1,"")</f>
        <v>1</v>
      </c>
      <c r="AG843" s="80" t="str">
        <f>REPLACE(INDEX(GroupVertices[Group],MATCH(Edges[[#This Row],[Vertex 2]],GroupVertices[Vertex],0)),1,1,"")</f>
        <v>1</v>
      </c>
      <c r="AH843" s="49"/>
      <c r="AI843" s="50"/>
      <c r="AJ843" s="49"/>
      <c r="AK843" s="50"/>
      <c r="AL843" s="49"/>
      <c r="AM843" s="50"/>
      <c r="AN843" s="49"/>
      <c r="AO843" s="50"/>
      <c r="AP843" s="49"/>
    </row>
    <row r="844" spans="1:42" ht="15">
      <c r="A844" s="65" t="s">
        <v>287</v>
      </c>
      <c r="B844" s="65" t="s">
        <v>287</v>
      </c>
      <c r="C844" s="66" t="s">
        <v>5350</v>
      </c>
      <c r="D844" s="67">
        <v>10</v>
      </c>
      <c r="E844" s="68"/>
      <c r="F844" s="69">
        <v>15</v>
      </c>
      <c r="G844" s="66"/>
      <c r="H844" s="70"/>
      <c r="I844" s="71"/>
      <c r="J844" s="71"/>
      <c r="K844" s="35" t="s">
        <v>65</v>
      </c>
      <c r="L844" s="79">
        <v>844</v>
      </c>
      <c r="M844" s="79"/>
      <c r="N844" s="73"/>
      <c r="O844" s="81" t="s">
        <v>762</v>
      </c>
      <c r="P844" s="81"/>
      <c r="Q844" s="81"/>
      <c r="R844" s="81"/>
      <c r="S844" s="81"/>
      <c r="T844" s="81"/>
      <c r="U844" s="81"/>
      <c r="V844" s="81" t="s">
        <v>2319</v>
      </c>
      <c r="W844" s="86" t="str">
        <f>HYPERLINK("https://www.youtube.com/watch?v=7aRMkFHzJrc")</f>
        <v>https://www.youtube.com/watch?v=7aRMkFHzJrc</v>
      </c>
      <c r="X844" s="81"/>
      <c r="Y844" s="81"/>
      <c r="Z844" s="88">
        <v>43137.38659722222</v>
      </c>
      <c r="AA844" s="81"/>
      <c r="AB844" s="81"/>
      <c r="AC844" s="81"/>
      <c r="AD844" s="81"/>
      <c r="AE844">
        <v>5</v>
      </c>
      <c r="AF844" s="80" t="str">
        <f>REPLACE(INDEX(GroupVertices[Group],MATCH(Edges[[#This Row],[Vertex 1]],GroupVertices[Vertex],0)),1,1,"")</f>
        <v>1</v>
      </c>
      <c r="AG844" s="80" t="str">
        <f>REPLACE(INDEX(GroupVertices[Group],MATCH(Edges[[#This Row],[Vertex 2]],GroupVertices[Vertex],0)),1,1,"")</f>
        <v>1</v>
      </c>
      <c r="AH844" s="49"/>
      <c r="AI844" s="50"/>
      <c r="AJ844" s="49"/>
      <c r="AK844" s="50"/>
      <c r="AL844" s="49"/>
      <c r="AM844" s="50"/>
      <c r="AN844" s="49"/>
      <c r="AO844" s="50"/>
      <c r="AP844" s="49"/>
    </row>
    <row r="845" spans="1:42" ht="15">
      <c r="A845" s="65" t="s">
        <v>607</v>
      </c>
      <c r="B845" s="65" t="s">
        <v>607</v>
      </c>
      <c r="C845" s="66" t="s">
        <v>5345</v>
      </c>
      <c r="D845" s="67">
        <v>3</v>
      </c>
      <c r="E845" s="68"/>
      <c r="F845" s="69">
        <v>40</v>
      </c>
      <c r="G845" s="66"/>
      <c r="H845" s="70"/>
      <c r="I845" s="71"/>
      <c r="J845" s="71"/>
      <c r="K845" s="35" t="s">
        <v>65</v>
      </c>
      <c r="L845" s="79">
        <v>845</v>
      </c>
      <c r="M845" s="79"/>
      <c r="N845" s="73"/>
      <c r="O845" s="81" t="s">
        <v>762</v>
      </c>
      <c r="P845" s="81"/>
      <c r="Q845" s="81"/>
      <c r="R845" s="81"/>
      <c r="S845" s="81"/>
      <c r="T845" s="81"/>
      <c r="U845" s="81"/>
      <c r="V845" s="81" t="s">
        <v>2321</v>
      </c>
      <c r="W845" s="86" t="str">
        <f>HYPERLINK("https://www.youtube.com/watch?v=i3Ac89nZ_tI")</f>
        <v>https://www.youtube.com/watch?v=i3Ac89nZ_tI</v>
      </c>
      <c r="X845" s="81"/>
      <c r="Y845" s="81"/>
      <c r="Z845" s="88">
        <v>44115.41695601852</v>
      </c>
      <c r="AA845" s="81"/>
      <c r="AB845" s="81"/>
      <c r="AC845" s="81"/>
      <c r="AD845" s="81"/>
      <c r="AE845">
        <v>1</v>
      </c>
      <c r="AF845" s="80" t="str">
        <f>REPLACE(INDEX(GroupVertices[Group],MATCH(Edges[[#This Row],[Vertex 1]],GroupVertices[Vertex],0)),1,1,"")</f>
        <v>9</v>
      </c>
      <c r="AG845" s="80" t="str">
        <f>REPLACE(INDEX(GroupVertices[Group],MATCH(Edges[[#This Row],[Vertex 2]],GroupVertices[Vertex],0)),1,1,"")</f>
        <v>9</v>
      </c>
      <c r="AH845" s="49"/>
      <c r="AI845" s="50"/>
      <c r="AJ845" s="49"/>
      <c r="AK845" s="50"/>
      <c r="AL845" s="49"/>
      <c r="AM845" s="50"/>
      <c r="AN845" s="49"/>
      <c r="AO845" s="50"/>
      <c r="AP845" s="49"/>
    </row>
    <row r="846" spans="1:42" ht="15">
      <c r="A846" s="65" t="s">
        <v>755</v>
      </c>
      <c r="B846" s="65" t="s">
        <v>755</v>
      </c>
      <c r="C846" s="66" t="s">
        <v>5346</v>
      </c>
      <c r="D846" s="67">
        <v>10</v>
      </c>
      <c r="E846" s="68"/>
      <c r="F846" s="69">
        <v>15</v>
      </c>
      <c r="G846" s="66"/>
      <c r="H846" s="70"/>
      <c r="I846" s="71"/>
      <c r="J846" s="71"/>
      <c r="K846" s="35" t="s">
        <v>65</v>
      </c>
      <c r="L846" s="79">
        <v>846</v>
      </c>
      <c r="M846" s="79"/>
      <c r="N846" s="73"/>
      <c r="O846" s="81" t="s">
        <v>760</v>
      </c>
      <c r="P846" s="81" t="s">
        <v>215</v>
      </c>
      <c r="Q846" s="84" t="s">
        <v>1556</v>
      </c>
      <c r="R846" s="81" t="s">
        <v>755</v>
      </c>
      <c r="S846" s="81" t="s">
        <v>2078</v>
      </c>
      <c r="T846" s="86" t="str">
        <f>HYPERLINK("http://www.youtube.com/channel/UC7KnUtEo6OY38KDBP-XWWRg")</f>
        <v>http://www.youtube.com/channel/UC7KnUtEo6OY38KDBP-XWWRg</v>
      </c>
      <c r="U846" s="81"/>
      <c r="V846" s="81" t="s">
        <v>2332</v>
      </c>
      <c r="W846" s="86" t="str">
        <f>HYPERLINK("https://www.youtube.com/watch?v=9q7kOynKRkc")</f>
        <v>https://www.youtube.com/watch?v=9q7kOynKRkc</v>
      </c>
      <c r="X846" s="81" t="s">
        <v>2335</v>
      </c>
      <c r="Y846" s="81">
        <v>0</v>
      </c>
      <c r="Z846" s="81" t="s">
        <v>2737</v>
      </c>
      <c r="AA846" s="81" t="s">
        <v>2737</v>
      </c>
      <c r="AB846" s="81" t="s">
        <v>2770</v>
      </c>
      <c r="AC846" s="81" t="s">
        <v>2780</v>
      </c>
      <c r="AD846" s="84" t="s">
        <v>2782</v>
      </c>
      <c r="AE846" s="82">
        <v>2</v>
      </c>
      <c r="AF846" s="83" t="str">
        <f>REPLACE(INDEX(GroupVertices[Group],MATCH(Edges[[#This Row],[Vertex 1]],GroupVertices[Vertex],0)),1,1,"")</f>
        <v>15</v>
      </c>
      <c r="AG846" s="83" t="str">
        <f>REPLACE(INDEX(GroupVertices[Group],MATCH(Edges[[#This Row],[Vertex 2]],GroupVertices[Vertex],0)),1,1,"")</f>
        <v>15</v>
      </c>
      <c r="AH846" s="111">
        <v>0</v>
      </c>
      <c r="AI846" s="112">
        <v>0</v>
      </c>
      <c r="AJ846" s="111">
        <v>0</v>
      </c>
      <c r="AK846" s="112">
        <v>0</v>
      </c>
      <c r="AL846" s="111">
        <v>0</v>
      </c>
      <c r="AM846" s="112">
        <v>0</v>
      </c>
      <c r="AN846" s="111">
        <v>51</v>
      </c>
      <c r="AO846" s="112">
        <v>100</v>
      </c>
      <c r="AP846" s="111">
        <v>51</v>
      </c>
    </row>
    <row r="847" spans="1:42" ht="15">
      <c r="A847" s="65" t="s">
        <v>755</v>
      </c>
      <c r="B847" s="65" t="s">
        <v>755</v>
      </c>
      <c r="C847" s="66" t="s">
        <v>5346</v>
      </c>
      <c r="D847" s="67">
        <v>10</v>
      </c>
      <c r="E847" s="68"/>
      <c r="F847" s="69">
        <v>15</v>
      </c>
      <c r="G847" s="66"/>
      <c r="H847" s="70"/>
      <c r="I847" s="71"/>
      <c r="J847" s="71"/>
      <c r="K847" s="35" t="s">
        <v>65</v>
      </c>
      <c r="L847" s="79">
        <v>847</v>
      </c>
      <c r="M847" s="79"/>
      <c r="N847" s="73"/>
      <c r="O847" s="81" t="s">
        <v>762</v>
      </c>
      <c r="P847" s="81"/>
      <c r="Q847" s="81"/>
      <c r="R847" s="81"/>
      <c r="S847" s="81"/>
      <c r="T847" s="81"/>
      <c r="U847" s="81"/>
      <c r="V847" s="81" t="s">
        <v>2332</v>
      </c>
      <c r="W847" s="86" t="str">
        <f>HYPERLINK("https://www.youtube.com/watch?v=9q7kOynKRkc")</f>
        <v>https://www.youtube.com/watch?v=9q7kOynKRkc</v>
      </c>
      <c r="X847" s="81"/>
      <c r="Y847" s="81"/>
      <c r="Z847" s="81" t="s">
        <v>2738</v>
      </c>
      <c r="AA847" s="81"/>
      <c r="AB847" s="81"/>
      <c r="AC847" s="81"/>
      <c r="AD847" s="81"/>
      <c r="AE847">
        <v>2</v>
      </c>
      <c r="AF847" s="80" t="str">
        <f>REPLACE(INDEX(GroupVertices[Group],MATCH(Edges[[#This Row],[Vertex 1]],GroupVertices[Vertex],0)),1,1,"")</f>
        <v>15</v>
      </c>
      <c r="AG847" s="80" t="str">
        <f>REPLACE(INDEX(GroupVertices[Group],MATCH(Edges[[#This Row],[Vertex 2]],GroupVertices[Vertex],0)),1,1,"")</f>
        <v>15</v>
      </c>
      <c r="AH847" s="49"/>
      <c r="AI847" s="50"/>
      <c r="AJ847" s="49"/>
      <c r="AK847" s="50"/>
      <c r="AL847" s="49"/>
      <c r="AM847" s="50"/>
      <c r="AN847" s="49"/>
      <c r="AO847" s="50"/>
      <c r="AP847" s="49"/>
    </row>
    <row r="848" spans="1:42" ht="15">
      <c r="A848" s="65" t="s">
        <v>623</v>
      </c>
      <c r="B848" s="65" t="s">
        <v>623</v>
      </c>
      <c r="C848" s="66" t="s">
        <v>5345</v>
      </c>
      <c r="D848" s="67">
        <v>3</v>
      </c>
      <c r="E848" s="68"/>
      <c r="F848" s="69">
        <v>40</v>
      </c>
      <c r="G848" s="66"/>
      <c r="H848" s="70"/>
      <c r="I848" s="71"/>
      <c r="J848" s="71"/>
      <c r="K848" s="35" t="s">
        <v>65</v>
      </c>
      <c r="L848" s="79">
        <v>848</v>
      </c>
      <c r="M848" s="79"/>
      <c r="N848" s="73"/>
      <c r="O848" s="81" t="s">
        <v>762</v>
      </c>
      <c r="P848" s="81"/>
      <c r="Q848" s="81"/>
      <c r="R848" s="81"/>
      <c r="S848" s="81"/>
      <c r="T848" s="81"/>
      <c r="U848" s="81"/>
      <c r="V848" s="81" t="s">
        <v>2322</v>
      </c>
      <c r="W848" s="86" t="str">
        <f>HYPERLINK("https://www.youtube.com/watch?v=80f3JVN05YQ")</f>
        <v>https://www.youtube.com/watch?v=80f3JVN05YQ</v>
      </c>
      <c r="X848" s="81"/>
      <c r="Y848" s="81"/>
      <c r="Z848" s="81" t="s">
        <v>2739</v>
      </c>
      <c r="AA848" s="81"/>
      <c r="AB848" s="81"/>
      <c r="AC848" s="81"/>
      <c r="AD848" s="81"/>
      <c r="AE848">
        <v>1</v>
      </c>
      <c r="AF848" s="80" t="str">
        <f>REPLACE(INDEX(GroupVertices[Group],MATCH(Edges[[#This Row],[Vertex 1]],GroupVertices[Vertex],0)),1,1,"")</f>
        <v>3</v>
      </c>
      <c r="AG848" s="80" t="str">
        <f>REPLACE(INDEX(GroupVertices[Group],MATCH(Edges[[#This Row],[Vertex 2]],GroupVertices[Vertex],0)),1,1,"")</f>
        <v>3</v>
      </c>
      <c r="AH848" s="49"/>
      <c r="AI848" s="50"/>
      <c r="AJ848" s="49"/>
      <c r="AK848" s="50"/>
      <c r="AL848" s="49"/>
      <c r="AM848" s="50"/>
      <c r="AN848" s="49"/>
      <c r="AO848" s="50"/>
      <c r="AP848" s="49"/>
    </row>
    <row r="849" spans="1:42" ht="15">
      <c r="A849" s="65" t="s">
        <v>756</v>
      </c>
      <c r="B849" s="65" t="s">
        <v>756</v>
      </c>
      <c r="C849" s="66" t="s">
        <v>5345</v>
      </c>
      <c r="D849" s="67">
        <v>3</v>
      </c>
      <c r="E849" s="68"/>
      <c r="F849" s="69">
        <v>40</v>
      </c>
      <c r="G849" s="66"/>
      <c r="H849" s="70"/>
      <c r="I849" s="71"/>
      <c r="J849" s="71"/>
      <c r="K849" s="35" t="s">
        <v>65</v>
      </c>
      <c r="L849" s="79">
        <v>849</v>
      </c>
      <c r="M849" s="79"/>
      <c r="N849" s="73"/>
      <c r="O849" s="81" t="s">
        <v>762</v>
      </c>
      <c r="P849" s="81"/>
      <c r="Q849" s="81"/>
      <c r="R849" s="81"/>
      <c r="S849" s="81"/>
      <c r="T849" s="81"/>
      <c r="U849" s="81"/>
      <c r="V849" s="81" t="s">
        <v>2323</v>
      </c>
      <c r="W849" s="86" t="str">
        <f>HYPERLINK("https://www.youtube.com/watch?v=gOv6hkcCBDU")</f>
        <v>https://www.youtube.com/watch?v=gOv6hkcCBDU</v>
      </c>
      <c r="X849" s="81"/>
      <c r="Y849" s="81"/>
      <c r="Z849" s="81" t="s">
        <v>2740</v>
      </c>
      <c r="AA849" s="81"/>
      <c r="AB849" s="81"/>
      <c r="AC849" s="81"/>
      <c r="AD849" s="81"/>
      <c r="AE849">
        <v>1</v>
      </c>
      <c r="AF849" s="80" t="str">
        <f>REPLACE(INDEX(GroupVertices[Group],MATCH(Edges[[#This Row],[Vertex 1]],GroupVertices[Vertex],0)),1,1,"")</f>
        <v>17</v>
      </c>
      <c r="AG849" s="80" t="str">
        <f>REPLACE(INDEX(GroupVertices[Group],MATCH(Edges[[#This Row],[Vertex 2]],GroupVertices[Vertex],0)),1,1,"")</f>
        <v>17</v>
      </c>
      <c r="AH849" s="49"/>
      <c r="AI849" s="50"/>
      <c r="AJ849" s="49"/>
      <c r="AK849" s="50"/>
      <c r="AL849" s="49"/>
      <c r="AM849" s="50"/>
      <c r="AN849" s="49"/>
      <c r="AO849" s="50"/>
      <c r="AP849" s="49"/>
    </row>
    <row r="850" spans="1:42" ht="15">
      <c r="A850" s="65" t="s">
        <v>757</v>
      </c>
      <c r="B850" s="65" t="s">
        <v>757</v>
      </c>
      <c r="C850" s="66" t="s">
        <v>5345</v>
      </c>
      <c r="D850" s="67">
        <v>3</v>
      </c>
      <c r="E850" s="68"/>
      <c r="F850" s="69">
        <v>40</v>
      </c>
      <c r="G850" s="66"/>
      <c r="H850" s="70"/>
      <c r="I850" s="71"/>
      <c r="J850" s="71"/>
      <c r="K850" s="35" t="s">
        <v>65</v>
      </c>
      <c r="L850" s="79">
        <v>850</v>
      </c>
      <c r="M850" s="79"/>
      <c r="N850" s="73"/>
      <c r="O850" s="81" t="s">
        <v>762</v>
      </c>
      <c r="P850" s="81"/>
      <c r="Q850" s="81"/>
      <c r="R850" s="81"/>
      <c r="S850" s="81"/>
      <c r="T850" s="81"/>
      <c r="U850" s="81"/>
      <c r="V850" s="81" t="s">
        <v>2324</v>
      </c>
      <c r="W850" s="86" t="str">
        <f>HYPERLINK("https://www.youtube.com/watch?v=fDCXpEe0ciU")</f>
        <v>https://www.youtube.com/watch?v=fDCXpEe0ciU</v>
      </c>
      <c r="X850" s="81"/>
      <c r="Y850" s="81"/>
      <c r="Z850" s="81" t="s">
        <v>2741</v>
      </c>
      <c r="AA850" s="81"/>
      <c r="AB850" s="81"/>
      <c r="AC850" s="81"/>
      <c r="AD850" s="81"/>
      <c r="AE850">
        <v>1</v>
      </c>
      <c r="AF850" s="80" t="str">
        <f>REPLACE(INDEX(GroupVertices[Group],MATCH(Edges[[#This Row],[Vertex 1]],GroupVertices[Vertex],0)),1,1,"")</f>
        <v>8</v>
      </c>
      <c r="AG850" s="80" t="str">
        <f>REPLACE(INDEX(GroupVertices[Group],MATCH(Edges[[#This Row],[Vertex 2]],GroupVertices[Vertex],0)),1,1,"")</f>
        <v>8</v>
      </c>
      <c r="AH850" s="49"/>
      <c r="AI850" s="50"/>
      <c r="AJ850" s="49"/>
      <c r="AK850" s="50"/>
      <c r="AL850" s="49"/>
      <c r="AM850" s="50"/>
      <c r="AN850" s="49"/>
      <c r="AO850" s="50"/>
      <c r="AP850" s="49"/>
    </row>
    <row r="851" spans="1:42" ht="15">
      <c r="A851" s="65" t="s">
        <v>758</v>
      </c>
      <c r="B851" s="65" t="s">
        <v>758</v>
      </c>
      <c r="C851" s="66" t="s">
        <v>5345</v>
      </c>
      <c r="D851" s="67">
        <v>3</v>
      </c>
      <c r="E851" s="68"/>
      <c r="F851" s="69">
        <v>40</v>
      </c>
      <c r="G851" s="66"/>
      <c r="H851" s="70"/>
      <c r="I851" s="71"/>
      <c r="J851" s="71"/>
      <c r="K851" s="35" t="s">
        <v>65</v>
      </c>
      <c r="L851" s="79">
        <v>851</v>
      </c>
      <c r="M851" s="79"/>
      <c r="N851" s="73"/>
      <c r="O851" s="81" t="s">
        <v>762</v>
      </c>
      <c r="P851" s="81"/>
      <c r="Q851" s="81"/>
      <c r="R851" s="81"/>
      <c r="S851" s="81"/>
      <c r="T851" s="81"/>
      <c r="U851" s="81"/>
      <c r="V851" s="81" t="s">
        <v>2333</v>
      </c>
      <c r="W851" s="86" t="str">
        <f>HYPERLINK("https://www.youtube.com/watch?v=seHQLiXHzkE")</f>
        <v>https://www.youtube.com/watch?v=seHQLiXHzkE</v>
      </c>
      <c r="X851" s="81"/>
      <c r="Y851" s="81"/>
      <c r="Z851" s="88">
        <v>43256.88613425926</v>
      </c>
      <c r="AA851" s="81"/>
      <c r="AB851" s="81"/>
      <c r="AC851" s="81"/>
      <c r="AD851" s="81"/>
      <c r="AE851">
        <v>1</v>
      </c>
      <c r="AF851" s="80" t="str">
        <f>REPLACE(INDEX(GroupVertices[Group],MATCH(Edges[[#This Row],[Vertex 1]],GroupVertices[Vertex],0)),1,1,"")</f>
        <v>15</v>
      </c>
      <c r="AG851" s="80" t="str">
        <f>REPLACE(INDEX(GroupVertices[Group],MATCH(Edges[[#This Row],[Vertex 2]],GroupVertices[Vertex],0)),1,1,"")</f>
        <v>15</v>
      </c>
      <c r="AH851" s="49"/>
      <c r="AI851" s="50"/>
      <c r="AJ851" s="49"/>
      <c r="AK851" s="50"/>
      <c r="AL851" s="49"/>
      <c r="AM851" s="50"/>
      <c r="AN851" s="49"/>
      <c r="AO851" s="50"/>
      <c r="AP851" s="49"/>
    </row>
    <row r="852" spans="1:42" ht="15">
      <c r="A852" s="65" t="s">
        <v>759</v>
      </c>
      <c r="B852" s="65" t="s">
        <v>759</v>
      </c>
      <c r="C852" s="66" t="s">
        <v>5345</v>
      </c>
      <c r="D852" s="67">
        <v>3</v>
      </c>
      <c r="E852" s="68"/>
      <c r="F852" s="69">
        <v>40</v>
      </c>
      <c r="G852" s="66"/>
      <c r="H852" s="70"/>
      <c r="I852" s="71"/>
      <c r="J852" s="71"/>
      <c r="K852" s="35" t="s">
        <v>65</v>
      </c>
      <c r="L852" s="79">
        <v>852</v>
      </c>
      <c r="M852" s="79"/>
      <c r="N852" s="73"/>
      <c r="O852" s="81" t="s">
        <v>762</v>
      </c>
      <c r="P852" s="81"/>
      <c r="Q852" s="81"/>
      <c r="R852" s="81"/>
      <c r="S852" s="81"/>
      <c r="T852" s="81"/>
      <c r="U852" s="81"/>
      <c r="V852" s="81" t="s">
        <v>2325</v>
      </c>
      <c r="W852" s="86" t="str">
        <f>HYPERLINK("https://www.youtube.com/watch?v=P84KQT_Se70")</f>
        <v>https://www.youtube.com/watch?v=P84KQT_Se70</v>
      </c>
      <c r="X852" s="81"/>
      <c r="Y852" s="81"/>
      <c r="Z852" s="81" t="s">
        <v>2742</v>
      </c>
      <c r="AA852" s="81"/>
      <c r="AB852" s="81"/>
      <c r="AC852" s="81"/>
      <c r="AD852" s="81"/>
      <c r="AE852">
        <v>1</v>
      </c>
      <c r="AF852" s="80" t="str">
        <f>REPLACE(INDEX(GroupVertices[Group],MATCH(Edges[[#This Row],[Vertex 1]],GroupVertices[Vertex],0)),1,1,"")</f>
        <v>11</v>
      </c>
      <c r="AG852" s="80" t="str">
        <f>REPLACE(INDEX(GroupVertices[Group],MATCH(Edges[[#This Row],[Vertex 2]],GroupVertices[Vertex],0)),1,1,"")</f>
        <v>11</v>
      </c>
      <c r="AH852" s="49"/>
      <c r="AI852" s="50"/>
      <c r="AJ852" s="49"/>
      <c r="AK852" s="50"/>
      <c r="AL852" s="49"/>
      <c r="AM852" s="50"/>
      <c r="AN852" s="49"/>
      <c r="AO852" s="50"/>
      <c r="AP852" s="49"/>
    </row>
    <row r="853" spans="1:42" ht="15">
      <c r="A853" s="65" t="s">
        <v>702</v>
      </c>
      <c r="B853" s="65" t="s">
        <v>702</v>
      </c>
      <c r="C853" s="66" t="s">
        <v>5345</v>
      </c>
      <c r="D853" s="67">
        <v>3</v>
      </c>
      <c r="E853" s="68"/>
      <c r="F853" s="69">
        <v>40</v>
      </c>
      <c r="G853" s="66"/>
      <c r="H853" s="70"/>
      <c r="I853" s="71"/>
      <c r="J853" s="71"/>
      <c r="K853" s="35" t="s">
        <v>65</v>
      </c>
      <c r="L853" s="79">
        <v>853</v>
      </c>
      <c r="M853" s="79"/>
      <c r="N853" s="73"/>
      <c r="O853" s="81" t="s">
        <v>762</v>
      </c>
      <c r="P853" s="81"/>
      <c r="Q853" s="81"/>
      <c r="R853" s="81"/>
      <c r="S853" s="81"/>
      <c r="T853" s="81"/>
      <c r="U853" s="81"/>
      <c r="V853" s="81" t="s">
        <v>2326</v>
      </c>
      <c r="W853" s="86" t="str">
        <f>HYPERLINK("https://www.youtube.com/watch?v=k0WsWXSk1dc")</f>
        <v>https://www.youtube.com/watch?v=k0WsWXSk1dc</v>
      </c>
      <c r="X853" s="81"/>
      <c r="Y853" s="81"/>
      <c r="Z853" s="81" t="s">
        <v>2743</v>
      </c>
      <c r="AA853" s="81"/>
      <c r="AB853" s="81"/>
      <c r="AC853" s="81"/>
      <c r="AD853" s="81"/>
      <c r="AE853">
        <v>1</v>
      </c>
      <c r="AF853" s="80" t="str">
        <f>REPLACE(INDEX(GroupVertices[Group],MATCH(Edges[[#This Row],[Vertex 1]],GroupVertices[Vertex],0)),1,1,"")</f>
        <v>13</v>
      </c>
      <c r="AG853" s="80" t="str">
        <f>REPLACE(INDEX(GroupVertices[Group],MATCH(Edges[[#This Row],[Vertex 2]],GroupVertices[Vertex],0)),1,1,"")</f>
        <v>13</v>
      </c>
      <c r="AH853" s="49"/>
      <c r="AI853" s="50"/>
      <c r="AJ853" s="49"/>
      <c r="AK853" s="50"/>
      <c r="AL853" s="49"/>
      <c r="AM853" s="50"/>
      <c r="AN853" s="49"/>
      <c r="AO853" s="50"/>
      <c r="AP853" s="49"/>
    </row>
    <row r="854" spans="1:42" ht="15">
      <c r="A854" s="65" t="s">
        <v>711</v>
      </c>
      <c r="B854" s="65" t="s">
        <v>711</v>
      </c>
      <c r="C854" s="66" t="s">
        <v>5346</v>
      </c>
      <c r="D854" s="67">
        <v>10</v>
      </c>
      <c r="E854" s="68"/>
      <c r="F854" s="69">
        <v>15</v>
      </c>
      <c r="G854" s="66"/>
      <c r="H854" s="70"/>
      <c r="I854" s="71"/>
      <c r="J854" s="71"/>
      <c r="K854" s="35" t="s">
        <v>65</v>
      </c>
      <c r="L854" s="79">
        <v>854</v>
      </c>
      <c r="M854" s="79"/>
      <c r="N854" s="73"/>
      <c r="O854" s="81" t="s">
        <v>760</v>
      </c>
      <c r="P854" s="81" t="s">
        <v>215</v>
      </c>
      <c r="Q854" s="84" t="s">
        <v>1557</v>
      </c>
      <c r="R854" s="81" t="s">
        <v>711</v>
      </c>
      <c r="S854" s="81" t="s">
        <v>2039</v>
      </c>
      <c r="T854" s="86" t="str">
        <f>HYPERLINK("http://www.youtube.com/channel/UC_mzz_JnzArhhpGUy8KdGwg")</f>
        <v>http://www.youtube.com/channel/UC_mzz_JnzArhhpGUy8KdGwg</v>
      </c>
      <c r="U854" s="81"/>
      <c r="V854" s="81" t="s">
        <v>2327</v>
      </c>
      <c r="W854" s="86" t="str">
        <f>HYPERLINK("https://www.youtube.com/watch?v=tS9IXHSdzJs")</f>
        <v>https://www.youtube.com/watch?v=tS9IXHSdzJs</v>
      </c>
      <c r="X854" s="81" t="s">
        <v>2335</v>
      </c>
      <c r="Y854" s="81">
        <v>3</v>
      </c>
      <c r="Z854" s="88">
        <v>43558.75282407407</v>
      </c>
      <c r="AA854" s="81" t="s">
        <v>2758</v>
      </c>
      <c r="AB854" s="81" t="s">
        <v>2771</v>
      </c>
      <c r="AC854" s="81" t="s">
        <v>2781</v>
      </c>
      <c r="AD854" s="84" t="s">
        <v>2782</v>
      </c>
      <c r="AE854" s="82">
        <v>2</v>
      </c>
      <c r="AF854" s="83" t="str">
        <f>REPLACE(INDEX(GroupVertices[Group],MATCH(Edges[[#This Row],[Vertex 1]],GroupVertices[Vertex],0)),1,1,"")</f>
        <v>4</v>
      </c>
      <c r="AG854" s="83" t="str">
        <f>REPLACE(INDEX(GroupVertices[Group],MATCH(Edges[[#This Row],[Vertex 2]],GroupVertices[Vertex],0)),1,1,"")</f>
        <v>4</v>
      </c>
      <c r="AH854" s="111">
        <v>2</v>
      </c>
      <c r="AI854" s="112">
        <v>0.34904013961605584</v>
      </c>
      <c r="AJ854" s="111">
        <v>0</v>
      </c>
      <c r="AK854" s="112">
        <v>0</v>
      </c>
      <c r="AL854" s="111">
        <v>0</v>
      </c>
      <c r="AM854" s="112">
        <v>0</v>
      </c>
      <c r="AN854" s="111">
        <v>571</v>
      </c>
      <c r="AO854" s="112">
        <v>99.65095986038395</v>
      </c>
      <c r="AP854" s="111">
        <v>573</v>
      </c>
    </row>
    <row r="855" spans="1:42" ht="15">
      <c r="A855" s="65" t="s">
        <v>711</v>
      </c>
      <c r="B855" s="65" t="s">
        <v>711</v>
      </c>
      <c r="C855" s="66" t="s">
        <v>5346</v>
      </c>
      <c r="D855" s="67">
        <v>10</v>
      </c>
      <c r="E855" s="68"/>
      <c r="F855" s="69">
        <v>15</v>
      </c>
      <c r="G855" s="66"/>
      <c r="H855" s="70"/>
      <c r="I855" s="71"/>
      <c r="J855" s="71"/>
      <c r="K855" s="35" t="s">
        <v>65</v>
      </c>
      <c r="L855" s="79">
        <v>855</v>
      </c>
      <c r="M855" s="79"/>
      <c r="N855" s="73"/>
      <c r="O855" s="81" t="s">
        <v>762</v>
      </c>
      <c r="P855" s="81"/>
      <c r="Q855" s="81"/>
      <c r="R855" s="81"/>
      <c r="S855" s="81"/>
      <c r="T855" s="81"/>
      <c r="U855" s="81"/>
      <c r="V855" s="81" t="s">
        <v>2327</v>
      </c>
      <c r="W855" s="86" t="str">
        <f>HYPERLINK("https://www.youtube.com/watch?v=tS9IXHSdzJs")</f>
        <v>https://www.youtube.com/watch?v=tS9IXHSdzJs</v>
      </c>
      <c r="X855" s="81"/>
      <c r="Y855" s="81"/>
      <c r="Z855" s="88">
        <v>43558.75009259259</v>
      </c>
      <c r="AA855" s="81"/>
      <c r="AB855" s="81"/>
      <c r="AC855" s="81"/>
      <c r="AD855" s="81"/>
      <c r="AE855">
        <v>2</v>
      </c>
      <c r="AF855" s="80" t="str">
        <f>REPLACE(INDEX(GroupVertices[Group],MATCH(Edges[[#This Row],[Vertex 1]],GroupVertices[Vertex],0)),1,1,"")</f>
        <v>4</v>
      </c>
      <c r="AG855" s="80" t="str">
        <f>REPLACE(INDEX(GroupVertices[Group],MATCH(Edges[[#This Row],[Vertex 2]],GroupVertices[Vertex],0)),1,1,"")</f>
        <v>4</v>
      </c>
      <c r="AH855" s="49"/>
      <c r="AI855" s="50"/>
      <c r="AJ855" s="49"/>
      <c r="AK855" s="50"/>
      <c r="AL855" s="49"/>
      <c r="AM855" s="50"/>
      <c r="AN855" s="49"/>
      <c r="AO855" s="50"/>
      <c r="AP855" s="49"/>
    </row>
    <row r="856" spans="1:42" ht="15">
      <c r="A856" s="65" t="s">
        <v>605</v>
      </c>
      <c r="B856" s="65" t="s">
        <v>605</v>
      </c>
      <c r="C856" s="66" t="s">
        <v>5347</v>
      </c>
      <c r="D856" s="67">
        <v>10</v>
      </c>
      <c r="E856" s="68"/>
      <c r="F856" s="69">
        <v>15</v>
      </c>
      <c r="G856" s="66"/>
      <c r="H856" s="70"/>
      <c r="I856" s="71"/>
      <c r="J856" s="71"/>
      <c r="K856" s="35" t="s">
        <v>65</v>
      </c>
      <c r="L856" s="79">
        <v>856</v>
      </c>
      <c r="M856" s="79"/>
      <c r="N856" s="73"/>
      <c r="O856" s="81" t="s">
        <v>762</v>
      </c>
      <c r="P856" s="81"/>
      <c r="Q856" s="81"/>
      <c r="R856" s="81"/>
      <c r="S856" s="81"/>
      <c r="T856" s="81"/>
      <c r="U856" s="81"/>
      <c r="V856" s="81" t="s">
        <v>2334</v>
      </c>
      <c r="W856" s="86" t="str">
        <f>HYPERLINK("https://www.youtube.com/watch?v=MCG4DCvaQsw")</f>
        <v>https://www.youtube.com/watch?v=MCG4DCvaQsw</v>
      </c>
      <c r="X856" s="81"/>
      <c r="Y856" s="81"/>
      <c r="Z856" s="81" t="s">
        <v>2744</v>
      </c>
      <c r="AA856" s="81"/>
      <c r="AB856" s="81"/>
      <c r="AC856" s="81"/>
      <c r="AD856" s="81"/>
      <c r="AE856">
        <v>3</v>
      </c>
      <c r="AF856" s="80" t="str">
        <f>REPLACE(INDEX(GroupVertices[Group],MATCH(Edges[[#This Row],[Vertex 1]],GroupVertices[Vertex],0)),1,1,"")</f>
        <v>12</v>
      </c>
      <c r="AG856" s="80" t="str">
        <f>REPLACE(INDEX(GroupVertices[Group],MATCH(Edges[[#This Row],[Vertex 2]],GroupVertices[Vertex],0)),1,1,"")</f>
        <v>12</v>
      </c>
      <c r="AH856" s="49"/>
      <c r="AI856" s="50"/>
      <c r="AJ856" s="49"/>
      <c r="AK856" s="50"/>
      <c r="AL856" s="49"/>
      <c r="AM856" s="50"/>
      <c r="AN856" s="49"/>
      <c r="AO856" s="50"/>
      <c r="AP856" s="49"/>
    </row>
    <row r="857" spans="1:42" ht="15">
      <c r="A857" s="65" t="s">
        <v>605</v>
      </c>
      <c r="B857" s="65" t="s">
        <v>605</v>
      </c>
      <c r="C857" s="66" t="s">
        <v>5347</v>
      </c>
      <c r="D857" s="67">
        <v>10</v>
      </c>
      <c r="E857" s="68"/>
      <c r="F857" s="69">
        <v>15</v>
      </c>
      <c r="G857" s="66"/>
      <c r="H857" s="70"/>
      <c r="I857" s="71"/>
      <c r="J857" s="71"/>
      <c r="K857" s="35" t="s">
        <v>65</v>
      </c>
      <c r="L857" s="79">
        <v>857</v>
      </c>
      <c r="M857" s="79"/>
      <c r="N857" s="73"/>
      <c r="O857" s="81" t="s">
        <v>762</v>
      </c>
      <c r="P857" s="81"/>
      <c r="Q857" s="81"/>
      <c r="R857" s="81"/>
      <c r="S857" s="81"/>
      <c r="T857" s="81"/>
      <c r="U857" s="81"/>
      <c r="V857" s="81" t="s">
        <v>2320</v>
      </c>
      <c r="W857" s="86" t="str">
        <f>HYPERLINK("https://www.youtube.com/watch?v=PzgmQp-7QuY")</f>
        <v>https://www.youtube.com/watch?v=PzgmQp-7QuY</v>
      </c>
      <c r="X857" s="81"/>
      <c r="Y857" s="81"/>
      <c r="Z857" s="81" t="s">
        <v>2745</v>
      </c>
      <c r="AA857" s="81"/>
      <c r="AB857" s="81"/>
      <c r="AC857" s="81"/>
      <c r="AD857" s="81"/>
      <c r="AE857">
        <v>3</v>
      </c>
      <c r="AF857" s="80" t="str">
        <f>REPLACE(INDEX(GroupVertices[Group],MATCH(Edges[[#This Row],[Vertex 1]],GroupVertices[Vertex],0)),1,1,"")</f>
        <v>12</v>
      </c>
      <c r="AG857" s="80" t="str">
        <f>REPLACE(INDEX(GroupVertices[Group],MATCH(Edges[[#This Row],[Vertex 2]],GroupVertices[Vertex],0)),1,1,"")</f>
        <v>12</v>
      </c>
      <c r="AH857" s="49"/>
      <c r="AI857" s="50"/>
      <c r="AJ857" s="49"/>
      <c r="AK857" s="50"/>
      <c r="AL857" s="49"/>
      <c r="AM857" s="50"/>
      <c r="AN857" s="49"/>
      <c r="AO857" s="50"/>
      <c r="AP857" s="49"/>
    </row>
    <row r="858" spans="1:42" ht="15">
      <c r="A858" s="65" t="s">
        <v>605</v>
      </c>
      <c r="B858" s="65" t="s">
        <v>605</v>
      </c>
      <c r="C858" s="66" t="s">
        <v>5347</v>
      </c>
      <c r="D858" s="67">
        <v>10</v>
      </c>
      <c r="E858" s="68"/>
      <c r="F858" s="69">
        <v>15</v>
      </c>
      <c r="G858" s="66"/>
      <c r="H858" s="70"/>
      <c r="I858" s="71"/>
      <c r="J858" s="71"/>
      <c r="K858" s="35" t="s">
        <v>65</v>
      </c>
      <c r="L858" s="79">
        <v>858</v>
      </c>
      <c r="M858" s="79"/>
      <c r="N858" s="73"/>
      <c r="O858" s="81" t="s">
        <v>762</v>
      </c>
      <c r="P858" s="81"/>
      <c r="Q858" s="81"/>
      <c r="R858" s="81"/>
      <c r="S858" s="81"/>
      <c r="T858" s="81"/>
      <c r="U858" s="81"/>
      <c r="V858" s="81" t="s">
        <v>2328</v>
      </c>
      <c r="W858" s="86" t="str">
        <f>HYPERLINK("https://www.youtube.com/watch?v=ukxbBgcz9Ow")</f>
        <v>https://www.youtube.com/watch?v=ukxbBgcz9Ow</v>
      </c>
      <c r="X858" s="81"/>
      <c r="Y858" s="81"/>
      <c r="Z858" s="88">
        <v>44350.643379629626</v>
      </c>
      <c r="AA858" s="81"/>
      <c r="AB858" s="81"/>
      <c r="AC858" s="81"/>
      <c r="AD858" s="81"/>
      <c r="AE858">
        <v>3</v>
      </c>
      <c r="AF858" s="80" t="str">
        <f>REPLACE(INDEX(GroupVertices[Group],MATCH(Edges[[#This Row],[Vertex 1]],GroupVertices[Vertex],0)),1,1,"")</f>
        <v>12</v>
      </c>
      <c r="AG858" s="80" t="str">
        <f>REPLACE(INDEX(GroupVertices[Group],MATCH(Edges[[#This Row],[Vertex 2]],GroupVertices[Vertex],0)),1,1,"")</f>
        <v>12</v>
      </c>
      <c r="AH858" s="49"/>
      <c r="AI858" s="50"/>
      <c r="AJ858" s="49"/>
      <c r="AK858" s="50"/>
      <c r="AL858" s="49"/>
      <c r="AM858" s="50"/>
      <c r="AN858" s="49"/>
      <c r="AO858" s="50"/>
      <c r="AP85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8"/>
    <dataValidation allowBlank="1" showErrorMessage="1" sqref="N2:N8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8"/>
    <dataValidation allowBlank="1" showInputMessage="1" promptTitle="Edge Color" prompt="To select an optional edge color, right-click and select Select Color on the right-click menu." sqref="C3:C858"/>
    <dataValidation allowBlank="1" showInputMessage="1" promptTitle="Edge Width" prompt="Enter an optional edge width between 1 and 10." errorTitle="Invalid Edge Width" error="The optional edge width must be a whole number between 1 and 10." sqref="D3:D858"/>
    <dataValidation allowBlank="1" showInputMessage="1" promptTitle="Edge Opacity" prompt="Enter an optional edge opacity between 0 (transparent) and 100 (opaque)." errorTitle="Invalid Edge Opacity" error="The optional edge opacity must be a whole number between 0 and 10." sqref="F3:F8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8">
      <formula1>ValidEdgeVisibilities</formula1>
    </dataValidation>
    <dataValidation allowBlank="1" showInputMessage="1" showErrorMessage="1" promptTitle="Vertex 1 Name" prompt="Enter the name of the edge's first vertex." sqref="A3:A858"/>
    <dataValidation allowBlank="1" showInputMessage="1" showErrorMessage="1" promptTitle="Vertex 2 Name" prompt="Enter the name of the edge's second vertex." sqref="B3:B858"/>
    <dataValidation allowBlank="1" showInputMessage="1" showErrorMessage="1" promptTitle="Edge Label" prompt="Enter an optional edge label." errorTitle="Invalid Edge Visibility" error="You have entered an unrecognized edge visibility.  Try selecting from the drop-down list instead." sqref="H3:H8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F66F2-688A-414A-8033-64F03E4A8103}">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4169</v>
      </c>
      <c r="B2" s="115" t="s">
        <v>4170</v>
      </c>
      <c r="C2" s="54" t="s">
        <v>4171</v>
      </c>
    </row>
    <row r="3" spans="1:3" ht="15">
      <c r="A3" s="114" t="s">
        <v>3414</v>
      </c>
      <c r="B3" s="114" t="s">
        <v>3414</v>
      </c>
      <c r="C3" s="35">
        <v>338</v>
      </c>
    </row>
    <row r="4" spans="1:3" ht="15">
      <c r="A4" s="114" t="s">
        <v>3415</v>
      </c>
      <c r="B4" s="114" t="s">
        <v>3415</v>
      </c>
      <c r="C4" s="35">
        <v>61</v>
      </c>
    </row>
    <row r="5" spans="1:3" ht="15">
      <c r="A5" s="114" t="s">
        <v>3416</v>
      </c>
      <c r="B5" s="114" t="s">
        <v>3416</v>
      </c>
      <c r="C5" s="35">
        <v>91</v>
      </c>
    </row>
    <row r="6" spans="1:3" ht="15">
      <c r="A6" s="114" t="s">
        <v>3417</v>
      </c>
      <c r="B6" s="114" t="s">
        <v>3417</v>
      </c>
      <c r="C6" s="35">
        <v>69</v>
      </c>
    </row>
    <row r="7" spans="1:3" ht="15">
      <c r="A7" s="114" t="s">
        <v>3417</v>
      </c>
      <c r="B7" s="114" t="s">
        <v>3426</v>
      </c>
      <c r="C7" s="35">
        <v>1</v>
      </c>
    </row>
    <row r="8" spans="1:3" ht="15">
      <c r="A8" s="114" t="s">
        <v>3418</v>
      </c>
      <c r="B8" s="114" t="s">
        <v>3417</v>
      </c>
      <c r="C8" s="35">
        <v>1</v>
      </c>
    </row>
    <row r="9" spans="1:3" ht="15">
      <c r="A9" s="114" t="s">
        <v>3418</v>
      </c>
      <c r="B9" s="114" t="s">
        <v>3418</v>
      </c>
      <c r="C9" s="35">
        <v>56</v>
      </c>
    </row>
    <row r="10" spans="1:3" ht="15">
      <c r="A10" s="114" t="s">
        <v>3418</v>
      </c>
      <c r="B10" s="114" t="s">
        <v>3422</v>
      </c>
      <c r="C10" s="35">
        <v>1</v>
      </c>
    </row>
    <row r="11" spans="1:3" ht="15">
      <c r="A11" s="114" t="s">
        <v>3419</v>
      </c>
      <c r="B11" s="114" t="s">
        <v>3416</v>
      </c>
      <c r="C11" s="35">
        <v>2</v>
      </c>
    </row>
    <row r="12" spans="1:3" ht="15">
      <c r="A12" s="114" t="s">
        <v>3419</v>
      </c>
      <c r="B12" s="114" t="s">
        <v>3419</v>
      </c>
      <c r="C12" s="35">
        <v>37</v>
      </c>
    </row>
    <row r="13" spans="1:3" ht="15">
      <c r="A13" s="114" t="s">
        <v>3420</v>
      </c>
      <c r="B13" s="114" t="s">
        <v>3420</v>
      </c>
      <c r="C13" s="35">
        <v>29</v>
      </c>
    </row>
    <row r="14" spans="1:3" ht="15">
      <c r="A14" s="114" t="s">
        <v>3421</v>
      </c>
      <c r="B14" s="114" t="s">
        <v>3421</v>
      </c>
      <c r="C14" s="35">
        <v>29</v>
      </c>
    </row>
    <row r="15" spans="1:3" ht="15">
      <c r="A15" s="114" t="s">
        <v>3422</v>
      </c>
      <c r="B15" s="114" t="s">
        <v>3418</v>
      </c>
      <c r="C15" s="35">
        <v>1</v>
      </c>
    </row>
    <row r="16" spans="1:3" ht="15">
      <c r="A16" s="114" t="s">
        <v>3422</v>
      </c>
      <c r="B16" s="114" t="s">
        <v>3422</v>
      </c>
      <c r="C16" s="35">
        <v>38</v>
      </c>
    </row>
    <row r="17" spans="1:3" ht="15">
      <c r="A17" s="114" t="s">
        <v>3423</v>
      </c>
      <c r="B17" s="114" t="s">
        <v>3423</v>
      </c>
      <c r="C17" s="35">
        <v>22</v>
      </c>
    </row>
    <row r="18" spans="1:3" ht="15">
      <c r="A18" s="114" t="s">
        <v>3424</v>
      </c>
      <c r="B18" s="114" t="s">
        <v>3424</v>
      </c>
      <c r="C18" s="35">
        <v>12</v>
      </c>
    </row>
    <row r="19" spans="1:3" ht="15">
      <c r="A19" s="114" t="s">
        <v>3425</v>
      </c>
      <c r="B19" s="114" t="s">
        <v>3425</v>
      </c>
      <c r="C19" s="35">
        <v>18</v>
      </c>
    </row>
    <row r="20" spans="1:3" ht="15">
      <c r="A20" s="114" t="s">
        <v>3426</v>
      </c>
      <c r="B20" s="114" t="s">
        <v>3417</v>
      </c>
      <c r="C20" s="35">
        <v>1</v>
      </c>
    </row>
    <row r="21" spans="1:3" ht="15">
      <c r="A21" s="114" t="s">
        <v>3426</v>
      </c>
      <c r="B21" s="114" t="s">
        <v>3426</v>
      </c>
      <c r="C21" s="35">
        <v>14</v>
      </c>
    </row>
    <row r="22" spans="1:3" ht="15">
      <c r="A22" s="114" t="s">
        <v>3427</v>
      </c>
      <c r="B22" s="114" t="s">
        <v>3427</v>
      </c>
      <c r="C22" s="35">
        <v>21</v>
      </c>
    </row>
    <row r="23" spans="1:3" ht="15">
      <c r="A23" s="114" t="s">
        <v>3428</v>
      </c>
      <c r="B23" s="114" t="s">
        <v>3428</v>
      </c>
      <c r="C23" s="35">
        <v>6</v>
      </c>
    </row>
    <row r="24" spans="1:3" ht="15">
      <c r="A24" s="114" t="s">
        <v>3429</v>
      </c>
      <c r="B24" s="114" t="s">
        <v>3429</v>
      </c>
      <c r="C24" s="35">
        <v>6</v>
      </c>
    </row>
    <row r="25" spans="1:3" ht="15">
      <c r="A25" s="114" t="s">
        <v>3430</v>
      </c>
      <c r="B25" s="114" t="s">
        <v>3430</v>
      </c>
      <c r="C2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279DC-1441-4357-AE16-5F6C76A1F05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4190</v>
      </c>
      <c r="B1" s="13" t="s">
        <v>17</v>
      </c>
    </row>
    <row r="2" spans="1:2" ht="15">
      <c r="A2" s="80" t="s">
        <v>4191</v>
      </c>
      <c r="B2" s="80" t="s">
        <v>4197</v>
      </c>
    </row>
    <row r="3" spans="1:2" ht="15">
      <c r="A3" s="81" t="s">
        <v>4192</v>
      </c>
      <c r="B3" s="80" t="s">
        <v>4198</v>
      </c>
    </row>
    <row r="4" spans="1:2" ht="15">
      <c r="A4" s="81" t="s">
        <v>4193</v>
      </c>
      <c r="B4" s="80" t="s">
        <v>4199</v>
      </c>
    </row>
    <row r="5" spans="1:2" ht="15">
      <c r="A5" s="81" t="s">
        <v>4194</v>
      </c>
      <c r="B5" s="80" t="s">
        <v>4200</v>
      </c>
    </row>
    <row r="6" spans="1:2" ht="15">
      <c r="A6" s="81" t="s">
        <v>4195</v>
      </c>
      <c r="B6" s="80" t="s">
        <v>4201</v>
      </c>
    </row>
    <row r="7" spans="1:2" ht="15">
      <c r="A7" s="81" t="s">
        <v>4196</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8C548-D635-44E3-8188-ED1A4A270A5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4202</v>
      </c>
      <c r="B1" s="13" t="s">
        <v>34</v>
      </c>
    </row>
    <row r="2" spans="1:2" ht="15">
      <c r="A2" s="105" t="s">
        <v>287</v>
      </c>
      <c r="B2" s="80">
        <v>36656</v>
      </c>
    </row>
    <row r="3" spans="1:2" ht="15">
      <c r="A3" s="108" t="s">
        <v>711</v>
      </c>
      <c r="B3" s="80">
        <v>6470</v>
      </c>
    </row>
    <row r="4" spans="1:2" ht="15">
      <c r="A4" s="108" t="s">
        <v>230</v>
      </c>
      <c r="B4" s="80">
        <v>6048</v>
      </c>
    </row>
    <row r="5" spans="1:2" ht="15">
      <c r="A5" s="108" t="s">
        <v>623</v>
      </c>
      <c r="B5" s="80">
        <v>4833</v>
      </c>
    </row>
    <row r="6" spans="1:2" ht="15">
      <c r="A6" s="108" t="s">
        <v>733</v>
      </c>
      <c r="B6" s="80">
        <v>4416</v>
      </c>
    </row>
    <row r="7" spans="1:2" ht="15">
      <c r="A7" s="108" t="s">
        <v>750</v>
      </c>
      <c r="B7" s="80">
        <v>3438</v>
      </c>
    </row>
    <row r="8" spans="1:2" ht="15">
      <c r="A8" s="108" t="s">
        <v>547</v>
      </c>
      <c r="B8" s="80">
        <v>3100</v>
      </c>
    </row>
    <row r="9" spans="1:2" ht="15">
      <c r="A9" s="108" t="s">
        <v>607</v>
      </c>
      <c r="B9" s="80">
        <v>2868</v>
      </c>
    </row>
    <row r="10" spans="1:2" ht="15">
      <c r="A10" s="108" t="s">
        <v>618</v>
      </c>
      <c r="B10" s="80">
        <v>2736</v>
      </c>
    </row>
    <row r="11" spans="1:2" ht="15">
      <c r="A11" s="108" t="s">
        <v>738</v>
      </c>
      <c r="B11" s="80">
        <v>1680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0FC70-7475-4C26-85B9-7BC53FE22524}">
  <dimension ref="A1:V53"/>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4203</v>
      </c>
      <c r="B1" s="13" t="s">
        <v>4214</v>
      </c>
      <c r="C1" s="13" t="s">
        <v>4215</v>
      </c>
      <c r="D1" s="13" t="s">
        <v>4221</v>
      </c>
      <c r="E1" s="80" t="s">
        <v>4220</v>
      </c>
      <c r="F1" s="80" t="s">
        <v>4223</v>
      </c>
      <c r="G1" s="13" t="s">
        <v>4222</v>
      </c>
      <c r="H1" s="13" t="s">
        <v>4225</v>
      </c>
      <c r="I1" s="13" t="s">
        <v>4224</v>
      </c>
      <c r="J1" s="13" t="s">
        <v>4233</v>
      </c>
      <c r="K1" s="13" t="s">
        <v>4232</v>
      </c>
      <c r="L1" s="13" t="s">
        <v>4235</v>
      </c>
      <c r="M1" s="13" t="s">
        <v>4234</v>
      </c>
      <c r="N1" s="13" t="s">
        <v>4238</v>
      </c>
      <c r="O1" s="80" t="s">
        <v>4237</v>
      </c>
      <c r="P1" s="80" t="s">
        <v>4240</v>
      </c>
      <c r="Q1" s="80" t="s">
        <v>4239</v>
      </c>
      <c r="R1" s="80" t="s">
        <v>4242</v>
      </c>
      <c r="S1" s="80" t="s">
        <v>4241</v>
      </c>
      <c r="T1" s="80" t="s">
        <v>4244</v>
      </c>
      <c r="U1" s="80" t="s">
        <v>4243</v>
      </c>
      <c r="V1" s="80" t="s">
        <v>4245</v>
      </c>
    </row>
    <row r="2" spans="1:22" ht="15">
      <c r="A2" s="85" t="s">
        <v>4204</v>
      </c>
      <c r="B2" s="80">
        <v>2</v>
      </c>
      <c r="C2" s="85" t="s">
        <v>4212</v>
      </c>
      <c r="D2" s="80">
        <v>2</v>
      </c>
      <c r="E2" s="80"/>
      <c r="F2" s="80"/>
      <c r="G2" s="85" t="s">
        <v>4210</v>
      </c>
      <c r="H2" s="80">
        <v>2</v>
      </c>
      <c r="I2" s="85" t="s">
        <v>4206</v>
      </c>
      <c r="J2" s="80">
        <v>2</v>
      </c>
      <c r="K2" s="85" t="s">
        <v>4213</v>
      </c>
      <c r="L2" s="80">
        <v>2</v>
      </c>
      <c r="M2" s="85" t="s">
        <v>4236</v>
      </c>
      <c r="N2" s="80">
        <v>1</v>
      </c>
      <c r="O2" s="80"/>
      <c r="P2" s="80"/>
      <c r="Q2" s="80"/>
      <c r="R2" s="80"/>
      <c r="S2" s="80"/>
      <c r="T2" s="80"/>
      <c r="U2" s="80"/>
      <c r="V2" s="80"/>
    </row>
    <row r="3" spans="1:22" ht="15">
      <c r="A3" s="86" t="s">
        <v>4205</v>
      </c>
      <c r="B3" s="80">
        <v>2</v>
      </c>
      <c r="C3" s="85" t="s">
        <v>4216</v>
      </c>
      <c r="D3" s="80">
        <v>1</v>
      </c>
      <c r="E3" s="80"/>
      <c r="F3" s="80"/>
      <c r="G3" s="80"/>
      <c r="H3" s="80"/>
      <c r="I3" s="85" t="s">
        <v>4207</v>
      </c>
      <c r="J3" s="80">
        <v>2</v>
      </c>
      <c r="K3" s="80"/>
      <c r="L3" s="80"/>
      <c r="M3" s="80"/>
      <c r="N3" s="80"/>
      <c r="O3" s="80"/>
      <c r="P3" s="80"/>
      <c r="Q3" s="80"/>
      <c r="R3" s="80"/>
      <c r="S3" s="80"/>
      <c r="T3" s="80"/>
      <c r="U3" s="80"/>
      <c r="V3" s="80"/>
    </row>
    <row r="4" spans="1:22" ht="15">
      <c r="A4" s="86" t="s">
        <v>4206</v>
      </c>
      <c r="B4" s="80">
        <v>2</v>
      </c>
      <c r="C4" s="85" t="s">
        <v>4217</v>
      </c>
      <c r="D4" s="80">
        <v>1</v>
      </c>
      <c r="E4" s="80"/>
      <c r="F4" s="80"/>
      <c r="G4" s="80"/>
      <c r="H4" s="80"/>
      <c r="I4" s="85" t="s">
        <v>4208</v>
      </c>
      <c r="J4" s="80">
        <v>2</v>
      </c>
      <c r="K4" s="80"/>
      <c r="L4" s="80"/>
      <c r="M4" s="80"/>
      <c r="N4" s="80"/>
      <c r="O4" s="80"/>
      <c r="P4" s="80"/>
      <c r="Q4" s="80"/>
      <c r="R4" s="80"/>
      <c r="S4" s="80"/>
      <c r="T4" s="80"/>
      <c r="U4" s="80"/>
      <c r="V4" s="80"/>
    </row>
    <row r="5" spans="1:22" ht="15">
      <c r="A5" s="86" t="s">
        <v>4207</v>
      </c>
      <c r="B5" s="80">
        <v>2</v>
      </c>
      <c r="C5" s="85" t="s">
        <v>4218</v>
      </c>
      <c r="D5" s="80">
        <v>1</v>
      </c>
      <c r="E5" s="80"/>
      <c r="F5" s="80"/>
      <c r="G5" s="80"/>
      <c r="H5" s="80"/>
      <c r="I5" s="85" t="s">
        <v>4209</v>
      </c>
      <c r="J5" s="80">
        <v>2</v>
      </c>
      <c r="K5" s="80"/>
      <c r="L5" s="80"/>
      <c r="M5" s="80"/>
      <c r="N5" s="80"/>
      <c r="O5" s="80"/>
      <c r="P5" s="80"/>
      <c r="Q5" s="80"/>
      <c r="R5" s="80"/>
      <c r="S5" s="80"/>
      <c r="T5" s="80"/>
      <c r="U5" s="80"/>
      <c r="V5" s="80"/>
    </row>
    <row r="6" spans="1:22" ht="15">
      <c r="A6" s="86" t="s">
        <v>4208</v>
      </c>
      <c r="B6" s="80">
        <v>2</v>
      </c>
      <c r="C6" s="85" t="s">
        <v>4219</v>
      </c>
      <c r="D6" s="80">
        <v>1</v>
      </c>
      <c r="E6" s="80"/>
      <c r="F6" s="80"/>
      <c r="G6" s="80"/>
      <c r="H6" s="80"/>
      <c r="I6" s="85" t="s">
        <v>4226</v>
      </c>
      <c r="J6" s="80">
        <v>1</v>
      </c>
      <c r="K6" s="80"/>
      <c r="L6" s="80"/>
      <c r="M6" s="80"/>
      <c r="N6" s="80"/>
      <c r="O6" s="80"/>
      <c r="P6" s="80"/>
      <c r="Q6" s="80"/>
      <c r="R6" s="80"/>
      <c r="S6" s="80"/>
      <c r="T6" s="80"/>
      <c r="U6" s="80"/>
      <c r="V6" s="80"/>
    </row>
    <row r="7" spans="1:22" ht="15">
      <c r="A7" s="86" t="s">
        <v>4209</v>
      </c>
      <c r="B7" s="80">
        <v>2</v>
      </c>
      <c r="C7" s="80"/>
      <c r="D7" s="80"/>
      <c r="E7" s="80"/>
      <c r="F7" s="80"/>
      <c r="G7" s="80"/>
      <c r="H7" s="80"/>
      <c r="I7" s="85" t="s">
        <v>4227</v>
      </c>
      <c r="J7" s="80">
        <v>1</v>
      </c>
      <c r="K7" s="80"/>
      <c r="L7" s="80"/>
      <c r="M7" s="80"/>
      <c r="N7" s="80"/>
      <c r="O7" s="80"/>
      <c r="P7" s="80"/>
      <c r="Q7" s="80"/>
      <c r="R7" s="80"/>
      <c r="S7" s="80"/>
      <c r="T7" s="80"/>
      <c r="U7" s="80"/>
      <c r="V7" s="80"/>
    </row>
    <row r="8" spans="1:22" ht="15">
      <c r="A8" s="86" t="s">
        <v>4210</v>
      </c>
      <c r="B8" s="80">
        <v>2</v>
      </c>
      <c r="C8" s="80"/>
      <c r="D8" s="80"/>
      <c r="E8" s="80"/>
      <c r="F8" s="80"/>
      <c r="G8" s="80"/>
      <c r="H8" s="80"/>
      <c r="I8" s="85" t="s">
        <v>4228</v>
      </c>
      <c r="J8" s="80">
        <v>1</v>
      </c>
      <c r="K8" s="80"/>
      <c r="L8" s="80"/>
      <c r="M8" s="80"/>
      <c r="N8" s="80"/>
      <c r="O8" s="80"/>
      <c r="P8" s="80"/>
      <c r="Q8" s="80"/>
      <c r="R8" s="80"/>
      <c r="S8" s="80"/>
      <c r="T8" s="80"/>
      <c r="U8" s="80"/>
      <c r="V8" s="80"/>
    </row>
    <row r="9" spans="1:22" ht="15">
      <c r="A9" s="86" t="s">
        <v>4211</v>
      </c>
      <c r="B9" s="80">
        <v>2</v>
      </c>
      <c r="C9" s="80"/>
      <c r="D9" s="80"/>
      <c r="E9" s="80"/>
      <c r="F9" s="80"/>
      <c r="G9" s="80"/>
      <c r="H9" s="80"/>
      <c r="I9" s="85" t="s">
        <v>4229</v>
      </c>
      <c r="J9" s="80">
        <v>1</v>
      </c>
      <c r="K9" s="80"/>
      <c r="L9" s="80"/>
      <c r="M9" s="80"/>
      <c r="N9" s="80"/>
      <c r="O9" s="80"/>
      <c r="P9" s="80"/>
      <c r="Q9" s="80"/>
      <c r="R9" s="80"/>
      <c r="S9" s="80"/>
      <c r="T9" s="80"/>
      <c r="U9" s="80"/>
      <c r="V9" s="80"/>
    </row>
    <row r="10" spans="1:22" ht="15">
      <c r="A10" s="86" t="s">
        <v>4212</v>
      </c>
      <c r="B10" s="80">
        <v>2</v>
      </c>
      <c r="C10" s="80"/>
      <c r="D10" s="80"/>
      <c r="E10" s="80"/>
      <c r="F10" s="80"/>
      <c r="G10" s="80"/>
      <c r="H10" s="80"/>
      <c r="I10" s="85" t="s">
        <v>4230</v>
      </c>
      <c r="J10" s="80">
        <v>1</v>
      </c>
      <c r="K10" s="80"/>
      <c r="L10" s="80"/>
      <c r="M10" s="80"/>
      <c r="N10" s="80"/>
      <c r="O10" s="80"/>
      <c r="P10" s="80"/>
      <c r="Q10" s="80"/>
      <c r="R10" s="80"/>
      <c r="S10" s="80"/>
      <c r="T10" s="80"/>
      <c r="U10" s="80"/>
      <c r="V10" s="80"/>
    </row>
    <row r="11" spans="1:22" ht="15">
      <c r="A11" s="86" t="s">
        <v>4213</v>
      </c>
      <c r="B11" s="80">
        <v>2</v>
      </c>
      <c r="C11" s="80"/>
      <c r="D11" s="80"/>
      <c r="E11" s="80"/>
      <c r="F11" s="80"/>
      <c r="G11" s="80"/>
      <c r="H11" s="80"/>
      <c r="I11" s="85" t="s">
        <v>4231</v>
      </c>
      <c r="J11" s="80">
        <v>1</v>
      </c>
      <c r="K11" s="80"/>
      <c r="L11" s="80"/>
      <c r="M11" s="80"/>
      <c r="N11" s="80"/>
      <c r="O11" s="80"/>
      <c r="P11" s="80"/>
      <c r="Q11" s="80"/>
      <c r="R11" s="80"/>
      <c r="S11" s="80"/>
      <c r="T11" s="80"/>
      <c r="U11" s="80"/>
      <c r="V11" s="80"/>
    </row>
    <row r="14" spans="1:22" ht="15" customHeight="1">
      <c r="A14" s="13" t="s">
        <v>4250</v>
      </c>
      <c r="B14" s="13" t="s">
        <v>4214</v>
      </c>
      <c r="C14" s="13" t="s">
        <v>4259</v>
      </c>
      <c r="D14" s="13" t="s">
        <v>4221</v>
      </c>
      <c r="E14" s="80" t="s">
        <v>4260</v>
      </c>
      <c r="F14" s="80" t="s">
        <v>4223</v>
      </c>
      <c r="G14" s="13" t="s">
        <v>4261</v>
      </c>
      <c r="H14" s="13" t="s">
        <v>4225</v>
      </c>
      <c r="I14" s="13" t="s">
        <v>4262</v>
      </c>
      <c r="J14" s="13" t="s">
        <v>4233</v>
      </c>
      <c r="K14" s="13" t="s">
        <v>4263</v>
      </c>
      <c r="L14" s="13" t="s">
        <v>4235</v>
      </c>
      <c r="M14" s="13" t="s">
        <v>4264</v>
      </c>
      <c r="N14" s="13" t="s">
        <v>4238</v>
      </c>
      <c r="O14" s="80" t="s">
        <v>4265</v>
      </c>
      <c r="P14" s="80" t="s">
        <v>4240</v>
      </c>
      <c r="Q14" s="80" t="s">
        <v>4266</v>
      </c>
      <c r="R14" s="80" t="s">
        <v>4242</v>
      </c>
      <c r="S14" s="80" t="s">
        <v>4267</v>
      </c>
      <c r="T14" s="80" t="s">
        <v>4244</v>
      </c>
      <c r="U14" s="80" t="s">
        <v>4268</v>
      </c>
      <c r="V14" s="80" t="s">
        <v>4245</v>
      </c>
    </row>
    <row r="15" spans="1:22" ht="15">
      <c r="A15" s="80" t="s">
        <v>2772</v>
      </c>
      <c r="B15" s="80">
        <v>28</v>
      </c>
      <c r="C15" s="80" t="s">
        <v>2772</v>
      </c>
      <c r="D15" s="80">
        <v>3</v>
      </c>
      <c r="E15" s="80"/>
      <c r="F15" s="80"/>
      <c r="G15" s="80" t="s">
        <v>2772</v>
      </c>
      <c r="H15" s="80">
        <v>2</v>
      </c>
      <c r="I15" s="80" t="s">
        <v>2772</v>
      </c>
      <c r="J15" s="80">
        <v>23</v>
      </c>
      <c r="K15" s="80" t="s">
        <v>4251</v>
      </c>
      <c r="L15" s="80">
        <v>2</v>
      </c>
      <c r="M15" s="80" t="s">
        <v>2775</v>
      </c>
      <c r="N15" s="80">
        <v>1</v>
      </c>
      <c r="O15" s="80"/>
      <c r="P15" s="80"/>
      <c r="Q15" s="80"/>
      <c r="R15" s="80"/>
      <c r="S15" s="80"/>
      <c r="T15" s="80"/>
      <c r="U15" s="80"/>
      <c r="V15" s="80"/>
    </row>
    <row r="16" spans="1:22" ht="15">
      <c r="A16" s="81" t="s">
        <v>4251</v>
      </c>
      <c r="B16" s="80">
        <v>4</v>
      </c>
      <c r="C16" s="80" t="s">
        <v>4258</v>
      </c>
      <c r="D16" s="80">
        <v>2</v>
      </c>
      <c r="E16" s="80"/>
      <c r="F16" s="80"/>
      <c r="G16" s="80"/>
      <c r="H16" s="80"/>
      <c r="I16" s="80" t="s">
        <v>4251</v>
      </c>
      <c r="J16" s="80">
        <v>2</v>
      </c>
      <c r="K16" s="80"/>
      <c r="L16" s="80"/>
      <c r="M16" s="80"/>
      <c r="N16" s="80"/>
      <c r="O16" s="80"/>
      <c r="P16" s="80"/>
      <c r="Q16" s="80"/>
      <c r="R16" s="80"/>
      <c r="S16" s="80"/>
      <c r="T16" s="80"/>
      <c r="U16" s="80"/>
      <c r="V16" s="80"/>
    </row>
    <row r="17" spans="1:22" ht="15">
      <c r="A17" s="81" t="s">
        <v>4252</v>
      </c>
      <c r="B17" s="80">
        <v>2</v>
      </c>
      <c r="C17" s="80" t="s">
        <v>2774</v>
      </c>
      <c r="D17" s="80">
        <v>1</v>
      </c>
      <c r="E17" s="80"/>
      <c r="F17" s="80"/>
      <c r="G17" s="80"/>
      <c r="H17" s="80"/>
      <c r="I17" s="80" t="s">
        <v>4254</v>
      </c>
      <c r="J17" s="80">
        <v>2</v>
      </c>
      <c r="K17" s="80"/>
      <c r="L17" s="80"/>
      <c r="M17" s="80"/>
      <c r="N17" s="80"/>
      <c r="O17" s="80"/>
      <c r="P17" s="80"/>
      <c r="Q17" s="80"/>
      <c r="R17" s="80"/>
      <c r="S17" s="80"/>
      <c r="T17" s="80"/>
      <c r="U17" s="80"/>
      <c r="V17" s="80"/>
    </row>
    <row r="18" spans="1:22" ht="15">
      <c r="A18" s="81" t="s">
        <v>4253</v>
      </c>
      <c r="B18" s="80">
        <v>2</v>
      </c>
      <c r="C18" s="80"/>
      <c r="D18" s="80"/>
      <c r="E18" s="80"/>
      <c r="F18" s="80"/>
      <c r="G18" s="80"/>
      <c r="H18" s="80"/>
      <c r="I18" s="80" t="s">
        <v>4255</v>
      </c>
      <c r="J18" s="80">
        <v>2</v>
      </c>
      <c r="K18" s="80"/>
      <c r="L18" s="80"/>
      <c r="M18" s="80"/>
      <c r="N18" s="80"/>
      <c r="O18" s="80"/>
      <c r="P18" s="80"/>
      <c r="Q18" s="80"/>
      <c r="R18" s="80"/>
      <c r="S18" s="80"/>
      <c r="T18" s="80"/>
      <c r="U18" s="80"/>
      <c r="V18" s="80"/>
    </row>
    <row r="19" spans="1:22" ht="15">
      <c r="A19" s="81" t="s">
        <v>4254</v>
      </c>
      <c r="B19" s="80">
        <v>2</v>
      </c>
      <c r="C19" s="80"/>
      <c r="D19" s="80"/>
      <c r="E19" s="80"/>
      <c r="F19" s="80"/>
      <c r="G19" s="80"/>
      <c r="H19" s="80"/>
      <c r="I19" s="80" t="s">
        <v>4256</v>
      </c>
      <c r="J19" s="80">
        <v>2</v>
      </c>
      <c r="K19" s="80"/>
      <c r="L19" s="80"/>
      <c r="M19" s="80"/>
      <c r="N19" s="80"/>
      <c r="O19" s="80"/>
      <c r="P19" s="80"/>
      <c r="Q19" s="80"/>
      <c r="R19" s="80"/>
      <c r="S19" s="80"/>
      <c r="T19" s="80"/>
      <c r="U19" s="80"/>
      <c r="V19" s="80"/>
    </row>
    <row r="20" spans="1:22" ht="15">
      <c r="A20" s="81" t="s">
        <v>4255</v>
      </c>
      <c r="B20" s="80">
        <v>2</v>
      </c>
      <c r="C20" s="80"/>
      <c r="D20" s="80"/>
      <c r="E20" s="80"/>
      <c r="F20" s="80"/>
      <c r="G20" s="80"/>
      <c r="H20" s="80"/>
      <c r="I20" s="80" t="s">
        <v>2778</v>
      </c>
      <c r="J20" s="80">
        <v>1</v>
      </c>
      <c r="K20" s="80"/>
      <c r="L20" s="80"/>
      <c r="M20" s="80"/>
      <c r="N20" s="80"/>
      <c r="O20" s="80"/>
      <c r="P20" s="80"/>
      <c r="Q20" s="80"/>
      <c r="R20" s="80"/>
      <c r="S20" s="80"/>
      <c r="T20" s="80"/>
      <c r="U20" s="80"/>
      <c r="V20" s="80"/>
    </row>
    <row r="21" spans="1:22" ht="15">
      <c r="A21" s="81" t="s">
        <v>4256</v>
      </c>
      <c r="B21" s="80">
        <v>2</v>
      </c>
      <c r="C21" s="80"/>
      <c r="D21" s="80"/>
      <c r="E21" s="80"/>
      <c r="F21" s="80"/>
      <c r="G21" s="80"/>
      <c r="H21" s="80"/>
      <c r="I21" s="80"/>
      <c r="J21" s="80"/>
      <c r="K21" s="80"/>
      <c r="L21" s="80"/>
      <c r="M21" s="80"/>
      <c r="N21" s="80"/>
      <c r="O21" s="80"/>
      <c r="P21" s="80"/>
      <c r="Q21" s="80"/>
      <c r="R21" s="80"/>
      <c r="S21" s="80"/>
      <c r="T21" s="80"/>
      <c r="U21" s="80"/>
      <c r="V21" s="80"/>
    </row>
    <row r="22" spans="1:22" ht="15">
      <c r="A22" s="81" t="s">
        <v>4257</v>
      </c>
      <c r="B22" s="80">
        <v>2</v>
      </c>
      <c r="C22" s="80"/>
      <c r="D22" s="80"/>
      <c r="E22" s="80"/>
      <c r="F22" s="80"/>
      <c r="G22" s="80"/>
      <c r="H22" s="80"/>
      <c r="I22" s="80"/>
      <c r="J22" s="80"/>
      <c r="K22" s="80"/>
      <c r="L22" s="80"/>
      <c r="M22" s="80"/>
      <c r="N22" s="80"/>
      <c r="O22" s="80"/>
      <c r="P22" s="80"/>
      <c r="Q22" s="80"/>
      <c r="R22" s="80"/>
      <c r="S22" s="80"/>
      <c r="T22" s="80"/>
      <c r="U22" s="80"/>
      <c r="V22" s="80"/>
    </row>
    <row r="23" spans="1:22" ht="15">
      <c r="A23" s="81" t="s">
        <v>4258</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2778</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80" t="s">
        <v>4273</v>
      </c>
      <c r="B27" s="80" t="s">
        <v>4214</v>
      </c>
      <c r="C27" s="80" t="s">
        <v>4274</v>
      </c>
      <c r="D27" s="80" t="s">
        <v>4221</v>
      </c>
      <c r="E27" s="80" t="s">
        <v>4275</v>
      </c>
      <c r="F27" s="80" t="s">
        <v>4223</v>
      </c>
      <c r="G27" s="80" t="s">
        <v>4276</v>
      </c>
      <c r="H27" s="80" t="s">
        <v>4225</v>
      </c>
      <c r="I27" s="80" t="s">
        <v>4277</v>
      </c>
      <c r="J27" s="80" t="s">
        <v>4233</v>
      </c>
      <c r="K27" s="80" t="s">
        <v>4278</v>
      </c>
      <c r="L27" s="80" t="s">
        <v>4235</v>
      </c>
      <c r="M27" s="80" t="s">
        <v>4279</v>
      </c>
      <c r="N27" s="80" t="s">
        <v>4238</v>
      </c>
      <c r="O27" s="80" t="s">
        <v>4280</v>
      </c>
      <c r="P27" s="80" t="s">
        <v>4240</v>
      </c>
      <c r="Q27" s="80" t="s">
        <v>4281</v>
      </c>
      <c r="R27" s="80" t="s">
        <v>4242</v>
      </c>
      <c r="S27" s="80" t="s">
        <v>4282</v>
      </c>
      <c r="T27" s="80" t="s">
        <v>4244</v>
      </c>
      <c r="U27" s="80" t="s">
        <v>4283</v>
      </c>
      <c r="V27" s="80" t="s">
        <v>4245</v>
      </c>
    </row>
    <row r="28" spans="1:22" ht="15">
      <c r="A28" s="80"/>
      <c r="B28" s="80"/>
      <c r="C28" s="80"/>
      <c r="D28" s="80"/>
      <c r="E28" s="80"/>
      <c r="F28" s="80"/>
      <c r="G28" s="80"/>
      <c r="H28" s="80"/>
      <c r="I28" s="80"/>
      <c r="J28" s="80"/>
      <c r="K28" s="80"/>
      <c r="L28" s="80"/>
      <c r="M28" s="80"/>
      <c r="N28" s="80"/>
      <c r="O28" s="80"/>
      <c r="P28" s="80"/>
      <c r="Q28" s="80"/>
      <c r="R28" s="80"/>
      <c r="S28" s="80"/>
      <c r="T28" s="80"/>
      <c r="U28" s="80"/>
      <c r="V28" s="80"/>
    </row>
    <row r="30" spans="1:22" ht="15" customHeight="1">
      <c r="A30" s="13" t="s">
        <v>4285</v>
      </c>
      <c r="B30" s="13" t="s">
        <v>4214</v>
      </c>
      <c r="C30" s="13" t="s">
        <v>4286</v>
      </c>
      <c r="D30" s="13" t="s">
        <v>4221</v>
      </c>
      <c r="E30" s="13" t="s">
        <v>4287</v>
      </c>
      <c r="F30" s="13" t="s">
        <v>4223</v>
      </c>
      <c r="G30" s="13" t="s">
        <v>4288</v>
      </c>
      <c r="H30" s="13" t="s">
        <v>4225</v>
      </c>
      <c r="I30" s="13" t="s">
        <v>4289</v>
      </c>
      <c r="J30" s="13" t="s">
        <v>4233</v>
      </c>
      <c r="K30" s="13" t="s">
        <v>4290</v>
      </c>
      <c r="L30" s="13" t="s">
        <v>4235</v>
      </c>
      <c r="M30" s="13" t="s">
        <v>4291</v>
      </c>
      <c r="N30" s="13" t="s">
        <v>4238</v>
      </c>
      <c r="O30" s="13" t="s">
        <v>4292</v>
      </c>
      <c r="P30" s="13" t="s">
        <v>4240</v>
      </c>
      <c r="Q30" s="13" t="s">
        <v>4293</v>
      </c>
      <c r="R30" s="13" t="s">
        <v>4242</v>
      </c>
      <c r="S30" s="13" t="s">
        <v>4294</v>
      </c>
      <c r="T30" s="13" t="s">
        <v>4244</v>
      </c>
      <c r="U30" s="13" t="s">
        <v>4295</v>
      </c>
      <c r="V30" s="13" t="s">
        <v>4245</v>
      </c>
    </row>
    <row r="31" spans="1:22" ht="15">
      <c r="A31" s="83" t="s">
        <v>3456</v>
      </c>
      <c r="B31" s="83">
        <v>112</v>
      </c>
      <c r="C31" s="83" t="s">
        <v>3456</v>
      </c>
      <c r="D31" s="83">
        <v>72</v>
      </c>
      <c r="E31" s="83" t="s">
        <v>1152</v>
      </c>
      <c r="F31" s="83">
        <v>17</v>
      </c>
      <c r="G31" s="83" t="s">
        <v>3458</v>
      </c>
      <c r="H31" s="83">
        <v>33</v>
      </c>
      <c r="I31" s="83" t="s">
        <v>3475</v>
      </c>
      <c r="J31" s="83">
        <v>23</v>
      </c>
      <c r="K31" s="83" t="s">
        <v>3467</v>
      </c>
      <c r="L31" s="83">
        <v>12</v>
      </c>
      <c r="M31" s="83" t="s">
        <v>3458</v>
      </c>
      <c r="N31" s="83">
        <v>9</v>
      </c>
      <c r="O31" s="83" t="s">
        <v>3462</v>
      </c>
      <c r="P31" s="83">
        <v>11</v>
      </c>
      <c r="Q31" s="83" t="s">
        <v>3464</v>
      </c>
      <c r="R31" s="83">
        <v>4</v>
      </c>
      <c r="S31" s="83" t="s">
        <v>3461</v>
      </c>
      <c r="T31" s="83">
        <v>7</v>
      </c>
      <c r="U31" s="83" t="s">
        <v>3480</v>
      </c>
      <c r="V31" s="83">
        <v>4</v>
      </c>
    </row>
    <row r="32" spans="1:22" ht="15">
      <c r="A32" s="84" t="s">
        <v>3457</v>
      </c>
      <c r="B32" s="83">
        <v>77</v>
      </c>
      <c r="C32" s="83" t="s">
        <v>3457</v>
      </c>
      <c r="D32" s="83">
        <v>34</v>
      </c>
      <c r="E32" s="83" t="s">
        <v>3466</v>
      </c>
      <c r="F32" s="83">
        <v>13</v>
      </c>
      <c r="G32" s="83" t="s">
        <v>3456</v>
      </c>
      <c r="H32" s="83">
        <v>15</v>
      </c>
      <c r="I32" s="83" t="s">
        <v>3459</v>
      </c>
      <c r="J32" s="83">
        <v>13</v>
      </c>
      <c r="K32" s="83" t="s">
        <v>3461</v>
      </c>
      <c r="L32" s="83">
        <v>8</v>
      </c>
      <c r="M32" s="83" t="s">
        <v>3457</v>
      </c>
      <c r="N32" s="83">
        <v>6</v>
      </c>
      <c r="O32" s="83" t="s">
        <v>3464</v>
      </c>
      <c r="P32" s="83">
        <v>9</v>
      </c>
      <c r="Q32" s="83" t="s">
        <v>3495</v>
      </c>
      <c r="R32" s="83">
        <v>4</v>
      </c>
      <c r="S32" s="83" t="s">
        <v>3466</v>
      </c>
      <c r="T32" s="83">
        <v>4</v>
      </c>
      <c r="U32" s="83" t="s">
        <v>3829</v>
      </c>
      <c r="V32" s="83">
        <v>3</v>
      </c>
    </row>
    <row r="33" spans="1:22" ht="15">
      <c r="A33" s="84" t="s">
        <v>3458</v>
      </c>
      <c r="B33" s="83">
        <v>76</v>
      </c>
      <c r="C33" s="83" t="s">
        <v>3460</v>
      </c>
      <c r="D33" s="83">
        <v>32</v>
      </c>
      <c r="E33" s="83" t="s">
        <v>3503</v>
      </c>
      <c r="F33" s="83">
        <v>11</v>
      </c>
      <c r="G33" s="83" t="s">
        <v>3457</v>
      </c>
      <c r="H33" s="83">
        <v>10</v>
      </c>
      <c r="I33" s="83" t="s">
        <v>3458</v>
      </c>
      <c r="J33" s="83">
        <v>11</v>
      </c>
      <c r="K33" s="83" t="s">
        <v>3460</v>
      </c>
      <c r="L33" s="83">
        <v>8</v>
      </c>
      <c r="M33" s="83" t="s">
        <v>3474</v>
      </c>
      <c r="N33" s="83">
        <v>6</v>
      </c>
      <c r="O33" s="83" t="s">
        <v>3459</v>
      </c>
      <c r="P33" s="83">
        <v>8</v>
      </c>
      <c r="Q33" s="83" t="s">
        <v>3459</v>
      </c>
      <c r="R33" s="83">
        <v>4</v>
      </c>
      <c r="S33" s="83" t="s">
        <v>1152</v>
      </c>
      <c r="T33" s="83">
        <v>4</v>
      </c>
      <c r="U33" s="83" t="s">
        <v>3571</v>
      </c>
      <c r="V33" s="83">
        <v>3</v>
      </c>
    </row>
    <row r="34" spans="1:22" ht="15">
      <c r="A34" s="84" t="s">
        <v>3459</v>
      </c>
      <c r="B34" s="83">
        <v>74</v>
      </c>
      <c r="C34" s="83" t="s">
        <v>3463</v>
      </c>
      <c r="D34" s="83">
        <v>31</v>
      </c>
      <c r="E34" s="83" t="s">
        <v>3469</v>
      </c>
      <c r="F34" s="83">
        <v>10</v>
      </c>
      <c r="G34" s="83" t="s">
        <v>3468</v>
      </c>
      <c r="H34" s="83">
        <v>8</v>
      </c>
      <c r="I34" s="83" t="s">
        <v>3497</v>
      </c>
      <c r="J34" s="83">
        <v>9</v>
      </c>
      <c r="K34" s="83" t="s">
        <v>3527</v>
      </c>
      <c r="L34" s="83">
        <v>8</v>
      </c>
      <c r="M34" s="83" t="s">
        <v>3508</v>
      </c>
      <c r="N34" s="83">
        <v>6</v>
      </c>
      <c r="O34" s="83" t="s">
        <v>3568</v>
      </c>
      <c r="P34" s="83">
        <v>7</v>
      </c>
      <c r="Q34" s="83" t="s">
        <v>3473</v>
      </c>
      <c r="R34" s="83">
        <v>3</v>
      </c>
      <c r="S34" s="83" t="s">
        <v>3462</v>
      </c>
      <c r="T34" s="83">
        <v>3</v>
      </c>
      <c r="U34" s="83" t="s">
        <v>4110</v>
      </c>
      <c r="V34" s="83">
        <v>2</v>
      </c>
    </row>
    <row r="35" spans="1:22" ht="15">
      <c r="A35" s="84" t="s">
        <v>3460</v>
      </c>
      <c r="B35" s="83">
        <v>64</v>
      </c>
      <c r="C35" s="83" t="s">
        <v>3459</v>
      </c>
      <c r="D35" s="83">
        <v>29</v>
      </c>
      <c r="E35" s="83" t="s">
        <v>3461</v>
      </c>
      <c r="F35" s="83">
        <v>9</v>
      </c>
      <c r="G35" s="83" t="s">
        <v>3480</v>
      </c>
      <c r="H35" s="83">
        <v>7</v>
      </c>
      <c r="I35" s="83" t="s">
        <v>3456</v>
      </c>
      <c r="J35" s="83">
        <v>9</v>
      </c>
      <c r="K35" s="83" t="s">
        <v>3457</v>
      </c>
      <c r="L35" s="83">
        <v>7</v>
      </c>
      <c r="M35" s="83" t="s">
        <v>3468</v>
      </c>
      <c r="N35" s="83">
        <v>5</v>
      </c>
      <c r="O35" s="83" t="s">
        <v>3460</v>
      </c>
      <c r="P35" s="83">
        <v>5</v>
      </c>
      <c r="Q35" s="83" t="s">
        <v>3472</v>
      </c>
      <c r="R35" s="83">
        <v>3</v>
      </c>
      <c r="S35" s="83" t="s">
        <v>3459</v>
      </c>
      <c r="T35" s="83">
        <v>3</v>
      </c>
      <c r="U35" s="83" t="s">
        <v>4111</v>
      </c>
      <c r="V35" s="83">
        <v>2</v>
      </c>
    </row>
    <row r="36" spans="1:22" ht="15">
      <c r="A36" s="84" t="s">
        <v>3461</v>
      </c>
      <c r="B36" s="83">
        <v>64</v>
      </c>
      <c r="C36" s="83" t="s">
        <v>3462</v>
      </c>
      <c r="D36" s="83">
        <v>27</v>
      </c>
      <c r="E36" s="83" t="s">
        <v>3472</v>
      </c>
      <c r="F36" s="83">
        <v>8</v>
      </c>
      <c r="G36" s="83" t="s">
        <v>3474</v>
      </c>
      <c r="H36" s="83">
        <v>7</v>
      </c>
      <c r="I36" s="83" t="s">
        <v>3518</v>
      </c>
      <c r="J36" s="83">
        <v>8</v>
      </c>
      <c r="K36" s="83" t="s">
        <v>3542</v>
      </c>
      <c r="L36" s="83">
        <v>5</v>
      </c>
      <c r="M36" s="83" t="s">
        <v>3465</v>
      </c>
      <c r="N36" s="83">
        <v>5</v>
      </c>
      <c r="O36" s="83" t="s">
        <v>3549</v>
      </c>
      <c r="P36" s="83">
        <v>5</v>
      </c>
      <c r="Q36" s="83" t="s">
        <v>3468</v>
      </c>
      <c r="R36" s="83">
        <v>3</v>
      </c>
      <c r="S36" s="83" t="s">
        <v>3456</v>
      </c>
      <c r="T36" s="83">
        <v>3</v>
      </c>
      <c r="U36" s="83" t="s">
        <v>3552</v>
      </c>
      <c r="V36" s="83">
        <v>2</v>
      </c>
    </row>
    <row r="37" spans="1:22" ht="15">
      <c r="A37" s="84" t="s">
        <v>1152</v>
      </c>
      <c r="B37" s="83">
        <v>63</v>
      </c>
      <c r="C37" s="83" t="s">
        <v>3461</v>
      </c>
      <c r="D37" s="83">
        <v>26</v>
      </c>
      <c r="E37" s="83" t="s">
        <v>3597</v>
      </c>
      <c r="F37" s="83">
        <v>6</v>
      </c>
      <c r="G37" s="83" t="s">
        <v>3470</v>
      </c>
      <c r="H37" s="83">
        <v>6</v>
      </c>
      <c r="I37" s="83" t="s">
        <v>3479</v>
      </c>
      <c r="J37" s="83">
        <v>8</v>
      </c>
      <c r="K37" s="83" t="s">
        <v>3458</v>
      </c>
      <c r="L37" s="83">
        <v>5</v>
      </c>
      <c r="M37" s="83" t="s">
        <v>3456</v>
      </c>
      <c r="N37" s="83">
        <v>5</v>
      </c>
      <c r="O37" s="83" t="s">
        <v>3472</v>
      </c>
      <c r="P37" s="83">
        <v>5</v>
      </c>
      <c r="Q37" s="83" t="s">
        <v>3458</v>
      </c>
      <c r="R37" s="83">
        <v>3</v>
      </c>
      <c r="S37" s="83" t="s">
        <v>3460</v>
      </c>
      <c r="T37" s="83">
        <v>3</v>
      </c>
      <c r="U37" s="83" t="s">
        <v>3598</v>
      </c>
      <c r="V37" s="83">
        <v>2</v>
      </c>
    </row>
    <row r="38" spans="1:22" ht="15">
      <c r="A38" s="84" t="s">
        <v>3462</v>
      </c>
      <c r="B38" s="83">
        <v>57</v>
      </c>
      <c r="C38" s="83" t="s">
        <v>3470</v>
      </c>
      <c r="D38" s="83">
        <v>24</v>
      </c>
      <c r="E38" s="83" t="s">
        <v>3639</v>
      </c>
      <c r="F38" s="83">
        <v>5</v>
      </c>
      <c r="G38" s="83" t="s">
        <v>3584</v>
      </c>
      <c r="H38" s="83">
        <v>6</v>
      </c>
      <c r="I38" s="83" t="s">
        <v>3457</v>
      </c>
      <c r="J38" s="83">
        <v>8</v>
      </c>
      <c r="K38" s="83" t="s">
        <v>1152</v>
      </c>
      <c r="L38" s="83">
        <v>5</v>
      </c>
      <c r="M38" s="83" t="s">
        <v>3466</v>
      </c>
      <c r="N38" s="83">
        <v>5</v>
      </c>
      <c r="O38" s="83" t="s">
        <v>3469</v>
      </c>
      <c r="P38" s="83">
        <v>4</v>
      </c>
      <c r="Q38" s="83" t="s">
        <v>3745</v>
      </c>
      <c r="R38" s="83">
        <v>3</v>
      </c>
      <c r="S38" s="83" t="s">
        <v>3665</v>
      </c>
      <c r="T38" s="83">
        <v>3</v>
      </c>
      <c r="U38" s="83"/>
      <c r="V38" s="83"/>
    </row>
    <row r="39" spans="1:22" ht="15">
      <c r="A39" s="84" t="s">
        <v>3463</v>
      </c>
      <c r="B39" s="83">
        <v>45</v>
      </c>
      <c r="C39" s="83" t="s">
        <v>1152</v>
      </c>
      <c r="D39" s="83">
        <v>23</v>
      </c>
      <c r="E39" s="83" t="s">
        <v>3640</v>
      </c>
      <c r="F39" s="83">
        <v>5</v>
      </c>
      <c r="G39" s="83" t="s">
        <v>3508</v>
      </c>
      <c r="H39" s="83">
        <v>6</v>
      </c>
      <c r="I39" s="83" t="s">
        <v>3504</v>
      </c>
      <c r="J39" s="83">
        <v>7</v>
      </c>
      <c r="K39" s="83" t="s">
        <v>3511</v>
      </c>
      <c r="L39" s="83">
        <v>5</v>
      </c>
      <c r="M39" s="83" t="s">
        <v>3484</v>
      </c>
      <c r="N39" s="83">
        <v>4</v>
      </c>
      <c r="O39" s="83" t="s">
        <v>3466</v>
      </c>
      <c r="P39" s="83">
        <v>4</v>
      </c>
      <c r="Q39" s="83" t="s">
        <v>3461</v>
      </c>
      <c r="R39" s="83">
        <v>3</v>
      </c>
      <c r="S39" s="83" t="s">
        <v>3467</v>
      </c>
      <c r="T39" s="83">
        <v>2</v>
      </c>
      <c r="U39" s="83"/>
      <c r="V39" s="83"/>
    </row>
    <row r="40" spans="1:22" ht="15">
      <c r="A40" s="84" t="s">
        <v>3464</v>
      </c>
      <c r="B40" s="83">
        <v>45</v>
      </c>
      <c r="C40" s="83" t="s">
        <v>3465</v>
      </c>
      <c r="D40" s="83">
        <v>22</v>
      </c>
      <c r="E40" s="83" t="s">
        <v>3583</v>
      </c>
      <c r="F40" s="83">
        <v>5</v>
      </c>
      <c r="G40" s="83" t="s">
        <v>3506</v>
      </c>
      <c r="H40" s="83">
        <v>5</v>
      </c>
      <c r="I40" s="83" t="s">
        <v>3090</v>
      </c>
      <c r="J40" s="83">
        <v>6</v>
      </c>
      <c r="K40" s="83" t="s">
        <v>3472</v>
      </c>
      <c r="L40" s="83">
        <v>4</v>
      </c>
      <c r="M40" s="83" t="s">
        <v>3490</v>
      </c>
      <c r="N40" s="83">
        <v>3</v>
      </c>
      <c r="O40" s="83" t="s">
        <v>3463</v>
      </c>
      <c r="P40" s="83">
        <v>3</v>
      </c>
      <c r="Q40" s="83" t="s">
        <v>3488</v>
      </c>
      <c r="R40" s="83">
        <v>3</v>
      </c>
      <c r="S40" s="83" t="s">
        <v>3545</v>
      </c>
      <c r="T40" s="83">
        <v>2</v>
      </c>
      <c r="U40" s="83"/>
      <c r="V40" s="83"/>
    </row>
    <row r="43" spans="1:22" ht="15" customHeight="1">
      <c r="A43" s="13" t="s">
        <v>4313</v>
      </c>
      <c r="B43" s="13" t="s">
        <v>4214</v>
      </c>
      <c r="C43" s="13" t="s">
        <v>4324</v>
      </c>
      <c r="D43" s="13" t="s">
        <v>4221</v>
      </c>
      <c r="E43" s="13" t="s">
        <v>4332</v>
      </c>
      <c r="F43" s="13" t="s">
        <v>4223</v>
      </c>
      <c r="G43" s="13" t="s">
        <v>4341</v>
      </c>
      <c r="H43" s="13" t="s">
        <v>4225</v>
      </c>
      <c r="I43" s="13" t="s">
        <v>4349</v>
      </c>
      <c r="J43" s="13" t="s">
        <v>4233</v>
      </c>
      <c r="K43" s="13" t="s">
        <v>4357</v>
      </c>
      <c r="L43" s="13" t="s">
        <v>4235</v>
      </c>
      <c r="M43" s="13" t="s">
        <v>4367</v>
      </c>
      <c r="N43" s="13" t="s">
        <v>4238</v>
      </c>
      <c r="O43" s="13" t="s">
        <v>4377</v>
      </c>
      <c r="P43" s="13" t="s">
        <v>4240</v>
      </c>
      <c r="Q43" s="13" t="s">
        <v>4380</v>
      </c>
      <c r="R43" s="13" t="s">
        <v>4242</v>
      </c>
      <c r="S43" s="13" t="s">
        <v>4383</v>
      </c>
      <c r="T43" s="13" t="s">
        <v>4244</v>
      </c>
      <c r="U43" s="13" t="s">
        <v>4387</v>
      </c>
      <c r="V43" s="13" t="s">
        <v>4245</v>
      </c>
    </row>
    <row r="44" spans="1:22" ht="15">
      <c r="A44" s="83" t="s">
        <v>4314</v>
      </c>
      <c r="B44" s="83">
        <v>25</v>
      </c>
      <c r="C44" s="83" t="s">
        <v>4314</v>
      </c>
      <c r="D44" s="83">
        <v>14</v>
      </c>
      <c r="E44" s="83" t="s">
        <v>4317</v>
      </c>
      <c r="F44" s="83">
        <v>7</v>
      </c>
      <c r="G44" s="83" t="s">
        <v>4318</v>
      </c>
      <c r="H44" s="83">
        <v>6</v>
      </c>
      <c r="I44" s="83" t="s">
        <v>4315</v>
      </c>
      <c r="J44" s="83">
        <v>8</v>
      </c>
      <c r="K44" s="83" t="s">
        <v>4354</v>
      </c>
      <c r="L44" s="83">
        <v>3</v>
      </c>
      <c r="M44" s="83" t="s">
        <v>4319</v>
      </c>
      <c r="N44" s="83">
        <v>5</v>
      </c>
      <c r="O44" s="83" t="s">
        <v>4314</v>
      </c>
      <c r="P44" s="83">
        <v>4</v>
      </c>
      <c r="Q44" s="83" t="s">
        <v>4381</v>
      </c>
      <c r="R44" s="83">
        <v>2</v>
      </c>
      <c r="S44" s="83" t="s">
        <v>4384</v>
      </c>
      <c r="T44" s="83">
        <v>2</v>
      </c>
      <c r="U44" s="83" t="s">
        <v>4388</v>
      </c>
      <c r="V44" s="83">
        <v>3</v>
      </c>
    </row>
    <row r="45" spans="1:22" ht="15">
      <c r="A45" s="84" t="s">
        <v>4315</v>
      </c>
      <c r="B45" s="83">
        <v>9</v>
      </c>
      <c r="C45" s="83" t="s">
        <v>4320</v>
      </c>
      <c r="D45" s="83">
        <v>7</v>
      </c>
      <c r="E45" s="83" t="s">
        <v>4316</v>
      </c>
      <c r="F45" s="83">
        <v>4</v>
      </c>
      <c r="G45" s="83" t="s">
        <v>4342</v>
      </c>
      <c r="H45" s="83">
        <v>2</v>
      </c>
      <c r="I45" s="83" t="s">
        <v>4350</v>
      </c>
      <c r="J45" s="83">
        <v>4</v>
      </c>
      <c r="K45" s="83" t="s">
        <v>4358</v>
      </c>
      <c r="L45" s="83">
        <v>3</v>
      </c>
      <c r="M45" s="83" t="s">
        <v>4368</v>
      </c>
      <c r="N45" s="83">
        <v>3</v>
      </c>
      <c r="O45" s="83" t="s">
        <v>4316</v>
      </c>
      <c r="P45" s="83">
        <v>2</v>
      </c>
      <c r="Q45" s="83" t="s">
        <v>4321</v>
      </c>
      <c r="R45" s="83">
        <v>2</v>
      </c>
      <c r="S45" s="83" t="s">
        <v>4385</v>
      </c>
      <c r="T45" s="83">
        <v>2</v>
      </c>
      <c r="U45" s="83" t="s">
        <v>4389</v>
      </c>
      <c r="V45" s="83">
        <v>2</v>
      </c>
    </row>
    <row r="46" spans="1:22" ht="15">
      <c r="A46" s="84" t="s">
        <v>4316</v>
      </c>
      <c r="B46" s="83">
        <v>8</v>
      </c>
      <c r="C46" s="83" t="s">
        <v>4325</v>
      </c>
      <c r="D46" s="83">
        <v>5</v>
      </c>
      <c r="E46" s="83" t="s">
        <v>4333</v>
      </c>
      <c r="F46" s="83">
        <v>4</v>
      </c>
      <c r="G46" s="83" t="s">
        <v>4343</v>
      </c>
      <c r="H46" s="83">
        <v>2</v>
      </c>
      <c r="I46" s="83" t="s">
        <v>4321</v>
      </c>
      <c r="J46" s="83">
        <v>4</v>
      </c>
      <c r="K46" s="83" t="s">
        <v>4359</v>
      </c>
      <c r="L46" s="83">
        <v>2</v>
      </c>
      <c r="M46" s="83" t="s">
        <v>4369</v>
      </c>
      <c r="N46" s="83">
        <v>2</v>
      </c>
      <c r="O46" s="83" t="s">
        <v>4378</v>
      </c>
      <c r="P46" s="83">
        <v>2</v>
      </c>
      <c r="Q46" s="83" t="s">
        <v>4382</v>
      </c>
      <c r="R46" s="83">
        <v>2</v>
      </c>
      <c r="S46" s="83" t="s">
        <v>4314</v>
      </c>
      <c r="T46" s="83">
        <v>2</v>
      </c>
      <c r="U46" s="83"/>
      <c r="V46" s="83"/>
    </row>
    <row r="47" spans="1:22" ht="15">
      <c r="A47" s="84" t="s">
        <v>4317</v>
      </c>
      <c r="B47" s="83">
        <v>8</v>
      </c>
      <c r="C47" s="83" t="s">
        <v>4326</v>
      </c>
      <c r="D47" s="83">
        <v>5</v>
      </c>
      <c r="E47" s="83" t="s">
        <v>4334</v>
      </c>
      <c r="F47" s="83">
        <v>4</v>
      </c>
      <c r="G47" s="83" t="s">
        <v>4319</v>
      </c>
      <c r="H47" s="83">
        <v>2</v>
      </c>
      <c r="I47" s="83" t="s">
        <v>4351</v>
      </c>
      <c r="J47" s="83">
        <v>3</v>
      </c>
      <c r="K47" s="83" t="s">
        <v>4360</v>
      </c>
      <c r="L47" s="83">
        <v>2</v>
      </c>
      <c r="M47" s="83" t="s">
        <v>4370</v>
      </c>
      <c r="N47" s="83">
        <v>2</v>
      </c>
      <c r="O47" s="83" t="s">
        <v>4379</v>
      </c>
      <c r="P47" s="83">
        <v>2</v>
      </c>
      <c r="Q47" s="83"/>
      <c r="R47" s="83"/>
      <c r="S47" s="83" t="s">
        <v>4386</v>
      </c>
      <c r="T47" s="83">
        <v>2</v>
      </c>
      <c r="U47" s="83"/>
      <c r="V47" s="83"/>
    </row>
    <row r="48" spans="1:22" ht="15">
      <c r="A48" s="84" t="s">
        <v>4318</v>
      </c>
      <c r="B48" s="83">
        <v>7</v>
      </c>
      <c r="C48" s="83" t="s">
        <v>4327</v>
      </c>
      <c r="D48" s="83">
        <v>5</v>
      </c>
      <c r="E48" s="83" t="s">
        <v>4335</v>
      </c>
      <c r="F48" s="83">
        <v>4</v>
      </c>
      <c r="G48" s="83" t="s">
        <v>4344</v>
      </c>
      <c r="H48" s="83">
        <v>2</v>
      </c>
      <c r="I48" s="83" t="s">
        <v>4352</v>
      </c>
      <c r="J48" s="83">
        <v>3</v>
      </c>
      <c r="K48" s="83" t="s">
        <v>4361</v>
      </c>
      <c r="L48" s="83">
        <v>2</v>
      </c>
      <c r="M48" s="83" t="s">
        <v>4371</v>
      </c>
      <c r="N48" s="83">
        <v>2</v>
      </c>
      <c r="O48" s="83"/>
      <c r="P48" s="83"/>
      <c r="Q48" s="83"/>
      <c r="R48" s="83"/>
      <c r="S48" s="83"/>
      <c r="T48" s="83"/>
      <c r="U48" s="83"/>
      <c r="V48" s="83"/>
    </row>
    <row r="49" spans="1:22" ht="15">
      <c r="A49" s="84" t="s">
        <v>4319</v>
      </c>
      <c r="B49" s="83">
        <v>7</v>
      </c>
      <c r="C49" s="83" t="s">
        <v>4328</v>
      </c>
      <c r="D49" s="83">
        <v>4</v>
      </c>
      <c r="E49" s="83" t="s">
        <v>4336</v>
      </c>
      <c r="F49" s="83">
        <v>3</v>
      </c>
      <c r="G49" s="83" t="s">
        <v>4345</v>
      </c>
      <c r="H49" s="83">
        <v>2</v>
      </c>
      <c r="I49" s="83" t="s">
        <v>4353</v>
      </c>
      <c r="J49" s="83">
        <v>3</v>
      </c>
      <c r="K49" s="83" t="s">
        <v>4362</v>
      </c>
      <c r="L49" s="83">
        <v>2</v>
      </c>
      <c r="M49" s="83" t="s">
        <v>4372</v>
      </c>
      <c r="N49" s="83">
        <v>2</v>
      </c>
      <c r="O49" s="83"/>
      <c r="P49" s="83"/>
      <c r="Q49" s="83"/>
      <c r="R49" s="83"/>
      <c r="S49" s="83"/>
      <c r="T49" s="83"/>
      <c r="U49" s="83"/>
      <c r="V49" s="83"/>
    </row>
    <row r="50" spans="1:22" ht="15">
      <c r="A50" s="84" t="s">
        <v>4320</v>
      </c>
      <c r="B50" s="83">
        <v>7</v>
      </c>
      <c r="C50" s="83" t="s">
        <v>4329</v>
      </c>
      <c r="D50" s="83">
        <v>4</v>
      </c>
      <c r="E50" s="83" t="s">
        <v>4337</v>
      </c>
      <c r="F50" s="83">
        <v>3</v>
      </c>
      <c r="G50" s="83" t="s">
        <v>4346</v>
      </c>
      <c r="H50" s="83">
        <v>2</v>
      </c>
      <c r="I50" s="83" t="s">
        <v>4314</v>
      </c>
      <c r="J50" s="83">
        <v>3</v>
      </c>
      <c r="K50" s="83" t="s">
        <v>4363</v>
      </c>
      <c r="L50" s="83">
        <v>2</v>
      </c>
      <c r="M50" s="83" t="s">
        <v>4373</v>
      </c>
      <c r="N50" s="83">
        <v>2</v>
      </c>
      <c r="O50" s="83"/>
      <c r="P50" s="83"/>
      <c r="Q50" s="83"/>
      <c r="R50" s="83"/>
      <c r="S50" s="83"/>
      <c r="T50" s="83"/>
      <c r="U50" s="83"/>
      <c r="V50" s="83"/>
    </row>
    <row r="51" spans="1:22" ht="15">
      <c r="A51" s="84" t="s">
        <v>4321</v>
      </c>
      <c r="B51" s="83">
        <v>6</v>
      </c>
      <c r="C51" s="83" t="s">
        <v>4330</v>
      </c>
      <c r="D51" s="83">
        <v>4</v>
      </c>
      <c r="E51" s="83" t="s">
        <v>4338</v>
      </c>
      <c r="F51" s="83">
        <v>3</v>
      </c>
      <c r="G51" s="83" t="s">
        <v>4347</v>
      </c>
      <c r="H51" s="83">
        <v>2</v>
      </c>
      <c r="I51" s="83" t="s">
        <v>4354</v>
      </c>
      <c r="J51" s="83">
        <v>2</v>
      </c>
      <c r="K51" s="83" t="s">
        <v>4364</v>
      </c>
      <c r="L51" s="83">
        <v>2</v>
      </c>
      <c r="M51" s="83" t="s">
        <v>4374</v>
      </c>
      <c r="N51" s="83">
        <v>2</v>
      </c>
      <c r="O51" s="83"/>
      <c r="P51" s="83"/>
      <c r="Q51" s="83"/>
      <c r="R51" s="83"/>
      <c r="S51" s="83"/>
      <c r="T51" s="83"/>
      <c r="U51" s="83"/>
      <c r="V51" s="83"/>
    </row>
    <row r="52" spans="1:22" ht="15">
      <c r="A52" s="84" t="s">
        <v>4322</v>
      </c>
      <c r="B52" s="83">
        <v>6</v>
      </c>
      <c r="C52" s="83" t="s">
        <v>4322</v>
      </c>
      <c r="D52" s="83">
        <v>4</v>
      </c>
      <c r="E52" s="83" t="s">
        <v>4339</v>
      </c>
      <c r="F52" s="83">
        <v>3</v>
      </c>
      <c r="G52" s="83" t="s">
        <v>4348</v>
      </c>
      <c r="H52" s="83">
        <v>2</v>
      </c>
      <c r="I52" s="83" t="s">
        <v>4355</v>
      </c>
      <c r="J52" s="83">
        <v>2</v>
      </c>
      <c r="K52" s="83" t="s">
        <v>4365</v>
      </c>
      <c r="L52" s="83">
        <v>2</v>
      </c>
      <c r="M52" s="83" t="s">
        <v>4375</v>
      </c>
      <c r="N52" s="83">
        <v>2</v>
      </c>
      <c r="O52" s="83"/>
      <c r="P52" s="83"/>
      <c r="Q52" s="83"/>
      <c r="R52" s="83"/>
      <c r="S52" s="83"/>
      <c r="T52" s="83"/>
      <c r="U52" s="83"/>
      <c r="V52" s="83"/>
    </row>
    <row r="53" spans="1:22" ht="15">
      <c r="A53" s="84" t="s">
        <v>4323</v>
      </c>
      <c r="B53" s="83">
        <v>6</v>
      </c>
      <c r="C53" s="83" t="s">
        <v>4331</v>
      </c>
      <c r="D53" s="83">
        <v>4</v>
      </c>
      <c r="E53" s="83" t="s">
        <v>4340</v>
      </c>
      <c r="F53" s="83">
        <v>3</v>
      </c>
      <c r="G53" s="83"/>
      <c r="H53" s="83"/>
      <c r="I53" s="83" t="s">
        <v>4356</v>
      </c>
      <c r="J53" s="83">
        <v>2</v>
      </c>
      <c r="K53" s="83" t="s">
        <v>4366</v>
      </c>
      <c r="L53" s="83">
        <v>2</v>
      </c>
      <c r="M53" s="83" t="s">
        <v>4376</v>
      </c>
      <c r="N53" s="83">
        <v>2</v>
      </c>
      <c r="O53" s="83"/>
      <c r="P53" s="83"/>
      <c r="Q53" s="83"/>
      <c r="R53" s="83"/>
      <c r="S53" s="83"/>
      <c r="T53" s="83"/>
      <c r="U53" s="83"/>
      <c r="V53" s="83"/>
    </row>
  </sheetData>
  <hyperlinks>
    <hyperlink ref="A2" r:id="rId1" display="https://www.londonnightguide.com/roof-gardens-table-booking/"/>
    <hyperlink ref="A3" r:id="rId2" display="https://www.instagram.com/londonnightguide/"/>
    <hyperlink ref="A4" r:id="rId3" display="https://www.ko-fi.com/watchedwalker"/>
    <hyperlink ref="A5" r:id="rId4" display="https://www.amazon.com/shop/watchedwalker"/>
    <hyperlink ref="A6" r:id="rId5" display="https://www.amazon.co.uk/shop/watchedwalker"/>
    <hyperlink ref="A7" r:id="rId6" display="https://goo.gl/maps/dH15NwZTWkR2"/>
    <hyperlink ref="A8" r:id="rId7" display="https://www.youtube.com/watch?v=MKuAmGPXS5A"/>
    <hyperlink ref="A9" r:id="rId8" display="http://dachyzielone.net/"/>
    <hyperlink ref="A10" r:id="rId9" display="https://www.gardeners.com/how-to/growing-blue-hydrangeas/8609.html"/>
    <hyperlink ref="A11" r:id="rId10" display="http://ko-fi.com/geekstreettravels"/>
    <hyperlink ref="C2" r:id="rId11" display="https://www.gardeners.com/how-to/growing-blue-hydrangeas/8609.html"/>
    <hyperlink ref="C3" r:id="rId12" display="http://www.youtube.com/results?search_query=%23newsubscriber"/>
    <hyperlink ref="C4" r:id="rId13" display="http://www.youtube.com/results?search_query=%23MrCarrington"/>
    <hyperlink ref="C5" r:id="rId14" display="http://stylish.xxx/"/>
    <hyperlink ref="C6" r:id="rId15" display="https://www.youtube.com/watch?v=xZPSNornzmk&amp;amp;t=2m14s"/>
    <hyperlink ref="G2" r:id="rId16" display="https://www.youtube.com/watch?v=MKuAmGPXS5A"/>
    <hyperlink ref="I2" r:id="rId17" display="https://www.ko-fi.com/watchedwalker"/>
    <hyperlink ref="I3" r:id="rId18" display="https://www.amazon.com/shop/watchedwalker"/>
    <hyperlink ref="I4" r:id="rId19" display="https://www.amazon.co.uk/shop/watchedwalker"/>
    <hyperlink ref="I5" r:id="rId20" display="https://goo.gl/maps/dH15NwZTWkR2"/>
    <hyperlink ref="I6" r:id="rId21" display="https://www.youtube.com/watch?v=tS9IXHSdzJs&amp;amp;t=00m10s"/>
    <hyperlink ref="I7" r:id="rId22" display="https://www.youtube.com/watch?v=tS9IXHSdzJs&amp;amp;t=06m09s"/>
    <hyperlink ref="I8" r:id="rId23" display="https://www.youtube.com/watch?v=tS9IXHSdzJs&amp;amp;t=10m30s"/>
    <hyperlink ref="I9" r:id="rId24" display="https://www.youtube.com/watch?v=tS9IXHSdzJs&amp;amp;t=13m52s"/>
    <hyperlink ref="I10" r:id="rId25" display="https://www.youtube.com/watch?v=tS9IXHSdzJs&amp;amp;t=00m53s"/>
    <hyperlink ref="I11" r:id="rId26" display="https://www.youtube.com/watch?v=tS9IXHSdzJs&amp;amp;t=02m29s"/>
    <hyperlink ref="K2" r:id="rId27" display="http://ko-fi.com/geekstreettravels"/>
    <hyperlink ref="M2" r:id="rId28" display="http://skyline.pe/"/>
  </hyperlinks>
  <printOptions/>
  <pageMargins left="0.7" right="0.7" top="0.75" bottom="0.75" header="0.3" footer="0.3"/>
  <pageSetup orientation="portrait" paperSize="9"/>
  <tableParts>
    <tablePart r:id="rId29"/>
    <tablePart r:id="rId31"/>
    <tablePart r:id="rId30"/>
    <tablePart r:id="rId33"/>
    <tablePart r:id="rId3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FC460-DA99-4AC7-B621-B914996579F4}">
  <dimension ref="A25:B560"/>
  <sheetViews>
    <sheetView workbookViewId="0" topLeftCell="A1"/>
  </sheetViews>
  <sheetFormatPr defaultColWidth="9.140625" defaultRowHeight="15"/>
  <cols>
    <col min="1" max="1" width="18.57421875" style="0" bestFit="1" customWidth="1"/>
    <col min="2" max="2" width="20.57421875" style="0" bestFit="1" customWidth="1"/>
  </cols>
  <sheetData>
    <row r="25" spans="1:2" ht="15">
      <c r="A25" s="117" t="s">
        <v>5343</v>
      </c>
      <c r="B25" t="s">
        <v>5342</v>
      </c>
    </row>
    <row r="26" spans="1:2" ht="15">
      <c r="A26" s="118" t="s">
        <v>2442</v>
      </c>
      <c r="B26" s="3">
        <v>1</v>
      </c>
    </row>
    <row r="27" spans="1:2" ht="15">
      <c r="A27" s="118" t="s">
        <v>2339</v>
      </c>
      <c r="B27" s="3">
        <v>1</v>
      </c>
    </row>
    <row r="28" spans="1:2" ht="15">
      <c r="A28" s="118" t="s">
        <v>2731</v>
      </c>
      <c r="B28" s="3">
        <v>1</v>
      </c>
    </row>
    <row r="29" spans="1:2" ht="15">
      <c r="A29" s="118" t="s">
        <v>2527</v>
      </c>
      <c r="B29" s="3">
        <v>1</v>
      </c>
    </row>
    <row r="30" spans="1:2" ht="15">
      <c r="A30" s="118" t="s">
        <v>2528</v>
      </c>
      <c r="B30" s="3">
        <v>1</v>
      </c>
    </row>
    <row r="31" spans="1:2" ht="15">
      <c r="A31" s="118" t="s">
        <v>2529</v>
      </c>
      <c r="B31" s="3">
        <v>1</v>
      </c>
    </row>
    <row r="32" spans="1:2" ht="15">
      <c r="A32" s="118" t="s">
        <v>2530</v>
      </c>
      <c r="B32" s="3">
        <v>1</v>
      </c>
    </row>
    <row r="33" spans="1:2" ht="15">
      <c r="A33" s="118" t="s">
        <v>2531</v>
      </c>
      <c r="B33" s="3">
        <v>1</v>
      </c>
    </row>
    <row r="34" spans="1:2" ht="15">
      <c r="A34" s="118" t="s">
        <v>2533</v>
      </c>
      <c r="B34" s="3">
        <v>1</v>
      </c>
    </row>
    <row r="35" spans="1:2" ht="15">
      <c r="A35" s="118" t="s">
        <v>2534</v>
      </c>
      <c r="B35" s="3">
        <v>1</v>
      </c>
    </row>
    <row r="36" spans="1:2" ht="15">
      <c r="A36" s="118" t="s">
        <v>2535</v>
      </c>
      <c r="B36" s="3">
        <v>1</v>
      </c>
    </row>
    <row r="37" spans="1:2" ht="15">
      <c r="A37" s="118" t="s">
        <v>2537</v>
      </c>
      <c r="B37" s="3">
        <v>1</v>
      </c>
    </row>
    <row r="38" spans="1:2" ht="15">
      <c r="A38" s="118" t="s">
        <v>2538</v>
      </c>
      <c r="B38" s="3">
        <v>1</v>
      </c>
    </row>
    <row r="39" spans="1:2" ht="15">
      <c r="A39" s="118" t="s">
        <v>2539</v>
      </c>
      <c r="B39" s="3">
        <v>1</v>
      </c>
    </row>
    <row r="40" spans="1:2" ht="15">
      <c r="A40" s="118" t="s">
        <v>2413</v>
      </c>
      <c r="B40" s="3">
        <v>1</v>
      </c>
    </row>
    <row r="41" spans="1:2" ht="15">
      <c r="A41" s="118" t="s">
        <v>2561</v>
      </c>
      <c r="B41" s="3">
        <v>1</v>
      </c>
    </row>
    <row r="42" spans="1:2" ht="15">
      <c r="A42" s="118" t="s">
        <v>2488</v>
      </c>
      <c r="B42" s="3">
        <v>1</v>
      </c>
    </row>
    <row r="43" spans="1:2" ht="15">
      <c r="A43" s="118" t="s">
        <v>2419</v>
      </c>
      <c r="B43" s="3">
        <v>1</v>
      </c>
    </row>
    <row r="44" spans="1:2" ht="15">
      <c r="A44" s="118" t="s">
        <v>2453</v>
      </c>
      <c r="B44" s="3">
        <v>1</v>
      </c>
    </row>
    <row r="45" spans="1:2" ht="15">
      <c r="A45" s="118" t="s">
        <v>2454</v>
      </c>
      <c r="B45" s="3">
        <v>1</v>
      </c>
    </row>
    <row r="46" spans="1:2" ht="15">
      <c r="A46" s="118" t="s">
        <v>2591</v>
      </c>
      <c r="B46" s="3">
        <v>1</v>
      </c>
    </row>
    <row r="47" spans="1:2" ht="15">
      <c r="A47" s="118" t="s">
        <v>2594</v>
      </c>
      <c r="B47" s="3">
        <v>1</v>
      </c>
    </row>
    <row r="48" spans="1:2" ht="15">
      <c r="A48" s="118" t="s">
        <v>2596</v>
      </c>
      <c r="B48" s="3">
        <v>1</v>
      </c>
    </row>
    <row r="49" spans="1:2" ht="15">
      <c r="A49" s="118" t="s">
        <v>2484</v>
      </c>
      <c r="B49" s="3">
        <v>1</v>
      </c>
    </row>
    <row r="50" spans="1:2" ht="15">
      <c r="A50" s="118" t="s">
        <v>2569</v>
      </c>
      <c r="B50" s="3">
        <v>1</v>
      </c>
    </row>
    <row r="51" spans="1:2" ht="15">
      <c r="A51" s="118" t="s">
        <v>2541</v>
      </c>
      <c r="B51" s="3">
        <v>1</v>
      </c>
    </row>
    <row r="52" spans="1:2" ht="15">
      <c r="A52" s="118" t="s">
        <v>2542</v>
      </c>
      <c r="B52" s="3">
        <v>1</v>
      </c>
    </row>
    <row r="53" spans="1:2" ht="15">
      <c r="A53" s="118" t="s">
        <v>2543</v>
      </c>
      <c r="B53" s="3">
        <v>1</v>
      </c>
    </row>
    <row r="54" spans="1:2" ht="15">
      <c r="A54" s="118" t="s">
        <v>2545</v>
      </c>
      <c r="B54" s="3">
        <v>1</v>
      </c>
    </row>
    <row r="55" spans="1:2" ht="15">
      <c r="A55" s="118" t="s">
        <v>2341</v>
      </c>
      <c r="B55" s="3">
        <v>1</v>
      </c>
    </row>
    <row r="56" spans="1:2" ht="15">
      <c r="A56" s="118" t="s">
        <v>2546</v>
      </c>
      <c r="B56" s="3">
        <v>1</v>
      </c>
    </row>
    <row r="57" spans="1:2" ht="15">
      <c r="A57" s="118" t="s">
        <v>2548</v>
      </c>
      <c r="B57" s="3">
        <v>1</v>
      </c>
    </row>
    <row r="58" spans="1:2" ht="15">
      <c r="A58" s="118" t="s">
        <v>2415</v>
      </c>
      <c r="B58" s="3">
        <v>1</v>
      </c>
    </row>
    <row r="59" spans="1:2" ht="15">
      <c r="A59" s="118" t="s">
        <v>2386</v>
      </c>
      <c r="B59" s="3">
        <v>1</v>
      </c>
    </row>
    <row r="60" spans="1:2" ht="15">
      <c r="A60" s="118" t="s">
        <v>2554</v>
      </c>
      <c r="B60" s="3">
        <v>1</v>
      </c>
    </row>
    <row r="61" spans="1:2" ht="15">
      <c r="A61" s="118" t="s">
        <v>2397</v>
      </c>
      <c r="B61" s="3">
        <v>1</v>
      </c>
    </row>
    <row r="62" spans="1:2" ht="15">
      <c r="A62" s="118" t="s">
        <v>2691</v>
      </c>
      <c r="B62" s="3">
        <v>1</v>
      </c>
    </row>
    <row r="63" spans="1:2" ht="15">
      <c r="A63" s="118" t="s">
        <v>2446</v>
      </c>
      <c r="B63" s="3">
        <v>1</v>
      </c>
    </row>
    <row r="64" spans="1:2" ht="15">
      <c r="A64" s="118" t="s">
        <v>2457</v>
      </c>
      <c r="B64" s="3">
        <v>1</v>
      </c>
    </row>
    <row r="65" spans="1:2" ht="15">
      <c r="A65" s="118" t="s">
        <v>2458</v>
      </c>
      <c r="B65" s="3">
        <v>1</v>
      </c>
    </row>
    <row r="66" spans="1:2" ht="15">
      <c r="A66" s="118" t="s">
        <v>2449</v>
      </c>
      <c r="B66" s="3">
        <v>1</v>
      </c>
    </row>
    <row r="67" spans="1:2" ht="15">
      <c r="A67" s="118" t="s">
        <v>2583</v>
      </c>
      <c r="B67" s="3">
        <v>1</v>
      </c>
    </row>
    <row r="68" spans="1:2" ht="15">
      <c r="A68" s="118" t="s">
        <v>2502</v>
      </c>
      <c r="B68" s="3">
        <v>1</v>
      </c>
    </row>
    <row r="69" spans="1:2" ht="15">
      <c r="A69" s="118" t="s">
        <v>2503</v>
      </c>
      <c r="B69" s="3">
        <v>1</v>
      </c>
    </row>
    <row r="70" spans="1:2" ht="15">
      <c r="A70" s="118" t="s">
        <v>2504</v>
      </c>
      <c r="B70" s="3">
        <v>1</v>
      </c>
    </row>
    <row r="71" spans="1:2" ht="15">
      <c r="A71" s="118" t="s">
        <v>2505</v>
      </c>
      <c r="B71" s="3">
        <v>1</v>
      </c>
    </row>
    <row r="72" spans="1:2" ht="15">
      <c r="A72" s="118" t="s">
        <v>2506</v>
      </c>
      <c r="B72" s="3">
        <v>1</v>
      </c>
    </row>
    <row r="73" spans="1:2" ht="15">
      <c r="A73" s="118" t="s">
        <v>2507</v>
      </c>
      <c r="B73" s="3">
        <v>1</v>
      </c>
    </row>
    <row r="74" spans="1:2" ht="15">
      <c r="A74" s="118" t="s">
        <v>2508</v>
      </c>
      <c r="B74" s="3">
        <v>1</v>
      </c>
    </row>
    <row r="75" spans="1:2" ht="15">
      <c r="A75" s="118" t="s">
        <v>2510</v>
      </c>
      <c r="B75" s="3">
        <v>1</v>
      </c>
    </row>
    <row r="76" spans="1:2" ht="15">
      <c r="A76" s="118" t="s">
        <v>2511</v>
      </c>
      <c r="B76" s="3">
        <v>1</v>
      </c>
    </row>
    <row r="77" spans="1:2" ht="15">
      <c r="A77" s="118" t="s">
        <v>2512</v>
      </c>
      <c r="B77" s="3">
        <v>1</v>
      </c>
    </row>
    <row r="78" spans="1:2" ht="15">
      <c r="A78" s="118" t="s">
        <v>2513</v>
      </c>
      <c r="B78" s="3">
        <v>1</v>
      </c>
    </row>
    <row r="79" spans="1:2" ht="15">
      <c r="A79" s="118" t="s">
        <v>2514</v>
      </c>
      <c r="B79" s="3">
        <v>1</v>
      </c>
    </row>
    <row r="80" spans="1:2" ht="15">
      <c r="A80" s="118" t="s">
        <v>2515</v>
      </c>
      <c r="B80" s="3">
        <v>1</v>
      </c>
    </row>
    <row r="81" spans="1:2" ht="15">
      <c r="A81" s="118" t="s">
        <v>2516</v>
      </c>
      <c r="B81" s="3">
        <v>1</v>
      </c>
    </row>
    <row r="82" spans="1:2" ht="15">
      <c r="A82" s="118" t="s">
        <v>2517</v>
      </c>
      <c r="B82" s="3">
        <v>1</v>
      </c>
    </row>
    <row r="83" spans="1:2" ht="15">
      <c r="A83" s="118" t="s">
        <v>2518</v>
      </c>
      <c r="B83" s="3">
        <v>1</v>
      </c>
    </row>
    <row r="84" spans="1:2" ht="15">
      <c r="A84" s="118" t="s">
        <v>2519</v>
      </c>
      <c r="B84" s="3">
        <v>1</v>
      </c>
    </row>
    <row r="85" spans="1:2" ht="15">
      <c r="A85" s="118" t="s">
        <v>2550</v>
      </c>
      <c r="B85" s="3">
        <v>1</v>
      </c>
    </row>
    <row r="86" spans="1:2" ht="15">
      <c r="A86" s="118" t="s">
        <v>2552</v>
      </c>
      <c r="B86" s="3">
        <v>1</v>
      </c>
    </row>
    <row r="87" spans="1:2" ht="15">
      <c r="A87" s="118" t="s">
        <v>2553</v>
      </c>
      <c r="B87" s="3">
        <v>1</v>
      </c>
    </row>
    <row r="88" spans="1:2" ht="15">
      <c r="A88" s="118" t="s">
        <v>2387</v>
      </c>
      <c r="B88" s="3">
        <v>1</v>
      </c>
    </row>
    <row r="89" spans="1:2" ht="15">
      <c r="A89" s="118" t="s">
        <v>2389</v>
      </c>
      <c r="B89" s="3">
        <v>1</v>
      </c>
    </row>
    <row r="90" spans="1:2" ht="15">
      <c r="A90" s="118" t="s">
        <v>2737</v>
      </c>
      <c r="B90" s="3">
        <v>1</v>
      </c>
    </row>
    <row r="91" spans="1:2" ht="15">
      <c r="A91" s="118" t="s">
        <v>2600</v>
      </c>
      <c r="B91" s="3">
        <v>1</v>
      </c>
    </row>
    <row r="92" spans="1:2" ht="15">
      <c r="A92" s="118" t="s">
        <v>2602</v>
      </c>
      <c r="B92" s="3">
        <v>1</v>
      </c>
    </row>
    <row r="93" spans="1:2" ht="15">
      <c r="A93" s="118" t="s">
        <v>2604</v>
      </c>
      <c r="B93" s="3">
        <v>1</v>
      </c>
    </row>
    <row r="94" spans="1:2" ht="15">
      <c r="A94" s="118" t="s">
        <v>2605</v>
      </c>
      <c r="B94" s="3">
        <v>1</v>
      </c>
    </row>
    <row r="95" spans="1:2" ht="15">
      <c r="A95" s="118" t="s">
        <v>2607</v>
      </c>
      <c r="B95" s="3">
        <v>1</v>
      </c>
    </row>
    <row r="96" spans="1:2" ht="15">
      <c r="A96" s="118" t="s">
        <v>2623</v>
      </c>
      <c r="B96" s="3">
        <v>1</v>
      </c>
    </row>
    <row r="97" spans="1:2" ht="15">
      <c r="A97" s="118" t="s">
        <v>2609</v>
      </c>
      <c r="B97" s="3">
        <v>1</v>
      </c>
    </row>
    <row r="98" spans="1:2" ht="15">
      <c r="A98" s="118" t="s">
        <v>2614</v>
      </c>
      <c r="B98" s="3">
        <v>1</v>
      </c>
    </row>
    <row r="99" spans="1:2" ht="15">
      <c r="A99" s="118" t="s">
        <v>2616</v>
      </c>
      <c r="B99" s="3">
        <v>1</v>
      </c>
    </row>
    <row r="100" spans="1:2" ht="15">
      <c r="A100" s="118" t="s">
        <v>2618</v>
      </c>
      <c r="B100" s="3">
        <v>1</v>
      </c>
    </row>
    <row r="101" spans="1:2" ht="15">
      <c r="A101" s="118" t="s">
        <v>2620</v>
      </c>
      <c r="B101" s="3">
        <v>1</v>
      </c>
    </row>
    <row r="102" spans="1:2" ht="15">
      <c r="A102" s="118" t="s">
        <v>2625</v>
      </c>
      <c r="B102" s="3">
        <v>1</v>
      </c>
    </row>
    <row r="103" spans="1:2" ht="15">
      <c r="A103" s="118" t="s">
        <v>2432</v>
      </c>
      <c r="B103" s="3">
        <v>1</v>
      </c>
    </row>
    <row r="104" spans="1:2" ht="15">
      <c r="A104" s="118" t="s">
        <v>2436</v>
      </c>
      <c r="B104" s="3">
        <v>1</v>
      </c>
    </row>
    <row r="105" spans="1:2" ht="15">
      <c r="A105" s="118" t="s">
        <v>2444</v>
      </c>
      <c r="B105" s="3">
        <v>1</v>
      </c>
    </row>
    <row r="106" spans="1:2" ht="15">
      <c r="A106" s="118" t="s">
        <v>2445</v>
      </c>
      <c r="B106" s="3">
        <v>1</v>
      </c>
    </row>
    <row r="107" spans="1:2" ht="15">
      <c r="A107" s="118" t="s">
        <v>2492</v>
      </c>
      <c r="B107" s="3">
        <v>1</v>
      </c>
    </row>
    <row r="108" spans="1:2" ht="15">
      <c r="A108" s="118" t="s">
        <v>2450</v>
      </c>
      <c r="B108" s="3">
        <v>1</v>
      </c>
    </row>
    <row r="109" spans="1:2" ht="15">
      <c r="A109" s="118" t="s">
        <v>2573</v>
      </c>
      <c r="B109" s="3">
        <v>1</v>
      </c>
    </row>
    <row r="110" spans="1:2" ht="15">
      <c r="A110" s="118" t="s">
        <v>2574</v>
      </c>
      <c r="B110" s="3">
        <v>1</v>
      </c>
    </row>
    <row r="111" spans="1:2" ht="15">
      <c r="A111" s="118" t="s">
        <v>2575</v>
      </c>
      <c r="B111" s="3">
        <v>1</v>
      </c>
    </row>
    <row r="112" spans="1:2" ht="15">
      <c r="A112" s="118" t="s">
        <v>2570</v>
      </c>
      <c r="B112" s="3">
        <v>1</v>
      </c>
    </row>
    <row r="113" spans="1:2" ht="15">
      <c r="A113" s="118" t="s">
        <v>2571</v>
      </c>
      <c r="B113" s="3">
        <v>1</v>
      </c>
    </row>
    <row r="114" spans="1:2" ht="15">
      <c r="A114" s="118" t="s">
        <v>2572</v>
      </c>
      <c r="B114" s="3">
        <v>1</v>
      </c>
    </row>
    <row r="115" spans="1:2" ht="15">
      <c r="A115" s="118" t="s">
        <v>2520</v>
      </c>
      <c r="B115" s="3">
        <v>1</v>
      </c>
    </row>
    <row r="116" spans="1:2" ht="15">
      <c r="A116" s="118" t="s">
        <v>2522</v>
      </c>
      <c r="B116" s="3">
        <v>1</v>
      </c>
    </row>
    <row r="117" spans="1:2" ht="15">
      <c r="A117" s="118" t="s">
        <v>2523</v>
      </c>
      <c r="B117" s="3">
        <v>1</v>
      </c>
    </row>
    <row r="118" spans="1:2" ht="15">
      <c r="A118" s="118" t="s">
        <v>2493</v>
      </c>
      <c r="B118" s="3">
        <v>1</v>
      </c>
    </row>
    <row r="119" spans="1:2" ht="15">
      <c r="A119" s="118" t="s">
        <v>2494</v>
      </c>
      <c r="B119" s="3">
        <v>1</v>
      </c>
    </row>
    <row r="120" spans="1:2" ht="15">
      <c r="A120" s="118" t="s">
        <v>2406</v>
      </c>
      <c r="B120" s="3">
        <v>1</v>
      </c>
    </row>
    <row r="121" spans="1:2" ht="15">
      <c r="A121" s="118" t="s">
        <v>2416</v>
      </c>
      <c r="B121" s="3">
        <v>1</v>
      </c>
    </row>
    <row r="122" spans="1:2" ht="15">
      <c r="A122" s="118" t="s">
        <v>2461</v>
      </c>
      <c r="B122" s="3">
        <v>1</v>
      </c>
    </row>
    <row r="123" spans="1:2" ht="15">
      <c r="A123" s="118" t="s">
        <v>2464</v>
      </c>
      <c r="B123" s="3">
        <v>1</v>
      </c>
    </row>
    <row r="124" spans="1:2" ht="15">
      <c r="A124" s="118" t="s">
        <v>2627</v>
      </c>
      <c r="B124" s="3">
        <v>1</v>
      </c>
    </row>
    <row r="125" spans="1:2" ht="15">
      <c r="A125" s="118" t="s">
        <v>2629</v>
      </c>
      <c r="B125" s="3">
        <v>1</v>
      </c>
    </row>
    <row r="126" spans="1:2" ht="15">
      <c r="A126" s="118" t="s">
        <v>2631</v>
      </c>
      <c r="B126" s="3">
        <v>1</v>
      </c>
    </row>
    <row r="127" spans="1:2" ht="15">
      <c r="A127" s="118" t="s">
        <v>2633</v>
      </c>
      <c r="B127" s="3">
        <v>1</v>
      </c>
    </row>
    <row r="128" spans="1:2" ht="15">
      <c r="A128" s="118" t="s">
        <v>2634</v>
      </c>
      <c r="B128" s="3">
        <v>1</v>
      </c>
    </row>
    <row r="129" spans="1:2" ht="15">
      <c r="A129" s="118" t="s">
        <v>2635</v>
      </c>
      <c r="B129" s="3">
        <v>1</v>
      </c>
    </row>
    <row r="130" spans="1:2" ht="15">
      <c r="A130" s="118" t="s">
        <v>2638</v>
      </c>
      <c r="B130" s="3">
        <v>1</v>
      </c>
    </row>
    <row r="131" spans="1:2" ht="15">
      <c r="A131" s="118" t="s">
        <v>2640</v>
      </c>
      <c r="B131" s="3">
        <v>1</v>
      </c>
    </row>
    <row r="132" spans="1:2" ht="15">
      <c r="A132" s="118" t="s">
        <v>2641</v>
      </c>
      <c r="B132" s="3">
        <v>1</v>
      </c>
    </row>
    <row r="133" spans="1:2" ht="15">
      <c r="A133" s="118" t="s">
        <v>2431</v>
      </c>
      <c r="B133" s="3">
        <v>1</v>
      </c>
    </row>
    <row r="134" spans="1:2" ht="15">
      <c r="A134" s="118" t="s">
        <v>2469</v>
      </c>
      <c r="B134" s="3">
        <v>1</v>
      </c>
    </row>
    <row r="135" spans="1:2" ht="15">
      <c r="A135" s="118" t="s">
        <v>2437</v>
      </c>
      <c r="B135" s="3">
        <v>1</v>
      </c>
    </row>
    <row r="136" spans="1:2" ht="15">
      <c r="A136" s="118" t="s">
        <v>2598</v>
      </c>
      <c r="B136" s="3">
        <v>1</v>
      </c>
    </row>
    <row r="137" spans="1:2" ht="15">
      <c r="A137" s="118" t="s">
        <v>2678</v>
      </c>
      <c r="B137" s="3">
        <v>1</v>
      </c>
    </row>
    <row r="138" spans="1:2" ht="15">
      <c r="A138" s="118" t="s">
        <v>2679</v>
      </c>
      <c r="B138" s="3">
        <v>1</v>
      </c>
    </row>
    <row r="139" spans="1:2" ht="15">
      <c r="A139" s="118" t="s">
        <v>2680</v>
      </c>
      <c r="B139" s="3">
        <v>1</v>
      </c>
    </row>
    <row r="140" spans="1:2" ht="15">
      <c r="A140" s="118" t="s">
        <v>2681</v>
      </c>
      <c r="B140" s="3">
        <v>1</v>
      </c>
    </row>
    <row r="141" spans="1:2" ht="15">
      <c r="A141" s="118" t="s">
        <v>2682</v>
      </c>
      <c r="B141" s="3">
        <v>1</v>
      </c>
    </row>
    <row r="142" spans="1:2" ht="15">
      <c r="A142" s="118" t="s">
        <v>2683</v>
      </c>
      <c r="B142" s="3">
        <v>1</v>
      </c>
    </row>
    <row r="143" spans="1:2" ht="15">
      <c r="A143" s="118" t="s">
        <v>2684</v>
      </c>
      <c r="B143" s="3">
        <v>1</v>
      </c>
    </row>
    <row r="144" spans="1:2" ht="15">
      <c r="A144" s="118" t="s">
        <v>2685</v>
      </c>
      <c r="B144" s="3">
        <v>1</v>
      </c>
    </row>
    <row r="145" spans="1:2" ht="15">
      <c r="A145" s="118" t="s">
        <v>2687</v>
      </c>
      <c r="B145" s="3">
        <v>1</v>
      </c>
    </row>
    <row r="146" spans="1:2" ht="15">
      <c r="A146" s="118" t="s">
        <v>2674</v>
      </c>
      <c r="B146" s="3">
        <v>1</v>
      </c>
    </row>
    <row r="147" spans="1:2" ht="15">
      <c r="A147" s="118" t="s">
        <v>2563</v>
      </c>
      <c r="B147" s="3">
        <v>1</v>
      </c>
    </row>
    <row r="148" spans="1:2" ht="15">
      <c r="A148" s="118" t="s">
        <v>2642</v>
      </c>
      <c r="B148" s="3">
        <v>1</v>
      </c>
    </row>
    <row r="149" spans="1:2" ht="15">
      <c r="A149" s="118" t="s">
        <v>2409</v>
      </c>
      <c r="B149" s="3">
        <v>1</v>
      </c>
    </row>
    <row r="150" spans="1:2" ht="15">
      <c r="A150" s="118" t="s">
        <v>2644</v>
      </c>
      <c r="B150" s="3">
        <v>1</v>
      </c>
    </row>
    <row r="151" spans="1:2" ht="15">
      <c r="A151" s="118" t="s">
        <v>2646</v>
      </c>
      <c r="B151" s="3">
        <v>1</v>
      </c>
    </row>
    <row r="152" spans="1:2" ht="15">
      <c r="A152" s="118" t="s">
        <v>2438</v>
      </c>
      <c r="B152" s="3">
        <v>1</v>
      </c>
    </row>
    <row r="153" spans="1:2" ht="15">
      <c r="A153" s="118" t="s">
        <v>2688</v>
      </c>
      <c r="B153" s="3">
        <v>1</v>
      </c>
    </row>
    <row r="154" spans="1:2" ht="15">
      <c r="A154" s="118" t="s">
        <v>2425</v>
      </c>
      <c r="B154" s="3">
        <v>1</v>
      </c>
    </row>
    <row r="155" spans="1:2" ht="15">
      <c r="A155" s="118" t="s">
        <v>2524</v>
      </c>
      <c r="B155" s="3">
        <v>1</v>
      </c>
    </row>
    <row r="156" spans="1:2" ht="15">
      <c r="A156" s="118" t="s">
        <v>2361</v>
      </c>
      <c r="B156" s="3">
        <v>1</v>
      </c>
    </row>
    <row r="157" spans="1:2" ht="15">
      <c r="A157" s="118" t="s">
        <v>2676</v>
      </c>
      <c r="B157" s="3">
        <v>1</v>
      </c>
    </row>
    <row r="158" spans="1:2" ht="15">
      <c r="A158" s="118" t="s">
        <v>2647</v>
      </c>
      <c r="B158" s="3">
        <v>1</v>
      </c>
    </row>
    <row r="159" spans="1:2" ht="15">
      <c r="A159" s="118" t="s">
        <v>2648</v>
      </c>
      <c r="B159" s="3">
        <v>1</v>
      </c>
    </row>
    <row r="160" spans="1:2" ht="15">
      <c r="A160" s="118" t="s">
        <v>2650</v>
      </c>
      <c r="B160" s="3">
        <v>1</v>
      </c>
    </row>
    <row r="161" spans="1:2" ht="15">
      <c r="A161" s="118" t="s">
        <v>2479</v>
      </c>
      <c r="B161" s="3">
        <v>1</v>
      </c>
    </row>
    <row r="162" spans="1:2" ht="15">
      <c r="A162" s="118" t="s">
        <v>2423</v>
      </c>
      <c r="B162" s="3">
        <v>1</v>
      </c>
    </row>
    <row r="163" spans="1:2" ht="15">
      <c r="A163" s="118" t="s">
        <v>2692</v>
      </c>
      <c r="B163" s="3">
        <v>1</v>
      </c>
    </row>
    <row r="164" spans="1:2" ht="15">
      <c r="A164" s="118" t="s">
        <v>2689</v>
      </c>
      <c r="B164" s="3">
        <v>1</v>
      </c>
    </row>
    <row r="165" spans="1:2" ht="15">
      <c r="A165" s="118" t="s">
        <v>2578</v>
      </c>
      <c r="B165" s="3">
        <v>1</v>
      </c>
    </row>
    <row r="166" spans="1:2" ht="15">
      <c r="A166" s="118" t="s">
        <v>2525</v>
      </c>
      <c r="B166" s="3">
        <v>1</v>
      </c>
    </row>
    <row r="167" spans="1:2" ht="15">
      <c r="A167" s="118" t="s">
        <v>2565</v>
      </c>
      <c r="B167" s="3">
        <v>1</v>
      </c>
    </row>
    <row r="168" spans="1:2" ht="15">
      <c r="A168" s="118" t="s">
        <v>2652</v>
      </c>
      <c r="B168" s="3">
        <v>1</v>
      </c>
    </row>
    <row r="169" spans="1:2" ht="15">
      <c r="A169" s="118" t="s">
        <v>2653</v>
      </c>
      <c r="B169" s="3">
        <v>1</v>
      </c>
    </row>
    <row r="170" spans="1:2" ht="15">
      <c r="A170" s="118" t="s">
        <v>2655</v>
      </c>
      <c r="B170" s="3">
        <v>1</v>
      </c>
    </row>
    <row r="171" spans="1:2" ht="15">
      <c r="A171" s="118" t="s">
        <v>2657</v>
      </c>
      <c r="B171" s="3">
        <v>1</v>
      </c>
    </row>
    <row r="172" spans="1:2" ht="15">
      <c r="A172" s="118" t="s">
        <v>2659</v>
      </c>
      <c r="B172" s="3">
        <v>1</v>
      </c>
    </row>
    <row r="173" spans="1:2" ht="15">
      <c r="A173" s="118" t="s">
        <v>2470</v>
      </c>
      <c r="B173" s="3">
        <v>1</v>
      </c>
    </row>
    <row r="174" spans="1:2" ht="15">
      <c r="A174" s="118" t="s">
        <v>2669</v>
      </c>
      <c r="B174" s="3">
        <v>1</v>
      </c>
    </row>
    <row r="175" spans="1:2" ht="15">
      <c r="A175" s="118" t="s">
        <v>2670</v>
      </c>
      <c r="B175" s="3">
        <v>1</v>
      </c>
    </row>
    <row r="176" spans="1:2" ht="15">
      <c r="A176" s="118" t="s">
        <v>2721</v>
      </c>
      <c r="B176" s="3">
        <v>1</v>
      </c>
    </row>
    <row r="177" spans="1:2" ht="15">
      <c r="A177" s="118" t="s">
        <v>2722</v>
      </c>
      <c r="B177" s="3">
        <v>1</v>
      </c>
    </row>
    <row r="178" spans="1:2" ht="15">
      <c r="A178" s="118" t="s">
        <v>2723</v>
      </c>
      <c r="B178" s="3">
        <v>1</v>
      </c>
    </row>
    <row r="179" spans="1:2" ht="15">
      <c r="A179" s="118" t="s">
        <v>2724</v>
      </c>
      <c r="B179" s="3">
        <v>1</v>
      </c>
    </row>
    <row r="180" spans="1:2" ht="15">
      <c r="A180" s="118" t="s">
        <v>2418</v>
      </c>
      <c r="B180" s="3">
        <v>1</v>
      </c>
    </row>
    <row r="181" spans="1:2" ht="15">
      <c r="A181" s="118" t="s">
        <v>2660</v>
      </c>
      <c r="B181" s="3">
        <v>1</v>
      </c>
    </row>
    <row r="182" spans="1:2" ht="15">
      <c r="A182" s="118" t="s">
        <v>2662</v>
      </c>
      <c r="B182" s="3">
        <v>1</v>
      </c>
    </row>
    <row r="183" spans="1:2" ht="15">
      <c r="A183" s="118" t="s">
        <v>2664</v>
      </c>
      <c r="B183" s="3">
        <v>1</v>
      </c>
    </row>
    <row r="184" spans="1:2" ht="15">
      <c r="A184" s="118" t="s">
        <v>2719</v>
      </c>
      <c r="B184" s="3">
        <v>1</v>
      </c>
    </row>
    <row r="185" spans="1:2" ht="15">
      <c r="A185" s="118" t="s">
        <v>2393</v>
      </c>
      <c r="B185" s="3">
        <v>1</v>
      </c>
    </row>
    <row r="186" spans="1:2" ht="15">
      <c r="A186" s="118" t="s">
        <v>2433</v>
      </c>
      <c r="B186" s="3">
        <v>1</v>
      </c>
    </row>
    <row r="187" spans="1:2" ht="15">
      <c r="A187" s="118" t="s">
        <v>2491</v>
      </c>
      <c r="B187" s="3">
        <v>1</v>
      </c>
    </row>
    <row r="188" spans="1:2" ht="15">
      <c r="A188" s="118" t="s">
        <v>2489</v>
      </c>
      <c r="B188" s="3">
        <v>1</v>
      </c>
    </row>
    <row r="189" spans="1:2" ht="15">
      <c r="A189" s="118" t="s">
        <v>2459</v>
      </c>
      <c r="B189" s="3">
        <v>1</v>
      </c>
    </row>
    <row r="190" spans="1:2" ht="15">
      <c r="A190" s="118" t="s">
        <v>2486</v>
      </c>
      <c r="B190" s="3">
        <v>1</v>
      </c>
    </row>
    <row r="191" spans="1:2" ht="15">
      <c r="A191" s="118" t="s">
        <v>2487</v>
      </c>
      <c r="B191" s="3">
        <v>1</v>
      </c>
    </row>
    <row r="192" spans="1:2" ht="15">
      <c r="A192" s="118" t="s">
        <v>2714</v>
      </c>
      <c r="B192" s="3">
        <v>1</v>
      </c>
    </row>
    <row r="193" spans="1:2" ht="15">
      <c r="A193" s="118" t="s">
        <v>2526</v>
      </c>
      <c r="B193" s="3">
        <v>1</v>
      </c>
    </row>
    <row r="194" spans="1:2" ht="15">
      <c r="A194" s="118" t="s">
        <v>2582</v>
      </c>
      <c r="B194" s="3">
        <v>1</v>
      </c>
    </row>
    <row r="195" spans="1:2" ht="15">
      <c r="A195" s="118" t="s">
        <v>2667</v>
      </c>
      <c r="B195" s="3">
        <v>1</v>
      </c>
    </row>
    <row r="196" spans="1:2" ht="15">
      <c r="A196" s="118" t="s">
        <v>2584</v>
      </c>
      <c r="B196" s="3">
        <v>1</v>
      </c>
    </row>
    <row r="197" spans="1:2" ht="15">
      <c r="A197" s="118" t="s">
        <v>2472</v>
      </c>
      <c r="B197" s="3">
        <v>1</v>
      </c>
    </row>
    <row r="198" spans="1:2" ht="15">
      <c r="A198" s="118" t="s">
        <v>2711</v>
      </c>
      <c r="B198" s="3">
        <v>1</v>
      </c>
    </row>
    <row r="199" spans="1:2" ht="15">
      <c r="A199" s="118" t="s">
        <v>2396</v>
      </c>
      <c r="B199" s="3">
        <v>1</v>
      </c>
    </row>
    <row r="200" spans="1:2" ht="15">
      <c r="A200" s="118" t="s">
        <v>2426</v>
      </c>
      <c r="B200" s="3">
        <v>1</v>
      </c>
    </row>
    <row r="201" spans="1:2" ht="15">
      <c r="A201" s="118" t="s">
        <v>2599</v>
      </c>
      <c r="B201" s="3">
        <v>1</v>
      </c>
    </row>
    <row r="202" spans="1:2" ht="15">
      <c r="A202" s="118" t="s">
        <v>2496</v>
      </c>
      <c r="B202" s="3">
        <v>1</v>
      </c>
    </row>
    <row r="203" spans="1:2" ht="15">
      <c r="A203" s="118" t="s">
        <v>2430</v>
      </c>
      <c r="B203" s="3">
        <v>1</v>
      </c>
    </row>
    <row r="204" spans="1:2" ht="15">
      <c r="A204" s="118" t="s">
        <v>2668</v>
      </c>
      <c r="B204" s="3">
        <v>1</v>
      </c>
    </row>
    <row r="205" spans="1:2" ht="15">
      <c r="A205" s="118" t="s">
        <v>2728</v>
      </c>
      <c r="B205" s="3">
        <v>1</v>
      </c>
    </row>
    <row r="206" spans="1:2" ht="15">
      <c r="A206" s="118" t="s">
        <v>2465</v>
      </c>
      <c r="B206" s="3">
        <v>1</v>
      </c>
    </row>
    <row r="207" spans="1:2" ht="15">
      <c r="A207" s="118" t="s">
        <v>2455</v>
      </c>
      <c r="B207" s="3">
        <v>1</v>
      </c>
    </row>
    <row r="208" spans="1:2" ht="15">
      <c r="A208" s="118" t="s">
        <v>2690</v>
      </c>
      <c r="B208" s="3">
        <v>1</v>
      </c>
    </row>
    <row r="209" spans="1:2" ht="15">
      <c r="A209" s="118" t="s">
        <v>2732</v>
      </c>
      <c r="B209" s="3">
        <v>1</v>
      </c>
    </row>
    <row r="210" spans="1:2" ht="15">
      <c r="A210" s="118" t="s">
        <v>2478</v>
      </c>
      <c r="B210" s="3">
        <v>1</v>
      </c>
    </row>
    <row r="211" spans="1:2" ht="15">
      <c r="A211" s="118" t="s">
        <v>2480</v>
      </c>
      <c r="B211" s="3">
        <v>1</v>
      </c>
    </row>
    <row r="212" spans="1:2" ht="15">
      <c r="A212" s="118" t="s">
        <v>2428</v>
      </c>
      <c r="B212" s="3">
        <v>1</v>
      </c>
    </row>
    <row r="213" spans="1:2" ht="15">
      <c r="A213" s="118" t="s">
        <v>2705</v>
      </c>
      <c r="B213" s="3">
        <v>1</v>
      </c>
    </row>
    <row r="214" spans="1:2" ht="15">
      <c r="A214" s="118" t="s">
        <v>2707</v>
      </c>
      <c r="B214" s="3">
        <v>1</v>
      </c>
    </row>
    <row r="215" spans="1:2" ht="15">
      <c r="A215" s="118" t="s">
        <v>2709</v>
      </c>
      <c r="B215" s="3">
        <v>1</v>
      </c>
    </row>
    <row r="216" spans="1:2" ht="15">
      <c r="A216" s="118" t="s">
        <v>2710</v>
      </c>
      <c r="B216" s="3">
        <v>1</v>
      </c>
    </row>
    <row r="217" spans="1:2" ht="15">
      <c r="A217" s="118" t="s">
        <v>2566</v>
      </c>
      <c r="B217" s="3">
        <v>1</v>
      </c>
    </row>
    <row r="218" spans="1:2" ht="15">
      <c r="A218" s="118" t="s">
        <v>2586</v>
      </c>
      <c r="B218" s="3">
        <v>1</v>
      </c>
    </row>
    <row r="219" spans="1:2" ht="15">
      <c r="A219" s="118" t="s">
        <v>2490</v>
      </c>
      <c r="B219" s="3">
        <v>1</v>
      </c>
    </row>
    <row r="220" spans="1:2" ht="15">
      <c r="A220" s="118" t="s">
        <v>2498</v>
      </c>
      <c r="B220" s="3">
        <v>1</v>
      </c>
    </row>
    <row r="221" spans="1:2" ht="15">
      <c r="A221" s="118" t="s">
        <v>2407</v>
      </c>
      <c r="B221" s="3">
        <v>1</v>
      </c>
    </row>
    <row r="222" spans="1:2" ht="15">
      <c r="A222" s="118" t="s">
        <v>2343</v>
      </c>
      <c r="B222" s="3">
        <v>1</v>
      </c>
    </row>
    <row r="223" spans="1:2" ht="15">
      <c r="A223" s="118" t="s">
        <v>2345</v>
      </c>
      <c r="B223" s="3">
        <v>1</v>
      </c>
    </row>
    <row r="224" spans="1:2" ht="15">
      <c r="A224" s="118" t="s">
        <v>2347</v>
      </c>
      <c r="B224" s="3">
        <v>1</v>
      </c>
    </row>
    <row r="225" spans="1:2" ht="15">
      <c r="A225" s="118" t="s">
        <v>2349</v>
      </c>
      <c r="B225" s="3">
        <v>1</v>
      </c>
    </row>
    <row r="226" spans="1:2" ht="15">
      <c r="A226" s="118" t="s">
        <v>2352</v>
      </c>
      <c r="B226" s="3">
        <v>1</v>
      </c>
    </row>
    <row r="227" spans="1:2" ht="15">
      <c r="A227" s="118" t="s">
        <v>2354</v>
      </c>
      <c r="B227" s="3">
        <v>1</v>
      </c>
    </row>
    <row r="228" spans="1:2" ht="15">
      <c r="A228" s="118" t="s">
        <v>2356</v>
      </c>
      <c r="B228" s="3">
        <v>1</v>
      </c>
    </row>
    <row r="229" spans="1:2" ht="15">
      <c r="A229" s="118" t="s">
        <v>2718</v>
      </c>
      <c r="B229" s="3">
        <v>1</v>
      </c>
    </row>
    <row r="230" spans="1:2" ht="15">
      <c r="A230" s="118" t="s">
        <v>2400</v>
      </c>
      <c r="B230" s="3">
        <v>1</v>
      </c>
    </row>
    <row r="231" spans="1:2" ht="15">
      <c r="A231" s="118" t="s">
        <v>2712</v>
      </c>
      <c r="B231" s="3">
        <v>1</v>
      </c>
    </row>
    <row r="232" spans="1:2" ht="15">
      <c r="A232" s="118" t="s">
        <v>2451</v>
      </c>
      <c r="B232" s="3">
        <v>1</v>
      </c>
    </row>
    <row r="233" spans="1:2" ht="15">
      <c r="A233" s="118" t="s">
        <v>2716</v>
      </c>
      <c r="B233" s="3">
        <v>1</v>
      </c>
    </row>
    <row r="234" spans="1:2" ht="15">
      <c r="A234" s="118" t="s">
        <v>2460</v>
      </c>
      <c r="B234" s="3">
        <v>1</v>
      </c>
    </row>
    <row r="235" spans="1:2" ht="15">
      <c r="A235" s="118" t="s">
        <v>2390</v>
      </c>
      <c r="B235" s="3">
        <v>1</v>
      </c>
    </row>
    <row r="236" spans="1:2" ht="15">
      <c r="A236" s="118" t="s">
        <v>2473</v>
      </c>
      <c r="B236" s="3">
        <v>1</v>
      </c>
    </row>
    <row r="237" spans="1:2" ht="15">
      <c r="A237" s="118" t="s">
        <v>2475</v>
      </c>
      <c r="B237" s="3">
        <v>1</v>
      </c>
    </row>
    <row r="238" spans="1:2" ht="15">
      <c r="A238" s="118" t="s">
        <v>2422</v>
      </c>
      <c r="B238" s="3">
        <v>1</v>
      </c>
    </row>
    <row r="239" spans="1:2" ht="15">
      <c r="A239" s="118" t="s">
        <v>2467</v>
      </c>
      <c r="B239" s="3">
        <v>1</v>
      </c>
    </row>
    <row r="240" spans="1:2" ht="15">
      <c r="A240" s="118" t="s">
        <v>2555</v>
      </c>
      <c r="B240" s="3">
        <v>1</v>
      </c>
    </row>
    <row r="241" spans="1:2" ht="15">
      <c r="A241" s="118" t="s">
        <v>2481</v>
      </c>
      <c r="B241" s="3">
        <v>1</v>
      </c>
    </row>
    <row r="242" spans="1:2" ht="15">
      <c r="A242" s="118" t="s">
        <v>2440</v>
      </c>
      <c r="B242" s="3">
        <v>1</v>
      </c>
    </row>
    <row r="243" spans="1:2" ht="15">
      <c r="A243" s="118" t="s">
        <v>2558</v>
      </c>
      <c r="B243" s="3">
        <v>1</v>
      </c>
    </row>
    <row r="244" spans="1:2" ht="15">
      <c r="A244" s="118" t="s">
        <v>2452</v>
      </c>
      <c r="B244" s="3">
        <v>1</v>
      </c>
    </row>
    <row r="245" spans="1:2" ht="15">
      <c r="A245" s="118" t="s">
        <v>2677</v>
      </c>
      <c r="B245" s="3">
        <v>1</v>
      </c>
    </row>
    <row r="246" spans="1:2" ht="15">
      <c r="A246" s="118" t="s">
        <v>2359</v>
      </c>
      <c r="B246" s="3">
        <v>1</v>
      </c>
    </row>
    <row r="247" spans="1:2" ht="15">
      <c r="A247" s="118" t="s">
        <v>2501</v>
      </c>
      <c r="B247" s="3">
        <v>1</v>
      </c>
    </row>
    <row r="248" spans="1:2" ht="15">
      <c r="A248" s="118" t="s">
        <v>2568</v>
      </c>
      <c r="B248" s="3">
        <v>1</v>
      </c>
    </row>
    <row r="249" spans="1:2" ht="15">
      <c r="A249" s="118" t="s">
        <v>2447</v>
      </c>
      <c r="B249" s="3">
        <v>1</v>
      </c>
    </row>
    <row r="250" spans="1:2" ht="15">
      <c r="A250" s="118" t="s">
        <v>2448</v>
      </c>
      <c r="B250" s="3">
        <v>1</v>
      </c>
    </row>
    <row r="251" spans="1:2" ht="15">
      <c r="A251" s="118" t="s">
        <v>2495</v>
      </c>
      <c r="B251" s="3">
        <v>1</v>
      </c>
    </row>
    <row r="252" spans="1:2" ht="15">
      <c r="A252" s="118" t="s">
        <v>2421</v>
      </c>
      <c r="B252" s="3">
        <v>1</v>
      </c>
    </row>
    <row r="253" spans="1:2" ht="15">
      <c r="A253" s="118" t="s">
        <v>2693</v>
      </c>
      <c r="B253" s="3">
        <v>1</v>
      </c>
    </row>
    <row r="254" spans="1:2" ht="15">
      <c r="A254" s="118" t="s">
        <v>2694</v>
      </c>
      <c r="B254" s="3">
        <v>1</v>
      </c>
    </row>
    <row r="255" spans="1:2" ht="15">
      <c r="A255" s="118" t="s">
        <v>2695</v>
      </c>
      <c r="B255" s="3">
        <v>1</v>
      </c>
    </row>
    <row r="256" spans="1:2" ht="15">
      <c r="A256" s="118" t="s">
        <v>2696</v>
      </c>
      <c r="B256" s="3">
        <v>1</v>
      </c>
    </row>
    <row r="257" spans="1:2" ht="15">
      <c r="A257" s="118" t="s">
        <v>2697</v>
      </c>
      <c r="B257" s="3">
        <v>1</v>
      </c>
    </row>
    <row r="258" spans="1:2" ht="15">
      <c r="A258" s="118" t="s">
        <v>2698</v>
      </c>
      <c r="B258" s="3">
        <v>1</v>
      </c>
    </row>
    <row r="259" spans="1:2" ht="15">
      <c r="A259" s="118" t="s">
        <v>2699</v>
      </c>
      <c r="B259" s="3">
        <v>1</v>
      </c>
    </row>
    <row r="260" spans="1:2" ht="15">
      <c r="A260" s="118" t="s">
        <v>2700</v>
      </c>
      <c r="B260" s="3">
        <v>1</v>
      </c>
    </row>
    <row r="261" spans="1:2" ht="15">
      <c r="A261" s="118" t="s">
        <v>2701</v>
      </c>
      <c r="B261" s="3">
        <v>1</v>
      </c>
    </row>
    <row r="262" spans="1:2" ht="15">
      <c r="A262" s="118" t="s">
        <v>2404</v>
      </c>
      <c r="B262" s="3">
        <v>1</v>
      </c>
    </row>
    <row r="263" spans="1:2" ht="15">
      <c r="A263" s="118" t="s">
        <v>2398</v>
      </c>
      <c r="B263" s="3">
        <v>1</v>
      </c>
    </row>
    <row r="264" spans="1:2" ht="15">
      <c r="A264" s="118" t="s">
        <v>2427</v>
      </c>
      <c r="B264" s="3">
        <v>1</v>
      </c>
    </row>
    <row r="265" spans="1:2" ht="15">
      <c r="A265" s="118" t="s">
        <v>2671</v>
      </c>
      <c r="B265" s="3">
        <v>1</v>
      </c>
    </row>
    <row r="266" spans="1:2" ht="15">
      <c r="A266" s="118" t="s">
        <v>2391</v>
      </c>
      <c r="B266" s="3">
        <v>1</v>
      </c>
    </row>
    <row r="267" spans="1:2" ht="15">
      <c r="A267" s="118" t="s">
        <v>2702</v>
      </c>
      <c r="B267" s="3">
        <v>1</v>
      </c>
    </row>
    <row r="268" spans="1:2" ht="15">
      <c r="A268" s="118" t="s">
        <v>2703</v>
      </c>
      <c r="B268" s="3">
        <v>1</v>
      </c>
    </row>
    <row r="269" spans="1:2" ht="15">
      <c r="A269" s="118" t="s">
        <v>2435</v>
      </c>
      <c r="B269" s="3">
        <v>1</v>
      </c>
    </row>
    <row r="270" spans="1:2" ht="15">
      <c r="A270" s="118" t="s">
        <v>2482</v>
      </c>
      <c r="B270" s="3">
        <v>1</v>
      </c>
    </row>
    <row r="271" spans="1:2" ht="15">
      <c r="A271" s="118" t="s">
        <v>2362</v>
      </c>
      <c r="B271" s="3">
        <v>1</v>
      </c>
    </row>
    <row r="272" spans="1:2" ht="15">
      <c r="A272" s="118" t="s">
        <v>2456</v>
      </c>
      <c r="B272" s="3">
        <v>1</v>
      </c>
    </row>
    <row r="273" spans="1:2" ht="15">
      <c r="A273" s="118" t="s">
        <v>2363</v>
      </c>
      <c r="B273" s="3">
        <v>1</v>
      </c>
    </row>
    <row r="274" spans="1:2" ht="15">
      <c r="A274" s="118" t="s">
        <v>2364</v>
      </c>
      <c r="B274" s="3">
        <v>1</v>
      </c>
    </row>
    <row r="275" spans="1:2" ht="15">
      <c r="A275" s="118" t="s">
        <v>2576</v>
      </c>
      <c r="B275" s="3">
        <v>1</v>
      </c>
    </row>
    <row r="276" spans="1:2" ht="15">
      <c r="A276" s="118" t="s">
        <v>2365</v>
      </c>
      <c r="B276" s="3">
        <v>1</v>
      </c>
    </row>
    <row r="277" spans="1:2" ht="15">
      <c r="A277" s="118" t="s">
        <v>2366</v>
      </c>
      <c r="B277" s="3">
        <v>1</v>
      </c>
    </row>
    <row r="278" spans="1:2" ht="15">
      <c r="A278" s="118" t="s">
        <v>2367</v>
      </c>
      <c r="B278" s="3">
        <v>1</v>
      </c>
    </row>
    <row r="279" spans="1:2" ht="15">
      <c r="A279" s="118" t="s">
        <v>2368</v>
      </c>
      <c r="B279" s="3">
        <v>1</v>
      </c>
    </row>
    <row r="280" spans="1:2" ht="15">
      <c r="A280" s="118" t="s">
        <v>2369</v>
      </c>
      <c r="B280" s="3">
        <v>1</v>
      </c>
    </row>
    <row r="281" spans="1:2" ht="15">
      <c r="A281" s="118" t="s">
        <v>2370</v>
      </c>
      <c r="B281" s="3">
        <v>1</v>
      </c>
    </row>
    <row r="282" spans="1:2" ht="15">
      <c r="A282" s="118" t="s">
        <v>2371</v>
      </c>
      <c r="B282" s="3">
        <v>1</v>
      </c>
    </row>
    <row r="283" spans="1:2" ht="15">
      <c r="A283" s="118" t="s">
        <v>2372</v>
      </c>
      <c r="B283" s="3">
        <v>1</v>
      </c>
    </row>
    <row r="284" spans="1:2" ht="15">
      <c r="A284" s="118" t="s">
        <v>2392</v>
      </c>
      <c r="B284" s="3">
        <v>1</v>
      </c>
    </row>
    <row r="285" spans="1:2" ht="15">
      <c r="A285" s="118" t="s">
        <v>2720</v>
      </c>
      <c r="B285" s="3">
        <v>1</v>
      </c>
    </row>
    <row r="286" spans="1:2" ht="15">
      <c r="A286" s="118" t="s">
        <v>2477</v>
      </c>
      <c r="B286" s="3">
        <v>1</v>
      </c>
    </row>
    <row r="287" spans="1:2" ht="15">
      <c r="A287" s="118" t="s">
        <v>2441</v>
      </c>
      <c r="B287" s="3">
        <v>1</v>
      </c>
    </row>
    <row r="288" spans="1:2" ht="15">
      <c r="A288" s="118" t="s">
        <v>2394</v>
      </c>
      <c r="B288" s="3">
        <v>1</v>
      </c>
    </row>
    <row r="289" spans="1:2" ht="15">
      <c r="A289" s="118" t="s">
        <v>2395</v>
      </c>
      <c r="B289" s="3">
        <v>1</v>
      </c>
    </row>
    <row r="290" spans="1:2" ht="15">
      <c r="A290" s="118" t="s">
        <v>2373</v>
      </c>
      <c r="B290" s="3">
        <v>1</v>
      </c>
    </row>
    <row r="291" spans="1:2" ht="15">
      <c r="A291" s="118" t="s">
        <v>2374</v>
      </c>
      <c r="B291" s="3">
        <v>1</v>
      </c>
    </row>
    <row r="292" spans="1:2" ht="15">
      <c r="A292" s="118" t="s">
        <v>2376</v>
      </c>
      <c r="B292" s="3">
        <v>1</v>
      </c>
    </row>
    <row r="293" spans="1:2" ht="15">
      <c r="A293" s="118" t="s">
        <v>2375</v>
      </c>
      <c r="B293" s="3">
        <v>1</v>
      </c>
    </row>
    <row r="294" spans="1:2" ht="15">
      <c r="A294" s="118" t="s">
        <v>2377</v>
      </c>
      <c r="B294" s="3">
        <v>1</v>
      </c>
    </row>
    <row r="295" spans="1:2" ht="15">
      <c r="A295" s="118" t="s">
        <v>2468</v>
      </c>
      <c r="B295" s="3">
        <v>1</v>
      </c>
    </row>
    <row r="296" spans="1:2" ht="15">
      <c r="A296" s="118" t="s">
        <v>2378</v>
      </c>
      <c r="B296" s="3">
        <v>1</v>
      </c>
    </row>
    <row r="297" spans="1:2" ht="15">
      <c r="A297" s="118" t="s">
        <v>2379</v>
      </c>
      <c r="B297" s="3">
        <v>1</v>
      </c>
    </row>
    <row r="298" spans="1:2" ht="15">
      <c r="A298" s="118" t="s">
        <v>2380</v>
      </c>
      <c r="B298" s="3">
        <v>1</v>
      </c>
    </row>
    <row r="299" spans="1:2" ht="15">
      <c r="A299" s="118" t="s">
        <v>2381</v>
      </c>
      <c r="B299" s="3">
        <v>1</v>
      </c>
    </row>
    <row r="300" spans="1:2" ht="15">
      <c r="A300" s="118" t="s">
        <v>2382</v>
      </c>
      <c r="B300" s="3">
        <v>1</v>
      </c>
    </row>
    <row r="301" spans="1:2" ht="15">
      <c r="A301" s="118" t="s">
        <v>2383</v>
      </c>
      <c r="B301" s="3">
        <v>1</v>
      </c>
    </row>
    <row r="302" spans="1:2" ht="15">
      <c r="A302" s="118" t="s">
        <v>2384</v>
      </c>
      <c r="B302" s="3">
        <v>1</v>
      </c>
    </row>
    <row r="303" spans="1:2" ht="15">
      <c r="A303" s="118" t="s">
        <v>2385</v>
      </c>
      <c r="B303" s="3">
        <v>1</v>
      </c>
    </row>
    <row r="304" spans="1:2" ht="15">
      <c r="A304" s="118" t="s">
        <v>2577</v>
      </c>
      <c r="B304" s="3">
        <v>1</v>
      </c>
    </row>
    <row r="305" spans="1:2" ht="15">
      <c r="A305" s="119">
        <v>39029.46121527778</v>
      </c>
      <c r="B305" s="3">
        <v>1</v>
      </c>
    </row>
    <row r="306" spans="1:2" ht="15">
      <c r="A306" s="119">
        <v>39059.608981481484</v>
      </c>
      <c r="B306" s="3">
        <v>1</v>
      </c>
    </row>
    <row r="307" spans="1:2" ht="15">
      <c r="A307" s="119">
        <v>39206.1453125</v>
      </c>
      <c r="B307" s="3">
        <v>1</v>
      </c>
    </row>
    <row r="308" spans="1:2" ht="15">
      <c r="A308" s="119">
        <v>39569.91700231482</v>
      </c>
      <c r="B308" s="3">
        <v>1</v>
      </c>
    </row>
    <row r="309" spans="1:2" ht="15">
      <c r="A309" s="119">
        <v>40275.57921296296</v>
      </c>
      <c r="B309" s="3">
        <v>1</v>
      </c>
    </row>
    <row r="310" spans="1:2" ht="15">
      <c r="A310" s="119">
        <v>40757.094351851854</v>
      </c>
      <c r="B310" s="3">
        <v>1</v>
      </c>
    </row>
    <row r="311" spans="1:2" ht="15">
      <c r="A311" s="119">
        <v>42190.93074074074</v>
      </c>
      <c r="B311" s="3">
        <v>1</v>
      </c>
    </row>
    <row r="312" spans="1:2" ht="15">
      <c r="A312" s="119">
        <v>43109.800416666665</v>
      </c>
      <c r="B312" s="3">
        <v>1</v>
      </c>
    </row>
    <row r="313" spans="1:2" ht="15">
      <c r="A313" s="119">
        <v>43137.3984837963</v>
      </c>
      <c r="B313" s="3">
        <v>1</v>
      </c>
    </row>
    <row r="314" spans="1:2" ht="15">
      <c r="A314" s="119">
        <v>43137.39885416667</v>
      </c>
      <c r="B314" s="3">
        <v>1</v>
      </c>
    </row>
    <row r="315" spans="1:2" ht="15">
      <c r="A315" s="119">
        <v>43137.39915509259</v>
      </c>
      <c r="B315" s="3">
        <v>1</v>
      </c>
    </row>
    <row r="316" spans="1:2" ht="15">
      <c r="A316" s="119">
        <v>43137.40069444444</v>
      </c>
      <c r="B316" s="3">
        <v>1</v>
      </c>
    </row>
    <row r="317" spans="1:2" ht="15">
      <c r="A317" s="119">
        <v>43137.41018518519</v>
      </c>
      <c r="B317" s="3">
        <v>1</v>
      </c>
    </row>
    <row r="318" spans="1:2" ht="15">
      <c r="A318" s="119">
        <v>43137.52421296296</v>
      </c>
      <c r="B318" s="3">
        <v>1</v>
      </c>
    </row>
    <row r="319" spans="1:2" ht="15">
      <c r="A319" s="119">
        <v>43137.52648148148</v>
      </c>
      <c r="B319" s="3">
        <v>1</v>
      </c>
    </row>
    <row r="320" spans="1:2" ht="15">
      <c r="A320" s="119">
        <v>43137.64127314815</v>
      </c>
      <c r="B320" s="3">
        <v>1</v>
      </c>
    </row>
    <row r="321" spans="1:2" ht="15">
      <c r="A321" s="119">
        <v>43137.81076388889</v>
      </c>
      <c r="B321" s="3">
        <v>1</v>
      </c>
    </row>
    <row r="322" spans="1:2" ht="15">
      <c r="A322" s="119">
        <v>43137.84212962963</v>
      </c>
      <c r="B322" s="3">
        <v>1</v>
      </c>
    </row>
    <row r="323" spans="1:2" ht="15">
      <c r="A323" s="119">
        <v>43137.842824074076</v>
      </c>
      <c r="B323" s="3">
        <v>1</v>
      </c>
    </row>
    <row r="324" spans="1:2" ht="15">
      <c r="A324" s="119">
        <v>43137.8468287037</v>
      </c>
      <c r="B324" s="3">
        <v>1</v>
      </c>
    </row>
    <row r="325" spans="1:2" ht="15">
      <c r="A325" s="119">
        <v>43137.96196759259</v>
      </c>
      <c r="B325" s="3">
        <v>1</v>
      </c>
    </row>
    <row r="326" spans="1:2" ht="15">
      <c r="A326" s="119">
        <v>43140.22393518518</v>
      </c>
      <c r="B326" s="3">
        <v>1</v>
      </c>
    </row>
    <row r="327" spans="1:2" ht="15">
      <c r="A327" s="119">
        <v>43140.224583333336</v>
      </c>
      <c r="B327" s="3">
        <v>1</v>
      </c>
    </row>
    <row r="328" spans="1:2" ht="15">
      <c r="A328" s="119">
        <v>43168.66292824074</v>
      </c>
      <c r="B328" s="3">
        <v>1</v>
      </c>
    </row>
    <row r="329" spans="1:2" ht="15">
      <c r="A329" s="119">
        <v>43168.75546296296</v>
      </c>
      <c r="B329" s="3">
        <v>1</v>
      </c>
    </row>
    <row r="330" spans="1:2" ht="15">
      <c r="A330" s="119">
        <v>43168.89475694444</v>
      </c>
      <c r="B330" s="3">
        <v>1</v>
      </c>
    </row>
    <row r="331" spans="1:2" ht="15">
      <c r="A331" s="119">
        <v>43169.27515046296</v>
      </c>
      <c r="B331" s="3">
        <v>1</v>
      </c>
    </row>
    <row r="332" spans="1:2" ht="15">
      <c r="A332" s="119">
        <v>43171.89431712963</v>
      </c>
      <c r="B332" s="3">
        <v>1</v>
      </c>
    </row>
    <row r="333" spans="1:2" ht="15">
      <c r="A333" s="119">
        <v>43199.33059027778</v>
      </c>
      <c r="B333" s="3">
        <v>1</v>
      </c>
    </row>
    <row r="334" spans="1:2" ht="15">
      <c r="A334" s="119">
        <v>43199.51756944445</v>
      </c>
      <c r="B334" s="3">
        <v>1</v>
      </c>
    </row>
    <row r="335" spans="1:2" ht="15">
      <c r="A335" s="119">
        <v>43199.623344907406</v>
      </c>
      <c r="B335" s="3">
        <v>1</v>
      </c>
    </row>
    <row r="336" spans="1:2" ht="15">
      <c r="A336" s="119">
        <v>43199.71596064815</v>
      </c>
      <c r="B336" s="3">
        <v>1</v>
      </c>
    </row>
    <row r="337" spans="1:2" ht="15">
      <c r="A337" s="119">
        <v>43199.73259259259</v>
      </c>
      <c r="B337" s="3">
        <v>1</v>
      </c>
    </row>
    <row r="338" spans="1:2" ht="15">
      <c r="A338" s="119">
        <v>43199.97440972222</v>
      </c>
      <c r="B338" s="3">
        <v>1</v>
      </c>
    </row>
    <row r="339" spans="1:2" ht="15">
      <c r="A339" s="119">
        <v>43227.85471064815</v>
      </c>
      <c r="B339" s="3">
        <v>1</v>
      </c>
    </row>
    <row r="340" spans="1:2" ht="15">
      <c r="A340" s="119">
        <v>43229.95460648148</v>
      </c>
      <c r="B340" s="3">
        <v>1</v>
      </c>
    </row>
    <row r="341" spans="1:2" ht="15">
      <c r="A341" s="119">
        <v>43229.95643518519</v>
      </c>
      <c r="B341" s="3">
        <v>1</v>
      </c>
    </row>
    <row r="342" spans="1:2" ht="15">
      <c r="A342" s="119">
        <v>43229.970289351855</v>
      </c>
      <c r="B342" s="3">
        <v>1</v>
      </c>
    </row>
    <row r="343" spans="1:2" ht="15">
      <c r="A343" s="119">
        <v>43229.977222222224</v>
      </c>
      <c r="B343" s="3">
        <v>1</v>
      </c>
    </row>
    <row r="344" spans="1:2" ht="15">
      <c r="A344" s="119">
        <v>43229.99835648148</v>
      </c>
      <c r="B344" s="3">
        <v>1</v>
      </c>
    </row>
    <row r="345" spans="1:2" ht="15">
      <c r="A345" s="119">
        <v>43254.07179398148</v>
      </c>
      <c r="B345" s="3">
        <v>1</v>
      </c>
    </row>
    <row r="346" spans="1:2" ht="15">
      <c r="A346" s="119">
        <v>43257.41024305556</v>
      </c>
      <c r="B346" s="3">
        <v>1</v>
      </c>
    </row>
    <row r="347" spans="1:2" ht="15">
      <c r="A347" s="119">
        <v>43257.91478009259</v>
      </c>
      <c r="B347" s="3">
        <v>1</v>
      </c>
    </row>
    <row r="348" spans="1:2" ht="15">
      <c r="A348" s="119">
        <v>43260.02358796296</v>
      </c>
      <c r="B348" s="3">
        <v>1</v>
      </c>
    </row>
    <row r="349" spans="1:2" ht="15">
      <c r="A349" s="119">
        <v>43260.037210648145</v>
      </c>
      <c r="B349" s="3">
        <v>1</v>
      </c>
    </row>
    <row r="350" spans="1:2" ht="15">
      <c r="A350" s="119">
        <v>43260.06476851852</v>
      </c>
      <c r="B350" s="3">
        <v>1</v>
      </c>
    </row>
    <row r="351" spans="1:2" ht="15">
      <c r="A351" s="119">
        <v>43260.066099537034</v>
      </c>
      <c r="B351" s="3">
        <v>1</v>
      </c>
    </row>
    <row r="352" spans="1:2" ht="15">
      <c r="A352" s="119">
        <v>43260.093194444446</v>
      </c>
      <c r="B352" s="3">
        <v>1</v>
      </c>
    </row>
    <row r="353" spans="1:2" ht="15">
      <c r="A353" s="119">
        <v>43260.19174768519</v>
      </c>
      <c r="B353" s="3">
        <v>1</v>
      </c>
    </row>
    <row r="354" spans="1:2" ht="15">
      <c r="A354" s="119">
        <v>43260.25310185185</v>
      </c>
      <c r="B354" s="3">
        <v>1</v>
      </c>
    </row>
    <row r="355" spans="1:2" ht="15">
      <c r="A355" s="119">
        <v>43260.31930555555</v>
      </c>
      <c r="B355" s="3">
        <v>1</v>
      </c>
    </row>
    <row r="356" spans="1:2" ht="15">
      <c r="A356" s="119">
        <v>43260.372395833336</v>
      </c>
      <c r="B356" s="3">
        <v>1</v>
      </c>
    </row>
    <row r="357" spans="1:2" ht="15">
      <c r="A357" s="119">
        <v>43260.39665509259</v>
      </c>
      <c r="B357" s="3">
        <v>1</v>
      </c>
    </row>
    <row r="358" spans="1:2" ht="15">
      <c r="A358" s="119">
        <v>43260.42857638889</v>
      </c>
      <c r="B358" s="3">
        <v>1</v>
      </c>
    </row>
    <row r="359" spans="1:2" ht="15">
      <c r="A359" s="119">
        <v>43260.50309027778</v>
      </c>
      <c r="B359" s="3">
        <v>1</v>
      </c>
    </row>
    <row r="360" spans="1:2" ht="15">
      <c r="A360" s="119">
        <v>43260.62184027778</v>
      </c>
      <c r="B360" s="3">
        <v>1</v>
      </c>
    </row>
    <row r="361" spans="1:2" ht="15">
      <c r="A361" s="119">
        <v>43260.65980324074</v>
      </c>
      <c r="B361" s="3">
        <v>1</v>
      </c>
    </row>
    <row r="362" spans="1:2" ht="15">
      <c r="A362" s="119">
        <v>43260.857835648145</v>
      </c>
      <c r="B362" s="3">
        <v>1</v>
      </c>
    </row>
    <row r="363" spans="1:2" ht="15">
      <c r="A363" s="119">
        <v>43261.500555555554</v>
      </c>
      <c r="B363" s="3">
        <v>1</v>
      </c>
    </row>
    <row r="364" spans="1:2" ht="15">
      <c r="A364" s="119">
        <v>43287.05542824074</v>
      </c>
      <c r="B364" s="3">
        <v>1</v>
      </c>
    </row>
    <row r="365" spans="1:2" ht="15">
      <c r="A365" s="119">
        <v>43287.82144675926</v>
      </c>
      <c r="B365" s="3">
        <v>1</v>
      </c>
    </row>
    <row r="366" spans="1:2" ht="15">
      <c r="A366" s="119">
        <v>43287.824641203704</v>
      </c>
      <c r="B366" s="3">
        <v>1</v>
      </c>
    </row>
    <row r="367" spans="1:2" ht="15">
      <c r="A367" s="119">
        <v>43287.83298611111</v>
      </c>
      <c r="B367" s="3">
        <v>1</v>
      </c>
    </row>
    <row r="368" spans="1:2" ht="15">
      <c r="A368" s="119">
        <v>43287.83409722222</v>
      </c>
      <c r="B368" s="3">
        <v>1</v>
      </c>
    </row>
    <row r="369" spans="1:2" ht="15">
      <c r="A369" s="119">
        <v>43287.85350694445</v>
      </c>
      <c r="B369" s="3">
        <v>1</v>
      </c>
    </row>
    <row r="370" spans="1:2" ht="15">
      <c r="A370" s="119">
        <v>43287.868368055555</v>
      </c>
      <c r="B370" s="3">
        <v>1</v>
      </c>
    </row>
    <row r="371" spans="1:2" ht="15">
      <c r="A371" s="119">
        <v>43287.90519675926</v>
      </c>
      <c r="B371" s="3">
        <v>1</v>
      </c>
    </row>
    <row r="372" spans="1:2" ht="15">
      <c r="A372" s="119">
        <v>43287.933217592596</v>
      </c>
      <c r="B372" s="3">
        <v>1</v>
      </c>
    </row>
    <row r="373" spans="1:2" ht="15">
      <c r="A373" s="119">
        <v>43287.937939814816</v>
      </c>
      <c r="B373" s="3">
        <v>1</v>
      </c>
    </row>
    <row r="374" spans="1:2" ht="15">
      <c r="A374" s="119">
        <v>43287.938935185186</v>
      </c>
      <c r="B374" s="3">
        <v>1</v>
      </c>
    </row>
    <row r="375" spans="1:2" ht="15">
      <c r="A375" s="119">
        <v>43287.94574074074</v>
      </c>
      <c r="B375" s="3">
        <v>1</v>
      </c>
    </row>
    <row r="376" spans="1:2" ht="15">
      <c r="A376" s="119">
        <v>43290.221284722225</v>
      </c>
      <c r="B376" s="3">
        <v>1</v>
      </c>
    </row>
    <row r="377" spans="1:2" ht="15">
      <c r="A377" s="119">
        <v>43290.366006944445</v>
      </c>
      <c r="B377" s="3">
        <v>1</v>
      </c>
    </row>
    <row r="378" spans="1:2" ht="15">
      <c r="A378" s="119">
        <v>43291.00950231482</v>
      </c>
      <c r="B378" s="3">
        <v>1</v>
      </c>
    </row>
    <row r="379" spans="1:2" ht="15">
      <c r="A379" s="119">
        <v>43318.01765046296</v>
      </c>
      <c r="B379" s="3">
        <v>1</v>
      </c>
    </row>
    <row r="380" spans="1:2" ht="15">
      <c r="A380" s="119">
        <v>43318.017847222225</v>
      </c>
      <c r="B380" s="3">
        <v>1</v>
      </c>
    </row>
    <row r="381" spans="1:2" ht="15">
      <c r="A381" s="119">
        <v>43318.08493055555</v>
      </c>
      <c r="B381" s="3">
        <v>1</v>
      </c>
    </row>
    <row r="382" spans="1:2" ht="15">
      <c r="A382" s="119">
        <v>43318.134618055556</v>
      </c>
      <c r="B382" s="3">
        <v>1</v>
      </c>
    </row>
    <row r="383" spans="1:2" ht="15">
      <c r="A383" s="119">
        <v>43318.135613425926</v>
      </c>
      <c r="B383" s="3">
        <v>1</v>
      </c>
    </row>
    <row r="384" spans="1:2" ht="15">
      <c r="A384" s="119">
        <v>43318.57042824074</v>
      </c>
      <c r="B384" s="3">
        <v>1</v>
      </c>
    </row>
    <row r="385" spans="1:2" ht="15">
      <c r="A385" s="119">
        <v>43318.91601851852</v>
      </c>
      <c r="B385" s="3">
        <v>1</v>
      </c>
    </row>
    <row r="386" spans="1:2" ht="15">
      <c r="A386" s="119">
        <v>43321.34065972222</v>
      </c>
      <c r="B386" s="3">
        <v>1</v>
      </c>
    </row>
    <row r="387" spans="1:2" ht="15">
      <c r="A387" s="119">
        <v>43321.53815972222</v>
      </c>
      <c r="B387" s="3">
        <v>1</v>
      </c>
    </row>
    <row r="388" spans="1:2" ht="15">
      <c r="A388" s="119">
        <v>43349.36414351852</v>
      </c>
      <c r="B388" s="3">
        <v>1</v>
      </c>
    </row>
    <row r="389" spans="1:2" ht="15">
      <c r="A389" s="119">
        <v>43349.40934027778</v>
      </c>
      <c r="B389" s="3">
        <v>1</v>
      </c>
    </row>
    <row r="390" spans="1:2" ht="15">
      <c r="A390" s="119">
        <v>43352.367847222224</v>
      </c>
      <c r="B390" s="3">
        <v>1</v>
      </c>
    </row>
    <row r="391" spans="1:2" ht="15">
      <c r="A391" s="119">
        <v>43352.395891203705</v>
      </c>
      <c r="B391" s="3">
        <v>1</v>
      </c>
    </row>
    <row r="392" spans="1:2" ht="15">
      <c r="A392" s="119">
        <v>43352.91732638889</v>
      </c>
      <c r="B392" s="3">
        <v>1</v>
      </c>
    </row>
    <row r="393" spans="1:2" ht="15">
      <c r="A393" s="119">
        <v>43379.750243055554</v>
      </c>
      <c r="B393" s="3">
        <v>1</v>
      </c>
    </row>
    <row r="394" spans="1:2" ht="15">
      <c r="A394" s="119">
        <v>43379.78633101852</v>
      </c>
      <c r="B394" s="3">
        <v>1</v>
      </c>
    </row>
    <row r="395" spans="1:2" ht="15">
      <c r="A395" s="119">
        <v>43379.81246527778</v>
      </c>
      <c r="B395" s="3">
        <v>1</v>
      </c>
    </row>
    <row r="396" spans="1:2" ht="15">
      <c r="A396" s="119">
        <v>43381.730150462965</v>
      </c>
      <c r="B396" s="3">
        <v>1</v>
      </c>
    </row>
    <row r="397" spans="1:2" ht="15">
      <c r="A397" s="119">
        <v>43382.014386574076</v>
      </c>
      <c r="B397" s="3">
        <v>1</v>
      </c>
    </row>
    <row r="398" spans="1:2" ht="15">
      <c r="A398" s="119">
        <v>43384.64336805556</v>
      </c>
      <c r="B398" s="3">
        <v>1</v>
      </c>
    </row>
    <row r="399" spans="1:2" ht="15">
      <c r="A399" s="119">
        <v>43410.93969907407</v>
      </c>
      <c r="B399" s="3">
        <v>1</v>
      </c>
    </row>
    <row r="400" spans="1:2" ht="15">
      <c r="A400" s="119">
        <v>43413.3765162037</v>
      </c>
      <c r="B400" s="3">
        <v>1</v>
      </c>
    </row>
    <row r="401" spans="1:2" ht="15">
      <c r="A401" s="119">
        <v>43415.63361111111</v>
      </c>
      <c r="B401" s="3">
        <v>1</v>
      </c>
    </row>
    <row r="402" spans="1:2" ht="15">
      <c r="A402" s="119">
        <v>43436.70479166666</v>
      </c>
      <c r="B402" s="3">
        <v>1</v>
      </c>
    </row>
    <row r="403" spans="1:2" ht="15">
      <c r="A403" s="119">
        <v>43440.01138888889</v>
      </c>
      <c r="B403" s="3">
        <v>1</v>
      </c>
    </row>
    <row r="404" spans="1:2" ht="15">
      <c r="A404" s="119">
        <v>43440.19280092593</v>
      </c>
      <c r="B404" s="3">
        <v>1</v>
      </c>
    </row>
    <row r="405" spans="1:2" ht="15">
      <c r="A405" s="119">
        <v>43440.78634259259</v>
      </c>
      <c r="B405" s="3">
        <v>1</v>
      </c>
    </row>
    <row r="406" spans="1:2" ht="15">
      <c r="A406" s="119">
        <v>43440.92196759259</v>
      </c>
      <c r="B406" s="3">
        <v>1</v>
      </c>
    </row>
    <row r="407" spans="1:2" ht="15">
      <c r="A407" s="119">
        <v>43441.60899305555</v>
      </c>
      <c r="B407" s="3">
        <v>1</v>
      </c>
    </row>
    <row r="408" spans="1:2" ht="15">
      <c r="A408" s="119">
        <v>43443.19337962963</v>
      </c>
      <c r="B408" s="3">
        <v>1</v>
      </c>
    </row>
    <row r="409" spans="1:2" ht="15">
      <c r="A409" s="119">
        <v>43526.03582175926</v>
      </c>
      <c r="B409" s="3">
        <v>1</v>
      </c>
    </row>
    <row r="410" spans="1:2" ht="15">
      <c r="A410" s="119">
        <v>43533.70789351852</v>
      </c>
      <c r="B410" s="3">
        <v>1</v>
      </c>
    </row>
    <row r="411" spans="1:2" ht="15">
      <c r="A411" s="119">
        <v>43556.85083333333</v>
      </c>
      <c r="B411" s="3">
        <v>1</v>
      </c>
    </row>
    <row r="412" spans="1:2" ht="15">
      <c r="A412" s="119">
        <v>43558.751747685186</v>
      </c>
      <c r="B412" s="3">
        <v>1</v>
      </c>
    </row>
    <row r="413" spans="1:2" ht="15">
      <c r="A413" s="119">
        <v>43558.75282407407</v>
      </c>
      <c r="B413" s="3">
        <v>1</v>
      </c>
    </row>
    <row r="414" spans="1:2" ht="15">
      <c r="A414" s="119">
        <v>43558.75635416667</v>
      </c>
      <c r="B414" s="3">
        <v>1</v>
      </c>
    </row>
    <row r="415" spans="1:2" ht="15">
      <c r="A415" s="119">
        <v>43558.75734953704</v>
      </c>
      <c r="B415" s="3">
        <v>1</v>
      </c>
    </row>
    <row r="416" spans="1:2" ht="15">
      <c r="A416" s="119">
        <v>43558.76219907407</v>
      </c>
      <c r="B416" s="3">
        <v>1</v>
      </c>
    </row>
    <row r="417" spans="1:2" ht="15">
      <c r="A417" s="119">
        <v>43558.7746412037</v>
      </c>
      <c r="B417" s="3">
        <v>1</v>
      </c>
    </row>
    <row r="418" spans="1:2" ht="15">
      <c r="A418" s="119">
        <v>43558.77662037037</v>
      </c>
      <c r="B418" s="3">
        <v>1</v>
      </c>
    </row>
    <row r="419" spans="1:2" ht="15">
      <c r="A419" s="119">
        <v>43558.779756944445</v>
      </c>
      <c r="B419" s="3">
        <v>1</v>
      </c>
    </row>
    <row r="420" spans="1:2" ht="15">
      <c r="A420" s="119">
        <v>43558.779861111114</v>
      </c>
      <c r="B420" s="3">
        <v>1</v>
      </c>
    </row>
    <row r="421" spans="1:2" ht="15">
      <c r="A421" s="119">
        <v>43558.78010416667</v>
      </c>
      <c r="B421" s="3">
        <v>1</v>
      </c>
    </row>
    <row r="422" spans="1:2" ht="15">
      <c r="A422" s="119">
        <v>43558.78679398148</v>
      </c>
      <c r="B422" s="3">
        <v>1</v>
      </c>
    </row>
    <row r="423" spans="1:2" ht="15">
      <c r="A423" s="119">
        <v>43558.78988425926</v>
      </c>
      <c r="B423" s="3">
        <v>1</v>
      </c>
    </row>
    <row r="424" spans="1:2" ht="15">
      <c r="A424" s="119">
        <v>43558.789930555555</v>
      </c>
      <c r="B424" s="3">
        <v>1</v>
      </c>
    </row>
    <row r="425" spans="1:2" ht="15">
      <c r="A425" s="119">
        <v>43558.791875</v>
      </c>
      <c r="B425" s="3">
        <v>1</v>
      </c>
    </row>
    <row r="426" spans="1:2" ht="15">
      <c r="A426" s="119">
        <v>43558.822430555556</v>
      </c>
      <c r="B426" s="3">
        <v>1</v>
      </c>
    </row>
    <row r="427" spans="1:2" ht="15">
      <c r="A427" s="119">
        <v>43558.83356481481</v>
      </c>
      <c r="B427" s="3">
        <v>1</v>
      </c>
    </row>
    <row r="428" spans="1:2" ht="15">
      <c r="A428" s="119">
        <v>43558.83707175926</v>
      </c>
      <c r="B428" s="3">
        <v>1</v>
      </c>
    </row>
    <row r="429" spans="1:2" ht="15">
      <c r="A429" s="119">
        <v>43558.87275462963</v>
      </c>
      <c r="B429" s="3">
        <v>1</v>
      </c>
    </row>
    <row r="430" spans="1:2" ht="15">
      <c r="A430" s="119">
        <v>43558.92056712963</v>
      </c>
      <c r="B430" s="3">
        <v>1</v>
      </c>
    </row>
    <row r="431" spans="1:2" ht="15">
      <c r="A431" s="119">
        <v>43558.92616898148</v>
      </c>
      <c r="B431" s="3">
        <v>1</v>
      </c>
    </row>
    <row r="432" spans="1:2" ht="15">
      <c r="A432" s="119">
        <v>43558.94137731481</v>
      </c>
      <c r="B432" s="3">
        <v>1</v>
      </c>
    </row>
    <row r="433" spans="1:2" ht="15">
      <c r="A433" s="119">
        <v>43558.9703125</v>
      </c>
      <c r="B433" s="3">
        <v>1</v>
      </c>
    </row>
    <row r="434" spans="1:2" ht="15">
      <c r="A434" s="119">
        <v>43563.667233796295</v>
      </c>
      <c r="B434" s="3">
        <v>1</v>
      </c>
    </row>
    <row r="435" spans="1:2" ht="15">
      <c r="A435" s="119">
        <v>43564.84746527778</v>
      </c>
      <c r="B435" s="3">
        <v>1</v>
      </c>
    </row>
    <row r="436" spans="1:2" ht="15">
      <c r="A436" s="119">
        <v>43565.57300925926</v>
      </c>
      <c r="B436" s="3">
        <v>1</v>
      </c>
    </row>
    <row r="437" spans="1:2" ht="15">
      <c r="A437" s="119">
        <v>43588.016284722224</v>
      </c>
      <c r="B437" s="3">
        <v>1</v>
      </c>
    </row>
    <row r="438" spans="1:2" ht="15">
      <c r="A438" s="119">
        <v>43588.19011574074</v>
      </c>
      <c r="B438" s="3">
        <v>1</v>
      </c>
    </row>
    <row r="439" spans="1:2" ht="15">
      <c r="A439" s="119">
        <v>43588.22041666666</v>
      </c>
      <c r="B439" s="3">
        <v>1</v>
      </c>
    </row>
    <row r="440" spans="1:2" ht="15">
      <c r="A440" s="119">
        <v>43588.336331018516</v>
      </c>
      <c r="B440" s="3">
        <v>1</v>
      </c>
    </row>
    <row r="441" spans="1:2" ht="15">
      <c r="A441" s="119">
        <v>43588.4865162037</v>
      </c>
      <c r="B441" s="3">
        <v>1</v>
      </c>
    </row>
    <row r="442" spans="1:2" ht="15">
      <c r="A442" s="119">
        <v>43588.508784722224</v>
      </c>
      <c r="B442" s="3">
        <v>1</v>
      </c>
    </row>
    <row r="443" spans="1:2" ht="15">
      <c r="A443" s="119">
        <v>43588.618414351855</v>
      </c>
      <c r="B443" s="3">
        <v>1</v>
      </c>
    </row>
    <row r="444" spans="1:2" ht="15">
      <c r="A444" s="119">
        <v>43588.829780092594</v>
      </c>
      <c r="B444" s="3">
        <v>1</v>
      </c>
    </row>
    <row r="445" spans="1:2" ht="15">
      <c r="A445" s="119">
        <v>43617.29644675926</v>
      </c>
      <c r="B445" s="3">
        <v>1</v>
      </c>
    </row>
    <row r="446" spans="1:2" ht="15">
      <c r="A446" s="119">
        <v>43619.494097222225</v>
      </c>
      <c r="B446" s="3">
        <v>1</v>
      </c>
    </row>
    <row r="447" spans="1:2" ht="15">
      <c r="A447" s="119">
        <v>43619.96150462963</v>
      </c>
      <c r="B447" s="3">
        <v>1</v>
      </c>
    </row>
    <row r="448" spans="1:2" ht="15">
      <c r="A448" s="119">
        <v>43626.412766203706</v>
      </c>
      <c r="B448" s="3">
        <v>1</v>
      </c>
    </row>
    <row r="449" spans="1:2" ht="15">
      <c r="A449" s="119">
        <v>43626.84675925926</v>
      </c>
      <c r="B449" s="3">
        <v>1</v>
      </c>
    </row>
    <row r="450" spans="1:2" ht="15">
      <c r="A450" s="119">
        <v>43649.25376157407</v>
      </c>
      <c r="B450" s="3">
        <v>1</v>
      </c>
    </row>
    <row r="451" spans="1:2" ht="15">
      <c r="A451" s="119">
        <v>43656.65366898148</v>
      </c>
      <c r="B451" s="3">
        <v>1</v>
      </c>
    </row>
    <row r="452" spans="1:2" ht="15">
      <c r="A452" s="119">
        <v>43686.157789351855</v>
      </c>
      <c r="B452" s="3">
        <v>1</v>
      </c>
    </row>
    <row r="453" spans="1:2" ht="15">
      <c r="A453" s="119">
        <v>43779.50208333333</v>
      </c>
      <c r="B453" s="3">
        <v>1</v>
      </c>
    </row>
    <row r="454" spans="1:2" ht="15">
      <c r="A454" s="119">
        <v>43802.07747685185</v>
      </c>
      <c r="B454" s="3">
        <v>1</v>
      </c>
    </row>
    <row r="455" spans="1:2" ht="15">
      <c r="A455" s="119">
        <v>43802.684328703705</v>
      </c>
      <c r="B455" s="3">
        <v>1</v>
      </c>
    </row>
    <row r="456" spans="1:2" ht="15">
      <c r="A456" s="119">
        <v>43803.97825231482</v>
      </c>
      <c r="B456" s="3">
        <v>1</v>
      </c>
    </row>
    <row r="457" spans="1:2" ht="15">
      <c r="A457" s="119">
        <v>43833.77128472222</v>
      </c>
      <c r="B457" s="3">
        <v>1</v>
      </c>
    </row>
    <row r="458" spans="1:2" ht="15">
      <c r="A458" s="119">
        <v>43836.33802083333</v>
      </c>
      <c r="B458" s="3">
        <v>1</v>
      </c>
    </row>
    <row r="459" spans="1:2" ht="15">
      <c r="A459" s="119">
        <v>43836.516180555554</v>
      </c>
      <c r="B459" s="3">
        <v>1</v>
      </c>
    </row>
    <row r="460" spans="1:2" ht="15">
      <c r="A460" s="119">
        <v>43836.8825462963</v>
      </c>
      <c r="B460" s="3">
        <v>1</v>
      </c>
    </row>
    <row r="461" spans="1:2" ht="15">
      <c r="A461" s="119">
        <v>43836.9077662037</v>
      </c>
      <c r="B461" s="3">
        <v>1</v>
      </c>
    </row>
    <row r="462" spans="1:2" ht="15">
      <c r="A462" s="119">
        <v>43838.73951388889</v>
      </c>
      <c r="B462" s="3">
        <v>1</v>
      </c>
    </row>
    <row r="463" spans="1:2" ht="15">
      <c r="A463" s="119">
        <v>43867.56728009259</v>
      </c>
      <c r="B463" s="3">
        <v>1</v>
      </c>
    </row>
    <row r="464" spans="1:2" ht="15">
      <c r="A464" s="119">
        <v>43867.671631944446</v>
      </c>
      <c r="B464" s="3">
        <v>1</v>
      </c>
    </row>
    <row r="465" spans="1:2" ht="15">
      <c r="A465" s="119">
        <v>43867.7896875</v>
      </c>
      <c r="B465" s="3">
        <v>1</v>
      </c>
    </row>
    <row r="466" spans="1:2" ht="15">
      <c r="A466" s="119">
        <v>43895.37740740741</v>
      </c>
      <c r="B466" s="3">
        <v>1</v>
      </c>
    </row>
    <row r="467" spans="1:2" ht="15">
      <c r="A467" s="119">
        <v>43895.38363425926</v>
      </c>
      <c r="B467" s="3">
        <v>1</v>
      </c>
    </row>
    <row r="468" spans="1:2" ht="15">
      <c r="A468" s="119">
        <v>43895.384375</v>
      </c>
      <c r="B468" s="3">
        <v>1</v>
      </c>
    </row>
    <row r="469" spans="1:2" ht="15">
      <c r="A469" s="119">
        <v>43895.387824074074</v>
      </c>
      <c r="B469" s="3">
        <v>1</v>
      </c>
    </row>
    <row r="470" spans="1:2" ht="15">
      <c r="A470" s="119">
        <v>43895.391180555554</v>
      </c>
      <c r="B470" s="3">
        <v>1</v>
      </c>
    </row>
    <row r="471" spans="1:2" ht="15">
      <c r="A471" s="119">
        <v>43895.408900462964</v>
      </c>
      <c r="B471" s="3">
        <v>1</v>
      </c>
    </row>
    <row r="472" spans="1:2" ht="15">
      <c r="A472" s="119">
        <v>43895.41685185185</v>
      </c>
      <c r="B472" s="3">
        <v>1</v>
      </c>
    </row>
    <row r="473" spans="1:2" ht="15">
      <c r="A473" s="119">
        <v>43895.43111111111</v>
      </c>
      <c r="B473" s="3">
        <v>1</v>
      </c>
    </row>
    <row r="474" spans="1:2" ht="15">
      <c r="A474" s="119">
        <v>43895.47584490741</v>
      </c>
      <c r="B474" s="3">
        <v>1</v>
      </c>
    </row>
    <row r="475" spans="1:2" ht="15">
      <c r="A475" s="119">
        <v>43895.5459837963</v>
      </c>
      <c r="B475" s="3">
        <v>1</v>
      </c>
    </row>
    <row r="476" spans="1:2" ht="15">
      <c r="A476" s="119">
        <v>43895.600949074076</v>
      </c>
      <c r="B476" s="3">
        <v>1</v>
      </c>
    </row>
    <row r="477" spans="1:2" ht="15">
      <c r="A477" s="119">
        <v>43895.65704861111</v>
      </c>
      <c r="B477" s="3">
        <v>1</v>
      </c>
    </row>
    <row r="478" spans="1:2" ht="15">
      <c r="A478" s="119">
        <v>43895.73065972222</v>
      </c>
      <c r="B478" s="3">
        <v>1</v>
      </c>
    </row>
    <row r="479" spans="1:2" ht="15">
      <c r="A479" s="119">
        <v>43895.80517361111</v>
      </c>
      <c r="B479" s="3">
        <v>1</v>
      </c>
    </row>
    <row r="480" spans="1:2" ht="15">
      <c r="A480" s="119">
        <v>43895.82318287037</v>
      </c>
      <c r="B480" s="3">
        <v>1</v>
      </c>
    </row>
    <row r="481" spans="1:2" ht="15">
      <c r="A481" s="119">
        <v>43895.91238425926</v>
      </c>
      <c r="B481" s="3">
        <v>1</v>
      </c>
    </row>
    <row r="482" spans="1:2" ht="15">
      <c r="A482" s="119">
        <v>43897.71040509259</v>
      </c>
      <c r="B482" s="3">
        <v>1</v>
      </c>
    </row>
    <row r="483" spans="1:2" ht="15">
      <c r="A483" s="119">
        <v>43897.761828703704</v>
      </c>
      <c r="B483" s="3">
        <v>1</v>
      </c>
    </row>
    <row r="484" spans="1:2" ht="15">
      <c r="A484" s="119">
        <v>43900.982395833336</v>
      </c>
      <c r="B484" s="3">
        <v>1</v>
      </c>
    </row>
    <row r="485" spans="1:2" ht="15">
      <c r="A485" s="119">
        <v>43900.98550925926</v>
      </c>
      <c r="B485" s="3">
        <v>1</v>
      </c>
    </row>
    <row r="486" spans="1:2" ht="15">
      <c r="A486" s="119">
        <v>43900.98663194444</v>
      </c>
      <c r="B486" s="3">
        <v>1</v>
      </c>
    </row>
    <row r="487" spans="1:2" ht="15">
      <c r="A487" s="119">
        <v>43900.98826388889</v>
      </c>
      <c r="B487" s="3">
        <v>1</v>
      </c>
    </row>
    <row r="488" spans="1:2" ht="15">
      <c r="A488" s="119">
        <v>43900.99244212963</v>
      </c>
      <c r="B488" s="3">
        <v>1</v>
      </c>
    </row>
    <row r="489" spans="1:2" ht="15">
      <c r="A489" s="119">
        <v>43926.43587962963</v>
      </c>
      <c r="B489" s="3">
        <v>1</v>
      </c>
    </row>
    <row r="490" spans="1:2" ht="15">
      <c r="A490" s="119">
        <v>43926.71046296296</v>
      </c>
      <c r="B490" s="3">
        <v>1</v>
      </c>
    </row>
    <row r="491" spans="1:2" ht="15">
      <c r="A491" s="119">
        <v>43926.96695601852</v>
      </c>
      <c r="B491" s="3">
        <v>1</v>
      </c>
    </row>
    <row r="492" spans="1:2" ht="15">
      <c r="A492" s="119">
        <v>43931.042766203704</v>
      </c>
      <c r="B492" s="3">
        <v>1</v>
      </c>
    </row>
    <row r="493" spans="1:2" ht="15">
      <c r="A493" s="119">
        <v>43931.04553240741</v>
      </c>
      <c r="B493" s="3">
        <v>1</v>
      </c>
    </row>
    <row r="494" spans="1:2" ht="15">
      <c r="A494" s="119">
        <v>43931.16622685185</v>
      </c>
      <c r="B494" s="3">
        <v>1</v>
      </c>
    </row>
    <row r="495" spans="1:2" ht="15">
      <c r="A495" s="119">
        <v>43931.2009375</v>
      </c>
      <c r="B495" s="3">
        <v>1</v>
      </c>
    </row>
    <row r="496" spans="1:2" ht="15">
      <c r="A496" s="119">
        <v>43931.264398148145</v>
      </c>
      <c r="B496" s="3">
        <v>1</v>
      </c>
    </row>
    <row r="497" spans="1:2" ht="15">
      <c r="A497" s="119">
        <v>43931.29583333333</v>
      </c>
      <c r="B497" s="3">
        <v>1</v>
      </c>
    </row>
    <row r="498" spans="1:2" ht="15">
      <c r="A498" s="119">
        <v>43932.96150462963</v>
      </c>
      <c r="B498" s="3">
        <v>1</v>
      </c>
    </row>
    <row r="499" spans="1:2" ht="15">
      <c r="A499" s="119">
        <v>43956.04172453703</v>
      </c>
      <c r="B499" s="3">
        <v>1</v>
      </c>
    </row>
    <row r="500" spans="1:2" ht="15">
      <c r="A500" s="119">
        <v>43956.47105324074</v>
      </c>
      <c r="B500" s="3">
        <v>1</v>
      </c>
    </row>
    <row r="501" spans="1:2" ht="15">
      <c r="A501" s="119">
        <v>43956.70706018519</v>
      </c>
      <c r="B501" s="3">
        <v>1</v>
      </c>
    </row>
    <row r="502" spans="1:2" ht="15">
      <c r="A502" s="119">
        <v>43956.71052083333</v>
      </c>
      <c r="B502" s="3">
        <v>1</v>
      </c>
    </row>
    <row r="503" spans="1:2" ht="15">
      <c r="A503" s="119">
        <v>43957.21418981482</v>
      </c>
      <c r="B503" s="3">
        <v>1</v>
      </c>
    </row>
    <row r="504" spans="1:2" ht="15">
      <c r="A504" s="119">
        <v>43958.31045138889</v>
      </c>
      <c r="B504" s="3">
        <v>1</v>
      </c>
    </row>
    <row r="505" spans="1:2" ht="15">
      <c r="A505" s="119">
        <v>43961.05199074074</v>
      </c>
      <c r="B505" s="3">
        <v>1</v>
      </c>
    </row>
    <row r="506" spans="1:2" ht="15">
      <c r="A506" s="119">
        <v>43961.242847222224</v>
      </c>
      <c r="B506" s="3">
        <v>1</v>
      </c>
    </row>
    <row r="507" spans="1:2" ht="15">
      <c r="A507" s="119">
        <v>43986.86371527778</v>
      </c>
      <c r="B507" s="3">
        <v>1</v>
      </c>
    </row>
    <row r="508" spans="1:2" ht="15">
      <c r="A508" s="119">
        <v>43987.43571759259</v>
      </c>
      <c r="B508" s="3">
        <v>1</v>
      </c>
    </row>
    <row r="509" spans="1:2" ht="15">
      <c r="A509" s="119">
        <v>43988.974386574075</v>
      </c>
      <c r="B509" s="3">
        <v>1</v>
      </c>
    </row>
    <row r="510" spans="1:2" ht="15">
      <c r="A510" s="119">
        <v>43989.11863425926</v>
      </c>
      <c r="B510" s="3">
        <v>1</v>
      </c>
    </row>
    <row r="511" spans="1:2" ht="15">
      <c r="A511" s="119">
        <v>43989.62300925926</v>
      </c>
      <c r="B511" s="3">
        <v>1</v>
      </c>
    </row>
    <row r="512" spans="1:2" ht="15">
      <c r="A512" s="119">
        <v>44018.60052083333</v>
      </c>
      <c r="B512" s="3">
        <v>1</v>
      </c>
    </row>
    <row r="513" spans="1:2" ht="15">
      <c r="A513" s="119">
        <v>44022.95008101852</v>
      </c>
      <c r="B513" s="3">
        <v>1</v>
      </c>
    </row>
    <row r="514" spans="1:2" ht="15">
      <c r="A514" s="119">
        <v>44023.827060185184</v>
      </c>
      <c r="B514" s="3">
        <v>1</v>
      </c>
    </row>
    <row r="515" spans="1:2" ht="15">
      <c r="A515" s="119">
        <v>44053.4669212963</v>
      </c>
      <c r="B515" s="3">
        <v>1</v>
      </c>
    </row>
    <row r="516" spans="1:2" ht="15">
      <c r="A516" s="119">
        <v>44053.467986111114</v>
      </c>
      <c r="B516" s="3">
        <v>1</v>
      </c>
    </row>
    <row r="517" spans="1:2" ht="15">
      <c r="A517" s="119">
        <v>44079.143796296295</v>
      </c>
      <c r="B517" s="3">
        <v>1</v>
      </c>
    </row>
    <row r="518" spans="1:2" ht="15">
      <c r="A518" s="119">
        <v>44109.06349537037</v>
      </c>
      <c r="B518" s="3">
        <v>1</v>
      </c>
    </row>
    <row r="519" spans="1:2" ht="15">
      <c r="A519" s="119">
        <v>44115.48743055556</v>
      </c>
      <c r="B519" s="3">
        <v>1</v>
      </c>
    </row>
    <row r="520" spans="1:2" ht="15">
      <c r="A520" s="119">
        <v>44115.498761574076</v>
      </c>
      <c r="B520" s="3">
        <v>1</v>
      </c>
    </row>
    <row r="521" spans="1:2" ht="15">
      <c r="A521" s="119">
        <v>44115.509560185186</v>
      </c>
      <c r="B521" s="3">
        <v>1</v>
      </c>
    </row>
    <row r="522" spans="1:2" ht="15">
      <c r="A522" s="119">
        <v>44115.57517361111</v>
      </c>
      <c r="B522" s="3">
        <v>1</v>
      </c>
    </row>
    <row r="523" spans="1:2" ht="15">
      <c r="A523" s="119">
        <v>44115.728483796294</v>
      </c>
      <c r="B523" s="3">
        <v>1</v>
      </c>
    </row>
    <row r="524" spans="1:2" ht="15">
      <c r="A524" s="119">
        <v>44140.44747685185</v>
      </c>
      <c r="B524" s="3">
        <v>1</v>
      </c>
    </row>
    <row r="525" spans="1:2" ht="15">
      <c r="A525" s="119">
        <v>44141.66621527778</v>
      </c>
      <c r="B525" s="3">
        <v>1</v>
      </c>
    </row>
    <row r="526" spans="1:2" ht="15">
      <c r="A526" s="119">
        <v>44146.20849537037</v>
      </c>
      <c r="B526" s="3">
        <v>1</v>
      </c>
    </row>
    <row r="527" spans="1:2" ht="15">
      <c r="A527" s="119">
        <v>44176.50341435185</v>
      </c>
      <c r="B527" s="3">
        <v>1</v>
      </c>
    </row>
    <row r="528" spans="1:2" ht="15">
      <c r="A528" s="119">
        <v>44176.61844907407</v>
      </c>
      <c r="B528" s="3">
        <v>1</v>
      </c>
    </row>
    <row r="529" spans="1:2" ht="15">
      <c r="A529" s="119">
        <v>44323.751296296294</v>
      </c>
      <c r="B529" s="3">
        <v>1</v>
      </c>
    </row>
    <row r="530" spans="1:2" ht="15">
      <c r="A530" s="119">
        <v>44380.6980787037</v>
      </c>
      <c r="B530" s="3">
        <v>1</v>
      </c>
    </row>
    <row r="531" spans="1:2" ht="15">
      <c r="A531" s="119">
        <v>44443.466886574075</v>
      </c>
      <c r="B531" s="3">
        <v>1</v>
      </c>
    </row>
    <row r="532" spans="1:2" ht="15">
      <c r="A532" s="119">
        <v>44445.758206018516</v>
      </c>
      <c r="B532" s="3">
        <v>1</v>
      </c>
    </row>
    <row r="533" spans="1:2" ht="15">
      <c r="A533" s="119">
        <v>44473.713900462964</v>
      </c>
      <c r="B533" s="3">
        <v>1</v>
      </c>
    </row>
    <row r="534" spans="1:2" ht="15">
      <c r="A534" s="119">
        <v>44504.42827546296</v>
      </c>
      <c r="B534" s="3">
        <v>1</v>
      </c>
    </row>
    <row r="535" spans="1:2" ht="15">
      <c r="A535" s="119">
        <v>44504.448333333334</v>
      </c>
      <c r="B535" s="3">
        <v>1</v>
      </c>
    </row>
    <row r="536" spans="1:2" ht="15">
      <c r="A536" s="119">
        <v>44504.448587962965</v>
      </c>
      <c r="B536" s="3">
        <v>1</v>
      </c>
    </row>
    <row r="537" spans="1:2" ht="15">
      <c r="A537" s="119">
        <v>44504.44905092593</v>
      </c>
      <c r="B537" s="3">
        <v>1</v>
      </c>
    </row>
    <row r="538" spans="1:2" ht="15">
      <c r="A538" s="119">
        <v>44504.44917824074</v>
      </c>
      <c r="B538" s="3">
        <v>1</v>
      </c>
    </row>
    <row r="539" spans="1:2" ht="15">
      <c r="A539" s="119">
        <v>44504.45483796296</v>
      </c>
      <c r="B539" s="3">
        <v>1</v>
      </c>
    </row>
    <row r="540" spans="1:2" ht="15">
      <c r="A540" s="119">
        <v>44504.47109953704</v>
      </c>
      <c r="B540" s="3">
        <v>1</v>
      </c>
    </row>
    <row r="541" spans="1:2" ht="15">
      <c r="A541" s="119">
        <v>44504.49010416667</v>
      </c>
      <c r="B541" s="3">
        <v>1</v>
      </c>
    </row>
    <row r="542" spans="1:2" ht="15">
      <c r="A542" s="119">
        <v>44504.490115740744</v>
      </c>
      <c r="B542" s="3">
        <v>1</v>
      </c>
    </row>
    <row r="543" spans="1:2" ht="15">
      <c r="A543" s="119">
        <v>44504.49146990741</v>
      </c>
      <c r="B543" s="3">
        <v>1</v>
      </c>
    </row>
    <row r="544" spans="1:2" ht="15">
      <c r="A544" s="119">
        <v>44504.50618055555</v>
      </c>
      <c r="B544" s="3">
        <v>1</v>
      </c>
    </row>
    <row r="545" spans="1:2" ht="15">
      <c r="A545" s="119">
        <v>44504.51613425926</v>
      </c>
      <c r="B545" s="3">
        <v>1</v>
      </c>
    </row>
    <row r="546" spans="1:2" ht="15">
      <c r="A546" s="119">
        <v>44504.51905092593</v>
      </c>
      <c r="B546" s="3">
        <v>1</v>
      </c>
    </row>
    <row r="547" spans="1:2" ht="15">
      <c r="A547" s="119">
        <v>44504.52568287037</v>
      </c>
      <c r="B547" s="3">
        <v>1</v>
      </c>
    </row>
    <row r="548" spans="1:2" ht="15">
      <c r="A548" s="119">
        <v>44504.55900462963</v>
      </c>
      <c r="B548" s="3">
        <v>1</v>
      </c>
    </row>
    <row r="549" spans="1:2" ht="15">
      <c r="A549" s="119">
        <v>44504.55975694444</v>
      </c>
      <c r="B549" s="3">
        <v>1</v>
      </c>
    </row>
    <row r="550" spans="1:2" ht="15">
      <c r="A550" s="119">
        <v>44504.559849537036</v>
      </c>
      <c r="B550" s="3">
        <v>1</v>
      </c>
    </row>
    <row r="551" spans="1:2" ht="15">
      <c r="A551" s="119">
        <v>44504.562939814816</v>
      </c>
      <c r="B551" s="3">
        <v>1</v>
      </c>
    </row>
    <row r="552" spans="1:2" ht="15">
      <c r="A552" s="119">
        <v>44504.56355324074</v>
      </c>
      <c r="B552" s="3">
        <v>1</v>
      </c>
    </row>
    <row r="553" spans="1:2" ht="15">
      <c r="A553" s="119">
        <v>44504.575370370374</v>
      </c>
      <c r="B553" s="3">
        <v>1</v>
      </c>
    </row>
    <row r="554" spans="1:2" ht="15">
      <c r="A554" s="119">
        <v>44504.59087962963</v>
      </c>
      <c r="B554" s="3">
        <v>1</v>
      </c>
    </row>
    <row r="555" spans="1:2" ht="15">
      <c r="A555" s="119">
        <v>44504.62923611111</v>
      </c>
      <c r="B555" s="3">
        <v>1</v>
      </c>
    </row>
    <row r="556" spans="1:2" ht="15">
      <c r="A556" s="119">
        <v>44504.62930555556</v>
      </c>
      <c r="B556" s="3">
        <v>1</v>
      </c>
    </row>
    <row r="557" spans="1:2" ht="15">
      <c r="A557" s="119">
        <v>44504.63048611111</v>
      </c>
      <c r="B557" s="3">
        <v>1</v>
      </c>
    </row>
    <row r="558" spans="1:2" ht="15">
      <c r="A558" s="119">
        <v>44504.665671296294</v>
      </c>
      <c r="B558" s="3">
        <v>1</v>
      </c>
    </row>
    <row r="559" spans="1:2" ht="15">
      <c r="A559" s="119">
        <v>44536.92207175926</v>
      </c>
      <c r="B559" s="3">
        <v>1</v>
      </c>
    </row>
    <row r="560" spans="1:2" ht="15">
      <c r="A560" s="118" t="s">
        <v>5344</v>
      </c>
      <c r="B560" s="3">
        <v>534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8515625" style="3" bestFit="1" customWidth="1"/>
    <col min="34" max="34" width="14.28125" style="3" bestFit="1" customWidth="1"/>
    <col min="35" max="35" width="10.421875" style="0" bestFit="1" customWidth="1"/>
    <col min="36" max="36" width="14.57421875" style="0" bestFit="1" customWidth="1"/>
    <col min="37" max="37" width="12.7109375" style="0" bestFit="1" customWidth="1"/>
    <col min="38" max="38" width="8.57421875" style="0" bestFit="1" customWidth="1"/>
    <col min="39" max="39" width="12.421875" style="0" bestFit="1" customWidth="1"/>
    <col min="40" max="40" width="13.00390625" style="0" bestFit="1" customWidth="1"/>
    <col min="41" max="41" width="20.140625" style="0" bestFit="1" customWidth="1"/>
    <col min="42" max="42" width="9.00390625" style="0" bestFit="1" customWidth="1"/>
    <col min="43" max="43" width="10.8515625" style="0" bestFit="1" customWidth="1"/>
    <col min="45" max="46" width="16.14062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2783</v>
      </c>
      <c r="AE2" s="13" t="s">
        <v>2784</v>
      </c>
      <c r="AF2" s="13" t="s">
        <v>216</v>
      </c>
      <c r="AG2" s="13" t="s">
        <v>217</v>
      </c>
      <c r="AH2" s="13" t="s">
        <v>218</v>
      </c>
      <c r="AI2" s="13" t="s">
        <v>2785</v>
      </c>
      <c r="AJ2" s="13" t="s">
        <v>224</v>
      </c>
      <c r="AK2" s="13" t="s">
        <v>2786</v>
      </c>
      <c r="AL2" s="13" t="s">
        <v>2787</v>
      </c>
      <c r="AM2" s="13" t="s">
        <v>2788</v>
      </c>
      <c r="AN2" s="13" t="s">
        <v>2789</v>
      </c>
      <c r="AO2" s="13" t="s">
        <v>2790</v>
      </c>
      <c r="AP2" s="13" t="s">
        <v>2791</v>
      </c>
      <c r="AQ2" s="13" t="s">
        <v>2792</v>
      </c>
      <c r="AR2" s="13" t="s">
        <v>2793</v>
      </c>
      <c r="AS2" s="13" t="s">
        <v>2794</v>
      </c>
      <c r="AT2" s="13" t="s">
        <v>2795</v>
      </c>
      <c r="AU2" s="13" t="s">
        <v>3443</v>
      </c>
      <c r="AV2" s="113" t="s">
        <v>4158</v>
      </c>
      <c r="AW2" s="113" t="s">
        <v>4159</v>
      </c>
      <c r="AX2" s="113" t="s">
        <v>4160</v>
      </c>
      <c r="AY2" s="113" t="s">
        <v>4161</v>
      </c>
      <c r="AZ2" s="113" t="s">
        <v>4162</v>
      </c>
      <c r="BA2" s="113" t="s">
        <v>4163</v>
      </c>
      <c r="BB2" s="113" t="s">
        <v>4164</v>
      </c>
      <c r="BC2" s="113" t="s">
        <v>4165</v>
      </c>
      <c r="BD2" s="113" t="s">
        <v>4167</v>
      </c>
      <c r="BE2" s="113" t="s">
        <v>4404</v>
      </c>
      <c r="BF2" s="113" t="s">
        <v>4407</v>
      </c>
      <c r="BG2" s="113" t="s">
        <v>4408</v>
      </c>
      <c r="BH2" s="113" t="s">
        <v>4410</v>
      </c>
      <c r="BI2" s="113" t="s">
        <v>4411</v>
      </c>
      <c r="BJ2" s="113" t="s">
        <v>4412</v>
      </c>
      <c r="BK2" s="113" t="s">
        <v>4413</v>
      </c>
      <c r="BL2" s="113" t="s">
        <v>4865</v>
      </c>
      <c r="BM2" s="113" t="s">
        <v>4894</v>
      </c>
      <c r="BN2" s="113" t="s">
        <v>5332</v>
      </c>
      <c r="BO2" s="3"/>
      <c r="BP2" s="3"/>
    </row>
    <row r="3" spans="1:68" ht="15" customHeight="1">
      <c r="A3" s="65" t="s">
        <v>230</v>
      </c>
      <c r="B3" s="66"/>
      <c r="C3" s="66"/>
      <c r="D3" s="67">
        <v>1000</v>
      </c>
      <c r="E3" s="69"/>
      <c r="F3" s="103" t="str">
        <f>HYPERLINK("https://yt3.ggpht.com/ytc/AKedOLQKzE4LMdq50Xf5r0etRsbVItpxy69lforXuBfMNQ=s88-c-k-c0x00ffffff-no-rj")</f>
        <v>https://yt3.ggpht.com/ytc/AKedOLQKzE4LMdq50Xf5r0etRsbVItpxy69lforXuBfMNQ=s88-c-k-c0x00ffffff-no-rj</v>
      </c>
      <c r="G3" s="66"/>
      <c r="H3" s="70" t="s">
        <v>1559</v>
      </c>
      <c r="I3" s="71"/>
      <c r="J3" s="71" t="s">
        <v>75</v>
      </c>
      <c r="K3" s="70" t="s">
        <v>1559</v>
      </c>
      <c r="L3" s="74">
        <v>1650.6045395024007</v>
      </c>
      <c r="M3" s="75">
        <v>8497.212890625</v>
      </c>
      <c r="N3" s="75">
        <v>5451.9306640625</v>
      </c>
      <c r="O3" s="76"/>
      <c r="P3" s="77"/>
      <c r="Q3" s="77"/>
      <c r="R3" s="49"/>
      <c r="S3" s="49">
        <v>29</v>
      </c>
      <c r="T3" s="49">
        <v>29</v>
      </c>
      <c r="U3" s="50">
        <v>6048</v>
      </c>
      <c r="V3" s="50">
        <v>0.003968</v>
      </c>
      <c r="W3" s="50">
        <v>0</v>
      </c>
      <c r="X3" s="50">
        <v>13.020025</v>
      </c>
      <c r="Y3" s="50">
        <v>0</v>
      </c>
      <c r="Z3" s="50">
        <v>1</v>
      </c>
      <c r="AA3" s="72">
        <v>3</v>
      </c>
      <c r="AB3" s="72"/>
      <c r="AC3" s="73"/>
      <c r="AD3" s="80" t="s">
        <v>1559</v>
      </c>
      <c r="AE3" s="80" t="s">
        <v>3006</v>
      </c>
      <c r="AF3" s="80"/>
      <c r="AG3" s="80"/>
      <c r="AH3" s="80"/>
      <c r="AI3" s="80" t="s">
        <v>3100</v>
      </c>
      <c r="AJ3" s="87">
        <v>42893.419756944444</v>
      </c>
      <c r="AK3" s="85" t="str">
        <f>HYPERLINK("https://yt3.ggpht.com/ytc/AKedOLQKzE4LMdq50Xf5r0etRsbVItpxy69lforXuBfMNQ=s88-c-k-c0x00ffffff-no-rj")</f>
        <v>https://yt3.ggpht.com/ytc/AKedOLQKzE4LMdq50Xf5r0etRsbVItpxy69lforXuBfMNQ=s88-c-k-c0x00ffffff-no-rj</v>
      </c>
      <c r="AL3" s="80">
        <v>4759385</v>
      </c>
      <c r="AM3" s="80">
        <v>0</v>
      </c>
      <c r="AN3" s="80">
        <v>33800</v>
      </c>
      <c r="AO3" s="80" t="b">
        <v>0</v>
      </c>
      <c r="AP3" s="80">
        <v>296</v>
      </c>
      <c r="AQ3" s="80"/>
      <c r="AR3" s="80"/>
      <c r="AS3" s="80" t="s">
        <v>3412</v>
      </c>
      <c r="AT3" s="85" t="str">
        <f>HYPERLINK("https://www.youtube.com/channel/UCbbx7msYKamwOeRUkaqCTAQ")</f>
        <v>https://www.youtube.com/channel/UCbbx7msYKamwOeRUkaqCTAQ</v>
      </c>
      <c r="AU3" s="80" t="str">
        <f>REPLACE(INDEX(GroupVertices[Group],MATCH(Vertices[[#This Row],[Vertex]],GroupVertices[Vertex],0)),1,1,"")</f>
        <v>5</v>
      </c>
      <c r="AV3" s="49">
        <v>18</v>
      </c>
      <c r="AW3" s="50">
        <v>6.474820143884892</v>
      </c>
      <c r="AX3" s="49">
        <v>2</v>
      </c>
      <c r="AY3" s="50">
        <v>0.7194244604316546</v>
      </c>
      <c r="AZ3" s="49">
        <v>0</v>
      </c>
      <c r="BA3" s="50">
        <v>0</v>
      </c>
      <c r="BB3" s="49">
        <v>258</v>
      </c>
      <c r="BC3" s="50">
        <v>92.80575539568345</v>
      </c>
      <c r="BD3" s="49">
        <v>278</v>
      </c>
      <c r="BE3" s="49" t="s">
        <v>4213</v>
      </c>
      <c r="BF3" s="49" t="s">
        <v>4213</v>
      </c>
      <c r="BG3" s="49" t="s">
        <v>4251</v>
      </c>
      <c r="BH3" s="49" t="s">
        <v>4251</v>
      </c>
      <c r="BI3" s="49"/>
      <c r="BJ3" s="49"/>
      <c r="BK3" s="111" t="s">
        <v>4414</v>
      </c>
      <c r="BL3" s="111" t="s">
        <v>4866</v>
      </c>
      <c r="BM3" s="111" t="s">
        <v>4895</v>
      </c>
      <c r="BN3" s="111" t="s">
        <v>5333</v>
      </c>
      <c r="BO3" s="3"/>
      <c r="BP3" s="3"/>
    </row>
    <row r="4" spans="1:71" ht="15">
      <c r="A4" s="65" t="s">
        <v>229</v>
      </c>
      <c r="B4" s="66"/>
      <c r="C4" s="66"/>
      <c r="D4" s="67">
        <v>150</v>
      </c>
      <c r="E4" s="69"/>
      <c r="F4" s="103" t="str">
        <f>HYPERLINK("https://yt3.ggpht.com/ytc/AKedOLQKFCjc7QoCOvq8tt6f8lnPz3D6zb26g0iVs6skHA=s88-c-k-c0x00ffffff-no-rj")</f>
        <v>https://yt3.ggpht.com/ytc/AKedOLQKFCjc7QoCOvq8tt6f8lnPz3D6zb26g0iVs6skHA=s88-c-k-c0x00ffffff-no-rj</v>
      </c>
      <c r="G4" s="66"/>
      <c r="H4" s="70" t="s">
        <v>1558</v>
      </c>
      <c r="I4" s="71"/>
      <c r="J4" s="71" t="s">
        <v>159</v>
      </c>
      <c r="K4" s="70" t="s">
        <v>1558</v>
      </c>
      <c r="L4" s="74">
        <v>1</v>
      </c>
      <c r="M4" s="75">
        <v>9418.625</v>
      </c>
      <c r="N4" s="75">
        <v>4808.0849609375</v>
      </c>
      <c r="O4" s="76"/>
      <c r="P4" s="77"/>
      <c r="Q4" s="77"/>
      <c r="R4" s="89"/>
      <c r="S4" s="49">
        <v>1</v>
      </c>
      <c r="T4" s="49">
        <v>1</v>
      </c>
      <c r="U4" s="50">
        <v>0</v>
      </c>
      <c r="V4" s="50">
        <v>0.002899</v>
      </c>
      <c r="W4" s="50">
        <v>0</v>
      </c>
      <c r="X4" s="50">
        <v>0.531621</v>
      </c>
      <c r="Y4" s="50">
        <v>0</v>
      </c>
      <c r="Z4" s="50">
        <v>1</v>
      </c>
      <c r="AA4" s="72">
        <v>4</v>
      </c>
      <c r="AB4" s="72"/>
      <c r="AC4" s="73"/>
      <c r="AD4" s="80" t="s">
        <v>1558</v>
      </c>
      <c r="AE4" s="80" t="s">
        <v>2805</v>
      </c>
      <c r="AF4" s="80"/>
      <c r="AG4" s="80"/>
      <c r="AH4" s="80"/>
      <c r="AI4" s="80" t="s">
        <v>3007</v>
      </c>
      <c r="AJ4" s="80" t="s">
        <v>3101</v>
      </c>
      <c r="AK4" s="85" t="str">
        <f>HYPERLINK("https://yt3.ggpht.com/ytc/AKedOLQKFCjc7QoCOvq8tt6f8lnPz3D6zb26g0iVs6skHA=s88-c-k-c0x00ffffff-no-rj")</f>
        <v>https://yt3.ggpht.com/ytc/AKedOLQKFCjc7QoCOvq8tt6f8lnPz3D6zb26g0iVs6skHA=s88-c-k-c0x00ffffff-no-rj</v>
      </c>
      <c r="AL4" s="80">
        <v>179382</v>
      </c>
      <c r="AM4" s="80">
        <v>0</v>
      </c>
      <c r="AN4" s="80">
        <v>0</v>
      </c>
      <c r="AO4" s="80" t="b">
        <v>1</v>
      </c>
      <c r="AP4" s="80">
        <v>268</v>
      </c>
      <c r="AQ4" s="80"/>
      <c r="AR4" s="80"/>
      <c r="AS4" s="80" t="s">
        <v>3412</v>
      </c>
      <c r="AT4" s="85" t="str">
        <f>HYPERLINK("https://www.youtube.com/channel/UCWHsCW7mURDlrfTO_LyitwQ")</f>
        <v>https://www.youtube.com/channel/UCWHsCW7mURDlrfTO_LyitwQ</v>
      </c>
      <c r="AU4" s="80" t="str">
        <f>REPLACE(INDEX(GroupVertices[Group],MATCH(Vertices[[#This Row],[Vertex]],GroupVertices[Vertex],0)),1,1,"")</f>
        <v>5</v>
      </c>
      <c r="AV4" s="49">
        <v>2</v>
      </c>
      <c r="AW4" s="50">
        <v>15.384615384615385</v>
      </c>
      <c r="AX4" s="49">
        <v>0</v>
      </c>
      <c r="AY4" s="50">
        <v>0</v>
      </c>
      <c r="AZ4" s="49">
        <v>0</v>
      </c>
      <c r="BA4" s="50">
        <v>0</v>
      </c>
      <c r="BB4" s="49">
        <v>11</v>
      </c>
      <c r="BC4" s="50">
        <v>84.61538461538461</v>
      </c>
      <c r="BD4" s="49">
        <v>13</v>
      </c>
      <c r="BE4" s="49"/>
      <c r="BF4" s="49"/>
      <c r="BG4" s="49"/>
      <c r="BH4" s="49"/>
      <c r="BI4" s="49"/>
      <c r="BJ4" s="49"/>
      <c r="BK4" s="111" t="s">
        <v>4415</v>
      </c>
      <c r="BL4" s="111" t="s">
        <v>4415</v>
      </c>
      <c r="BM4" s="111" t="s">
        <v>4896</v>
      </c>
      <c r="BN4" s="111" t="s">
        <v>4896</v>
      </c>
      <c r="BO4" s="2"/>
      <c r="BP4" s="3"/>
      <c r="BQ4" s="3"/>
      <c r="BR4" s="3"/>
      <c r="BS4" s="3"/>
    </row>
    <row r="5" spans="1:71" ht="15">
      <c r="A5" s="65" t="s">
        <v>231</v>
      </c>
      <c r="B5" s="66"/>
      <c r="C5" s="66"/>
      <c r="D5" s="67">
        <v>150</v>
      </c>
      <c r="E5" s="69"/>
      <c r="F5" s="103" t="str">
        <f>HYPERLINK("https://yt3.ggpht.com/ytc/AKedOLSO8fGaWLJ4YaLzThKzj1iEDWNhZ5xQoHPk9E_ImA=s88-c-k-c0x00ffffff-no-rj")</f>
        <v>https://yt3.ggpht.com/ytc/AKedOLSO8fGaWLJ4YaLzThKzj1iEDWNhZ5xQoHPk9E_ImA=s88-c-k-c0x00ffffff-no-rj</v>
      </c>
      <c r="G5" s="66"/>
      <c r="H5" s="70" t="s">
        <v>1560</v>
      </c>
      <c r="I5" s="71"/>
      <c r="J5" s="71" t="s">
        <v>159</v>
      </c>
      <c r="K5" s="70" t="s">
        <v>1560</v>
      </c>
      <c r="L5" s="74">
        <v>1</v>
      </c>
      <c r="M5" s="75">
        <v>8665.103515625</v>
      </c>
      <c r="N5" s="75">
        <v>5907.216796875</v>
      </c>
      <c r="O5" s="76"/>
      <c r="P5" s="77"/>
      <c r="Q5" s="77"/>
      <c r="R5" s="89"/>
      <c r="S5" s="49">
        <v>1</v>
      </c>
      <c r="T5" s="49">
        <v>1</v>
      </c>
      <c r="U5" s="50">
        <v>0</v>
      </c>
      <c r="V5" s="50">
        <v>0.002899</v>
      </c>
      <c r="W5" s="50">
        <v>0</v>
      </c>
      <c r="X5" s="50">
        <v>0.531621</v>
      </c>
      <c r="Y5" s="50">
        <v>0</v>
      </c>
      <c r="Z5" s="50">
        <v>1</v>
      </c>
      <c r="AA5" s="72">
        <v>5</v>
      </c>
      <c r="AB5" s="72"/>
      <c r="AC5" s="73"/>
      <c r="AD5" s="80" t="s">
        <v>1560</v>
      </c>
      <c r="AE5" s="80" t="s">
        <v>2806</v>
      </c>
      <c r="AF5" s="80"/>
      <c r="AG5" s="80"/>
      <c r="AH5" s="80"/>
      <c r="AI5" s="80" t="s">
        <v>3008</v>
      </c>
      <c r="AJ5" s="87">
        <v>40553.92266203704</v>
      </c>
      <c r="AK5" s="85" t="str">
        <f>HYPERLINK("https://yt3.ggpht.com/ytc/AKedOLSO8fGaWLJ4YaLzThKzj1iEDWNhZ5xQoHPk9E_ImA=s88-c-k-c0x00ffffff-no-rj")</f>
        <v>https://yt3.ggpht.com/ytc/AKedOLSO8fGaWLJ4YaLzThKzj1iEDWNhZ5xQoHPk9E_ImA=s88-c-k-c0x00ffffff-no-rj</v>
      </c>
      <c r="AL5" s="80">
        <v>211697</v>
      </c>
      <c r="AM5" s="80">
        <v>0</v>
      </c>
      <c r="AN5" s="80">
        <v>4890</v>
      </c>
      <c r="AO5" s="80" t="b">
        <v>0</v>
      </c>
      <c r="AP5" s="80">
        <v>24</v>
      </c>
      <c r="AQ5" s="80"/>
      <c r="AR5" s="80"/>
      <c r="AS5" s="80" t="s">
        <v>3412</v>
      </c>
      <c r="AT5" s="85" t="str">
        <f>HYPERLINK("https://www.youtube.com/channel/UCS4mJk0uW_RNzpuPcDTyD_g")</f>
        <v>https://www.youtube.com/channel/UCS4mJk0uW_RNzpuPcDTyD_g</v>
      </c>
      <c r="AU5" s="80" t="str">
        <f>REPLACE(INDEX(GroupVertices[Group],MATCH(Vertices[[#This Row],[Vertex]],GroupVertices[Vertex],0)),1,1,"")</f>
        <v>5</v>
      </c>
      <c r="AV5" s="49">
        <v>1</v>
      </c>
      <c r="AW5" s="50">
        <v>6.666666666666667</v>
      </c>
      <c r="AX5" s="49">
        <v>0</v>
      </c>
      <c r="AY5" s="50">
        <v>0</v>
      </c>
      <c r="AZ5" s="49">
        <v>0</v>
      </c>
      <c r="BA5" s="50">
        <v>0</v>
      </c>
      <c r="BB5" s="49">
        <v>14</v>
      </c>
      <c r="BC5" s="50">
        <v>93.33333333333333</v>
      </c>
      <c r="BD5" s="49">
        <v>15</v>
      </c>
      <c r="BE5" s="49"/>
      <c r="BF5" s="49"/>
      <c r="BG5" s="49"/>
      <c r="BH5" s="49"/>
      <c r="BI5" s="49"/>
      <c r="BJ5" s="49"/>
      <c r="BK5" s="111" t="s">
        <v>4416</v>
      </c>
      <c r="BL5" s="111" t="s">
        <v>4416</v>
      </c>
      <c r="BM5" s="111" t="s">
        <v>4897</v>
      </c>
      <c r="BN5" s="111" t="s">
        <v>4897</v>
      </c>
      <c r="BO5" s="2"/>
      <c r="BP5" s="3"/>
      <c r="BQ5" s="3"/>
      <c r="BR5" s="3"/>
      <c r="BS5" s="3"/>
    </row>
    <row r="6" spans="1:71" ht="15">
      <c r="A6" s="65" t="s">
        <v>232</v>
      </c>
      <c r="B6" s="66"/>
      <c r="C6" s="66"/>
      <c r="D6" s="67">
        <v>150</v>
      </c>
      <c r="E6" s="69"/>
      <c r="F6" s="103" t="str">
        <f>HYPERLINK("https://yt3.ggpht.com/ytc/AKedOLT4sm6NyY8GoO3bc0OLjbfr3Yv9wySJwoXUeTZI=s88-c-k-c0x00ffffff-no-rj")</f>
        <v>https://yt3.ggpht.com/ytc/AKedOLT4sm6NyY8GoO3bc0OLjbfr3Yv9wySJwoXUeTZI=s88-c-k-c0x00ffffff-no-rj</v>
      </c>
      <c r="G6" s="66"/>
      <c r="H6" s="70" t="s">
        <v>1561</v>
      </c>
      <c r="I6" s="71"/>
      <c r="J6" s="71" t="s">
        <v>159</v>
      </c>
      <c r="K6" s="70" t="s">
        <v>1561</v>
      </c>
      <c r="L6" s="74">
        <v>1</v>
      </c>
      <c r="M6" s="75">
        <v>8377.3486328125</v>
      </c>
      <c r="N6" s="75">
        <v>4625.06591796875</v>
      </c>
      <c r="O6" s="76"/>
      <c r="P6" s="77"/>
      <c r="Q6" s="77"/>
      <c r="R6" s="89"/>
      <c r="S6" s="49">
        <v>1</v>
      </c>
      <c r="T6" s="49">
        <v>1</v>
      </c>
      <c r="U6" s="50">
        <v>0</v>
      </c>
      <c r="V6" s="50">
        <v>0.002899</v>
      </c>
      <c r="W6" s="50">
        <v>0</v>
      </c>
      <c r="X6" s="50">
        <v>0.531621</v>
      </c>
      <c r="Y6" s="50">
        <v>0</v>
      </c>
      <c r="Z6" s="50">
        <v>1</v>
      </c>
      <c r="AA6" s="72">
        <v>6</v>
      </c>
      <c r="AB6" s="72"/>
      <c r="AC6" s="73"/>
      <c r="AD6" s="80" t="s">
        <v>1561</v>
      </c>
      <c r="AE6" s="80"/>
      <c r="AF6" s="80"/>
      <c r="AG6" s="80"/>
      <c r="AH6" s="80"/>
      <c r="AI6" s="80"/>
      <c r="AJ6" s="80" t="s">
        <v>3102</v>
      </c>
      <c r="AK6" s="85" t="str">
        <f>HYPERLINK("https://yt3.ggpht.com/ytc/AKedOLT4sm6NyY8GoO3bc0OLjbfr3Yv9wySJwoXUeTZI=s88-c-k-c0x00ffffff-no-rj")</f>
        <v>https://yt3.ggpht.com/ytc/AKedOLT4sm6NyY8GoO3bc0OLjbfr3Yv9wySJwoXUeTZI=s88-c-k-c0x00ffffff-no-rj</v>
      </c>
      <c r="AL6" s="80">
        <v>0</v>
      </c>
      <c r="AM6" s="80">
        <v>0</v>
      </c>
      <c r="AN6" s="80">
        <v>1850</v>
      </c>
      <c r="AO6" s="80" t="b">
        <v>0</v>
      </c>
      <c r="AP6" s="80">
        <v>0</v>
      </c>
      <c r="AQ6" s="80"/>
      <c r="AR6" s="80"/>
      <c r="AS6" s="80" t="s">
        <v>3412</v>
      </c>
      <c r="AT6" s="85" t="str">
        <f>HYPERLINK("https://www.youtube.com/channel/UC-8ZIiAhTcqRp-3qg0-lc5w")</f>
        <v>https://www.youtube.com/channel/UC-8ZIiAhTcqRp-3qg0-lc5w</v>
      </c>
      <c r="AU6" s="80" t="str">
        <f>REPLACE(INDEX(GroupVertices[Group],MATCH(Vertices[[#This Row],[Vertex]],GroupVertices[Vertex],0)),1,1,"")</f>
        <v>5</v>
      </c>
      <c r="AV6" s="49">
        <v>4</v>
      </c>
      <c r="AW6" s="50">
        <v>33.333333333333336</v>
      </c>
      <c r="AX6" s="49">
        <v>0</v>
      </c>
      <c r="AY6" s="50">
        <v>0</v>
      </c>
      <c r="AZ6" s="49">
        <v>0</v>
      </c>
      <c r="BA6" s="50">
        <v>0</v>
      </c>
      <c r="BB6" s="49">
        <v>8</v>
      </c>
      <c r="BC6" s="50">
        <v>66.66666666666667</v>
      </c>
      <c r="BD6" s="49">
        <v>12</v>
      </c>
      <c r="BE6" s="49"/>
      <c r="BF6" s="49"/>
      <c r="BG6" s="49"/>
      <c r="BH6" s="49"/>
      <c r="BI6" s="49"/>
      <c r="BJ6" s="49"/>
      <c r="BK6" s="111" t="s">
        <v>4417</v>
      </c>
      <c r="BL6" s="111" t="s">
        <v>4417</v>
      </c>
      <c r="BM6" s="111" t="s">
        <v>4898</v>
      </c>
      <c r="BN6" s="111" t="s">
        <v>4898</v>
      </c>
      <c r="BO6" s="2"/>
      <c r="BP6" s="3"/>
      <c r="BQ6" s="3"/>
      <c r="BR6" s="3"/>
      <c r="BS6" s="3"/>
    </row>
    <row r="7" spans="1:71" ht="15">
      <c r="A7" s="65" t="s">
        <v>233</v>
      </c>
      <c r="B7" s="66"/>
      <c r="C7" s="66"/>
      <c r="D7" s="67">
        <v>150</v>
      </c>
      <c r="E7" s="69"/>
      <c r="F7" s="103" t="str">
        <f>HYPERLINK("https://yt3.ggpht.com/ytc/AKedOLQO5bQMgATmPmuaE2pP28K-WyhkqoCWJMnoR9gH=s88-c-k-c0x00ffffff-no-rj")</f>
        <v>https://yt3.ggpht.com/ytc/AKedOLQO5bQMgATmPmuaE2pP28K-WyhkqoCWJMnoR9gH=s88-c-k-c0x00ffffff-no-rj</v>
      </c>
      <c r="G7" s="66"/>
      <c r="H7" s="70" t="s">
        <v>1562</v>
      </c>
      <c r="I7" s="71"/>
      <c r="J7" s="71" t="s">
        <v>159</v>
      </c>
      <c r="K7" s="70" t="s">
        <v>1562</v>
      </c>
      <c r="L7" s="74">
        <v>1</v>
      </c>
      <c r="M7" s="75">
        <v>9150.9189453125</v>
      </c>
      <c r="N7" s="75">
        <v>5263.931640625</v>
      </c>
      <c r="O7" s="76"/>
      <c r="P7" s="77"/>
      <c r="Q7" s="77"/>
      <c r="R7" s="89"/>
      <c r="S7" s="49">
        <v>1</v>
      </c>
      <c r="T7" s="49">
        <v>1</v>
      </c>
      <c r="U7" s="50">
        <v>0</v>
      </c>
      <c r="V7" s="50">
        <v>0.002899</v>
      </c>
      <c r="W7" s="50">
        <v>0</v>
      </c>
      <c r="X7" s="50">
        <v>0.531621</v>
      </c>
      <c r="Y7" s="50">
        <v>0</v>
      </c>
      <c r="Z7" s="50">
        <v>1</v>
      </c>
      <c r="AA7" s="72">
        <v>7</v>
      </c>
      <c r="AB7" s="72"/>
      <c r="AC7" s="73"/>
      <c r="AD7" s="80" t="s">
        <v>1562</v>
      </c>
      <c r="AE7" s="80"/>
      <c r="AF7" s="80"/>
      <c r="AG7" s="80"/>
      <c r="AH7" s="80"/>
      <c r="AI7" s="80"/>
      <c r="AJ7" s="80" t="s">
        <v>3103</v>
      </c>
      <c r="AK7" s="85" t="str">
        <f>HYPERLINK("https://yt3.ggpht.com/ytc/AKedOLQO5bQMgATmPmuaE2pP28K-WyhkqoCWJMnoR9gH=s88-c-k-c0x00ffffff-no-rj")</f>
        <v>https://yt3.ggpht.com/ytc/AKedOLQO5bQMgATmPmuaE2pP28K-WyhkqoCWJMnoR9gH=s88-c-k-c0x00ffffff-no-rj</v>
      </c>
      <c r="AL7" s="80">
        <v>461605</v>
      </c>
      <c r="AM7" s="80">
        <v>0</v>
      </c>
      <c r="AN7" s="80">
        <v>1830</v>
      </c>
      <c r="AO7" s="80" t="b">
        <v>0</v>
      </c>
      <c r="AP7" s="80">
        <v>28</v>
      </c>
      <c r="AQ7" s="80"/>
      <c r="AR7" s="80"/>
      <c r="AS7" s="80" t="s">
        <v>3412</v>
      </c>
      <c r="AT7" s="85" t="str">
        <f>HYPERLINK("https://www.youtube.com/channel/UCuH63tK9Tl4UmYP5Spj8Ltw")</f>
        <v>https://www.youtube.com/channel/UCuH63tK9Tl4UmYP5Spj8Ltw</v>
      </c>
      <c r="AU7" s="80" t="str">
        <f>REPLACE(INDEX(GroupVertices[Group],MATCH(Vertices[[#This Row],[Vertex]],GroupVertices[Vertex],0)),1,1,"")</f>
        <v>5</v>
      </c>
      <c r="AV7" s="49">
        <v>1</v>
      </c>
      <c r="AW7" s="50">
        <v>33.333333333333336</v>
      </c>
      <c r="AX7" s="49">
        <v>0</v>
      </c>
      <c r="AY7" s="50">
        <v>0</v>
      </c>
      <c r="AZ7" s="49">
        <v>0</v>
      </c>
      <c r="BA7" s="50">
        <v>0</v>
      </c>
      <c r="BB7" s="49">
        <v>2</v>
      </c>
      <c r="BC7" s="50">
        <v>66.66666666666667</v>
      </c>
      <c r="BD7" s="49">
        <v>3</v>
      </c>
      <c r="BE7" s="49"/>
      <c r="BF7" s="49"/>
      <c r="BG7" s="49"/>
      <c r="BH7" s="49"/>
      <c r="BI7" s="49"/>
      <c r="BJ7" s="49"/>
      <c r="BK7" s="111" t="s">
        <v>4031</v>
      </c>
      <c r="BL7" s="111" t="s">
        <v>4031</v>
      </c>
      <c r="BM7" s="111" t="s">
        <v>2782</v>
      </c>
      <c r="BN7" s="111" t="s">
        <v>2782</v>
      </c>
      <c r="BO7" s="2"/>
      <c r="BP7" s="3"/>
      <c r="BQ7" s="3"/>
      <c r="BR7" s="3"/>
      <c r="BS7" s="3"/>
    </row>
    <row r="8" spans="1:71" ht="15">
      <c r="A8" s="65" t="s">
        <v>234</v>
      </c>
      <c r="B8" s="66"/>
      <c r="C8" s="66"/>
      <c r="D8" s="67">
        <v>150</v>
      </c>
      <c r="E8" s="69"/>
      <c r="F8" s="103" t="str">
        <f>HYPERLINK("https://yt3.ggpht.com/ytc/AKedOLQ8jE46cm1PS6kPNNuHF471ypt5eR1_gPOcNz5V=s88-c-k-c0x00ffffff-no-rj")</f>
        <v>https://yt3.ggpht.com/ytc/AKedOLQ8jE46cm1PS6kPNNuHF471ypt5eR1_gPOcNz5V=s88-c-k-c0x00ffffff-no-rj</v>
      </c>
      <c r="G8" s="66"/>
      <c r="H8" s="70" t="s">
        <v>1563</v>
      </c>
      <c r="I8" s="71"/>
      <c r="J8" s="71" t="s">
        <v>159</v>
      </c>
      <c r="K8" s="70" t="s">
        <v>1563</v>
      </c>
      <c r="L8" s="74">
        <v>1</v>
      </c>
      <c r="M8" s="75">
        <v>9719.400390625</v>
      </c>
      <c r="N8" s="75">
        <v>5797.77978515625</v>
      </c>
      <c r="O8" s="76"/>
      <c r="P8" s="77"/>
      <c r="Q8" s="77"/>
      <c r="R8" s="89"/>
      <c r="S8" s="49">
        <v>1</v>
      </c>
      <c r="T8" s="49">
        <v>1</v>
      </c>
      <c r="U8" s="50">
        <v>0</v>
      </c>
      <c r="V8" s="50">
        <v>0.002899</v>
      </c>
      <c r="W8" s="50">
        <v>0</v>
      </c>
      <c r="X8" s="50">
        <v>0.531621</v>
      </c>
      <c r="Y8" s="50">
        <v>0</v>
      </c>
      <c r="Z8" s="50">
        <v>1</v>
      </c>
      <c r="AA8" s="72">
        <v>8</v>
      </c>
      <c r="AB8" s="72"/>
      <c r="AC8" s="73"/>
      <c r="AD8" s="80" t="s">
        <v>1563</v>
      </c>
      <c r="AE8" s="80" t="s">
        <v>2807</v>
      </c>
      <c r="AF8" s="80"/>
      <c r="AG8" s="80"/>
      <c r="AH8" s="80"/>
      <c r="AI8" s="80" t="s">
        <v>3009</v>
      </c>
      <c r="AJ8" s="80" t="s">
        <v>3104</v>
      </c>
      <c r="AK8" s="85" t="str">
        <f>HYPERLINK("https://yt3.ggpht.com/ytc/AKedOLQ8jE46cm1PS6kPNNuHF471ypt5eR1_gPOcNz5V=s88-c-k-c0x00ffffff-no-rj")</f>
        <v>https://yt3.ggpht.com/ytc/AKedOLQ8jE46cm1PS6kPNNuHF471ypt5eR1_gPOcNz5V=s88-c-k-c0x00ffffff-no-rj</v>
      </c>
      <c r="AL8" s="80">
        <v>780864</v>
      </c>
      <c r="AM8" s="80">
        <v>0</v>
      </c>
      <c r="AN8" s="80">
        <v>5350</v>
      </c>
      <c r="AO8" s="80" t="b">
        <v>0</v>
      </c>
      <c r="AP8" s="80">
        <v>321</v>
      </c>
      <c r="AQ8" s="80"/>
      <c r="AR8" s="80"/>
      <c r="AS8" s="80" t="s">
        <v>3412</v>
      </c>
      <c r="AT8" s="85" t="str">
        <f>HYPERLINK("https://www.youtube.com/channel/UC04EJMixTu9-xpNfxLeEpYg")</f>
        <v>https://www.youtube.com/channel/UC04EJMixTu9-xpNfxLeEpYg</v>
      </c>
      <c r="AU8" s="80" t="str">
        <f>REPLACE(INDEX(GroupVertices[Group],MATCH(Vertices[[#This Row],[Vertex]],GroupVertices[Vertex],0)),1,1,"")</f>
        <v>5</v>
      </c>
      <c r="AV8" s="49">
        <v>2</v>
      </c>
      <c r="AW8" s="50">
        <v>7.407407407407407</v>
      </c>
      <c r="AX8" s="49">
        <v>0</v>
      </c>
      <c r="AY8" s="50">
        <v>0</v>
      </c>
      <c r="AZ8" s="49">
        <v>0</v>
      </c>
      <c r="BA8" s="50">
        <v>0</v>
      </c>
      <c r="BB8" s="49">
        <v>25</v>
      </c>
      <c r="BC8" s="50">
        <v>92.5925925925926</v>
      </c>
      <c r="BD8" s="49">
        <v>27</v>
      </c>
      <c r="BE8" s="49"/>
      <c r="BF8" s="49"/>
      <c r="BG8" s="49"/>
      <c r="BH8" s="49"/>
      <c r="BI8" s="49"/>
      <c r="BJ8" s="49"/>
      <c r="BK8" s="111" t="s">
        <v>4418</v>
      </c>
      <c r="BL8" s="111" t="s">
        <v>4418</v>
      </c>
      <c r="BM8" s="111" t="s">
        <v>4899</v>
      </c>
      <c r="BN8" s="111" t="s">
        <v>4899</v>
      </c>
      <c r="BO8" s="2"/>
      <c r="BP8" s="3"/>
      <c r="BQ8" s="3"/>
      <c r="BR8" s="3"/>
      <c r="BS8" s="3"/>
    </row>
    <row r="9" spans="1:71" ht="15">
      <c r="A9" s="65" t="s">
        <v>235</v>
      </c>
      <c r="B9" s="66"/>
      <c r="C9" s="66"/>
      <c r="D9" s="67">
        <v>150</v>
      </c>
      <c r="E9" s="69"/>
      <c r="F9" s="103" t="str">
        <f>HYPERLINK("https://yt3.ggpht.com/ytc/AKedOLQBbf3Jxqn2JuQ9SYAUboqFsdQxV-Pd94ucPGWnUw=s88-c-k-c0x00ffffff-no-rj")</f>
        <v>https://yt3.ggpht.com/ytc/AKedOLQBbf3Jxqn2JuQ9SYAUboqFsdQxV-Pd94ucPGWnUw=s88-c-k-c0x00ffffff-no-rj</v>
      </c>
      <c r="G9" s="66"/>
      <c r="H9" s="70" t="s">
        <v>1564</v>
      </c>
      <c r="I9" s="71"/>
      <c r="J9" s="71" t="s">
        <v>159</v>
      </c>
      <c r="K9" s="70" t="s">
        <v>1564</v>
      </c>
      <c r="L9" s="74">
        <v>1</v>
      </c>
      <c r="M9" s="75">
        <v>8328.673828125</v>
      </c>
      <c r="N9" s="75">
        <v>6267.14697265625</v>
      </c>
      <c r="O9" s="76"/>
      <c r="P9" s="77"/>
      <c r="Q9" s="77"/>
      <c r="R9" s="89"/>
      <c r="S9" s="49">
        <v>1</v>
      </c>
      <c r="T9" s="49">
        <v>1</v>
      </c>
      <c r="U9" s="50">
        <v>0</v>
      </c>
      <c r="V9" s="50">
        <v>0.002899</v>
      </c>
      <c r="W9" s="50">
        <v>0</v>
      </c>
      <c r="X9" s="50">
        <v>0.531621</v>
      </c>
      <c r="Y9" s="50">
        <v>0</v>
      </c>
      <c r="Z9" s="50">
        <v>1</v>
      </c>
      <c r="AA9" s="72">
        <v>9</v>
      </c>
      <c r="AB9" s="72"/>
      <c r="AC9" s="73"/>
      <c r="AD9" s="80" t="s">
        <v>1564</v>
      </c>
      <c r="AE9" s="80" t="s">
        <v>2808</v>
      </c>
      <c r="AF9" s="80"/>
      <c r="AG9" s="80"/>
      <c r="AH9" s="80"/>
      <c r="AI9" s="80" t="s">
        <v>3010</v>
      </c>
      <c r="AJ9" s="87">
        <v>43139.71497685185</v>
      </c>
      <c r="AK9" s="85" t="str">
        <f>HYPERLINK("https://yt3.ggpht.com/ytc/AKedOLQBbf3Jxqn2JuQ9SYAUboqFsdQxV-Pd94ucPGWnUw=s88-c-k-c0x00ffffff-no-rj")</f>
        <v>https://yt3.ggpht.com/ytc/AKedOLQBbf3Jxqn2JuQ9SYAUboqFsdQxV-Pd94ucPGWnUw=s88-c-k-c0x00ffffff-no-rj</v>
      </c>
      <c r="AL9" s="80">
        <v>1001800</v>
      </c>
      <c r="AM9" s="80">
        <v>0</v>
      </c>
      <c r="AN9" s="80">
        <v>10000</v>
      </c>
      <c r="AO9" s="80" t="b">
        <v>0</v>
      </c>
      <c r="AP9" s="80">
        <v>215</v>
      </c>
      <c r="AQ9" s="80"/>
      <c r="AR9" s="80"/>
      <c r="AS9" s="80" t="s">
        <v>3412</v>
      </c>
      <c r="AT9" s="85" t="str">
        <f>HYPERLINK("https://www.youtube.com/channel/UCjPlQsuslEAH_4AxlYT0eKQ")</f>
        <v>https://www.youtube.com/channel/UCjPlQsuslEAH_4AxlYT0eKQ</v>
      </c>
      <c r="AU9" s="80" t="str">
        <f>REPLACE(INDEX(GroupVertices[Group],MATCH(Vertices[[#This Row],[Vertex]],GroupVertices[Vertex],0)),1,1,"")</f>
        <v>5</v>
      </c>
      <c r="AV9" s="49">
        <v>1</v>
      </c>
      <c r="AW9" s="50">
        <v>8.333333333333334</v>
      </c>
      <c r="AX9" s="49">
        <v>1</v>
      </c>
      <c r="AY9" s="50">
        <v>8.333333333333334</v>
      </c>
      <c r="AZ9" s="49">
        <v>0</v>
      </c>
      <c r="BA9" s="50">
        <v>0</v>
      </c>
      <c r="BB9" s="49">
        <v>10</v>
      </c>
      <c r="BC9" s="50">
        <v>83.33333333333333</v>
      </c>
      <c r="BD9" s="49">
        <v>12</v>
      </c>
      <c r="BE9" s="49"/>
      <c r="BF9" s="49"/>
      <c r="BG9" s="49"/>
      <c r="BH9" s="49"/>
      <c r="BI9" s="49"/>
      <c r="BJ9" s="49"/>
      <c r="BK9" s="111" t="s">
        <v>4419</v>
      </c>
      <c r="BL9" s="111" t="s">
        <v>4419</v>
      </c>
      <c r="BM9" s="111" t="s">
        <v>4900</v>
      </c>
      <c r="BN9" s="111" t="s">
        <v>4900</v>
      </c>
      <c r="BO9" s="2"/>
      <c r="BP9" s="3"/>
      <c r="BQ9" s="3"/>
      <c r="BR9" s="3"/>
      <c r="BS9" s="3"/>
    </row>
    <row r="10" spans="1:71" ht="15">
      <c r="A10" s="65" t="s">
        <v>236</v>
      </c>
      <c r="B10" s="66"/>
      <c r="C10" s="66"/>
      <c r="D10" s="67">
        <v>150</v>
      </c>
      <c r="E10" s="69"/>
      <c r="F10" s="103" t="str">
        <f>HYPERLINK("https://yt3.ggpht.com/ytc/AKedOLReySTB1yxDV7D9ksLae2YSNpf-eNZKMO6Iy2ePXA=s88-c-k-c0x00ffffff-no-rj")</f>
        <v>https://yt3.ggpht.com/ytc/AKedOLReySTB1yxDV7D9ksLae2YSNpf-eNZKMO6Iy2ePXA=s88-c-k-c0x00ffffff-no-rj</v>
      </c>
      <c r="G10" s="66"/>
      <c r="H10" s="70" t="s">
        <v>1565</v>
      </c>
      <c r="I10" s="71"/>
      <c r="J10" s="71" t="s">
        <v>159</v>
      </c>
      <c r="K10" s="70" t="s">
        <v>1565</v>
      </c>
      <c r="L10" s="74">
        <v>1</v>
      </c>
      <c r="M10" s="75">
        <v>7900.7783203125</v>
      </c>
      <c r="N10" s="75">
        <v>5169.00927734375</v>
      </c>
      <c r="O10" s="76"/>
      <c r="P10" s="77"/>
      <c r="Q10" s="77"/>
      <c r="R10" s="89"/>
      <c r="S10" s="49">
        <v>1</v>
      </c>
      <c r="T10" s="49">
        <v>1</v>
      </c>
      <c r="U10" s="50">
        <v>0</v>
      </c>
      <c r="V10" s="50">
        <v>0.002899</v>
      </c>
      <c r="W10" s="50">
        <v>0</v>
      </c>
      <c r="X10" s="50">
        <v>0.531621</v>
      </c>
      <c r="Y10" s="50">
        <v>0</v>
      </c>
      <c r="Z10" s="50">
        <v>1</v>
      </c>
      <c r="AA10" s="72">
        <v>10</v>
      </c>
      <c r="AB10" s="72"/>
      <c r="AC10" s="73"/>
      <c r="AD10" s="80" t="s">
        <v>1565</v>
      </c>
      <c r="AE10" s="80" t="s">
        <v>2809</v>
      </c>
      <c r="AF10" s="80"/>
      <c r="AG10" s="80"/>
      <c r="AH10" s="80"/>
      <c r="AI10" s="80" t="s">
        <v>3011</v>
      </c>
      <c r="AJ10" s="87">
        <v>41429.42086805555</v>
      </c>
      <c r="AK10" s="85" t="str">
        <f>HYPERLINK("https://yt3.ggpht.com/ytc/AKedOLReySTB1yxDV7D9ksLae2YSNpf-eNZKMO6Iy2ePXA=s88-c-k-c0x00ffffff-no-rj")</f>
        <v>https://yt3.ggpht.com/ytc/AKedOLReySTB1yxDV7D9ksLae2YSNpf-eNZKMO6Iy2ePXA=s88-c-k-c0x00ffffff-no-rj</v>
      </c>
      <c r="AL10" s="80">
        <v>48635</v>
      </c>
      <c r="AM10" s="80">
        <v>0</v>
      </c>
      <c r="AN10" s="80">
        <v>990</v>
      </c>
      <c r="AO10" s="80" t="b">
        <v>0</v>
      </c>
      <c r="AP10" s="80">
        <v>116</v>
      </c>
      <c r="AQ10" s="80"/>
      <c r="AR10" s="80"/>
      <c r="AS10" s="80" t="s">
        <v>3412</v>
      </c>
      <c r="AT10" s="85" t="str">
        <f>HYPERLINK("https://www.youtube.com/channel/UCVdMMs0ti6ZLsVs4cP6PNZw")</f>
        <v>https://www.youtube.com/channel/UCVdMMs0ti6ZLsVs4cP6PNZw</v>
      </c>
      <c r="AU10" s="80" t="str">
        <f>REPLACE(INDEX(GroupVertices[Group],MATCH(Vertices[[#This Row],[Vertex]],GroupVertices[Vertex],0)),1,1,"")</f>
        <v>5</v>
      </c>
      <c r="AV10" s="49">
        <v>1</v>
      </c>
      <c r="AW10" s="50">
        <v>11.11111111111111</v>
      </c>
      <c r="AX10" s="49">
        <v>0</v>
      </c>
      <c r="AY10" s="50">
        <v>0</v>
      </c>
      <c r="AZ10" s="49">
        <v>0</v>
      </c>
      <c r="BA10" s="50">
        <v>0</v>
      </c>
      <c r="BB10" s="49">
        <v>8</v>
      </c>
      <c r="BC10" s="50">
        <v>88.88888888888889</v>
      </c>
      <c r="BD10" s="49">
        <v>9</v>
      </c>
      <c r="BE10" s="49"/>
      <c r="BF10" s="49"/>
      <c r="BG10" s="49"/>
      <c r="BH10" s="49"/>
      <c r="BI10" s="49"/>
      <c r="BJ10" s="49"/>
      <c r="BK10" s="111" t="s">
        <v>4420</v>
      </c>
      <c r="BL10" s="111" t="s">
        <v>4420</v>
      </c>
      <c r="BM10" s="111" t="s">
        <v>4901</v>
      </c>
      <c r="BN10" s="111" t="s">
        <v>4901</v>
      </c>
      <c r="BO10" s="2"/>
      <c r="BP10" s="3"/>
      <c r="BQ10" s="3"/>
      <c r="BR10" s="3"/>
      <c r="BS10" s="3"/>
    </row>
    <row r="11" spans="1:71" ht="15">
      <c r="A11" s="65" t="s">
        <v>237</v>
      </c>
      <c r="B11" s="66"/>
      <c r="C11" s="66"/>
      <c r="D11" s="67">
        <v>150</v>
      </c>
      <c r="E11" s="69"/>
      <c r="F11" s="103" t="str">
        <f>HYPERLINK("https://yt3.ggpht.com/ytc/AKedOLTlWBupJdvPWtiXWItipB3axbvZkAWcZdF9k4PykQ=s88-c-k-c0x00ffffff-no-rj")</f>
        <v>https://yt3.ggpht.com/ytc/AKedOLTlWBupJdvPWtiXWItipB3axbvZkAWcZdF9k4PykQ=s88-c-k-c0x00ffffff-no-rj</v>
      </c>
      <c r="G11" s="66"/>
      <c r="H11" s="70" t="s">
        <v>1566</v>
      </c>
      <c r="I11" s="71"/>
      <c r="J11" s="71" t="s">
        <v>159</v>
      </c>
      <c r="K11" s="70" t="s">
        <v>1566</v>
      </c>
      <c r="L11" s="74">
        <v>1</v>
      </c>
      <c r="M11" s="75">
        <v>8055.20361328125</v>
      </c>
      <c r="N11" s="75">
        <v>5827.94921875</v>
      </c>
      <c r="O11" s="76"/>
      <c r="P11" s="77"/>
      <c r="Q11" s="77"/>
      <c r="R11" s="89"/>
      <c r="S11" s="49">
        <v>1</v>
      </c>
      <c r="T11" s="49">
        <v>1</v>
      </c>
      <c r="U11" s="50">
        <v>0</v>
      </c>
      <c r="V11" s="50">
        <v>0.002899</v>
      </c>
      <c r="W11" s="50">
        <v>0</v>
      </c>
      <c r="X11" s="50">
        <v>0.531621</v>
      </c>
      <c r="Y11" s="50">
        <v>0</v>
      </c>
      <c r="Z11" s="50">
        <v>1</v>
      </c>
      <c r="AA11" s="72">
        <v>11</v>
      </c>
      <c r="AB11" s="72"/>
      <c r="AC11" s="73"/>
      <c r="AD11" s="80" t="s">
        <v>1566</v>
      </c>
      <c r="AE11" s="80" t="s">
        <v>2810</v>
      </c>
      <c r="AF11" s="80"/>
      <c r="AG11" s="80"/>
      <c r="AH11" s="80"/>
      <c r="AI11" s="80"/>
      <c r="AJ11" s="80" t="s">
        <v>3105</v>
      </c>
      <c r="AK11" s="85" t="str">
        <f>HYPERLINK("https://yt3.ggpht.com/ytc/AKedOLTlWBupJdvPWtiXWItipB3axbvZkAWcZdF9k4PykQ=s88-c-k-c0x00ffffff-no-rj")</f>
        <v>https://yt3.ggpht.com/ytc/AKedOLTlWBupJdvPWtiXWItipB3axbvZkAWcZdF9k4PykQ=s88-c-k-c0x00ffffff-no-rj</v>
      </c>
      <c r="AL11" s="80">
        <v>34628</v>
      </c>
      <c r="AM11" s="80">
        <v>0</v>
      </c>
      <c r="AN11" s="80">
        <v>0</v>
      </c>
      <c r="AO11" s="80" t="b">
        <v>1</v>
      </c>
      <c r="AP11" s="80">
        <v>171</v>
      </c>
      <c r="AQ11" s="80"/>
      <c r="AR11" s="80"/>
      <c r="AS11" s="80" t="s">
        <v>3412</v>
      </c>
      <c r="AT11" s="85" t="str">
        <f>HYPERLINK("https://www.youtube.com/channel/UCBkPK8xL9jUW1ooL7xow8fA")</f>
        <v>https://www.youtube.com/channel/UCBkPK8xL9jUW1ooL7xow8fA</v>
      </c>
      <c r="AU11" s="80" t="str">
        <f>REPLACE(INDEX(GroupVertices[Group],MATCH(Vertices[[#This Row],[Vertex]],GroupVertices[Vertex],0)),1,1,"")</f>
        <v>5</v>
      </c>
      <c r="AV11" s="49">
        <v>1</v>
      </c>
      <c r="AW11" s="50">
        <v>11.11111111111111</v>
      </c>
      <c r="AX11" s="49">
        <v>0</v>
      </c>
      <c r="AY11" s="50">
        <v>0</v>
      </c>
      <c r="AZ11" s="49">
        <v>0</v>
      </c>
      <c r="BA11" s="50">
        <v>0</v>
      </c>
      <c r="BB11" s="49">
        <v>8</v>
      </c>
      <c r="BC11" s="50">
        <v>88.88888888888889</v>
      </c>
      <c r="BD11" s="49">
        <v>9</v>
      </c>
      <c r="BE11" s="49"/>
      <c r="BF11" s="49"/>
      <c r="BG11" s="49"/>
      <c r="BH11" s="49"/>
      <c r="BI11" s="49"/>
      <c r="BJ11" s="49"/>
      <c r="BK11" s="111" t="s">
        <v>4421</v>
      </c>
      <c r="BL11" s="111" t="s">
        <v>4421</v>
      </c>
      <c r="BM11" s="111" t="s">
        <v>4902</v>
      </c>
      <c r="BN11" s="111" t="s">
        <v>4902</v>
      </c>
      <c r="BO11" s="2"/>
      <c r="BP11" s="3"/>
      <c r="BQ11" s="3"/>
      <c r="BR11" s="3"/>
      <c r="BS11" s="3"/>
    </row>
    <row r="12" spans="1:71" ht="15">
      <c r="A12" s="65" t="s">
        <v>238</v>
      </c>
      <c r="B12" s="66"/>
      <c r="C12" s="66"/>
      <c r="D12" s="67">
        <v>150</v>
      </c>
      <c r="E12" s="69"/>
      <c r="F12" s="103" t="str">
        <f>HYPERLINK("https://yt3.ggpht.com/ytc/AKedOLQqVnptpvW1DWNph-GMEKJsoFCk2jHBO4lSVkSkYQ=s88-c-k-c0x00ffffff-no-rj")</f>
        <v>https://yt3.ggpht.com/ytc/AKedOLQqVnptpvW1DWNph-GMEKJsoFCk2jHBO4lSVkSkYQ=s88-c-k-c0x00ffffff-no-rj</v>
      </c>
      <c r="G12" s="66"/>
      <c r="H12" s="70" t="s">
        <v>1567</v>
      </c>
      <c r="I12" s="71"/>
      <c r="J12" s="71" t="s">
        <v>159</v>
      </c>
      <c r="K12" s="70" t="s">
        <v>1567</v>
      </c>
      <c r="L12" s="74">
        <v>1</v>
      </c>
      <c r="M12" s="75">
        <v>7323.55322265625</v>
      </c>
      <c r="N12" s="75">
        <v>5041.94677734375</v>
      </c>
      <c r="O12" s="76"/>
      <c r="P12" s="77"/>
      <c r="Q12" s="77"/>
      <c r="R12" s="89"/>
      <c r="S12" s="49">
        <v>1</v>
      </c>
      <c r="T12" s="49">
        <v>1</v>
      </c>
      <c r="U12" s="50">
        <v>0</v>
      </c>
      <c r="V12" s="50">
        <v>0.002899</v>
      </c>
      <c r="W12" s="50">
        <v>0</v>
      </c>
      <c r="X12" s="50">
        <v>0.531621</v>
      </c>
      <c r="Y12" s="50">
        <v>0</v>
      </c>
      <c r="Z12" s="50">
        <v>1</v>
      </c>
      <c r="AA12" s="72">
        <v>12</v>
      </c>
      <c r="AB12" s="72"/>
      <c r="AC12" s="73"/>
      <c r="AD12" s="80" t="s">
        <v>1567</v>
      </c>
      <c r="AE12" s="80" t="s">
        <v>2811</v>
      </c>
      <c r="AF12" s="80"/>
      <c r="AG12" s="80"/>
      <c r="AH12" s="80"/>
      <c r="AI12" s="80"/>
      <c r="AJ12" s="87">
        <v>41039.820555555554</v>
      </c>
      <c r="AK12" s="85" t="str">
        <f>HYPERLINK("https://yt3.ggpht.com/ytc/AKedOLQqVnptpvW1DWNph-GMEKJsoFCk2jHBO4lSVkSkYQ=s88-c-k-c0x00ffffff-no-rj")</f>
        <v>https://yt3.ggpht.com/ytc/AKedOLQqVnptpvW1DWNph-GMEKJsoFCk2jHBO4lSVkSkYQ=s88-c-k-c0x00ffffff-no-rj</v>
      </c>
      <c r="AL12" s="80">
        <v>81690</v>
      </c>
      <c r="AM12" s="80">
        <v>0</v>
      </c>
      <c r="AN12" s="80">
        <v>775</v>
      </c>
      <c r="AO12" s="80" t="b">
        <v>0</v>
      </c>
      <c r="AP12" s="80">
        <v>206</v>
      </c>
      <c r="AQ12" s="80"/>
      <c r="AR12" s="80"/>
      <c r="AS12" s="80" t="s">
        <v>3412</v>
      </c>
      <c r="AT12" s="85" t="str">
        <f>HYPERLINK("https://www.youtube.com/channel/UCbMLD5oAyYT9leb5m4Hpmyw")</f>
        <v>https://www.youtube.com/channel/UCbMLD5oAyYT9leb5m4Hpmyw</v>
      </c>
      <c r="AU12" s="80" t="str">
        <f>REPLACE(INDEX(GroupVertices[Group],MATCH(Vertices[[#This Row],[Vertex]],GroupVertices[Vertex],0)),1,1,"")</f>
        <v>5</v>
      </c>
      <c r="AV12" s="49">
        <v>4</v>
      </c>
      <c r="AW12" s="50">
        <v>21.05263157894737</v>
      </c>
      <c r="AX12" s="49">
        <v>0</v>
      </c>
      <c r="AY12" s="50">
        <v>0</v>
      </c>
      <c r="AZ12" s="49">
        <v>0</v>
      </c>
      <c r="BA12" s="50">
        <v>0</v>
      </c>
      <c r="BB12" s="49">
        <v>15</v>
      </c>
      <c r="BC12" s="50">
        <v>78.94736842105263</v>
      </c>
      <c r="BD12" s="49">
        <v>19</v>
      </c>
      <c r="BE12" s="49"/>
      <c r="BF12" s="49"/>
      <c r="BG12" s="49"/>
      <c r="BH12" s="49"/>
      <c r="BI12" s="49"/>
      <c r="BJ12" s="49"/>
      <c r="BK12" s="111" t="s">
        <v>4422</v>
      </c>
      <c r="BL12" s="111" t="s">
        <v>4422</v>
      </c>
      <c r="BM12" s="111" t="s">
        <v>4903</v>
      </c>
      <c r="BN12" s="111" t="s">
        <v>4903</v>
      </c>
      <c r="BO12" s="2"/>
      <c r="BP12" s="3"/>
      <c r="BQ12" s="3"/>
      <c r="BR12" s="3"/>
      <c r="BS12" s="3"/>
    </row>
    <row r="13" spans="1:71" ht="15">
      <c r="A13" s="65" t="s">
        <v>239</v>
      </c>
      <c r="B13" s="66"/>
      <c r="C13" s="66"/>
      <c r="D13" s="67">
        <v>150</v>
      </c>
      <c r="E13" s="69"/>
      <c r="F13" s="103" t="str">
        <f>HYPERLINK("https://yt3.ggpht.com/ytc/AKedOLSE75WmJWm-BJn8oIkIHQcxhlV69qf8bZ9_JTFX=s88-c-k-c0x00ffffff-no-rj")</f>
        <v>https://yt3.ggpht.com/ytc/AKedOLSE75WmJWm-BJn8oIkIHQcxhlV69qf8bZ9_JTFX=s88-c-k-c0x00ffffff-no-rj</v>
      </c>
      <c r="G13" s="66"/>
      <c r="H13" s="70" t="s">
        <v>1568</v>
      </c>
      <c r="I13" s="71"/>
      <c r="J13" s="71" t="s">
        <v>159</v>
      </c>
      <c r="K13" s="70" t="s">
        <v>1568</v>
      </c>
      <c r="L13" s="74">
        <v>1</v>
      </c>
      <c r="M13" s="75">
        <v>9820.4462890625</v>
      </c>
      <c r="N13" s="75">
        <v>5548.61083984375</v>
      </c>
      <c r="O13" s="76"/>
      <c r="P13" s="77"/>
      <c r="Q13" s="77"/>
      <c r="R13" s="89"/>
      <c r="S13" s="49">
        <v>1</v>
      </c>
      <c r="T13" s="49">
        <v>1</v>
      </c>
      <c r="U13" s="50">
        <v>0</v>
      </c>
      <c r="V13" s="50">
        <v>0.002899</v>
      </c>
      <c r="W13" s="50">
        <v>0</v>
      </c>
      <c r="X13" s="50">
        <v>0.531621</v>
      </c>
      <c r="Y13" s="50">
        <v>0</v>
      </c>
      <c r="Z13" s="50">
        <v>1</v>
      </c>
      <c r="AA13" s="72">
        <v>13</v>
      </c>
      <c r="AB13" s="72"/>
      <c r="AC13" s="73"/>
      <c r="AD13" s="80" t="s">
        <v>1568</v>
      </c>
      <c r="AE13" s="80" t="s">
        <v>2812</v>
      </c>
      <c r="AF13" s="80"/>
      <c r="AG13" s="80"/>
      <c r="AH13" s="80"/>
      <c r="AI13" s="80" t="s">
        <v>3012</v>
      </c>
      <c r="AJ13" s="87">
        <v>43892.518738425926</v>
      </c>
      <c r="AK13" s="85" t="str">
        <f>HYPERLINK("https://yt3.ggpht.com/ytc/AKedOLSE75WmJWm-BJn8oIkIHQcxhlV69qf8bZ9_JTFX=s88-c-k-c0x00ffffff-no-rj")</f>
        <v>https://yt3.ggpht.com/ytc/AKedOLSE75WmJWm-BJn8oIkIHQcxhlV69qf8bZ9_JTFX=s88-c-k-c0x00ffffff-no-rj</v>
      </c>
      <c r="AL13" s="80">
        <v>765062</v>
      </c>
      <c r="AM13" s="80">
        <v>0</v>
      </c>
      <c r="AN13" s="80">
        <v>6270</v>
      </c>
      <c r="AO13" s="80" t="b">
        <v>0</v>
      </c>
      <c r="AP13" s="80">
        <v>151</v>
      </c>
      <c r="AQ13" s="80"/>
      <c r="AR13" s="80"/>
      <c r="AS13" s="80" t="s">
        <v>3412</v>
      </c>
      <c r="AT13" s="85" t="str">
        <f>HYPERLINK("https://www.youtube.com/channel/UCc1NLScmSAY5A8YZKLG23_g")</f>
        <v>https://www.youtube.com/channel/UCc1NLScmSAY5A8YZKLG23_g</v>
      </c>
      <c r="AU13" s="80" t="str">
        <f>REPLACE(INDEX(GroupVertices[Group],MATCH(Vertices[[#This Row],[Vertex]],GroupVertices[Vertex],0)),1,1,"")</f>
        <v>5</v>
      </c>
      <c r="AV13" s="49">
        <v>3</v>
      </c>
      <c r="AW13" s="50">
        <v>15.789473684210526</v>
      </c>
      <c r="AX13" s="49">
        <v>0</v>
      </c>
      <c r="AY13" s="50">
        <v>0</v>
      </c>
      <c r="AZ13" s="49">
        <v>0</v>
      </c>
      <c r="BA13" s="50">
        <v>0</v>
      </c>
      <c r="BB13" s="49">
        <v>16</v>
      </c>
      <c r="BC13" s="50">
        <v>84.21052631578948</v>
      </c>
      <c r="BD13" s="49">
        <v>19</v>
      </c>
      <c r="BE13" s="49"/>
      <c r="BF13" s="49"/>
      <c r="BG13" s="49"/>
      <c r="BH13" s="49"/>
      <c r="BI13" s="49"/>
      <c r="BJ13" s="49"/>
      <c r="BK13" s="111" t="s">
        <v>4423</v>
      </c>
      <c r="BL13" s="111" t="s">
        <v>4423</v>
      </c>
      <c r="BM13" s="111" t="s">
        <v>4904</v>
      </c>
      <c r="BN13" s="111" t="s">
        <v>4904</v>
      </c>
      <c r="BO13" s="2"/>
      <c r="BP13" s="3"/>
      <c r="BQ13" s="3"/>
      <c r="BR13" s="3"/>
      <c r="BS13" s="3"/>
    </row>
    <row r="14" spans="1:71" ht="15">
      <c r="A14" s="65" t="s">
        <v>240</v>
      </c>
      <c r="B14" s="66"/>
      <c r="C14" s="66"/>
      <c r="D14" s="67">
        <v>150</v>
      </c>
      <c r="E14" s="69"/>
      <c r="F14" s="103" t="str">
        <f>HYPERLINK("https://yt3.ggpht.com/ytc/AKedOLS57mk7zxi1KhWXVjbBrZZHHD6kWPHmuwn7QPxcpA=s88-c-k-c0x00ffffff-no-rj")</f>
        <v>https://yt3.ggpht.com/ytc/AKedOLS57mk7zxi1KhWXVjbBrZZHHD6kWPHmuwn7QPxcpA=s88-c-k-c0x00ffffff-no-rj</v>
      </c>
      <c r="G14" s="66"/>
      <c r="H14" s="70" t="s">
        <v>1569</v>
      </c>
      <c r="I14" s="71"/>
      <c r="J14" s="71" t="s">
        <v>159</v>
      </c>
      <c r="K14" s="70" t="s">
        <v>1569</v>
      </c>
      <c r="L14" s="74">
        <v>1</v>
      </c>
      <c r="M14" s="75">
        <v>9484.3505859375</v>
      </c>
      <c r="N14" s="75">
        <v>6014.5615234375</v>
      </c>
      <c r="O14" s="76"/>
      <c r="P14" s="77"/>
      <c r="Q14" s="77"/>
      <c r="R14" s="89"/>
      <c r="S14" s="49">
        <v>1</v>
      </c>
      <c r="T14" s="49">
        <v>1</v>
      </c>
      <c r="U14" s="50">
        <v>0</v>
      </c>
      <c r="V14" s="50">
        <v>0.002899</v>
      </c>
      <c r="W14" s="50">
        <v>0</v>
      </c>
      <c r="X14" s="50">
        <v>0.531621</v>
      </c>
      <c r="Y14" s="50">
        <v>0</v>
      </c>
      <c r="Z14" s="50">
        <v>1</v>
      </c>
      <c r="AA14" s="72">
        <v>14</v>
      </c>
      <c r="AB14" s="72"/>
      <c r="AC14" s="73"/>
      <c r="AD14" s="80" t="s">
        <v>1569</v>
      </c>
      <c r="AE14" s="80"/>
      <c r="AF14" s="80"/>
      <c r="AG14" s="80"/>
      <c r="AH14" s="80"/>
      <c r="AI14" s="80" t="s">
        <v>3013</v>
      </c>
      <c r="AJ14" s="80" t="s">
        <v>3106</v>
      </c>
      <c r="AK14" s="85" t="str">
        <f>HYPERLINK("https://yt3.ggpht.com/ytc/AKedOLS57mk7zxi1KhWXVjbBrZZHHD6kWPHmuwn7QPxcpA=s88-c-k-c0x00ffffff-no-rj")</f>
        <v>https://yt3.ggpht.com/ytc/AKedOLS57mk7zxi1KhWXVjbBrZZHHD6kWPHmuwn7QPxcpA=s88-c-k-c0x00ffffff-no-rj</v>
      </c>
      <c r="AL14" s="80">
        <v>36151</v>
      </c>
      <c r="AM14" s="80">
        <v>0</v>
      </c>
      <c r="AN14" s="80">
        <v>0</v>
      </c>
      <c r="AO14" s="80" t="b">
        <v>1</v>
      </c>
      <c r="AP14" s="80">
        <v>7</v>
      </c>
      <c r="AQ14" s="80"/>
      <c r="AR14" s="80"/>
      <c r="AS14" s="80" t="s">
        <v>3412</v>
      </c>
      <c r="AT14" s="85" t="str">
        <f>HYPERLINK("https://www.youtube.com/channel/UC5chbfKQNkEOJmms2XockTg")</f>
        <v>https://www.youtube.com/channel/UC5chbfKQNkEOJmms2XockTg</v>
      </c>
      <c r="AU14" s="80" t="str">
        <f>REPLACE(INDEX(GroupVertices[Group],MATCH(Vertices[[#This Row],[Vertex]],GroupVertices[Vertex],0)),1,1,"")</f>
        <v>5</v>
      </c>
      <c r="AV14" s="49">
        <v>2</v>
      </c>
      <c r="AW14" s="50">
        <v>16.666666666666668</v>
      </c>
      <c r="AX14" s="49">
        <v>0</v>
      </c>
      <c r="AY14" s="50">
        <v>0</v>
      </c>
      <c r="AZ14" s="49">
        <v>0</v>
      </c>
      <c r="BA14" s="50">
        <v>0</v>
      </c>
      <c r="BB14" s="49">
        <v>10</v>
      </c>
      <c r="BC14" s="50">
        <v>83.33333333333333</v>
      </c>
      <c r="BD14" s="49">
        <v>12</v>
      </c>
      <c r="BE14" s="49"/>
      <c r="BF14" s="49"/>
      <c r="BG14" s="49"/>
      <c r="BH14" s="49"/>
      <c r="BI14" s="49"/>
      <c r="BJ14" s="49"/>
      <c r="BK14" s="111" t="s">
        <v>4424</v>
      </c>
      <c r="BL14" s="111" t="s">
        <v>4424</v>
      </c>
      <c r="BM14" s="111" t="s">
        <v>4905</v>
      </c>
      <c r="BN14" s="111" t="s">
        <v>4905</v>
      </c>
      <c r="BO14" s="2"/>
      <c r="BP14" s="3"/>
      <c r="BQ14" s="3"/>
      <c r="BR14" s="3"/>
      <c r="BS14" s="3"/>
    </row>
    <row r="15" spans="1:71" ht="15">
      <c r="A15" s="65" t="s">
        <v>241</v>
      </c>
      <c r="B15" s="66"/>
      <c r="C15" s="66"/>
      <c r="D15" s="67">
        <v>150</v>
      </c>
      <c r="E15" s="69"/>
      <c r="F15" s="103" t="str">
        <f>HYPERLINK("https://yt3.ggpht.com/ytc/AKedOLReZ_JJTk8gkEd9JaWtpSTjinUerMTWhiK3ovzf_A=s88-c-k-c0x00ffffff-no-rj")</f>
        <v>https://yt3.ggpht.com/ytc/AKedOLReZ_JJTk8gkEd9JaWtpSTjinUerMTWhiK3ovzf_A=s88-c-k-c0x00ffffff-no-rj</v>
      </c>
      <c r="G15" s="66"/>
      <c r="H15" s="70" t="s">
        <v>1570</v>
      </c>
      <c r="I15" s="71"/>
      <c r="J15" s="71" t="s">
        <v>159</v>
      </c>
      <c r="K15" s="70" t="s">
        <v>1570</v>
      </c>
      <c r="L15" s="74">
        <v>1</v>
      </c>
      <c r="M15" s="75">
        <v>7182.3173828125</v>
      </c>
      <c r="N15" s="75">
        <v>5289.8935546875</v>
      </c>
      <c r="O15" s="76"/>
      <c r="P15" s="77"/>
      <c r="Q15" s="77"/>
      <c r="R15" s="89"/>
      <c r="S15" s="49">
        <v>1</v>
      </c>
      <c r="T15" s="49">
        <v>1</v>
      </c>
      <c r="U15" s="50">
        <v>0</v>
      </c>
      <c r="V15" s="50">
        <v>0.002899</v>
      </c>
      <c r="W15" s="50">
        <v>0</v>
      </c>
      <c r="X15" s="50">
        <v>0.531621</v>
      </c>
      <c r="Y15" s="50">
        <v>0</v>
      </c>
      <c r="Z15" s="50">
        <v>1</v>
      </c>
      <c r="AA15" s="72">
        <v>15</v>
      </c>
      <c r="AB15" s="72"/>
      <c r="AC15" s="73"/>
      <c r="AD15" s="80" t="s">
        <v>1570</v>
      </c>
      <c r="AE15" s="80" t="s">
        <v>2813</v>
      </c>
      <c r="AF15" s="80"/>
      <c r="AG15" s="80"/>
      <c r="AH15" s="80"/>
      <c r="AI15" s="80" t="s">
        <v>3014</v>
      </c>
      <c r="AJ15" s="80" t="s">
        <v>3107</v>
      </c>
      <c r="AK15" s="85" t="str">
        <f>HYPERLINK("https://yt3.ggpht.com/ytc/AKedOLReZ_JJTk8gkEd9JaWtpSTjinUerMTWhiK3ovzf_A=s88-c-k-c0x00ffffff-no-rj")</f>
        <v>https://yt3.ggpht.com/ytc/AKedOLReZ_JJTk8gkEd9JaWtpSTjinUerMTWhiK3ovzf_A=s88-c-k-c0x00ffffff-no-rj</v>
      </c>
      <c r="AL15" s="80">
        <v>287835</v>
      </c>
      <c r="AM15" s="80">
        <v>0</v>
      </c>
      <c r="AN15" s="80">
        <v>3430</v>
      </c>
      <c r="AO15" s="80" t="b">
        <v>0</v>
      </c>
      <c r="AP15" s="80">
        <v>303</v>
      </c>
      <c r="AQ15" s="80"/>
      <c r="AR15" s="80"/>
      <c r="AS15" s="80" t="s">
        <v>3412</v>
      </c>
      <c r="AT15" s="85" t="str">
        <f>HYPERLINK("https://www.youtube.com/channel/UCoExLMApVon6EJ8ESt1WgeQ")</f>
        <v>https://www.youtube.com/channel/UCoExLMApVon6EJ8ESt1WgeQ</v>
      </c>
      <c r="AU15" s="80" t="str">
        <f>REPLACE(INDEX(GroupVertices[Group],MATCH(Vertices[[#This Row],[Vertex]],GroupVertices[Vertex],0)),1,1,"")</f>
        <v>5</v>
      </c>
      <c r="AV15" s="49">
        <v>2</v>
      </c>
      <c r="AW15" s="50">
        <v>50</v>
      </c>
      <c r="AX15" s="49">
        <v>0</v>
      </c>
      <c r="AY15" s="50">
        <v>0</v>
      </c>
      <c r="AZ15" s="49">
        <v>0</v>
      </c>
      <c r="BA15" s="50">
        <v>0</v>
      </c>
      <c r="BB15" s="49">
        <v>2</v>
      </c>
      <c r="BC15" s="50">
        <v>50</v>
      </c>
      <c r="BD15" s="49">
        <v>4</v>
      </c>
      <c r="BE15" s="49"/>
      <c r="BF15" s="49"/>
      <c r="BG15" s="49"/>
      <c r="BH15" s="49"/>
      <c r="BI15" s="49"/>
      <c r="BJ15" s="49"/>
      <c r="BK15" s="111" t="s">
        <v>4425</v>
      </c>
      <c r="BL15" s="111" t="s">
        <v>4425</v>
      </c>
      <c r="BM15" s="111" t="s">
        <v>4906</v>
      </c>
      <c r="BN15" s="111" t="s">
        <v>4906</v>
      </c>
      <c r="BO15" s="2"/>
      <c r="BP15" s="3"/>
      <c r="BQ15" s="3"/>
      <c r="BR15" s="3"/>
      <c r="BS15" s="3"/>
    </row>
    <row r="16" spans="1:71" ht="15">
      <c r="A16" s="65" t="s">
        <v>242</v>
      </c>
      <c r="B16" s="66"/>
      <c r="C16" s="66"/>
      <c r="D16" s="67">
        <v>150</v>
      </c>
      <c r="E16" s="69"/>
      <c r="F16" s="103" t="str">
        <f>HYPERLINK("https://yt3.ggpht.com/ytc/AKedOLSrkNzLkEPa-2yGR0-FAm4asuEI9n62CuzqzzfK=s88-c-k-c0x00ffffff-no-rj")</f>
        <v>https://yt3.ggpht.com/ytc/AKedOLSrkNzLkEPa-2yGR0-FAm4asuEI9n62CuzqzzfK=s88-c-k-c0x00ffffff-no-rj</v>
      </c>
      <c r="G16" s="66"/>
      <c r="H16" s="70" t="s">
        <v>1571</v>
      </c>
      <c r="I16" s="71"/>
      <c r="J16" s="71" t="s">
        <v>159</v>
      </c>
      <c r="K16" s="70" t="s">
        <v>1571</v>
      </c>
      <c r="L16" s="74">
        <v>1</v>
      </c>
      <c r="M16" s="75">
        <v>8437.9033203125</v>
      </c>
      <c r="N16" s="75">
        <v>4997.42626953125</v>
      </c>
      <c r="O16" s="76"/>
      <c r="P16" s="77"/>
      <c r="Q16" s="77"/>
      <c r="R16" s="89"/>
      <c r="S16" s="49">
        <v>1</v>
      </c>
      <c r="T16" s="49">
        <v>1</v>
      </c>
      <c r="U16" s="50">
        <v>0</v>
      </c>
      <c r="V16" s="50">
        <v>0.002899</v>
      </c>
      <c r="W16" s="50">
        <v>0</v>
      </c>
      <c r="X16" s="50">
        <v>0.531621</v>
      </c>
      <c r="Y16" s="50">
        <v>0</v>
      </c>
      <c r="Z16" s="50">
        <v>1</v>
      </c>
      <c r="AA16" s="72">
        <v>16</v>
      </c>
      <c r="AB16" s="72"/>
      <c r="AC16" s="73"/>
      <c r="AD16" s="80" t="s">
        <v>1571</v>
      </c>
      <c r="AE16" s="80" t="s">
        <v>2814</v>
      </c>
      <c r="AF16" s="80"/>
      <c r="AG16" s="80"/>
      <c r="AH16" s="80"/>
      <c r="AI16" s="80" t="s">
        <v>3015</v>
      </c>
      <c r="AJ16" s="80" t="s">
        <v>3108</v>
      </c>
      <c r="AK16" s="85" t="str">
        <f>HYPERLINK("https://yt3.ggpht.com/ytc/AKedOLSrkNzLkEPa-2yGR0-FAm4asuEI9n62CuzqzzfK=s88-c-k-c0x00ffffff-no-rj")</f>
        <v>https://yt3.ggpht.com/ytc/AKedOLSrkNzLkEPa-2yGR0-FAm4asuEI9n62CuzqzzfK=s88-c-k-c0x00ffffff-no-rj</v>
      </c>
      <c r="AL16" s="80">
        <v>3682590</v>
      </c>
      <c r="AM16" s="80">
        <v>0</v>
      </c>
      <c r="AN16" s="80">
        <v>8660</v>
      </c>
      <c r="AO16" s="80" t="b">
        <v>0</v>
      </c>
      <c r="AP16" s="80">
        <v>411</v>
      </c>
      <c r="AQ16" s="80"/>
      <c r="AR16" s="80"/>
      <c r="AS16" s="80" t="s">
        <v>3412</v>
      </c>
      <c r="AT16" s="85" t="str">
        <f>HYPERLINK("https://www.youtube.com/channel/UCvVhBidV5kG4G58AVemMDsw")</f>
        <v>https://www.youtube.com/channel/UCvVhBidV5kG4G58AVemMDsw</v>
      </c>
      <c r="AU16" s="80" t="str">
        <f>REPLACE(INDEX(GroupVertices[Group],MATCH(Vertices[[#This Row],[Vertex]],GroupVertices[Vertex],0)),1,1,"")</f>
        <v>5</v>
      </c>
      <c r="AV16" s="49">
        <v>1</v>
      </c>
      <c r="AW16" s="50">
        <v>16.666666666666668</v>
      </c>
      <c r="AX16" s="49">
        <v>0</v>
      </c>
      <c r="AY16" s="50">
        <v>0</v>
      </c>
      <c r="AZ16" s="49">
        <v>0</v>
      </c>
      <c r="BA16" s="50">
        <v>0</v>
      </c>
      <c r="BB16" s="49">
        <v>5</v>
      </c>
      <c r="BC16" s="50">
        <v>83.33333333333333</v>
      </c>
      <c r="BD16" s="49">
        <v>6</v>
      </c>
      <c r="BE16" s="49"/>
      <c r="BF16" s="49"/>
      <c r="BG16" s="49"/>
      <c r="BH16" s="49"/>
      <c r="BI16" s="49"/>
      <c r="BJ16" s="49"/>
      <c r="BK16" s="111" t="s">
        <v>4426</v>
      </c>
      <c r="BL16" s="111" t="s">
        <v>4426</v>
      </c>
      <c r="BM16" s="111" t="s">
        <v>4907</v>
      </c>
      <c r="BN16" s="111" t="s">
        <v>4907</v>
      </c>
      <c r="BO16" s="2"/>
      <c r="BP16" s="3"/>
      <c r="BQ16" s="3"/>
      <c r="BR16" s="3"/>
      <c r="BS16" s="3"/>
    </row>
    <row r="17" spans="1:71" ht="15">
      <c r="A17" s="65" t="s">
        <v>243</v>
      </c>
      <c r="B17" s="66"/>
      <c r="C17" s="66"/>
      <c r="D17" s="67">
        <v>150</v>
      </c>
      <c r="E17" s="69"/>
      <c r="F17" s="103" t="str">
        <f>HYPERLINK("https://yt3.ggpht.com/ytc/AKedOLQMkltuskk8oRTG7ccwdcZvsljm8vmeKTly1w=s88-c-k-c0x00ffffff-no-rj")</f>
        <v>https://yt3.ggpht.com/ytc/AKedOLQMkltuskk8oRTG7ccwdcZvsljm8vmeKTly1w=s88-c-k-c0x00ffffff-no-rj</v>
      </c>
      <c r="G17" s="66"/>
      <c r="H17" s="70" t="s">
        <v>1572</v>
      </c>
      <c r="I17" s="71"/>
      <c r="J17" s="71" t="s">
        <v>159</v>
      </c>
      <c r="K17" s="70" t="s">
        <v>1572</v>
      </c>
      <c r="L17" s="74">
        <v>1</v>
      </c>
      <c r="M17" s="75">
        <v>7601.73828125</v>
      </c>
      <c r="N17" s="75">
        <v>4834.53955078125</v>
      </c>
      <c r="O17" s="76"/>
      <c r="P17" s="77"/>
      <c r="Q17" s="77"/>
      <c r="R17" s="89"/>
      <c r="S17" s="49">
        <v>1</v>
      </c>
      <c r="T17" s="49">
        <v>1</v>
      </c>
      <c r="U17" s="50">
        <v>0</v>
      </c>
      <c r="V17" s="50">
        <v>0.002899</v>
      </c>
      <c r="W17" s="50">
        <v>0</v>
      </c>
      <c r="X17" s="50">
        <v>0.531621</v>
      </c>
      <c r="Y17" s="50">
        <v>0</v>
      </c>
      <c r="Z17" s="50">
        <v>1</v>
      </c>
      <c r="AA17" s="72">
        <v>17</v>
      </c>
      <c r="AB17" s="72"/>
      <c r="AC17" s="73"/>
      <c r="AD17" s="80" t="s">
        <v>1572</v>
      </c>
      <c r="AE17" s="80"/>
      <c r="AF17" s="80"/>
      <c r="AG17" s="80"/>
      <c r="AH17" s="80"/>
      <c r="AI17" s="80"/>
      <c r="AJ17" s="80" t="s">
        <v>3109</v>
      </c>
      <c r="AK17" s="85" t="str">
        <f>HYPERLINK("https://yt3.ggpht.com/ytc/AKedOLQMkltuskk8oRTG7ccwdcZvsljm8vmeKTly1w=s88-c-k-c0x00ffffff-no-rj")</f>
        <v>https://yt3.ggpht.com/ytc/AKedOLQMkltuskk8oRTG7ccwdcZvsljm8vmeKTly1w=s88-c-k-c0x00ffffff-no-rj</v>
      </c>
      <c r="AL17" s="80">
        <v>0</v>
      </c>
      <c r="AM17" s="80">
        <v>0</v>
      </c>
      <c r="AN17" s="80">
        <v>1</v>
      </c>
      <c r="AO17" s="80" t="b">
        <v>0</v>
      </c>
      <c r="AP17" s="80">
        <v>0</v>
      </c>
      <c r="AQ17" s="80"/>
      <c r="AR17" s="80"/>
      <c r="AS17" s="80" t="s">
        <v>3412</v>
      </c>
      <c r="AT17" s="85" t="str">
        <f>HYPERLINK("https://www.youtube.com/channel/UC5dbPaVx1F_hyrstYlPIBDw")</f>
        <v>https://www.youtube.com/channel/UC5dbPaVx1F_hyrstYlPIBDw</v>
      </c>
      <c r="AU17" s="80" t="str">
        <f>REPLACE(INDEX(GroupVertices[Group],MATCH(Vertices[[#This Row],[Vertex]],GroupVertices[Vertex],0)),1,1,"")</f>
        <v>5</v>
      </c>
      <c r="AV17" s="49">
        <v>2</v>
      </c>
      <c r="AW17" s="50">
        <v>18.181818181818183</v>
      </c>
      <c r="AX17" s="49">
        <v>0</v>
      </c>
      <c r="AY17" s="50">
        <v>0</v>
      </c>
      <c r="AZ17" s="49">
        <v>0</v>
      </c>
      <c r="BA17" s="50">
        <v>0</v>
      </c>
      <c r="BB17" s="49">
        <v>9</v>
      </c>
      <c r="BC17" s="50">
        <v>81.81818181818181</v>
      </c>
      <c r="BD17" s="49">
        <v>11</v>
      </c>
      <c r="BE17" s="49"/>
      <c r="BF17" s="49"/>
      <c r="BG17" s="49"/>
      <c r="BH17" s="49"/>
      <c r="BI17" s="49"/>
      <c r="BJ17" s="49"/>
      <c r="BK17" s="111" t="s">
        <v>4427</v>
      </c>
      <c r="BL17" s="111" t="s">
        <v>4427</v>
      </c>
      <c r="BM17" s="111" t="s">
        <v>4908</v>
      </c>
      <c r="BN17" s="111" t="s">
        <v>4908</v>
      </c>
      <c r="BO17" s="2"/>
      <c r="BP17" s="3"/>
      <c r="BQ17" s="3"/>
      <c r="BR17" s="3"/>
      <c r="BS17" s="3"/>
    </row>
    <row r="18" spans="1:71" ht="15">
      <c r="A18" s="65" t="s">
        <v>244</v>
      </c>
      <c r="B18" s="66"/>
      <c r="C18" s="66"/>
      <c r="D18" s="67">
        <v>150</v>
      </c>
      <c r="E18" s="69"/>
      <c r="F18" s="103" t="str">
        <f>HYPERLINK("https://yt3.ggpht.com/ytc/AKedOLSkpRIkuK16XTYCaelgUuFsJ0qsPsn8fgLEAtjocg=s88-c-k-c0x00ffffff-no-rj")</f>
        <v>https://yt3.ggpht.com/ytc/AKedOLSkpRIkuK16XTYCaelgUuFsJ0qsPsn8fgLEAtjocg=s88-c-k-c0x00ffffff-no-rj</v>
      </c>
      <c r="G18" s="66"/>
      <c r="H18" s="70" t="s">
        <v>1573</v>
      </c>
      <c r="I18" s="71"/>
      <c r="J18" s="71" t="s">
        <v>159</v>
      </c>
      <c r="K18" s="70" t="s">
        <v>1573</v>
      </c>
      <c r="L18" s="74">
        <v>1</v>
      </c>
      <c r="M18" s="75">
        <v>8763.833984375</v>
      </c>
      <c r="N18" s="75">
        <v>6271.04931640625</v>
      </c>
      <c r="O18" s="76"/>
      <c r="P18" s="77"/>
      <c r="Q18" s="77"/>
      <c r="R18" s="89"/>
      <c r="S18" s="49">
        <v>1</v>
      </c>
      <c r="T18" s="49">
        <v>1</v>
      </c>
      <c r="U18" s="50">
        <v>0</v>
      </c>
      <c r="V18" s="50">
        <v>0.002899</v>
      </c>
      <c r="W18" s="50">
        <v>0</v>
      </c>
      <c r="X18" s="50">
        <v>0.531621</v>
      </c>
      <c r="Y18" s="50">
        <v>0</v>
      </c>
      <c r="Z18" s="50">
        <v>1</v>
      </c>
      <c r="AA18" s="72">
        <v>18</v>
      </c>
      <c r="AB18" s="72"/>
      <c r="AC18" s="73"/>
      <c r="AD18" s="80" t="s">
        <v>1573</v>
      </c>
      <c r="AE18" s="80" t="s">
        <v>2815</v>
      </c>
      <c r="AF18" s="80"/>
      <c r="AG18" s="80"/>
      <c r="AH18" s="80"/>
      <c r="AI18" s="80" t="s">
        <v>3016</v>
      </c>
      <c r="AJ18" s="87">
        <v>42349.67303240741</v>
      </c>
      <c r="AK18" s="85" t="str">
        <f>HYPERLINK("https://yt3.ggpht.com/ytc/AKedOLSkpRIkuK16XTYCaelgUuFsJ0qsPsn8fgLEAtjocg=s88-c-k-c0x00ffffff-no-rj")</f>
        <v>https://yt3.ggpht.com/ytc/AKedOLSkpRIkuK16XTYCaelgUuFsJ0qsPsn8fgLEAtjocg=s88-c-k-c0x00ffffff-no-rj</v>
      </c>
      <c r="AL18" s="80">
        <v>3001218</v>
      </c>
      <c r="AM18" s="80">
        <v>0</v>
      </c>
      <c r="AN18" s="80">
        <v>7040</v>
      </c>
      <c r="AO18" s="80" t="b">
        <v>0</v>
      </c>
      <c r="AP18" s="80">
        <v>882</v>
      </c>
      <c r="AQ18" s="80"/>
      <c r="AR18" s="80"/>
      <c r="AS18" s="80" t="s">
        <v>3412</v>
      </c>
      <c r="AT18" s="85" t="str">
        <f>HYPERLINK("https://www.youtube.com/channel/UCWHMmYJfAwLnajyyUDJsyjw")</f>
        <v>https://www.youtube.com/channel/UCWHMmYJfAwLnajyyUDJsyjw</v>
      </c>
      <c r="AU18" s="80" t="str">
        <f>REPLACE(INDEX(GroupVertices[Group],MATCH(Vertices[[#This Row],[Vertex]],GroupVertices[Vertex],0)),1,1,"")</f>
        <v>5</v>
      </c>
      <c r="AV18" s="49">
        <v>2</v>
      </c>
      <c r="AW18" s="50">
        <v>28.571428571428573</v>
      </c>
      <c r="AX18" s="49">
        <v>0</v>
      </c>
      <c r="AY18" s="50">
        <v>0</v>
      </c>
      <c r="AZ18" s="49">
        <v>0</v>
      </c>
      <c r="BA18" s="50">
        <v>0</v>
      </c>
      <c r="BB18" s="49">
        <v>5</v>
      </c>
      <c r="BC18" s="50">
        <v>71.42857142857143</v>
      </c>
      <c r="BD18" s="49">
        <v>7</v>
      </c>
      <c r="BE18" s="49"/>
      <c r="BF18" s="49"/>
      <c r="BG18" s="49"/>
      <c r="BH18" s="49"/>
      <c r="BI18" s="49"/>
      <c r="BJ18" s="49"/>
      <c r="BK18" s="111" t="s">
        <v>4428</v>
      </c>
      <c r="BL18" s="111" t="s">
        <v>4428</v>
      </c>
      <c r="BM18" s="111" t="s">
        <v>4909</v>
      </c>
      <c r="BN18" s="111" t="s">
        <v>4909</v>
      </c>
      <c r="BO18" s="2"/>
      <c r="BP18" s="3"/>
      <c r="BQ18" s="3"/>
      <c r="BR18" s="3"/>
      <c r="BS18" s="3"/>
    </row>
    <row r="19" spans="1:71" ht="15">
      <c r="A19" s="65" t="s">
        <v>245</v>
      </c>
      <c r="B19" s="66"/>
      <c r="C19" s="66"/>
      <c r="D19" s="67">
        <v>150</v>
      </c>
      <c r="E19" s="69"/>
      <c r="F19" s="103" t="str">
        <f>HYPERLINK("https://yt3.ggpht.com/WB4Si5-u0T3aBU1eLFx1RbX_F9dsk0mrxL8XopzR1RZEqvVhpgNl6HVdXJAGrDi3mM-7aeENYMM=s88-c-k-c0x00ffffff-no-rj")</f>
        <v>https://yt3.ggpht.com/WB4Si5-u0T3aBU1eLFx1RbX_F9dsk0mrxL8XopzR1RZEqvVhpgNl6HVdXJAGrDi3mM-7aeENYMM=s88-c-k-c0x00ffffff-no-rj</v>
      </c>
      <c r="G19" s="66"/>
      <c r="H19" s="70" t="s">
        <v>1574</v>
      </c>
      <c r="I19" s="71"/>
      <c r="J19" s="71" t="s">
        <v>159</v>
      </c>
      <c r="K19" s="70" t="s">
        <v>1574</v>
      </c>
      <c r="L19" s="74">
        <v>1</v>
      </c>
      <c r="M19" s="75">
        <v>9162.20703125</v>
      </c>
      <c r="N19" s="75">
        <v>5648.32666015625</v>
      </c>
      <c r="O19" s="76"/>
      <c r="P19" s="77"/>
      <c r="Q19" s="77"/>
      <c r="R19" s="89"/>
      <c r="S19" s="49">
        <v>1</v>
      </c>
      <c r="T19" s="49">
        <v>1</v>
      </c>
      <c r="U19" s="50">
        <v>0</v>
      </c>
      <c r="V19" s="50">
        <v>0.002899</v>
      </c>
      <c r="W19" s="50">
        <v>0</v>
      </c>
      <c r="X19" s="50">
        <v>0.531621</v>
      </c>
      <c r="Y19" s="50">
        <v>0</v>
      </c>
      <c r="Z19" s="50">
        <v>1</v>
      </c>
      <c r="AA19" s="72">
        <v>19</v>
      </c>
      <c r="AB19" s="72"/>
      <c r="AC19" s="73"/>
      <c r="AD19" s="80" t="s">
        <v>1574</v>
      </c>
      <c r="AE19" s="80" t="s">
        <v>2816</v>
      </c>
      <c r="AF19" s="80"/>
      <c r="AG19" s="80"/>
      <c r="AH19" s="80"/>
      <c r="AI19" s="80"/>
      <c r="AJ19" s="87">
        <v>42920.66449074074</v>
      </c>
      <c r="AK19" s="85" t="str">
        <f>HYPERLINK("https://yt3.ggpht.com/WB4Si5-u0T3aBU1eLFx1RbX_F9dsk0mrxL8XopzR1RZEqvVhpgNl6HVdXJAGrDi3mM-7aeENYMM=s88-c-k-c0x00ffffff-no-rj")</f>
        <v>https://yt3.ggpht.com/WB4Si5-u0T3aBU1eLFx1RbX_F9dsk0mrxL8XopzR1RZEqvVhpgNl6HVdXJAGrDi3mM-7aeENYMM=s88-c-k-c0x00ffffff-no-rj</v>
      </c>
      <c r="AL19" s="80">
        <v>479459</v>
      </c>
      <c r="AM19" s="80">
        <v>0</v>
      </c>
      <c r="AN19" s="80">
        <v>1690</v>
      </c>
      <c r="AO19" s="80" t="b">
        <v>0</v>
      </c>
      <c r="AP19" s="80">
        <v>143</v>
      </c>
      <c r="AQ19" s="80"/>
      <c r="AR19" s="80"/>
      <c r="AS19" s="80" t="s">
        <v>3412</v>
      </c>
      <c r="AT19" s="85" t="str">
        <f>HYPERLINK("https://www.youtube.com/channel/UCUdKpfoeqOhuCLZ7iZSopnw")</f>
        <v>https://www.youtube.com/channel/UCUdKpfoeqOhuCLZ7iZSopnw</v>
      </c>
      <c r="AU19" s="80" t="str">
        <f>REPLACE(INDEX(GroupVertices[Group],MATCH(Vertices[[#This Row],[Vertex]],GroupVertices[Vertex],0)),1,1,"")</f>
        <v>5</v>
      </c>
      <c r="AV19" s="49">
        <v>4</v>
      </c>
      <c r="AW19" s="50">
        <v>21.05263157894737</v>
      </c>
      <c r="AX19" s="49">
        <v>0</v>
      </c>
      <c r="AY19" s="50">
        <v>0</v>
      </c>
      <c r="AZ19" s="49">
        <v>0</v>
      </c>
      <c r="BA19" s="50">
        <v>0</v>
      </c>
      <c r="BB19" s="49">
        <v>15</v>
      </c>
      <c r="BC19" s="50">
        <v>78.94736842105263</v>
      </c>
      <c r="BD19" s="49">
        <v>19</v>
      </c>
      <c r="BE19" s="49"/>
      <c r="BF19" s="49"/>
      <c r="BG19" s="49"/>
      <c r="BH19" s="49"/>
      <c r="BI19" s="49"/>
      <c r="BJ19" s="49"/>
      <c r="BK19" s="111" t="s">
        <v>4422</v>
      </c>
      <c r="BL19" s="111" t="s">
        <v>4422</v>
      </c>
      <c r="BM19" s="111" t="s">
        <v>4903</v>
      </c>
      <c r="BN19" s="111" t="s">
        <v>4903</v>
      </c>
      <c r="BO19" s="2"/>
      <c r="BP19" s="3"/>
      <c r="BQ19" s="3"/>
      <c r="BR19" s="3"/>
      <c r="BS19" s="3"/>
    </row>
    <row r="20" spans="1:71" ht="15">
      <c r="A20" s="65" t="s">
        <v>246</v>
      </c>
      <c r="B20" s="66"/>
      <c r="C20" s="66"/>
      <c r="D20" s="67">
        <v>150</v>
      </c>
      <c r="E20" s="69"/>
      <c r="F20" s="103" t="str">
        <f>HYPERLINK("https://yt3.ggpht.com/MsKek3_UIqhcb4oIvcICpWz0NujihjnFeeEm1TjXhduQfHMzpsWhkuQ-tp8SKwvc5Swxta6miCA=s88-c-k-c0x00ffffff-no-rj")</f>
        <v>https://yt3.ggpht.com/MsKek3_UIqhcb4oIvcICpWz0NujihjnFeeEm1TjXhduQfHMzpsWhkuQ-tp8SKwvc5Swxta6miCA=s88-c-k-c0x00ffffff-no-rj</v>
      </c>
      <c r="G20" s="66"/>
      <c r="H20" s="70" t="s">
        <v>1575</v>
      </c>
      <c r="I20" s="71"/>
      <c r="J20" s="71" t="s">
        <v>159</v>
      </c>
      <c r="K20" s="70" t="s">
        <v>1575</v>
      </c>
      <c r="L20" s="74">
        <v>1</v>
      </c>
      <c r="M20" s="75">
        <v>9004.5966796875</v>
      </c>
      <c r="N20" s="75">
        <v>4887.79931640625</v>
      </c>
      <c r="O20" s="76"/>
      <c r="P20" s="77"/>
      <c r="Q20" s="77"/>
      <c r="R20" s="89"/>
      <c r="S20" s="49">
        <v>1</v>
      </c>
      <c r="T20" s="49">
        <v>1</v>
      </c>
      <c r="U20" s="50">
        <v>0</v>
      </c>
      <c r="V20" s="50">
        <v>0.002899</v>
      </c>
      <c r="W20" s="50">
        <v>0</v>
      </c>
      <c r="X20" s="50">
        <v>0.531621</v>
      </c>
      <c r="Y20" s="50">
        <v>0</v>
      </c>
      <c r="Z20" s="50">
        <v>1</v>
      </c>
      <c r="AA20" s="72">
        <v>20</v>
      </c>
      <c r="AB20" s="72"/>
      <c r="AC20" s="73"/>
      <c r="AD20" s="80" t="s">
        <v>1575</v>
      </c>
      <c r="AE20" s="80"/>
      <c r="AF20" s="80"/>
      <c r="AG20" s="80"/>
      <c r="AH20" s="80"/>
      <c r="AI20" s="80"/>
      <c r="AJ20" s="80" t="s">
        <v>3110</v>
      </c>
      <c r="AK20" s="85" t="str">
        <f>HYPERLINK("https://yt3.ggpht.com/MsKek3_UIqhcb4oIvcICpWz0NujihjnFeeEm1TjXhduQfHMzpsWhkuQ-tp8SKwvc5Swxta6miCA=s88-c-k-c0x00ffffff-no-rj")</f>
        <v>https://yt3.ggpht.com/MsKek3_UIqhcb4oIvcICpWz0NujihjnFeeEm1TjXhduQfHMzpsWhkuQ-tp8SKwvc5Swxta6miCA=s88-c-k-c0x00ffffff-no-rj</v>
      </c>
      <c r="AL20" s="80">
        <v>243173</v>
      </c>
      <c r="AM20" s="80">
        <v>0</v>
      </c>
      <c r="AN20" s="80">
        <v>4820</v>
      </c>
      <c r="AO20" s="80" t="b">
        <v>0</v>
      </c>
      <c r="AP20" s="80">
        <v>257</v>
      </c>
      <c r="AQ20" s="80"/>
      <c r="AR20" s="80"/>
      <c r="AS20" s="80" t="s">
        <v>3412</v>
      </c>
      <c r="AT20" s="85" t="str">
        <f>HYPERLINK("https://www.youtube.com/channel/UCNDgFfJaEdGb5X1xgKIVmmg")</f>
        <v>https://www.youtube.com/channel/UCNDgFfJaEdGb5X1xgKIVmmg</v>
      </c>
      <c r="AU20" s="80" t="str">
        <f>REPLACE(INDEX(GroupVertices[Group],MATCH(Vertices[[#This Row],[Vertex]],GroupVertices[Vertex],0)),1,1,"")</f>
        <v>5</v>
      </c>
      <c r="AV20" s="49">
        <v>1</v>
      </c>
      <c r="AW20" s="50">
        <v>16.666666666666668</v>
      </c>
      <c r="AX20" s="49">
        <v>0</v>
      </c>
      <c r="AY20" s="50">
        <v>0</v>
      </c>
      <c r="AZ20" s="49">
        <v>0</v>
      </c>
      <c r="BA20" s="50">
        <v>0</v>
      </c>
      <c r="BB20" s="49">
        <v>5</v>
      </c>
      <c r="BC20" s="50">
        <v>83.33333333333333</v>
      </c>
      <c r="BD20" s="49">
        <v>6</v>
      </c>
      <c r="BE20" s="49"/>
      <c r="BF20" s="49"/>
      <c r="BG20" s="49"/>
      <c r="BH20" s="49"/>
      <c r="BI20" s="49"/>
      <c r="BJ20" s="49"/>
      <c r="BK20" s="111" t="s">
        <v>4429</v>
      </c>
      <c r="BL20" s="111" t="s">
        <v>4429</v>
      </c>
      <c r="BM20" s="111" t="s">
        <v>4910</v>
      </c>
      <c r="BN20" s="111" t="s">
        <v>4910</v>
      </c>
      <c r="BO20" s="2"/>
      <c r="BP20" s="3"/>
      <c r="BQ20" s="3"/>
      <c r="BR20" s="3"/>
      <c r="BS20" s="3"/>
    </row>
    <row r="21" spans="1:71" ht="15">
      <c r="A21" s="65" t="s">
        <v>247</v>
      </c>
      <c r="B21" s="66"/>
      <c r="C21" s="66"/>
      <c r="D21" s="67">
        <v>150</v>
      </c>
      <c r="E21" s="69"/>
      <c r="F21" s="103" t="str">
        <f>HYPERLINK("https://yt3.ggpht.com/ytc/AKedOLSo_p5-Ejf978FOvIYf9lTaTSEY_n6PFGUmuqT5Ug=s88-c-k-c0x00ffffff-no-rj")</f>
        <v>https://yt3.ggpht.com/ytc/AKedOLSo_p5-Ejf978FOvIYf9lTaTSEY_n6PFGUmuqT5Ug=s88-c-k-c0x00ffffff-no-rj</v>
      </c>
      <c r="G21" s="66"/>
      <c r="H21" s="70" t="s">
        <v>1576</v>
      </c>
      <c r="I21" s="71"/>
      <c r="J21" s="71" t="s">
        <v>159</v>
      </c>
      <c r="K21" s="70" t="s">
        <v>1576</v>
      </c>
      <c r="L21" s="74">
        <v>1</v>
      </c>
      <c r="M21" s="75">
        <v>7686.099609375</v>
      </c>
      <c r="N21" s="75">
        <v>5528.35693359375</v>
      </c>
      <c r="O21" s="76"/>
      <c r="P21" s="77"/>
      <c r="Q21" s="77"/>
      <c r="R21" s="89"/>
      <c r="S21" s="49">
        <v>1</v>
      </c>
      <c r="T21" s="49">
        <v>1</v>
      </c>
      <c r="U21" s="50">
        <v>0</v>
      </c>
      <c r="V21" s="50">
        <v>0.002899</v>
      </c>
      <c r="W21" s="50">
        <v>0</v>
      </c>
      <c r="X21" s="50">
        <v>0.531621</v>
      </c>
      <c r="Y21" s="50">
        <v>0</v>
      </c>
      <c r="Z21" s="50">
        <v>1</v>
      </c>
      <c r="AA21" s="72">
        <v>21</v>
      </c>
      <c r="AB21" s="72"/>
      <c r="AC21" s="73"/>
      <c r="AD21" s="80" t="s">
        <v>1576</v>
      </c>
      <c r="AE21" s="80"/>
      <c r="AF21" s="80"/>
      <c r="AG21" s="80"/>
      <c r="AH21" s="80"/>
      <c r="AI21" s="80"/>
      <c r="AJ21" s="80" t="s">
        <v>3111</v>
      </c>
      <c r="AK21" s="85" t="str">
        <f>HYPERLINK("https://yt3.ggpht.com/ytc/AKedOLSo_p5-Ejf978FOvIYf9lTaTSEY_n6PFGUmuqT5Ug=s88-c-k-c0x00ffffff-no-rj")</f>
        <v>https://yt3.ggpht.com/ytc/AKedOLSo_p5-Ejf978FOvIYf9lTaTSEY_n6PFGUmuqT5Ug=s88-c-k-c0x00ffffff-no-rj</v>
      </c>
      <c r="AL21" s="80">
        <v>0</v>
      </c>
      <c r="AM21" s="80">
        <v>0</v>
      </c>
      <c r="AN21" s="80">
        <v>2</v>
      </c>
      <c r="AO21" s="80" t="b">
        <v>0</v>
      </c>
      <c r="AP21" s="80">
        <v>0</v>
      </c>
      <c r="AQ21" s="80"/>
      <c r="AR21" s="80"/>
      <c r="AS21" s="80" t="s">
        <v>3412</v>
      </c>
      <c r="AT21" s="85" t="str">
        <f>HYPERLINK("https://www.youtube.com/channel/UCnwsJfmM3LAMLY5fdTSf-BA")</f>
        <v>https://www.youtube.com/channel/UCnwsJfmM3LAMLY5fdTSf-BA</v>
      </c>
      <c r="AU21" s="80" t="str">
        <f>REPLACE(INDEX(GroupVertices[Group],MATCH(Vertices[[#This Row],[Vertex]],GroupVertices[Vertex],0)),1,1,"")</f>
        <v>5</v>
      </c>
      <c r="AV21" s="49">
        <v>5</v>
      </c>
      <c r="AW21" s="50">
        <v>10.416666666666666</v>
      </c>
      <c r="AX21" s="49">
        <v>0</v>
      </c>
      <c r="AY21" s="50">
        <v>0</v>
      </c>
      <c r="AZ21" s="49">
        <v>0</v>
      </c>
      <c r="BA21" s="50">
        <v>0</v>
      </c>
      <c r="BB21" s="49">
        <v>43</v>
      </c>
      <c r="BC21" s="50">
        <v>89.58333333333333</v>
      </c>
      <c r="BD21" s="49">
        <v>48</v>
      </c>
      <c r="BE21" s="49"/>
      <c r="BF21" s="49"/>
      <c r="BG21" s="49"/>
      <c r="BH21" s="49"/>
      <c r="BI21" s="49"/>
      <c r="BJ21" s="49"/>
      <c r="BK21" s="111" t="s">
        <v>4430</v>
      </c>
      <c r="BL21" s="111" t="s">
        <v>4430</v>
      </c>
      <c r="BM21" s="111" t="s">
        <v>4911</v>
      </c>
      <c r="BN21" s="111" t="s">
        <v>4911</v>
      </c>
      <c r="BO21" s="2"/>
      <c r="BP21" s="3"/>
      <c r="BQ21" s="3"/>
      <c r="BR21" s="3"/>
      <c r="BS21" s="3"/>
    </row>
    <row r="22" spans="1:71" ht="15">
      <c r="A22" s="65" t="s">
        <v>248</v>
      </c>
      <c r="B22" s="66"/>
      <c r="C22" s="66"/>
      <c r="D22" s="67">
        <v>150</v>
      </c>
      <c r="E22" s="69"/>
      <c r="F22" s="103" t="str">
        <f>HYPERLINK("https://yt3.ggpht.com/ytc/AKedOLTxDkG7qqLudkpsbiMba_EpwMkstpBpC7AczcAFNvk=s88-c-k-c0x00ffffff-no-rj")</f>
        <v>https://yt3.ggpht.com/ytc/AKedOLTxDkG7qqLudkpsbiMba_EpwMkstpBpC7AczcAFNvk=s88-c-k-c0x00ffffff-no-rj</v>
      </c>
      <c r="G22" s="66"/>
      <c r="H22" s="70" t="s">
        <v>1577</v>
      </c>
      <c r="I22" s="71"/>
      <c r="J22" s="71" t="s">
        <v>159</v>
      </c>
      <c r="K22" s="70" t="s">
        <v>1577</v>
      </c>
      <c r="L22" s="74">
        <v>1</v>
      </c>
      <c r="M22" s="75">
        <v>7963.546875</v>
      </c>
      <c r="N22" s="75">
        <v>4697.9658203125</v>
      </c>
      <c r="O22" s="76"/>
      <c r="P22" s="77"/>
      <c r="Q22" s="77"/>
      <c r="R22" s="89"/>
      <c r="S22" s="49">
        <v>1</v>
      </c>
      <c r="T22" s="49">
        <v>1</v>
      </c>
      <c r="U22" s="50">
        <v>0</v>
      </c>
      <c r="V22" s="50">
        <v>0.002899</v>
      </c>
      <c r="W22" s="50">
        <v>0</v>
      </c>
      <c r="X22" s="50">
        <v>0.531621</v>
      </c>
      <c r="Y22" s="50">
        <v>0</v>
      </c>
      <c r="Z22" s="50">
        <v>1</v>
      </c>
      <c r="AA22" s="72">
        <v>22</v>
      </c>
      <c r="AB22" s="72"/>
      <c r="AC22" s="73"/>
      <c r="AD22" s="80" t="s">
        <v>1577</v>
      </c>
      <c r="AE22" s="80" t="s">
        <v>2817</v>
      </c>
      <c r="AF22" s="80"/>
      <c r="AG22" s="80"/>
      <c r="AH22" s="80"/>
      <c r="AI22" s="80" t="s">
        <v>3017</v>
      </c>
      <c r="AJ22" s="80" t="s">
        <v>3112</v>
      </c>
      <c r="AK22" s="85" t="str">
        <f>HYPERLINK("https://yt3.ggpht.com/ytc/AKedOLTxDkG7qqLudkpsbiMba_EpwMkstpBpC7AczcAFNvk=s88-c-k-c0x00ffffff-no-rj")</f>
        <v>https://yt3.ggpht.com/ytc/AKedOLTxDkG7qqLudkpsbiMba_EpwMkstpBpC7AczcAFNvk=s88-c-k-c0x00ffffff-no-rj</v>
      </c>
      <c r="AL22" s="80">
        <v>649614</v>
      </c>
      <c r="AM22" s="80">
        <v>0</v>
      </c>
      <c r="AN22" s="80">
        <v>5550</v>
      </c>
      <c r="AO22" s="80" t="b">
        <v>0</v>
      </c>
      <c r="AP22" s="80">
        <v>701</v>
      </c>
      <c r="AQ22" s="80"/>
      <c r="AR22" s="80"/>
      <c r="AS22" s="80" t="s">
        <v>3412</v>
      </c>
      <c r="AT22" s="85" t="str">
        <f>HYPERLINK("https://www.youtube.com/channel/UCK4aieEbRXehxvhd-VGlcMw")</f>
        <v>https://www.youtube.com/channel/UCK4aieEbRXehxvhd-VGlcMw</v>
      </c>
      <c r="AU22" s="80" t="str">
        <f>REPLACE(INDEX(GroupVertices[Group],MATCH(Vertices[[#This Row],[Vertex]],GroupVertices[Vertex],0)),1,1,"")</f>
        <v>5</v>
      </c>
      <c r="AV22" s="49">
        <v>3</v>
      </c>
      <c r="AW22" s="50">
        <v>30</v>
      </c>
      <c r="AX22" s="49">
        <v>0</v>
      </c>
      <c r="AY22" s="50">
        <v>0</v>
      </c>
      <c r="AZ22" s="49">
        <v>0</v>
      </c>
      <c r="BA22" s="50">
        <v>0</v>
      </c>
      <c r="BB22" s="49">
        <v>7</v>
      </c>
      <c r="BC22" s="50">
        <v>70</v>
      </c>
      <c r="BD22" s="49">
        <v>10</v>
      </c>
      <c r="BE22" s="49"/>
      <c r="BF22" s="49"/>
      <c r="BG22" s="49"/>
      <c r="BH22" s="49"/>
      <c r="BI22" s="49"/>
      <c r="BJ22" s="49"/>
      <c r="BK22" s="111" t="s">
        <v>4431</v>
      </c>
      <c r="BL22" s="111" t="s">
        <v>4431</v>
      </c>
      <c r="BM22" s="111" t="s">
        <v>4912</v>
      </c>
      <c r="BN22" s="111" t="s">
        <v>4912</v>
      </c>
      <c r="BO22" s="2"/>
      <c r="BP22" s="3"/>
      <c r="BQ22" s="3"/>
      <c r="BR22" s="3"/>
      <c r="BS22" s="3"/>
    </row>
    <row r="23" spans="1:71" ht="15">
      <c r="A23" s="65" t="s">
        <v>249</v>
      </c>
      <c r="B23" s="66"/>
      <c r="C23" s="66"/>
      <c r="D23" s="67">
        <v>150</v>
      </c>
      <c r="E23" s="69"/>
      <c r="F23" s="103" t="str">
        <f>HYPERLINK("https://yt3.ggpht.com/ytc/AKedOLQcMursluBPk-jJZY6jOaSklTql-6I7qS8j2T0=s88-c-k-c0x00ffffff-no-rj")</f>
        <v>https://yt3.ggpht.com/ytc/AKedOLQcMursluBPk-jJZY6jOaSklTql-6I7qS8j2T0=s88-c-k-c0x00ffffff-no-rj</v>
      </c>
      <c r="G23" s="66"/>
      <c r="H23" s="70" t="s">
        <v>1578</v>
      </c>
      <c r="I23" s="71"/>
      <c r="J23" s="71" t="s">
        <v>159</v>
      </c>
      <c r="K23" s="70" t="s">
        <v>1578</v>
      </c>
      <c r="L23" s="74">
        <v>1</v>
      </c>
      <c r="M23" s="75">
        <v>8845.3408203125</v>
      </c>
      <c r="N23" s="75">
        <v>4623.81494140625</v>
      </c>
      <c r="O23" s="76"/>
      <c r="P23" s="77"/>
      <c r="Q23" s="77"/>
      <c r="R23" s="89"/>
      <c r="S23" s="49">
        <v>1</v>
      </c>
      <c r="T23" s="49">
        <v>1</v>
      </c>
      <c r="U23" s="50">
        <v>0</v>
      </c>
      <c r="V23" s="50">
        <v>0.002899</v>
      </c>
      <c r="W23" s="50">
        <v>0</v>
      </c>
      <c r="X23" s="50">
        <v>0.531621</v>
      </c>
      <c r="Y23" s="50">
        <v>0</v>
      </c>
      <c r="Z23" s="50">
        <v>1</v>
      </c>
      <c r="AA23" s="72">
        <v>23</v>
      </c>
      <c r="AB23" s="72"/>
      <c r="AC23" s="73"/>
      <c r="AD23" s="80" t="s">
        <v>1578</v>
      </c>
      <c r="AE23" s="80" t="s">
        <v>2818</v>
      </c>
      <c r="AF23" s="80"/>
      <c r="AG23" s="80"/>
      <c r="AH23" s="80"/>
      <c r="AI23" s="80"/>
      <c r="AJ23" s="80" t="s">
        <v>3113</v>
      </c>
      <c r="AK23" s="85" t="str">
        <f>HYPERLINK("https://yt3.ggpht.com/ytc/AKedOLQcMursluBPk-jJZY6jOaSklTql-6I7qS8j2T0=s88-c-k-c0x00ffffff-no-rj")</f>
        <v>https://yt3.ggpht.com/ytc/AKedOLQcMursluBPk-jJZY6jOaSklTql-6I7qS8j2T0=s88-c-k-c0x00ffffff-no-rj</v>
      </c>
      <c r="AL23" s="80">
        <v>17071</v>
      </c>
      <c r="AM23" s="80">
        <v>0</v>
      </c>
      <c r="AN23" s="80">
        <v>2740</v>
      </c>
      <c r="AO23" s="80" t="b">
        <v>0</v>
      </c>
      <c r="AP23" s="80">
        <v>23</v>
      </c>
      <c r="AQ23" s="80"/>
      <c r="AR23" s="80"/>
      <c r="AS23" s="80" t="s">
        <v>3412</v>
      </c>
      <c r="AT23" s="85" t="str">
        <f>HYPERLINK("https://www.youtube.com/channel/UCeFHMi__WiI_7gyId_i-aqA")</f>
        <v>https://www.youtube.com/channel/UCeFHMi__WiI_7gyId_i-aqA</v>
      </c>
      <c r="AU23" s="80" t="str">
        <f>REPLACE(INDEX(GroupVertices[Group],MATCH(Vertices[[#This Row],[Vertex]],GroupVertices[Vertex],0)),1,1,"")</f>
        <v>5</v>
      </c>
      <c r="AV23" s="49">
        <v>6</v>
      </c>
      <c r="AW23" s="50">
        <v>21.428571428571427</v>
      </c>
      <c r="AX23" s="49">
        <v>0</v>
      </c>
      <c r="AY23" s="50">
        <v>0</v>
      </c>
      <c r="AZ23" s="49">
        <v>0</v>
      </c>
      <c r="BA23" s="50">
        <v>0</v>
      </c>
      <c r="BB23" s="49">
        <v>22</v>
      </c>
      <c r="BC23" s="50">
        <v>78.57142857142857</v>
      </c>
      <c r="BD23" s="49">
        <v>28</v>
      </c>
      <c r="BE23" s="49"/>
      <c r="BF23" s="49"/>
      <c r="BG23" s="49"/>
      <c r="BH23" s="49"/>
      <c r="BI23" s="49"/>
      <c r="BJ23" s="49"/>
      <c r="BK23" s="111" t="s">
        <v>4432</v>
      </c>
      <c r="BL23" s="111" t="s">
        <v>4432</v>
      </c>
      <c r="BM23" s="111" t="s">
        <v>4913</v>
      </c>
      <c r="BN23" s="111" t="s">
        <v>4913</v>
      </c>
      <c r="BO23" s="2"/>
      <c r="BP23" s="3"/>
      <c r="BQ23" s="3"/>
      <c r="BR23" s="3"/>
      <c r="BS23" s="3"/>
    </row>
    <row r="24" spans="1:71" ht="15">
      <c r="A24" s="65" t="s">
        <v>250</v>
      </c>
      <c r="B24" s="66"/>
      <c r="C24" s="66"/>
      <c r="D24" s="67">
        <v>150</v>
      </c>
      <c r="E24" s="69"/>
      <c r="F24" s="103" t="str">
        <f>HYPERLINK("https://yt3.ggpht.com/ytc/AKedOLSTgRV7gVJSar0Vf0DgmRldvdxZ5B7G02O7kWCc=s88-c-k-c0x00ffffff-no-rj")</f>
        <v>https://yt3.ggpht.com/ytc/AKedOLSTgRV7gVJSar0Vf0DgmRldvdxZ5B7G02O7kWCc=s88-c-k-c0x00ffffff-no-rj</v>
      </c>
      <c r="G24" s="66"/>
      <c r="H24" s="70" t="s">
        <v>1579</v>
      </c>
      <c r="I24" s="71"/>
      <c r="J24" s="71" t="s">
        <v>159</v>
      </c>
      <c r="K24" s="70" t="s">
        <v>1579</v>
      </c>
      <c r="L24" s="74">
        <v>1</v>
      </c>
      <c r="M24" s="75">
        <v>7561.4150390625</v>
      </c>
      <c r="N24" s="75">
        <v>6051.61181640625</v>
      </c>
      <c r="O24" s="76"/>
      <c r="P24" s="77"/>
      <c r="Q24" s="77"/>
      <c r="R24" s="89"/>
      <c r="S24" s="49">
        <v>1</v>
      </c>
      <c r="T24" s="49">
        <v>1</v>
      </c>
      <c r="U24" s="50">
        <v>0</v>
      </c>
      <c r="V24" s="50">
        <v>0.002899</v>
      </c>
      <c r="W24" s="50">
        <v>0</v>
      </c>
      <c r="X24" s="50">
        <v>0.531621</v>
      </c>
      <c r="Y24" s="50">
        <v>0</v>
      </c>
      <c r="Z24" s="50">
        <v>1</v>
      </c>
      <c r="AA24" s="72">
        <v>24</v>
      </c>
      <c r="AB24" s="72"/>
      <c r="AC24" s="73"/>
      <c r="AD24" s="80" t="s">
        <v>1579</v>
      </c>
      <c r="AE24" s="80" t="s">
        <v>2819</v>
      </c>
      <c r="AF24" s="80"/>
      <c r="AG24" s="80"/>
      <c r="AH24" s="80"/>
      <c r="AI24" s="80"/>
      <c r="AJ24" s="87">
        <v>43470.47900462963</v>
      </c>
      <c r="AK24" s="85" t="str">
        <f>HYPERLINK("https://yt3.ggpht.com/ytc/AKedOLSTgRV7gVJSar0Vf0DgmRldvdxZ5B7G02O7kWCc=s88-c-k-c0x00ffffff-no-rj")</f>
        <v>https://yt3.ggpht.com/ytc/AKedOLSTgRV7gVJSar0Vf0DgmRldvdxZ5B7G02O7kWCc=s88-c-k-c0x00ffffff-no-rj</v>
      </c>
      <c r="AL24" s="80">
        <v>1656684</v>
      </c>
      <c r="AM24" s="80">
        <v>0</v>
      </c>
      <c r="AN24" s="80">
        <v>12500</v>
      </c>
      <c r="AO24" s="80" t="b">
        <v>0</v>
      </c>
      <c r="AP24" s="80">
        <v>383</v>
      </c>
      <c r="AQ24" s="80"/>
      <c r="AR24" s="80"/>
      <c r="AS24" s="80" t="s">
        <v>3412</v>
      </c>
      <c r="AT24" s="85" t="str">
        <f>HYPERLINK("https://www.youtube.com/channel/UCQrnl3v9mkozB6Z_zmBWpLw")</f>
        <v>https://www.youtube.com/channel/UCQrnl3v9mkozB6Z_zmBWpLw</v>
      </c>
      <c r="AU24" s="80" t="str">
        <f>REPLACE(INDEX(GroupVertices[Group],MATCH(Vertices[[#This Row],[Vertex]],GroupVertices[Vertex],0)),1,1,"")</f>
        <v>5</v>
      </c>
      <c r="AV24" s="49">
        <v>1</v>
      </c>
      <c r="AW24" s="50">
        <v>100</v>
      </c>
      <c r="AX24" s="49">
        <v>0</v>
      </c>
      <c r="AY24" s="50">
        <v>0</v>
      </c>
      <c r="AZ24" s="49">
        <v>0</v>
      </c>
      <c r="BA24" s="50">
        <v>0</v>
      </c>
      <c r="BB24" s="49">
        <v>0</v>
      </c>
      <c r="BC24" s="50">
        <v>0</v>
      </c>
      <c r="BD24" s="49">
        <v>1</v>
      </c>
      <c r="BE24" s="49"/>
      <c r="BF24" s="49"/>
      <c r="BG24" s="49"/>
      <c r="BH24" s="49"/>
      <c r="BI24" s="49"/>
      <c r="BJ24" s="49"/>
      <c r="BK24" s="111" t="s">
        <v>3486</v>
      </c>
      <c r="BL24" s="111" t="s">
        <v>3486</v>
      </c>
      <c r="BM24" s="111" t="s">
        <v>2782</v>
      </c>
      <c r="BN24" s="111" t="s">
        <v>2782</v>
      </c>
      <c r="BO24" s="2"/>
      <c r="BP24" s="3"/>
      <c r="BQ24" s="3"/>
      <c r="BR24" s="3"/>
      <c r="BS24" s="3"/>
    </row>
    <row r="25" spans="1:71" ht="15">
      <c r="A25" s="65" t="s">
        <v>251</v>
      </c>
      <c r="B25" s="66"/>
      <c r="C25" s="66"/>
      <c r="D25" s="67">
        <v>150</v>
      </c>
      <c r="E25" s="69"/>
      <c r="F25" s="103" t="str">
        <f>HYPERLINK("https://yt3.ggpht.com/ytc/AKedOLTj1pa-5narENS_gSM94ttUD5JB0XSUdS3YjgVL=s88-c-k-c0x00ffffff-no-rj")</f>
        <v>https://yt3.ggpht.com/ytc/AKedOLTj1pa-5narENS_gSM94ttUD5JB0XSUdS3YjgVL=s88-c-k-c0x00ffffff-no-rj</v>
      </c>
      <c r="G25" s="66"/>
      <c r="H25" s="70" t="s">
        <v>1580</v>
      </c>
      <c r="I25" s="71"/>
      <c r="J25" s="71" t="s">
        <v>159</v>
      </c>
      <c r="K25" s="70" t="s">
        <v>1580</v>
      </c>
      <c r="L25" s="74">
        <v>1</v>
      </c>
      <c r="M25" s="75">
        <v>7303.673828125</v>
      </c>
      <c r="N25" s="75">
        <v>5835.5712890625</v>
      </c>
      <c r="O25" s="76"/>
      <c r="P25" s="77"/>
      <c r="Q25" s="77"/>
      <c r="R25" s="89"/>
      <c r="S25" s="49">
        <v>1</v>
      </c>
      <c r="T25" s="49">
        <v>1</v>
      </c>
      <c r="U25" s="50">
        <v>0</v>
      </c>
      <c r="V25" s="50">
        <v>0.002899</v>
      </c>
      <c r="W25" s="50">
        <v>0</v>
      </c>
      <c r="X25" s="50">
        <v>0.531621</v>
      </c>
      <c r="Y25" s="50">
        <v>0</v>
      </c>
      <c r="Z25" s="50">
        <v>1</v>
      </c>
      <c r="AA25" s="72">
        <v>25</v>
      </c>
      <c r="AB25" s="72"/>
      <c r="AC25" s="73"/>
      <c r="AD25" s="80" t="s">
        <v>1580</v>
      </c>
      <c r="AE25" s="80" t="s">
        <v>2820</v>
      </c>
      <c r="AF25" s="80"/>
      <c r="AG25" s="80"/>
      <c r="AH25" s="80"/>
      <c r="AI25" s="80" t="s">
        <v>3018</v>
      </c>
      <c r="AJ25" s="80" t="s">
        <v>3114</v>
      </c>
      <c r="AK25" s="85" t="str">
        <f>HYPERLINK("https://yt3.ggpht.com/ytc/AKedOLTj1pa-5narENS_gSM94ttUD5JB0XSUdS3YjgVL=s88-c-k-c0x00ffffff-no-rj")</f>
        <v>https://yt3.ggpht.com/ytc/AKedOLTj1pa-5narENS_gSM94ttUD5JB0XSUdS3YjgVL=s88-c-k-c0x00ffffff-no-rj</v>
      </c>
      <c r="AL25" s="80">
        <v>447278</v>
      </c>
      <c r="AM25" s="80">
        <v>0</v>
      </c>
      <c r="AN25" s="80">
        <v>0</v>
      </c>
      <c r="AO25" s="80" t="b">
        <v>1</v>
      </c>
      <c r="AP25" s="80">
        <v>194</v>
      </c>
      <c r="AQ25" s="80"/>
      <c r="AR25" s="80"/>
      <c r="AS25" s="80" t="s">
        <v>3412</v>
      </c>
      <c r="AT25" s="85" t="str">
        <f>HYPERLINK("https://www.youtube.com/channel/UCqGR1yHFjMSHR9E1QzUCxqw")</f>
        <v>https://www.youtube.com/channel/UCqGR1yHFjMSHR9E1QzUCxqw</v>
      </c>
      <c r="AU25" s="80" t="str">
        <f>REPLACE(INDEX(GroupVertices[Group],MATCH(Vertices[[#This Row],[Vertex]],GroupVertices[Vertex],0)),1,1,"")</f>
        <v>5</v>
      </c>
      <c r="AV25" s="49">
        <v>1</v>
      </c>
      <c r="AW25" s="50">
        <v>25</v>
      </c>
      <c r="AX25" s="49">
        <v>0</v>
      </c>
      <c r="AY25" s="50">
        <v>0</v>
      </c>
      <c r="AZ25" s="49">
        <v>0</v>
      </c>
      <c r="BA25" s="50">
        <v>0</v>
      </c>
      <c r="BB25" s="49">
        <v>3</v>
      </c>
      <c r="BC25" s="50">
        <v>75</v>
      </c>
      <c r="BD25" s="49">
        <v>4</v>
      </c>
      <c r="BE25" s="49"/>
      <c r="BF25" s="49"/>
      <c r="BG25" s="49"/>
      <c r="BH25" s="49"/>
      <c r="BI25" s="49"/>
      <c r="BJ25" s="49"/>
      <c r="BK25" s="111" t="s">
        <v>4433</v>
      </c>
      <c r="BL25" s="111" t="s">
        <v>4433</v>
      </c>
      <c r="BM25" s="111" t="s">
        <v>4914</v>
      </c>
      <c r="BN25" s="111" t="s">
        <v>4914</v>
      </c>
      <c r="BO25" s="2"/>
      <c r="BP25" s="3"/>
      <c r="BQ25" s="3"/>
      <c r="BR25" s="3"/>
      <c r="BS25" s="3"/>
    </row>
    <row r="26" spans="1:71" ht="15">
      <c r="A26" s="65" t="s">
        <v>252</v>
      </c>
      <c r="B26" s="66"/>
      <c r="C26" s="66"/>
      <c r="D26" s="67">
        <v>150</v>
      </c>
      <c r="E26" s="69"/>
      <c r="F26" s="103" t="str">
        <f>HYPERLINK("https://yt3.ggpht.com/ytc/AKedOLSnOXrcCvM-Qi9AHDE4ErFUvZ3c5qfw9Bbw-8xidw=s88-c-k-c0x00ffffff-no-rj")</f>
        <v>https://yt3.ggpht.com/ytc/AKedOLSnOXrcCvM-Qi9AHDE4ErFUvZ3c5qfw9Bbw-8xidw=s88-c-k-c0x00ffffff-no-rj</v>
      </c>
      <c r="G26" s="66"/>
      <c r="H26" s="70" t="s">
        <v>1581</v>
      </c>
      <c r="I26" s="71"/>
      <c r="J26" s="71" t="s">
        <v>159</v>
      </c>
      <c r="K26" s="70" t="s">
        <v>1581</v>
      </c>
      <c r="L26" s="74">
        <v>1</v>
      </c>
      <c r="M26" s="75">
        <v>7142.14306640625</v>
      </c>
      <c r="N26" s="75">
        <v>5570.220703125</v>
      </c>
      <c r="O26" s="76"/>
      <c r="P26" s="77"/>
      <c r="Q26" s="77"/>
      <c r="R26" s="89"/>
      <c r="S26" s="49">
        <v>1</v>
      </c>
      <c r="T26" s="49">
        <v>1</v>
      </c>
      <c r="U26" s="50">
        <v>0</v>
      </c>
      <c r="V26" s="50">
        <v>0.002899</v>
      </c>
      <c r="W26" s="50">
        <v>0</v>
      </c>
      <c r="X26" s="50">
        <v>0.531621</v>
      </c>
      <c r="Y26" s="50">
        <v>0</v>
      </c>
      <c r="Z26" s="50">
        <v>1</v>
      </c>
      <c r="AA26" s="72">
        <v>26</v>
      </c>
      <c r="AB26" s="72"/>
      <c r="AC26" s="73"/>
      <c r="AD26" s="80" t="s">
        <v>1581</v>
      </c>
      <c r="AE26" s="80"/>
      <c r="AF26" s="80"/>
      <c r="AG26" s="80"/>
      <c r="AH26" s="80"/>
      <c r="AI26" s="80" t="s">
        <v>3019</v>
      </c>
      <c r="AJ26" s="80" t="s">
        <v>3115</v>
      </c>
      <c r="AK26" s="85" t="str">
        <f>HYPERLINK("https://yt3.ggpht.com/ytc/AKedOLSnOXrcCvM-Qi9AHDE4ErFUvZ3c5qfw9Bbw-8xidw=s88-c-k-c0x00ffffff-no-rj")</f>
        <v>https://yt3.ggpht.com/ytc/AKedOLSnOXrcCvM-Qi9AHDE4ErFUvZ3c5qfw9Bbw-8xidw=s88-c-k-c0x00ffffff-no-rj</v>
      </c>
      <c r="AL26" s="80">
        <v>293558</v>
      </c>
      <c r="AM26" s="80">
        <v>0</v>
      </c>
      <c r="AN26" s="80">
        <v>2480</v>
      </c>
      <c r="AO26" s="80" t="b">
        <v>0</v>
      </c>
      <c r="AP26" s="80">
        <v>391</v>
      </c>
      <c r="AQ26" s="80"/>
      <c r="AR26" s="80"/>
      <c r="AS26" s="80" t="s">
        <v>3412</v>
      </c>
      <c r="AT26" s="85" t="str">
        <f>HYPERLINK("https://www.youtube.com/channel/UCyZuq5NWGmh7BHWnJGYRDOQ")</f>
        <v>https://www.youtube.com/channel/UCyZuq5NWGmh7BHWnJGYRDOQ</v>
      </c>
      <c r="AU26" s="80" t="str">
        <f>REPLACE(INDEX(GroupVertices[Group],MATCH(Vertices[[#This Row],[Vertex]],GroupVertices[Vertex],0)),1,1,"")</f>
        <v>5</v>
      </c>
      <c r="AV26" s="49">
        <v>4</v>
      </c>
      <c r="AW26" s="50">
        <v>23.529411764705884</v>
      </c>
      <c r="AX26" s="49">
        <v>0</v>
      </c>
      <c r="AY26" s="50">
        <v>0</v>
      </c>
      <c r="AZ26" s="49">
        <v>0</v>
      </c>
      <c r="BA26" s="50">
        <v>0</v>
      </c>
      <c r="BB26" s="49">
        <v>13</v>
      </c>
      <c r="BC26" s="50">
        <v>76.47058823529412</v>
      </c>
      <c r="BD26" s="49">
        <v>17</v>
      </c>
      <c r="BE26" s="49"/>
      <c r="BF26" s="49"/>
      <c r="BG26" s="49"/>
      <c r="BH26" s="49"/>
      <c r="BI26" s="49"/>
      <c r="BJ26" s="49"/>
      <c r="BK26" s="111" t="s">
        <v>4434</v>
      </c>
      <c r="BL26" s="111" t="s">
        <v>4434</v>
      </c>
      <c r="BM26" s="111" t="s">
        <v>4915</v>
      </c>
      <c r="BN26" s="111" t="s">
        <v>4915</v>
      </c>
      <c r="BO26" s="2"/>
      <c r="BP26" s="3"/>
      <c r="BQ26" s="3"/>
      <c r="BR26" s="3"/>
      <c r="BS26" s="3"/>
    </row>
    <row r="27" spans="1:71" ht="15">
      <c r="A27" s="65" t="s">
        <v>253</v>
      </c>
      <c r="B27" s="66"/>
      <c r="C27" s="66"/>
      <c r="D27" s="67">
        <v>150</v>
      </c>
      <c r="E27" s="69"/>
      <c r="F27" s="103" t="str">
        <f>HYPERLINK("https://yt3.ggpht.com/ytc/AKedOLQtR9_50D518mw2B5Bb6ye051CxIqI4rynKkqMZ=s88-c-k-c0x00ffffff-no-rj")</f>
        <v>https://yt3.ggpht.com/ytc/AKedOLQtR9_50D518mw2B5Bb6ye051CxIqI4rynKkqMZ=s88-c-k-c0x00ffffff-no-rj</v>
      </c>
      <c r="G27" s="66"/>
      <c r="H27" s="70" t="s">
        <v>1582</v>
      </c>
      <c r="I27" s="71"/>
      <c r="J27" s="71" t="s">
        <v>159</v>
      </c>
      <c r="K27" s="70" t="s">
        <v>1582</v>
      </c>
      <c r="L27" s="74">
        <v>1</v>
      </c>
      <c r="M27" s="75">
        <v>7926.03076171875</v>
      </c>
      <c r="N27" s="75">
        <v>6198.57958984375</v>
      </c>
      <c r="O27" s="76"/>
      <c r="P27" s="77"/>
      <c r="Q27" s="77"/>
      <c r="R27" s="89"/>
      <c r="S27" s="49">
        <v>1</v>
      </c>
      <c r="T27" s="49">
        <v>1</v>
      </c>
      <c r="U27" s="50">
        <v>0</v>
      </c>
      <c r="V27" s="50">
        <v>0.002899</v>
      </c>
      <c r="W27" s="50">
        <v>0</v>
      </c>
      <c r="X27" s="50">
        <v>0.531621</v>
      </c>
      <c r="Y27" s="50">
        <v>0</v>
      </c>
      <c r="Z27" s="50">
        <v>1</v>
      </c>
      <c r="AA27" s="72">
        <v>27</v>
      </c>
      <c r="AB27" s="72"/>
      <c r="AC27" s="73"/>
      <c r="AD27" s="80" t="s">
        <v>1582</v>
      </c>
      <c r="AE27" s="80" t="s">
        <v>2821</v>
      </c>
      <c r="AF27" s="80"/>
      <c r="AG27" s="80"/>
      <c r="AH27" s="80"/>
      <c r="AI27" s="80" t="s">
        <v>3020</v>
      </c>
      <c r="AJ27" s="87">
        <v>43779.10885416667</v>
      </c>
      <c r="AK27" s="85" t="str">
        <f>HYPERLINK("https://yt3.ggpht.com/ytc/AKedOLQtR9_50D518mw2B5Bb6ye051CxIqI4rynKkqMZ=s88-c-k-c0x00ffffff-no-rj")</f>
        <v>https://yt3.ggpht.com/ytc/AKedOLQtR9_50D518mw2B5Bb6ye051CxIqI4rynKkqMZ=s88-c-k-c0x00ffffff-no-rj</v>
      </c>
      <c r="AL27" s="80">
        <v>264212</v>
      </c>
      <c r="AM27" s="80">
        <v>0</v>
      </c>
      <c r="AN27" s="80">
        <v>0</v>
      </c>
      <c r="AO27" s="80" t="b">
        <v>1</v>
      </c>
      <c r="AP27" s="80">
        <v>351</v>
      </c>
      <c r="AQ27" s="80"/>
      <c r="AR27" s="80"/>
      <c r="AS27" s="80" t="s">
        <v>3412</v>
      </c>
      <c r="AT27" s="85" t="str">
        <f>HYPERLINK("https://www.youtube.com/channel/UC3_NdvYLH1v1GIizqDyZXBA")</f>
        <v>https://www.youtube.com/channel/UC3_NdvYLH1v1GIizqDyZXBA</v>
      </c>
      <c r="AU27" s="80" t="str">
        <f>REPLACE(INDEX(GroupVertices[Group],MATCH(Vertices[[#This Row],[Vertex]],GroupVertices[Vertex],0)),1,1,"")</f>
        <v>5</v>
      </c>
      <c r="AV27" s="49">
        <v>2</v>
      </c>
      <c r="AW27" s="50">
        <v>12.5</v>
      </c>
      <c r="AX27" s="49">
        <v>1</v>
      </c>
      <c r="AY27" s="50">
        <v>6.25</v>
      </c>
      <c r="AZ27" s="49">
        <v>0</v>
      </c>
      <c r="BA27" s="50">
        <v>0</v>
      </c>
      <c r="BB27" s="49">
        <v>13</v>
      </c>
      <c r="BC27" s="50">
        <v>81.25</v>
      </c>
      <c r="BD27" s="49">
        <v>16</v>
      </c>
      <c r="BE27" s="49"/>
      <c r="BF27" s="49"/>
      <c r="BG27" s="49"/>
      <c r="BH27" s="49"/>
      <c r="BI27" s="49"/>
      <c r="BJ27" s="49"/>
      <c r="BK27" s="111" t="s">
        <v>4435</v>
      </c>
      <c r="BL27" s="111" t="s">
        <v>4435</v>
      </c>
      <c r="BM27" s="111" t="s">
        <v>4916</v>
      </c>
      <c r="BN27" s="111" t="s">
        <v>4916</v>
      </c>
      <c r="BO27" s="2"/>
      <c r="BP27" s="3"/>
      <c r="BQ27" s="3"/>
      <c r="BR27" s="3"/>
      <c r="BS27" s="3"/>
    </row>
    <row r="28" spans="1:71" ht="15">
      <c r="A28" s="65" t="s">
        <v>254</v>
      </c>
      <c r="B28" s="66"/>
      <c r="C28" s="66"/>
      <c r="D28" s="67">
        <v>150</v>
      </c>
      <c r="E28" s="69"/>
      <c r="F28" s="103" t="str">
        <f>HYPERLINK("https://yt3.ggpht.com/ytc/AKedOLTXU7JOnVtDWGQ5bKTsCLZ1vcvuhRUM4SU70ll89Q=s88-c-k-c0x00ffffff-no-rj")</f>
        <v>https://yt3.ggpht.com/ytc/AKedOLTXU7JOnVtDWGQ5bKTsCLZ1vcvuhRUM4SU70ll89Q=s88-c-k-c0x00ffffff-no-rj</v>
      </c>
      <c r="G28" s="66"/>
      <c r="H28" s="70" t="s">
        <v>1583</v>
      </c>
      <c r="I28" s="71"/>
      <c r="J28" s="71" t="s">
        <v>159</v>
      </c>
      <c r="K28" s="70" t="s">
        <v>1583</v>
      </c>
      <c r="L28" s="74">
        <v>1</v>
      </c>
      <c r="M28" s="75">
        <v>9810.40234375</v>
      </c>
      <c r="N28" s="75">
        <v>5296.39794921875</v>
      </c>
      <c r="O28" s="76"/>
      <c r="P28" s="77"/>
      <c r="Q28" s="77"/>
      <c r="R28" s="89"/>
      <c r="S28" s="49">
        <v>1</v>
      </c>
      <c r="T28" s="49">
        <v>1</v>
      </c>
      <c r="U28" s="50">
        <v>0</v>
      </c>
      <c r="V28" s="50">
        <v>0.002899</v>
      </c>
      <c r="W28" s="50">
        <v>0</v>
      </c>
      <c r="X28" s="50">
        <v>0.531621</v>
      </c>
      <c r="Y28" s="50">
        <v>0</v>
      </c>
      <c r="Z28" s="50">
        <v>1</v>
      </c>
      <c r="AA28" s="72">
        <v>28</v>
      </c>
      <c r="AB28" s="72"/>
      <c r="AC28" s="73"/>
      <c r="AD28" s="80" t="s">
        <v>1583</v>
      </c>
      <c r="AE28" s="80" t="s">
        <v>2822</v>
      </c>
      <c r="AF28" s="80"/>
      <c r="AG28" s="80"/>
      <c r="AH28" s="80"/>
      <c r="AI28" s="80"/>
      <c r="AJ28" s="80" t="s">
        <v>3116</v>
      </c>
      <c r="AK28" s="85" t="str">
        <f>HYPERLINK("https://yt3.ggpht.com/ytc/AKedOLTXU7JOnVtDWGQ5bKTsCLZ1vcvuhRUM4SU70ll89Q=s88-c-k-c0x00ffffff-no-rj")</f>
        <v>https://yt3.ggpht.com/ytc/AKedOLTXU7JOnVtDWGQ5bKTsCLZ1vcvuhRUM4SU70ll89Q=s88-c-k-c0x00ffffff-no-rj</v>
      </c>
      <c r="AL28" s="80">
        <v>1039760</v>
      </c>
      <c r="AM28" s="80">
        <v>0</v>
      </c>
      <c r="AN28" s="80">
        <v>6950</v>
      </c>
      <c r="AO28" s="80" t="b">
        <v>0</v>
      </c>
      <c r="AP28" s="80">
        <v>1172</v>
      </c>
      <c r="AQ28" s="80"/>
      <c r="AR28" s="80"/>
      <c r="AS28" s="80" t="s">
        <v>3412</v>
      </c>
      <c r="AT28" s="85" t="str">
        <f>HYPERLINK("https://www.youtube.com/channel/UC2OvqiRiMkKPGnLPVB8aNsA")</f>
        <v>https://www.youtube.com/channel/UC2OvqiRiMkKPGnLPVB8aNsA</v>
      </c>
      <c r="AU28" s="80" t="str">
        <f>REPLACE(INDEX(GroupVertices[Group],MATCH(Vertices[[#This Row],[Vertex]],GroupVertices[Vertex],0)),1,1,"")</f>
        <v>5</v>
      </c>
      <c r="AV28" s="49">
        <v>2</v>
      </c>
      <c r="AW28" s="50">
        <v>28.571428571428573</v>
      </c>
      <c r="AX28" s="49">
        <v>0</v>
      </c>
      <c r="AY28" s="50">
        <v>0</v>
      </c>
      <c r="AZ28" s="49">
        <v>0</v>
      </c>
      <c r="BA28" s="50">
        <v>0</v>
      </c>
      <c r="BB28" s="49">
        <v>5</v>
      </c>
      <c r="BC28" s="50">
        <v>71.42857142857143</v>
      </c>
      <c r="BD28" s="49">
        <v>7</v>
      </c>
      <c r="BE28" s="49"/>
      <c r="BF28" s="49"/>
      <c r="BG28" s="49"/>
      <c r="BH28" s="49"/>
      <c r="BI28" s="49"/>
      <c r="BJ28" s="49"/>
      <c r="BK28" s="111" t="s">
        <v>4436</v>
      </c>
      <c r="BL28" s="111" t="s">
        <v>4436</v>
      </c>
      <c r="BM28" s="111" t="s">
        <v>4917</v>
      </c>
      <c r="BN28" s="111" t="s">
        <v>4917</v>
      </c>
      <c r="BO28" s="2"/>
      <c r="BP28" s="3"/>
      <c r="BQ28" s="3"/>
      <c r="BR28" s="3"/>
      <c r="BS28" s="3"/>
    </row>
    <row r="29" spans="1:71" ht="15">
      <c r="A29" s="65" t="s">
        <v>255</v>
      </c>
      <c r="B29" s="66"/>
      <c r="C29" s="66"/>
      <c r="D29" s="67">
        <v>150</v>
      </c>
      <c r="E29" s="69"/>
      <c r="F29" s="103" t="str">
        <f>HYPERLINK("https://yt3.ggpht.com/ytc/AKedOLSY9JDaqbpFOhHFOxYtQT1ZhIm_0tgK7wc4ABzt=s88-c-k-c0x00ffffff-no-rj")</f>
        <v>https://yt3.ggpht.com/ytc/AKedOLSY9JDaqbpFOhHFOxYtQT1ZhIm_0tgK7wc4ABzt=s88-c-k-c0x00ffffff-no-rj</v>
      </c>
      <c r="G29" s="66"/>
      <c r="H29" s="70" t="s">
        <v>1584</v>
      </c>
      <c r="I29" s="71"/>
      <c r="J29" s="71" t="s">
        <v>159</v>
      </c>
      <c r="K29" s="70" t="s">
        <v>1584</v>
      </c>
      <c r="L29" s="74">
        <v>1</v>
      </c>
      <c r="M29" s="75">
        <v>9151.6396484375</v>
      </c>
      <c r="N29" s="75">
        <v>6159.78076171875</v>
      </c>
      <c r="O29" s="76"/>
      <c r="P29" s="77"/>
      <c r="Q29" s="77"/>
      <c r="R29" s="89"/>
      <c r="S29" s="49">
        <v>1</v>
      </c>
      <c r="T29" s="49">
        <v>1</v>
      </c>
      <c r="U29" s="50">
        <v>0</v>
      </c>
      <c r="V29" s="50">
        <v>0.002899</v>
      </c>
      <c r="W29" s="50">
        <v>0</v>
      </c>
      <c r="X29" s="50">
        <v>0.531621</v>
      </c>
      <c r="Y29" s="50">
        <v>0</v>
      </c>
      <c r="Z29" s="50">
        <v>1</v>
      </c>
      <c r="AA29" s="72">
        <v>29</v>
      </c>
      <c r="AB29" s="72"/>
      <c r="AC29" s="73"/>
      <c r="AD29" s="80" t="s">
        <v>1584</v>
      </c>
      <c r="AE29" s="80" t="s">
        <v>2823</v>
      </c>
      <c r="AF29" s="80"/>
      <c r="AG29" s="80"/>
      <c r="AH29" s="80"/>
      <c r="AI29" s="80" t="s">
        <v>3021</v>
      </c>
      <c r="AJ29" s="80" t="s">
        <v>3117</v>
      </c>
      <c r="AK29" s="85" t="str">
        <f>HYPERLINK("https://yt3.ggpht.com/ytc/AKedOLSY9JDaqbpFOhHFOxYtQT1ZhIm_0tgK7wc4ABzt=s88-c-k-c0x00ffffff-no-rj")</f>
        <v>https://yt3.ggpht.com/ytc/AKedOLSY9JDaqbpFOhHFOxYtQT1ZhIm_0tgK7wc4ABzt=s88-c-k-c0x00ffffff-no-rj</v>
      </c>
      <c r="AL29" s="80">
        <v>4961078</v>
      </c>
      <c r="AM29" s="80">
        <v>0</v>
      </c>
      <c r="AN29" s="80">
        <v>33100</v>
      </c>
      <c r="AO29" s="80" t="b">
        <v>0</v>
      </c>
      <c r="AP29" s="80">
        <v>207</v>
      </c>
      <c r="AQ29" s="80"/>
      <c r="AR29" s="80"/>
      <c r="AS29" s="80" t="s">
        <v>3412</v>
      </c>
      <c r="AT29" s="85" t="str">
        <f>HYPERLINK("https://www.youtube.com/channel/UC3iId8RgPvwX7niHr37YjKg")</f>
        <v>https://www.youtube.com/channel/UC3iId8RgPvwX7niHr37YjKg</v>
      </c>
      <c r="AU29" s="80" t="str">
        <f>REPLACE(INDEX(GroupVertices[Group],MATCH(Vertices[[#This Row],[Vertex]],GroupVertices[Vertex],0)),1,1,"")</f>
        <v>5</v>
      </c>
      <c r="AV29" s="49">
        <v>5</v>
      </c>
      <c r="AW29" s="50">
        <v>15.625</v>
      </c>
      <c r="AX29" s="49">
        <v>0</v>
      </c>
      <c r="AY29" s="50">
        <v>0</v>
      </c>
      <c r="AZ29" s="49">
        <v>0</v>
      </c>
      <c r="BA29" s="50">
        <v>0</v>
      </c>
      <c r="BB29" s="49">
        <v>27</v>
      </c>
      <c r="BC29" s="50">
        <v>84.375</v>
      </c>
      <c r="BD29" s="49">
        <v>32</v>
      </c>
      <c r="BE29" s="49"/>
      <c r="BF29" s="49"/>
      <c r="BG29" s="49"/>
      <c r="BH29" s="49"/>
      <c r="BI29" s="49"/>
      <c r="BJ29" s="49"/>
      <c r="BK29" s="111" t="s">
        <v>4437</v>
      </c>
      <c r="BL29" s="111" t="s">
        <v>4437</v>
      </c>
      <c r="BM29" s="111" t="s">
        <v>4918</v>
      </c>
      <c r="BN29" s="111" t="s">
        <v>4918</v>
      </c>
      <c r="BO29" s="2"/>
      <c r="BP29" s="3"/>
      <c r="BQ29" s="3"/>
      <c r="BR29" s="3"/>
      <c r="BS29" s="3"/>
    </row>
    <row r="30" spans="1:71" ht="15">
      <c r="A30" s="65" t="s">
        <v>256</v>
      </c>
      <c r="B30" s="66"/>
      <c r="C30" s="66"/>
      <c r="D30" s="67">
        <v>186.42857142857142</v>
      </c>
      <c r="E30" s="69"/>
      <c r="F30" s="103" t="str">
        <f>HYPERLINK("https://yt3.ggpht.com/ytc/AKedOLS-_Ad-2NExLg5O9T7znCL7oA2wzBXONWeCo2LBJA=s88-c-k-c0x00ffffff-no-rj")</f>
        <v>https://yt3.ggpht.com/ytc/AKedOLS-_Ad-2NExLg5O9T7znCL7oA2wzBXONWeCo2LBJA=s88-c-k-c0x00ffffff-no-rj</v>
      </c>
      <c r="G30" s="66"/>
      <c r="H30" s="70" t="s">
        <v>1585</v>
      </c>
      <c r="I30" s="71"/>
      <c r="J30" s="71" t="s">
        <v>75</v>
      </c>
      <c r="K30" s="70" t="s">
        <v>1585</v>
      </c>
      <c r="L30" s="74">
        <v>20.638149279790486</v>
      </c>
      <c r="M30" s="75">
        <v>7962.52099609375</v>
      </c>
      <c r="N30" s="75">
        <v>732.933349609375</v>
      </c>
      <c r="O30" s="76"/>
      <c r="P30" s="77"/>
      <c r="Q30" s="77"/>
      <c r="R30" s="89"/>
      <c r="S30" s="49">
        <v>10</v>
      </c>
      <c r="T30" s="49">
        <v>10</v>
      </c>
      <c r="U30" s="50">
        <v>72</v>
      </c>
      <c r="V30" s="50">
        <v>0.111111</v>
      </c>
      <c r="W30" s="50">
        <v>0</v>
      </c>
      <c r="X30" s="50">
        <v>4.671736</v>
      </c>
      <c r="Y30" s="50">
        <v>0</v>
      </c>
      <c r="Z30" s="50">
        <v>1</v>
      </c>
      <c r="AA30" s="72">
        <v>30</v>
      </c>
      <c r="AB30" s="72"/>
      <c r="AC30" s="73"/>
      <c r="AD30" s="80" t="s">
        <v>1585</v>
      </c>
      <c r="AE30" s="80" t="s">
        <v>2824</v>
      </c>
      <c r="AF30" s="80"/>
      <c r="AG30" s="80"/>
      <c r="AH30" s="80"/>
      <c r="AI30" s="80" t="s">
        <v>3022</v>
      </c>
      <c r="AJ30" s="87">
        <v>42038.48976851852</v>
      </c>
      <c r="AK30" s="85" t="str">
        <f>HYPERLINK("https://yt3.ggpht.com/ytc/AKedOLS-_Ad-2NExLg5O9T7znCL7oA2wzBXONWeCo2LBJA=s88-c-k-c0x00ffffff-no-rj")</f>
        <v>https://yt3.ggpht.com/ytc/AKedOLS-_Ad-2NExLg5O9T7znCL7oA2wzBXONWeCo2LBJA=s88-c-k-c0x00ffffff-no-rj</v>
      </c>
      <c r="AL30" s="80">
        <v>7895630</v>
      </c>
      <c r="AM30" s="80">
        <v>0</v>
      </c>
      <c r="AN30" s="80">
        <v>85300</v>
      </c>
      <c r="AO30" s="80" t="b">
        <v>0</v>
      </c>
      <c r="AP30" s="80">
        <v>246</v>
      </c>
      <c r="AQ30" s="80"/>
      <c r="AR30" s="80"/>
      <c r="AS30" s="80" t="s">
        <v>3412</v>
      </c>
      <c r="AT30" s="85" t="str">
        <f>HYPERLINK("https://www.youtube.com/channel/UC9l0mKCZRMJCZ-UFwDgrUjw")</f>
        <v>https://www.youtube.com/channel/UC9l0mKCZRMJCZ-UFwDgrUjw</v>
      </c>
      <c r="AU30" s="80" t="str">
        <f>REPLACE(INDEX(GroupVertices[Group],MATCH(Vertices[[#This Row],[Vertex]],GroupVertices[Vertex],0)),1,1,"")</f>
        <v>14</v>
      </c>
      <c r="AV30" s="49">
        <v>13</v>
      </c>
      <c r="AW30" s="50">
        <v>11.926605504587156</v>
      </c>
      <c r="AX30" s="49">
        <v>4</v>
      </c>
      <c r="AY30" s="50">
        <v>3.669724770642202</v>
      </c>
      <c r="AZ30" s="49">
        <v>0</v>
      </c>
      <c r="BA30" s="50">
        <v>0</v>
      </c>
      <c r="BB30" s="49">
        <v>92</v>
      </c>
      <c r="BC30" s="50">
        <v>84.40366972477064</v>
      </c>
      <c r="BD30" s="49">
        <v>109</v>
      </c>
      <c r="BE30" s="49"/>
      <c r="BF30" s="49"/>
      <c r="BG30" s="49"/>
      <c r="BH30" s="49"/>
      <c r="BI30" s="49"/>
      <c r="BJ30" s="49"/>
      <c r="BK30" s="111" t="s">
        <v>4438</v>
      </c>
      <c r="BL30" s="111" t="s">
        <v>4438</v>
      </c>
      <c r="BM30" s="111" t="s">
        <v>4919</v>
      </c>
      <c r="BN30" s="111" t="s">
        <v>4919</v>
      </c>
      <c r="BO30" s="2"/>
      <c r="BP30" s="3"/>
      <c r="BQ30" s="3"/>
      <c r="BR30" s="3"/>
      <c r="BS30" s="3"/>
    </row>
    <row r="31" spans="1:71" ht="15">
      <c r="A31" s="65" t="s">
        <v>257</v>
      </c>
      <c r="B31" s="66"/>
      <c r="C31" s="66"/>
      <c r="D31" s="67">
        <v>150</v>
      </c>
      <c r="E31" s="69"/>
      <c r="F31" s="103" t="str">
        <f>HYPERLINK("https://yt3.ggpht.com/ytc/AKedOLTfnjoyQev4_G1YjwzvVv37_b_Ud3EFozqmaaK6=s88-c-k-c0x00ffffff-no-rj")</f>
        <v>https://yt3.ggpht.com/ytc/AKedOLTfnjoyQev4_G1YjwzvVv37_b_Ud3EFozqmaaK6=s88-c-k-c0x00ffffff-no-rj</v>
      </c>
      <c r="G31" s="66"/>
      <c r="H31" s="70" t="s">
        <v>1586</v>
      </c>
      <c r="I31" s="71"/>
      <c r="J31" s="71" t="s">
        <v>159</v>
      </c>
      <c r="K31" s="70" t="s">
        <v>1586</v>
      </c>
      <c r="L31" s="74">
        <v>1</v>
      </c>
      <c r="M31" s="75">
        <v>7338.5517578125</v>
      </c>
      <c r="N31" s="75">
        <v>673.0516967773438</v>
      </c>
      <c r="O31" s="76"/>
      <c r="P31" s="77"/>
      <c r="Q31" s="77"/>
      <c r="R31" s="89"/>
      <c r="S31" s="49">
        <v>1</v>
      </c>
      <c r="T31" s="49">
        <v>1</v>
      </c>
      <c r="U31" s="50">
        <v>0</v>
      </c>
      <c r="V31" s="50">
        <v>0.058824</v>
      </c>
      <c r="W31" s="50">
        <v>0</v>
      </c>
      <c r="X31" s="50">
        <v>0.547098</v>
      </c>
      <c r="Y31" s="50">
        <v>0</v>
      </c>
      <c r="Z31" s="50">
        <v>1</v>
      </c>
      <c r="AA31" s="72">
        <v>31</v>
      </c>
      <c r="AB31" s="72"/>
      <c r="AC31" s="73"/>
      <c r="AD31" s="80" t="s">
        <v>1586</v>
      </c>
      <c r="AE31" s="80"/>
      <c r="AF31" s="80"/>
      <c r="AG31" s="80"/>
      <c r="AH31" s="80"/>
      <c r="AI31" s="80"/>
      <c r="AJ31" s="80" t="s">
        <v>3118</v>
      </c>
      <c r="AK31" s="85" t="str">
        <f>HYPERLINK("https://yt3.ggpht.com/ytc/AKedOLTfnjoyQev4_G1YjwzvVv37_b_Ud3EFozqmaaK6=s88-c-k-c0x00ffffff-no-rj")</f>
        <v>https://yt3.ggpht.com/ytc/AKedOLTfnjoyQev4_G1YjwzvVv37_b_Ud3EFozqmaaK6=s88-c-k-c0x00ffffff-no-rj</v>
      </c>
      <c r="AL31" s="80">
        <v>0</v>
      </c>
      <c r="AM31" s="80">
        <v>0</v>
      </c>
      <c r="AN31" s="80">
        <v>1</v>
      </c>
      <c r="AO31" s="80" t="b">
        <v>0</v>
      </c>
      <c r="AP31" s="80">
        <v>0</v>
      </c>
      <c r="AQ31" s="80"/>
      <c r="AR31" s="80"/>
      <c r="AS31" s="80" t="s">
        <v>3412</v>
      </c>
      <c r="AT31" s="85" t="str">
        <f>HYPERLINK("https://www.youtube.com/channel/UCBmO0Hh8zz65VRXSivmwa_g")</f>
        <v>https://www.youtube.com/channel/UCBmO0Hh8zz65VRXSivmwa_g</v>
      </c>
      <c r="AU31" s="80" t="str">
        <f>REPLACE(INDEX(GroupVertices[Group],MATCH(Vertices[[#This Row],[Vertex]],GroupVertices[Vertex],0)),1,1,"")</f>
        <v>14</v>
      </c>
      <c r="AV31" s="49">
        <v>4</v>
      </c>
      <c r="AW31" s="50">
        <v>21.05263157894737</v>
      </c>
      <c r="AX31" s="49">
        <v>0</v>
      </c>
      <c r="AY31" s="50">
        <v>0</v>
      </c>
      <c r="AZ31" s="49">
        <v>0</v>
      </c>
      <c r="BA31" s="50">
        <v>0</v>
      </c>
      <c r="BB31" s="49">
        <v>15</v>
      </c>
      <c r="BC31" s="50">
        <v>78.94736842105263</v>
      </c>
      <c r="BD31" s="49">
        <v>19</v>
      </c>
      <c r="BE31" s="49"/>
      <c r="BF31" s="49"/>
      <c r="BG31" s="49"/>
      <c r="BH31" s="49"/>
      <c r="BI31" s="49"/>
      <c r="BJ31" s="49"/>
      <c r="BK31" s="111" t="s">
        <v>4439</v>
      </c>
      <c r="BL31" s="111" t="s">
        <v>4439</v>
      </c>
      <c r="BM31" s="111" t="s">
        <v>4920</v>
      </c>
      <c r="BN31" s="111" t="s">
        <v>4920</v>
      </c>
      <c r="BO31" s="2"/>
      <c r="BP31" s="3"/>
      <c r="BQ31" s="3"/>
      <c r="BR31" s="3"/>
      <c r="BS31" s="3"/>
    </row>
    <row r="32" spans="1:71" ht="15">
      <c r="A32" s="65" t="s">
        <v>258</v>
      </c>
      <c r="B32" s="66"/>
      <c r="C32" s="66"/>
      <c r="D32" s="67">
        <v>150</v>
      </c>
      <c r="E32" s="69"/>
      <c r="F32" s="103" t="str">
        <f>HYPERLINK("https://yt3.ggpht.com/ytc/AKedOLSY532N_64-aJKtNvQeHZToxGgYeUTrTmmLJZs=s88-c-k-c0x00ffffff-no-rj")</f>
        <v>https://yt3.ggpht.com/ytc/AKedOLSY532N_64-aJKtNvQeHZToxGgYeUTrTmmLJZs=s88-c-k-c0x00ffffff-no-rj</v>
      </c>
      <c r="G32" s="66"/>
      <c r="H32" s="70" t="s">
        <v>1587</v>
      </c>
      <c r="I32" s="71"/>
      <c r="J32" s="71" t="s">
        <v>159</v>
      </c>
      <c r="K32" s="70" t="s">
        <v>1587</v>
      </c>
      <c r="L32" s="74">
        <v>1</v>
      </c>
      <c r="M32" s="75">
        <v>7525.64892578125</v>
      </c>
      <c r="N32" s="75">
        <v>309.6659851074219</v>
      </c>
      <c r="O32" s="76"/>
      <c r="P32" s="77"/>
      <c r="Q32" s="77"/>
      <c r="R32" s="89"/>
      <c r="S32" s="49">
        <v>1</v>
      </c>
      <c r="T32" s="49">
        <v>1</v>
      </c>
      <c r="U32" s="50">
        <v>0</v>
      </c>
      <c r="V32" s="50">
        <v>0.058824</v>
      </c>
      <c r="W32" s="50">
        <v>0</v>
      </c>
      <c r="X32" s="50">
        <v>0.547098</v>
      </c>
      <c r="Y32" s="50">
        <v>0</v>
      </c>
      <c r="Z32" s="50">
        <v>1</v>
      </c>
      <c r="AA32" s="72">
        <v>32</v>
      </c>
      <c r="AB32" s="72"/>
      <c r="AC32" s="73"/>
      <c r="AD32" s="80" t="s">
        <v>1587</v>
      </c>
      <c r="AE32" s="80"/>
      <c r="AF32" s="80"/>
      <c r="AG32" s="80"/>
      <c r="AH32" s="80"/>
      <c r="AI32" s="80"/>
      <c r="AJ32" s="80" t="s">
        <v>3119</v>
      </c>
      <c r="AK32" s="85" t="str">
        <f>HYPERLINK("https://yt3.ggpht.com/ytc/AKedOLSY532N_64-aJKtNvQeHZToxGgYeUTrTmmLJZs=s88-c-k-c0x00ffffff-no-rj")</f>
        <v>https://yt3.ggpht.com/ytc/AKedOLSY532N_64-aJKtNvQeHZToxGgYeUTrTmmLJZs=s88-c-k-c0x00ffffff-no-rj</v>
      </c>
      <c r="AL32" s="80">
        <v>9</v>
      </c>
      <c r="AM32" s="80">
        <v>0</v>
      </c>
      <c r="AN32" s="80">
        <v>26</v>
      </c>
      <c r="AO32" s="80" t="b">
        <v>0</v>
      </c>
      <c r="AP32" s="80">
        <v>1</v>
      </c>
      <c r="AQ32" s="80"/>
      <c r="AR32" s="80"/>
      <c r="AS32" s="80" t="s">
        <v>3412</v>
      </c>
      <c r="AT32" s="85" t="str">
        <f>HYPERLINK("https://www.youtube.com/channel/UCHzffwyraaIKEiXh2uM53mg")</f>
        <v>https://www.youtube.com/channel/UCHzffwyraaIKEiXh2uM53mg</v>
      </c>
      <c r="AU32" s="80" t="str">
        <f>REPLACE(INDEX(GroupVertices[Group],MATCH(Vertices[[#This Row],[Vertex]],GroupVertices[Vertex],0)),1,1,"")</f>
        <v>14</v>
      </c>
      <c r="AV32" s="49">
        <v>1</v>
      </c>
      <c r="AW32" s="50">
        <v>25</v>
      </c>
      <c r="AX32" s="49">
        <v>0</v>
      </c>
      <c r="AY32" s="50">
        <v>0</v>
      </c>
      <c r="AZ32" s="49">
        <v>0</v>
      </c>
      <c r="BA32" s="50">
        <v>0</v>
      </c>
      <c r="BB32" s="49">
        <v>3</v>
      </c>
      <c r="BC32" s="50">
        <v>75</v>
      </c>
      <c r="BD32" s="49">
        <v>4</v>
      </c>
      <c r="BE32" s="49"/>
      <c r="BF32" s="49"/>
      <c r="BG32" s="49"/>
      <c r="BH32" s="49"/>
      <c r="BI32" s="49"/>
      <c r="BJ32" s="49"/>
      <c r="BK32" s="111" t="s">
        <v>4440</v>
      </c>
      <c r="BL32" s="111" t="s">
        <v>4440</v>
      </c>
      <c r="BM32" s="111" t="s">
        <v>4921</v>
      </c>
      <c r="BN32" s="111" t="s">
        <v>4921</v>
      </c>
      <c r="BO32" s="2"/>
      <c r="BP32" s="3"/>
      <c r="BQ32" s="3"/>
      <c r="BR32" s="3"/>
      <c r="BS32" s="3"/>
    </row>
    <row r="33" spans="1:71" ht="15">
      <c r="A33" s="65" t="s">
        <v>259</v>
      </c>
      <c r="B33" s="66"/>
      <c r="C33" s="66"/>
      <c r="D33" s="67">
        <v>150</v>
      </c>
      <c r="E33" s="69"/>
      <c r="F33" s="103" t="str">
        <f>HYPERLINK("https://yt3.ggpht.com/ytc/AKedOLQLHvM4UeDE4T8J7veOHJzn4a4TY9TZuAy4hw=s88-c-k-c0x00ffffff-no-rj")</f>
        <v>https://yt3.ggpht.com/ytc/AKedOLQLHvM4UeDE4T8J7veOHJzn4a4TY9TZuAy4hw=s88-c-k-c0x00ffffff-no-rj</v>
      </c>
      <c r="G33" s="66"/>
      <c r="H33" s="70" t="s">
        <v>1588</v>
      </c>
      <c r="I33" s="71"/>
      <c r="J33" s="71" t="s">
        <v>159</v>
      </c>
      <c r="K33" s="70" t="s">
        <v>1588</v>
      </c>
      <c r="L33" s="74">
        <v>1</v>
      </c>
      <c r="M33" s="75">
        <v>8570.5712890625</v>
      </c>
      <c r="N33" s="75">
        <v>588.4911499023438</v>
      </c>
      <c r="O33" s="76"/>
      <c r="P33" s="77"/>
      <c r="Q33" s="77"/>
      <c r="R33" s="89"/>
      <c r="S33" s="49">
        <v>1</v>
      </c>
      <c r="T33" s="49">
        <v>1</v>
      </c>
      <c r="U33" s="50">
        <v>0</v>
      </c>
      <c r="V33" s="50">
        <v>0.058824</v>
      </c>
      <c r="W33" s="50">
        <v>0</v>
      </c>
      <c r="X33" s="50">
        <v>0.547098</v>
      </c>
      <c r="Y33" s="50">
        <v>0</v>
      </c>
      <c r="Z33" s="50">
        <v>1</v>
      </c>
      <c r="AA33" s="72">
        <v>33</v>
      </c>
      <c r="AB33" s="72"/>
      <c r="AC33" s="73"/>
      <c r="AD33" s="80" t="s">
        <v>1588</v>
      </c>
      <c r="AE33" s="80"/>
      <c r="AF33" s="80"/>
      <c r="AG33" s="80"/>
      <c r="AH33" s="80"/>
      <c r="AI33" s="80"/>
      <c r="AJ33" s="80" t="s">
        <v>3120</v>
      </c>
      <c r="AK33" s="85" t="str">
        <f>HYPERLINK("https://yt3.ggpht.com/ytc/AKedOLQLHvM4UeDE4T8J7veOHJzn4a4TY9TZuAy4hw=s88-c-k-c0x00ffffff-no-rj")</f>
        <v>https://yt3.ggpht.com/ytc/AKedOLQLHvM4UeDE4T8J7veOHJzn4a4TY9TZuAy4hw=s88-c-k-c0x00ffffff-no-rj</v>
      </c>
      <c r="AL33" s="80">
        <v>0</v>
      </c>
      <c r="AM33" s="80">
        <v>0</v>
      </c>
      <c r="AN33" s="80">
        <v>5</v>
      </c>
      <c r="AO33" s="80" t="b">
        <v>0</v>
      </c>
      <c r="AP33" s="80">
        <v>0</v>
      </c>
      <c r="AQ33" s="80"/>
      <c r="AR33" s="80"/>
      <c r="AS33" s="80" t="s">
        <v>3412</v>
      </c>
      <c r="AT33" s="85" t="str">
        <f>HYPERLINK("https://www.youtube.com/channel/UC-BOduiGsy8dugfxbjqmiLA")</f>
        <v>https://www.youtube.com/channel/UC-BOduiGsy8dugfxbjqmiLA</v>
      </c>
      <c r="AU33" s="80" t="str">
        <f>REPLACE(INDEX(GroupVertices[Group],MATCH(Vertices[[#This Row],[Vertex]],GroupVertices[Vertex],0)),1,1,"")</f>
        <v>14</v>
      </c>
      <c r="AV33" s="49">
        <v>5</v>
      </c>
      <c r="AW33" s="50">
        <v>45.45454545454545</v>
      </c>
      <c r="AX33" s="49">
        <v>0</v>
      </c>
      <c r="AY33" s="50">
        <v>0</v>
      </c>
      <c r="AZ33" s="49">
        <v>0</v>
      </c>
      <c r="BA33" s="50">
        <v>0</v>
      </c>
      <c r="BB33" s="49">
        <v>6</v>
      </c>
      <c r="BC33" s="50">
        <v>54.54545454545455</v>
      </c>
      <c r="BD33" s="49">
        <v>11</v>
      </c>
      <c r="BE33" s="49"/>
      <c r="BF33" s="49"/>
      <c r="BG33" s="49"/>
      <c r="BH33" s="49"/>
      <c r="BI33" s="49"/>
      <c r="BJ33" s="49"/>
      <c r="BK33" s="111" t="s">
        <v>4441</v>
      </c>
      <c r="BL33" s="111" t="s">
        <v>4441</v>
      </c>
      <c r="BM33" s="111" t="s">
        <v>4922</v>
      </c>
      <c r="BN33" s="111" t="s">
        <v>4922</v>
      </c>
      <c r="BO33" s="2"/>
      <c r="BP33" s="3"/>
      <c r="BQ33" s="3"/>
      <c r="BR33" s="3"/>
      <c r="BS33" s="3"/>
    </row>
    <row r="34" spans="1:71" ht="15">
      <c r="A34" s="65" t="s">
        <v>260</v>
      </c>
      <c r="B34" s="66"/>
      <c r="C34" s="66"/>
      <c r="D34" s="67">
        <v>150</v>
      </c>
      <c r="E34" s="69"/>
      <c r="F34" s="103" t="str">
        <f>HYPERLINK("https://yt3.ggpht.com/ytc/AKedOLTUGaveupDtF_ehM-V6OWdPlu7zXiDp_2F6LcvfGp4=s88-c-k-c0x00ffffff-no-rj")</f>
        <v>https://yt3.ggpht.com/ytc/AKedOLTUGaveupDtF_ehM-V6OWdPlu7zXiDp_2F6LcvfGp4=s88-c-k-c0x00ffffff-no-rj</v>
      </c>
      <c r="G34" s="66"/>
      <c r="H34" s="70" t="s">
        <v>1589</v>
      </c>
      <c r="I34" s="71"/>
      <c r="J34" s="71" t="s">
        <v>159</v>
      </c>
      <c r="K34" s="70" t="s">
        <v>1589</v>
      </c>
      <c r="L34" s="74">
        <v>1</v>
      </c>
      <c r="M34" s="75">
        <v>8329.77734375</v>
      </c>
      <c r="N34" s="75">
        <v>254.3306427001953</v>
      </c>
      <c r="O34" s="76"/>
      <c r="P34" s="77"/>
      <c r="Q34" s="77"/>
      <c r="R34" s="89"/>
      <c r="S34" s="49">
        <v>1</v>
      </c>
      <c r="T34" s="49">
        <v>1</v>
      </c>
      <c r="U34" s="50">
        <v>0</v>
      </c>
      <c r="V34" s="50">
        <v>0.058824</v>
      </c>
      <c r="W34" s="50">
        <v>0</v>
      </c>
      <c r="X34" s="50">
        <v>0.547098</v>
      </c>
      <c r="Y34" s="50">
        <v>0</v>
      </c>
      <c r="Z34" s="50">
        <v>1</v>
      </c>
      <c r="AA34" s="72">
        <v>34</v>
      </c>
      <c r="AB34" s="72"/>
      <c r="AC34" s="73"/>
      <c r="AD34" s="80" t="s">
        <v>1589</v>
      </c>
      <c r="AE34" s="80"/>
      <c r="AF34" s="80"/>
      <c r="AG34" s="80"/>
      <c r="AH34" s="80"/>
      <c r="AI34" s="80"/>
      <c r="AJ34" s="87">
        <v>40333.92957175926</v>
      </c>
      <c r="AK34" s="85" t="str">
        <f>HYPERLINK("https://yt3.ggpht.com/ytc/AKedOLTUGaveupDtF_ehM-V6OWdPlu7zXiDp_2F6LcvfGp4=s88-c-k-c0x00ffffff-no-rj")</f>
        <v>https://yt3.ggpht.com/ytc/AKedOLTUGaveupDtF_ehM-V6OWdPlu7zXiDp_2F6LcvfGp4=s88-c-k-c0x00ffffff-no-rj</v>
      </c>
      <c r="AL34" s="80">
        <v>95</v>
      </c>
      <c r="AM34" s="80">
        <v>0</v>
      </c>
      <c r="AN34" s="80">
        <v>4</v>
      </c>
      <c r="AO34" s="80" t="b">
        <v>0</v>
      </c>
      <c r="AP34" s="80">
        <v>2</v>
      </c>
      <c r="AQ34" s="80"/>
      <c r="AR34" s="80"/>
      <c r="AS34" s="80" t="s">
        <v>3412</v>
      </c>
      <c r="AT34" s="85" t="str">
        <f>HYPERLINK("https://www.youtube.com/channel/UCTskx5wmO9GGLSspJ6Dor0w")</f>
        <v>https://www.youtube.com/channel/UCTskx5wmO9GGLSspJ6Dor0w</v>
      </c>
      <c r="AU34" s="80" t="str">
        <f>REPLACE(INDEX(GroupVertices[Group],MATCH(Vertices[[#This Row],[Vertex]],GroupVertices[Vertex],0)),1,1,"")</f>
        <v>14</v>
      </c>
      <c r="AV34" s="49">
        <v>1</v>
      </c>
      <c r="AW34" s="50">
        <v>10</v>
      </c>
      <c r="AX34" s="49">
        <v>0</v>
      </c>
      <c r="AY34" s="50">
        <v>0</v>
      </c>
      <c r="AZ34" s="49">
        <v>0</v>
      </c>
      <c r="BA34" s="50">
        <v>0</v>
      </c>
      <c r="BB34" s="49">
        <v>9</v>
      </c>
      <c r="BC34" s="50">
        <v>90</v>
      </c>
      <c r="BD34" s="49">
        <v>10</v>
      </c>
      <c r="BE34" s="49"/>
      <c r="BF34" s="49"/>
      <c r="BG34" s="49"/>
      <c r="BH34" s="49"/>
      <c r="BI34" s="49"/>
      <c r="BJ34" s="49"/>
      <c r="BK34" s="111" t="s">
        <v>4442</v>
      </c>
      <c r="BL34" s="111" t="s">
        <v>4442</v>
      </c>
      <c r="BM34" s="111" t="s">
        <v>4923</v>
      </c>
      <c r="BN34" s="111" t="s">
        <v>4923</v>
      </c>
      <c r="BO34" s="2"/>
      <c r="BP34" s="3"/>
      <c r="BQ34" s="3"/>
      <c r="BR34" s="3"/>
      <c r="BS34" s="3"/>
    </row>
    <row r="35" spans="1:71" ht="15">
      <c r="A35" s="65" t="s">
        <v>261</v>
      </c>
      <c r="B35" s="66"/>
      <c r="C35" s="66"/>
      <c r="D35" s="67">
        <v>150</v>
      </c>
      <c r="E35" s="69"/>
      <c r="F35" s="103" t="str">
        <f>HYPERLINK("https://yt3.ggpht.com/ytc/AKedOLT0G8zGWUNyeStnaBYWN9EUguluse4BES5f0FDF=s88-c-k-c0x00ffffff-no-rj")</f>
        <v>https://yt3.ggpht.com/ytc/AKedOLT0G8zGWUNyeStnaBYWN9EUguluse4BES5f0FDF=s88-c-k-c0x00ffffff-no-rj</v>
      </c>
      <c r="G35" s="66"/>
      <c r="H35" s="70" t="s">
        <v>1590</v>
      </c>
      <c r="I35" s="71"/>
      <c r="J35" s="71" t="s">
        <v>159</v>
      </c>
      <c r="K35" s="70" t="s">
        <v>1590</v>
      </c>
      <c r="L35" s="74">
        <v>1</v>
      </c>
      <c r="M35" s="75">
        <v>7791.55908203125</v>
      </c>
      <c r="N35" s="75">
        <v>1300.447998046875</v>
      </c>
      <c r="O35" s="76"/>
      <c r="P35" s="77"/>
      <c r="Q35" s="77"/>
      <c r="R35" s="89"/>
      <c r="S35" s="49">
        <v>2</v>
      </c>
      <c r="T35" s="49">
        <v>2</v>
      </c>
      <c r="U35" s="50">
        <v>0</v>
      </c>
      <c r="V35" s="50">
        <v>0.058824</v>
      </c>
      <c r="W35" s="50">
        <v>0</v>
      </c>
      <c r="X35" s="50">
        <v>0.951474</v>
      </c>
      <c r="Y35" s="50">
        <v>0</v>
      </c>
      <c r="Z35" s="50">
        <v>1</v>
      </c>
      <c r="AA35" s="72">
        <v>35</v>
      </c>
      <c r="AB35" s="72"/>
      <c r="AC35" s="73"/>
      <c r="AD35" s="80" t="s">
        <v>1590</v>
      </c>
      <c r="AE35" s="80" t="s">
        <v>2825</v>
      </c>
      <c r="AF35" s="80"/>
      <c r="AG35" s="80"/>
      <c r="AH35" s="80"/>
      <c r="AI35" s="80"/>
      <c r="AJ35" s="80" t="s">
        <v>3121</v>
      </c>
      <c r="AK35" s="85" t="str">
        <f>HYPERLINK("https://yt3.ggpht.com/ytc/AKedOLT0G8zGWUNyeStnaBYWN9EUguluse4BES5f0FDF=s88-c-k-c0x00ffffff-no-rj")</f>
        <v>https://yt3.ggpht.com/ytc/AKedOLT0G8zGWUNyeStnaBYWN9EUguluse4BES5f0FDF=s88-c-k-c0x00ffffff-no-rj</v>
      </c>
      <c r="AL35" s="80">
        <v>10692</v>
      </c>
      <c r="AM35" s="80">
        <v>0</v>
      </c>
      <c r="AN35" s="80">
        <v>243</v>
      </c>
      <c r="AO35" s="80" t="b">
        <v>0</v>
      </c>
      <c r="AP35" s="80">
        <v>49</v>
      </c>
      <c r="AQ35" s="80"/>
      <c r="AR35" s="80"/>
      <c r="AS35" s="80" t="s">
        <v>3412</v>
      </c>
      <c r="AT35" s="85" t="str">
        <f>HYPERLINK("https://www.youtube.com/channel/UCK9-5YJLaH4YqD56tfTMM-A")</f>
        <v>https://www.youtube.com/channel/UCK9-5YJLaH4YqD56tfTMM-A</v>
      </c>
      <c r="AU35" s="80" t="str">
        <f>REPLACE(INDEX(GroupVertices[Group],MATCH(Vertices[[#This Row],[Vertex]],GroupVertices[Vertex],0)),1,1,"")</f>
        <v>14</v>
      </c>
      <c r="AV35" s="49">
        <v>5</v>
      </c>
      <c r="AW35" s="50">
        <v>8.771929824561404</v>
      </c>
      <c r="AX35" s="49">
        <v>0</v>
      </c>
      <c r="AY35" s="50">
        <v>0</v>
      </c>
      <c r="AZ35" s="49">
        <v>0</v>
      </c>
      <c r="BA35" s="50">
        <v>0</v>
      </c>
      <c r="BB35" s="49">
        <v>52</v>
      </c>
      <c r="BC35" s="50">
        <v>91.2280701754386</v>
      </c>
      <c r="BD35" s="49">
        <v>57</v>
      </c>
      <c r="BE35" s="49"/>
      <c r="BF35" s="49"/>
      <c r="BG35" s="49"/>
      <c r="BH35" s="49"/>
      <c r="BI35" s="49"/>
      <c r="BJ35" s="49"/>
      <c r="BK35" s="111" t="s">
        <v>4443</v>
      </c>
      <c r="BL35" s="111" t="s">
        <v>4443</v>
      </c>
      <c r="BM35" s="111" t="s">
        <v>4924</v>
      </c>
      <c r="BN35" s="111" t="s">
        <v>4924</v>
      </c>
      <c r="BO35" s="2"/>
      <c r="BP35" s="3"/>
      <c r="BQ35" s="3"/>
      <c r="BR35" s="3"/>
      <c r="BS35" s="3"/>
    </row>
    <row r="36" spans="1:71" ht="15">
      <c r="A36" s="65" t="s">
        <v>262</v>
      </c>
      <c r="B36" s="66"/>
      <c r="C36" s="66"/>
      <c r="D36" s="67">
        <v>150</v>
      </c>
      <c r="E36" s="69"/>
      <c r="F36" s="103" t="str">
        <f>HYPERLINK("https://yt3.ggpht.com/ytc/AKedOLQKOTG40bHC3NRBYRDaBx_d3ZYW0qxAyCW0Kg=s88-c-k-c0x00ffffff-no-rj")</f>
        <v>https://yt3.ggpht.com/ytc/AKedOLQKOTG40bHC3NRBYRDaBx_d3ZYW0qxAyCW0Kg=s88-c-k-c0x00ffffff-no-rj</v>
      </c>
      <c r="G36" s="66"/>
      <c r="H36" s="70" t="s">
        <v>1591</v>
      </c>
      <c r="I36" s="71"/>
      <c r="J36" s="71" t="s">
        <v>159</v>
      </c>
      <c r="K36" s="70" t="s">
        <v>1591</v>
      </c>
      <c r="L36" s="74">
        <v>1</v>
      </c>
      <c r="M36" s="75">
        <v>7916.92431640625</v>
      </c>
      <c r="N36" s="75">
        <v>144.4942169189453</v>
      </c>
      <c r="O36" s="76"/>
      <c r="P36" s="77"/>
      <c r="Q36" s="77"/>
      <c r="R36" s="89"/>
      <c r="S36" s="49">
        <v>1</v>
      </c>
      <c r="T36" s="49">
        <v>1</v>
      </c>
      <c r="U36" s="50">
        <v>0</v>
      </c>
      <c r="V36" s="50">
        <v>0.058824</v>
      </c>
      <c r="W36" s="50">
        <v>0</v>
      </c>
      <c r="X36" s="50">
        <v>0.547098</v>
      </c>
      <c r="Y36" s="50">
        <v>0</v>
      </c>
      <c r="Z36" s="50">
        <v>1</v>
      </c>
      <c r="AA36" s="72">
        <v>36</v>
      </c>
      <c r="AB36" s="72"/>
      <c r="AC36" s="73"/>
      <c r="AD36" s="80" t="s">
        <v>1591</v>
      </c>
      <c r="AE36" s="80"/>
      <c r="AF36" s="80"/>
      <c r="AG36" s="80"/>
      <c r="AH36" s="80"/>
      <c r="AI36" s="80"/>
      <c r="AJ36" s="80" t="s">
        <v>3122</v>
      </c>
      <c r="AK36" s="85" t="str">
        <f>HYPERLINK("https://yt3.ggpht.com/ytc/AKedOLQKOTG40bHC3NRBYRDaBx_d3ZYW0qxAyCW0Kg=s88-c-k-c0x00ffffff-no-rj")</f>
        <v>https://yt3.ggpht.com/ytc/AKedOLQKOTG40bHC3NRBYRDaBx_d3ZYW0qxAyCW0Kg=s88-c-k-c0x00ffffff-no-rj</v>
      </c>
      <c r="AL36" s="80">
        <v>0</v>
      </c>
      <c r="AM36" s="80">
        <v>0</v>
      </c>
      <c r="AN36" s="80">
        <v>1</v>
      </c>
      <c r="AO36" s="80" t="b">
        <v>0</v>
      </c>
      <c r="AP36" s="80">
        <v>0</v>
      </c>
      <c r="AQ36" s="80"/>
      <c r="AR36" s="80"/>
      <c r="AS36" s="80" t="s">
        <v>3412</v>
      </c>
      <c r="AT36" s="85" t="str">
        <f>HYPERLINK("https://www.youtube.com/channel/UC9qBZOMmYw13MbQaLLzijnw")</f>
        <v>https://www.youtube.com/channel/UC9qBZOMmYw13MbQaLLzijnw</v>
      </c>
      <c r="AU36" s="80" t="str">
        <f>REPLACE(INDEX(GroupVertices[Group],MATCH(Vertices[[#This Row],[Vertex]],GroupVertices[Vertex],0)),1,1,"")</f>
        <v>14</v>
      </c>
      <c r="AV36" s="49">
        <v>2</v>
      </c>
      <c r="AW36" s="50">
        <v>28.571428571428573</v>
      </c>
      <c r="AX36" s="49">
        <v>0</v>
      </c>
      <c r="AY36" s="50">
        <v>0</v>
      </c>
      <c r="AZ36" s="49">
        <v>0</v>
      </c>
      <c r="BA36" s="50">
        <v>0</v>
      </c>
      <c r="BB36" s="49">
        <v>5</v>
      </c>
      <c r="BC36" s="50">
        <v>71.42857142857143</v>
      </c>
      <c r="BD36" s="49">
        <v>7</v>
      </c>
      <c r="BE36" s="49"/>
      <c r="BF36" s="49"/>
      <c r="BG36" s="49"/>
      <c r="BH36" s="49"/>
      <c r="BI36" s="49"/>
      <c r="BJ36" s="49"/>
      <c r="BK36" s="111" t="s">
        <v>4444</v>
      </c>
      <c r="BL36" s="111" t="s">
        <v>4444</v>
      </c>
      <c r="BM36" s="111" t="s">
        <v>4925</v>
      </c>
      <c r="BN36" s="111" t="s">
        <v>4925</v>
      </c>
      <c r="BO36" s="2"/>
      <c r="BP36" s="3"/>
      <c r="BQ36" s="3"/>
      <c r="BR36" s="3"/>
      <c r="BS36" s="3"/>
    </row>
    <row r="37" spans="1:71" ht="15">
      <c r="A37" s="65" t="s">
        <v>263</v>
      </c>
      <c r="B37" s="66"/>
      <c r="C37" s="66"/>
      <c r="D37" s="67">
        <v>150</v>
      </c>
      <c r="E37" s="69"/>
      <c r="F37" s="103" t="str">
        <f>HYPERLINK("https://yt3.ggpht.com/ytc/AKedOLTGGErmCKeGv1GPY99u1d5y_NB5QGPVjhsatdc5=s88-c-k-c0x00ffffff-no-rj")</f>
        <v>https://yt3.ggpht.com/ytc/AKedOLTGGErmCKeGv1GPY99u1d5y_NB5QGPVjhsatdc5=s88-c-k-c0x00ffffff-no-rj</v>
      </c>
      <c r="G37" s="66"/>
      <c r="H37" s="70" t="s">
        <v>1592</v>
      </c>
      <c r="I37" s="71"/>
      <c r="J37" s="71" t="s">
        <v>159</v>
      </c>
      <c r="K37" s="70" t="s">
        <v>1592</v>
      </c>
      <c r="L37" s="74">
        <v>1</v>
      </c>
      <c r="M37" s="75">
        <v>7443.7783203125</v>
      </c>
      <c r="N37" s="75">
        <v>1064.3590087890625</v>
      </c>
      <c r="O37" s="76"/>
      <c r="P37" s="77"/>
      <c r="Q37" s="77"/>
      <c r="R37" s="89"/>
      <c r="S37" s="49">
        <v>1</v>
      </c>
      <c r="T37" s="49">
        <v>1</v>
      </c>
      <c r="U37" s="50">
        <v>0</v>
      </c>
      <c r="V37" s="50">
        <v>0.058824</v>
      </c>
      <c r="W37" s="50">
        <v>0</v>
      </c>
      <c r="X37" s="50">
        <v>0.547098</v>
      </c>
      <c r="Y37" s="50">
        <v>0</v>
      </c>
      <c r="Z37" s="50">
        <v>1</v>
      </c>
      <c r="AA37" s="72">
        <v>37</v>
      </c>
      <c r="AB37" s="72"/>
      <c r="AC37" s="73"/>
      <c r="AD37" s="80" t="s">
        <v>1592</v>
      </c>
      <c r="AE37" s="80" t="s">
        <v>2826</v>
      </c>
      <c r="AF37" s="80"/>
      <c r="AG37" s="80"/>
      <c r="AH37" s="80"/>
      <c r="AI37" s="80" t="s">
        <v>3023</v>
      </c>
      <c r="AJ37" s="80" t="s">
        <v>3123</v>
      </c>
      <c r="AK37" s="85" t="str">
        <f>HYPERLINK("https://yt3.ggpht.com/ytc/AKedOLTGGErmCKeGv1GPY99u1d5y_NB5QGPVjhsatdc5=s88-c-k-c0x00ffffff-no-rj")</f>
        <v>https://yt3.ggpht.com/ytc/AKedOLTGGErmCKeGv1GPY99u1d5y_NB5QGPVjhsatdc5=s88-c-k-c0x00ffffff-no-rj</v>
      </c>
      <c r="AL37" s="80">
        <v>2558339</v>
      </c>
      <c r="AM37" s="80">
        <v>0</v>
      </c>
      <c r="AN37" s="80">
        <v>8050</v>
      </c>
      <c r="AO37" s="80" t="b">
        <v>0</v>
      </c>
      <c r="AP37" s="80">
        <v>115</v>
      </c>
      <c r="AQ37" s="80"/>
      <c r="AR37" s="80"/>
      <c r="AS37" s="80" t="s">
        <v>3412</v>
      </c>
      <c r="AT37" s="85" t="str">
        <f>HYPERLINK("https://www.youtube.com/channel/UCfXJQRQGWnOmmAzI-jgSPYw")</f>
        <v>https://www.youtube.com/channel/UCfXJQRQGWnOmmAzI-jgSPYw</v>
      </c>
      <c r="AU37" s="80" t="str">
        <f>REPLACE(INDEX(GroupVertices[Group],MATCH(Vertices[[#This Row],[Vertex]],GroupVertices[Vertex],0)),1,1,"")</f>
        <v>14</v>
      </c>
      <c r="AV37" s="49">
        <v>2</v>
      </c>
      <c r="AW37" s="50">
        <v>40</v>
      </c>
      <c r="AX37" s="49">
        <v>0</v>
      </c>
      <c r="AY37" s="50">
        <v>0</v>
      </c>
      <c r="AZ37" s="49">
        <v>0</v>
      </c>
      <c r="BA37" s="50">
        <v>0</v>
      </c>
      <c r="BB37" s="49">
        <v>3</v>
      </c>
      <c r="BC37" s="50">
        <v>60</v>
      </c>
      <c r="BD37" s="49">
        <v>5</v>
      </c>
      <c r="BE37" s="49"/>
      <c r="BF37" s="49"/>
      <c r="BG37" s="49"/>
      <c r="BH37" s="49"/>
      <c r="BI37" s="49"/>
      <c r="BJ37" s="49"/>
      <c r="BK37" s="111" t="s">
        <v>4445</v>
      </c>
      <c r="BL37" s="111" t="s">
        <v>4445</v>
      </c>
      <c r="BM37" s="111" t="s">
        <v>4926</v>
      </c>
      <c r="BN37" s="111" t="s">
        <v>4926</v>
      </c>
      <c r="BO37" s="2"/>
      <c r="BP37" s="3"/>
      <c r="BQ37" s="3"/>
      <c r="BR37" s="3"/>
      <c r="BS37" s="3"/>
    </row>
    <row r="38" spans="1:71" ht="15">
      <c r="A38" s="65" t="s">
        <v>264</v>
      </c>
      <c r="B38" s="66"/>
      <c r="C38" s="66"/>
      <c r="D38" s="67">
        <v>150</v>
      </c>
      <c r="E38" s="69"/>
      <c r="F38" s="103" t="str">
        <f>HYPERLINK("https://yt3.ggpht.com/ytc/AKedOLRWqYvdFXk52KBIVzfY184BRAnFq1cm6zKipHlg=s88-c-k-c0x00ffffff-no-rj")</f>
        <v>https://yt3.ggpht.com/ytc/AKedOLRWqYvdFXk52KBIVzfY184BRAnFq1cm6zKipHlg=s88-c-k-c0x00ffffff-no-rj</v>
      </c>
      <c r="G38" s="66"/>
      <c r="H38" s="70" t="s">
        <v>1593</v>
      </c>
      <c r="I38" s="71"/>
      <c r="J38" s="71" t="s">
        <v>159</v>
      </c>
      <c r="K38" s="70" t="s">
        <v>1593</v>
      </c>
      <c r="L38" s="74">
        <v>1</v>
      </c>
      <c r="M38" s="75">
        <v>8219.4716796875</v>
      </c>
      <c r="N38" s="75">
        <v>1271.377197265625</v>
      </c>
      <c r="O38" s="76"/>
      <c r="P38" s="77"/>
      <c r="Q38" s="77"/>
      <c r="R38" s="89"/>
      <c r="S38" s="49">
        <v>1</v>
      </c>
      <c r="T38" s="49">
        <v>1</v>
      </c>
      <c r="U38" s="50">
        <v>0</v>
      </c>
      <c r="V38" s="50">
        <v>0.058824</v>
      </c>
      <c r="W38" s="50">
        <v>0</v>
      </c>
      <c r="X38" s="50">
        <v>0.547098</v>
      </c>
      <c r="Y38" s="50">
        <v>0</v>
      </c>
      <c r="Z38" s="50">
        <v>1</v>
      </c>
      <c r="AA38" s="72">
        <v>38</v>
      </c>
      <c r="AB38" s="72"/>
      <c r="AC38" s="73"/>
      <c r="AD38" s="80" t="s">
        <v>1593</v>
      </c>
      <c r="AE38" s="80"/>
      <c r="AF38" s="80"/>
      <c r="AG38" s="80"/>
      <c r="AH38" s="80"/>
      <c r="AI38" s="80"/>
      <c r="AJ38" s="80" t="s">
        <v>3124</v>
      </c>
      <c r="AK38" s="85" t="str">
        <f>HYPERLINK("https://yt3.ggpht.com/ytc/AKedOLRWqYvdFXk52KBIVzfY184BRAnFq1cm6zKipHlg=s88-c-k-c0x00ffffff-no-rj")</f>
        <v>https://yt3.ggpht.com/ytc/AKedOLRWqYvdFXk52KBIVzfY184BRAnFq1cm6zKipHlg=s88-c-k-c0x00ffffff-no-rj</v>
      </c>
      <c r="AL38" s="80">
        <v>0</v>
      </c>
      <c r="AM38" s="80">
        <v>0</v>
      </c>
      <c r="AN38" s="80">
        <v>0</v>
      </c>
      <c r="AO38" s="80" t="b">
        <v>0</v>
      </c>
      <c r="AP38" s="80">
        <v>0</v>
      </c>
      <c r="AQ38" s="80"/>
      <c r="AR38" s="80"/>
      <c r="AS38" s="80" t="s">
        <v>3412</v>
      </c>
      <c r="AT38" s="85" t="str">
        <f>HYPERLINK("https://www.youtube.com/channel/UCg7R0p9UWwq2MHr3ZKVfPXA")</f>
        <v>https://www.youtube.com/channel/UCg7R0p9UWwq2MHr3ZKVfPXA</v>
      </c>
      <c r="AU38" s="80" t="str">
        <f>REPLACE(INDEX(GroupVertices[Group],MATCH(Vertices[[#This Row],[Vertex]],GroupVertices[Vertex],0)),1,1,"")</f>
        <v>14</v>
      </c>
      <c r="AV38" s="49">
        <v>3</v>
      </c>
      <c r="AW38" s="50">
        <v>8.823529411764707</v>
      </c>
      <c r="AX38" s="49">
        <v>0</v>
      </c>
      <c r="AY38" s="50">
        <v>0</v>
      </c>
      <c r="AZ38" s="49">
        <v>0</v>
      </c>
      <c r="BA38" s="50">
        <v>0</v>
      </c>
      <c r="BB38" s="49">
        <v>31</v>
      </c>
      <c r="BC38" s="50">
        <v>91.17647058823529</v>
      </c>
      <c r="BD38" s="49">
        <v>34</v>
      </c>
      <c r="BE38" s="49"/>
      <c r="BF38" s="49"/>
      <c r="BG38" s="49"/>
      <c r="BH38" s="49"/>
      <c r="BI38" s="49"/>
      <c r="BJ38" s="49"/>
      <c r="BK38" s="111" t="s">
        <v>4446</v>
      </c>
      <c r="BL38" s="111" t="s">
        <v>4446</v>
      </c>
      <c r="BM38" s="111" t="s">
        <v>4927</v>
      </c>
      <c r="BN38" s="111" t="s">
        <v>4927</v>
      </c>
      <c r="BO38" s="2"/>
      <c r="BP38" s="3"/>
      <c r="BQ38" s="3"/>
      <c r="BR38" s="3"/>
      <c r="BS38" s="3"/>
    </row>
    <row r="39" spans="1:71" ht="15">
      <c r="A39" s="65" t="s">
        <v>265</v>
      </c>
      <c r="B39" s="66"/>
      <c r="C39" s="66"/>
      <c r="D39" s="67">
        <v>150</v>
      </c>
      <c r="E39" s="69"/>
      <c r="F39" s="103" t="str">
        <f>HYPERLINK("https://yt3.ggpht.com/ytc/AKedOLSx1gYzTG9QG5tyXk6Lb6EN7Lwvvn10eMb1Fg=s88-c-k-c0x00ffffff-no-rj")</f>
        <v>https://yt3.ggpht.com/ytc/AKedOLSx1gYzTG9QG5tyXk6Lb6EN7Lwvvn10eMb1Fg=s88-c-k-c0x00ffffff-no-rj</v>
      </c>
      <c r="G39" s="66"/>
      <c r="H39" s="70" t="s">
        <v>1594</v>
      </c>
      <c r="I39" s="71"/>
      <c r="J39" s="71" t="s">
        <v>159</v>
      </c>
      <c r="K39" s="70" t="s">
        <v>1594</v>
      </c>
      <c r="L39" s="74">
        <v>1</v>
      </c>
      <c r="M39" s="75">
        <v>8526.712890625</v>
      </c>
      <c r="N39" s="75">
        <v>989.7069091796875</v>
      </c>
      <c r="O39" s="76"/>
      <c r="P39" s="77"/>
      <c r="Q39" s="77"/>
      <c r="R39" s="89"/>
      <c r="S39" s="49">
        <v>1</v>
      </c>
      <c r="T39" s="49">
        <v>1</v>
      </c>
      <c r="U39" s="50">
        <v>0</v>
      </c>
      <c r="V39" s="50">
        <v>0.058824</v>
      </c>
      <c r="W39" s="50">
        <v>0</v>
      </c>
      <c r="X39" s="50">
        <v>0.547098</v>
      </c>
      <c r="Y39" s="50">
        <v>0</v>
      </c>
      <c r="Z39" s="50">
        <v>1</v>
      </c>
      <c r="AA39" s="72">
        <v>39</v>
      </c>
      <c r="AB39" s="72"/>
      <c r="AC39" s="73"/>
      <c r="AD39" s="80" t="s">
        <v>1594</v>
      </c>
      <c r="AE39" s="80"/>
      <c r="AF39" s="80"/>
      <c r="AG39" s="80"/>
      <c r="AH39" s="80"/>
      <c r="AI39" s="80"/>
      <c r="AJ39" s="87">
        <v>39214.635092592594</v>
      </c>
      <c r="AK39" s="85" t="str">
        <f>HYPERLINK("https://yt3.ggpht.com/ytc/AKedOLSx1gYzTG9QG5tyXk6Lb6EN7Lwvvn10eMb1Fg=s88-c-k-c0x00ffffff-no-rj")</f>
        <v>https://yt3.ggpht.com/ytc/AKedOLSx1gYzTG9QG5tyXk6Lb6EN7Lwvvn10eMb1Fg=s88-c-k-c0x00ffffff-no-rj</v>
      </c>
      <c r="AL39" s="80">
        <v>0</v>
      </c>
      <c r="AM39" s="80">
        <v>0</v>
      </c>
      <c r="AN39" s="80">
        <v>0</v>
      </c>
      <c r="AO39" s="80" t="b">
        <v>0</v>
      </c>
      <c r="AP39" s="80">
        <v>0</v>
      </c>
      <c r="AQ39" s="80"/>
      <c r="AR39" s="80"/>
      <c r="AS39" s="80" t="s">
        <v>3412</v>
      </c>
      <c r="AT39" s="85" t="str">
        <f>HYPERLINK("https://www.youtube.com/channel/UCfyM7s57TublMr79wTEsyNQ")</f>
        <v>https://www.youtube.com/channel/UCfyM7s57TublMr79wTEsyNQ</v>
      </c>
      <c r="AU39" s="80" t="str">
        <f>REPLACE(INDEX(GroupVertices[Group],MATCH(Vertices[[#This Row],[Vertex]],GroupVertices[Vertex],0)),1,1,"")</f>
        <v>14</v>
      </c>
      <c r="AV39" s="49">
        <v>3</v>
      </c>
      <c r="AW39" s="50">
        <v>6.818181818181818</v>
      </c>
      <c r="AX39" s="49">
        <v>3</v>
      </c>
      <c r="AY39" s="50">
        <v>6.818181818181818</v>
      </c>
      <c r="AZ39" s="49">
        <v>0</v>
      </c>
      <c r="BA39" s="50">
        <v>0</v>
      </c>
      <c r="BB39" s="49">
        <v>38</v>
      </c>
      <c r="BC39" s="50">
        <v>86.36363636363636</v>
      </c>
      <c r="BD39" s="49">
        <v>44</v>
      </c>
      <c r="BE39" s="49"/>
      <c r="BF39" s="49"/>
      <c r="BG39" s="49"/>
      <c r="BH39" s="49"/>
      <c r="BI39" s="49"/>
      <c r="BJ39" s="49"/>
      <c r="BK39" s="111" t="s">
        <v>4447</v>
      </c>
      <c r="BL39" s="111" t="s">
        <v>4447</v>
      </c>
      <c r="BM39" s="111" t="s">
        <v>4928</v>
      </c>
      <c r="BN39" s="111" t="s">
        <v>4928</v>
      </c>
      <c r="BO39" s="2"/>
      <c r="BP39" s="3"/>
      <c r="BQ39" s="3"/>
      <c r="BR39" s="3"/>
      <c r="BS39" s="3"/>
    </row>
    <row r="40" spans="1:71" ht="15">
      <c r="A40" s="65" t="s">
        <v>266</v>
      </c>
      <c r="B40" s="66"/>
      <c r="C40" s="66"/>
      <c r="D40" s="67">
        <v>150</v>
      </c>
      <c r="E40" s="69"/>
      <c r="F40" s="103" t="str">
        <f>HYPERLINK("https://yt3.ggpht.com/ytc/AKedOLRKNlmW5xqTUIa6MVB5XWSWsFYktwdrodkfdg=s88-c-k-c0x00ffffff-no-rj")</f>
        <v>https://yt3.ggpht.com/ytc/AKedOLRKNlmW5xqTUIa6MVB5XWSWsFYktwdrodkfdg=s88-c-k-c0x00ffffff-no-rj</v>
      </c>
      <c r="G40" s="66"/>
      <c r="H40" s="70" t="s">
        <v>1595</v>
      </c>
      <c r="I40" s="71"/>
      <c r="J40" s="71" t="s">
        <v>159</v>
      </c>
      <c r="K40" s="70" t="s">
        <v>1595</v>
      </c>
      <c r="L40" s="74">
        <v>1</v>
      </c>
      <c r="M40" s="75">
        <v>6147.3544921875</v>
      </c>
      <c r="N40" s="75">
        <v>8760.9873046875</v>
      </c>
      <c r="O40" s="76"/>
      <c r="P40" s="77"/>
      <c r="Q40" s="77"/>
      <c r="R40" s="89"/>
      <c r="S40" s="49">
        <v>0</v>
      </c>
      <c r="T40" s="49">
        <v>1</v>
      </c>
      <c r="U40" s="50">
        <v>0</v>
      </c>
      <c r="V40" s="50">
        <v>0.002597</v>
      </c>
      <c r="W40" s="50">
        <v>0.00486</v>
      </c>
      <c r="X40" s="50">
        <v>0.526148</v>
      </c>
      <c r="Y40" s="50">
        <v>0</v>
      </c>
      <c r="Z40" s="50">
        <v>0</v>
      </c>
      <c r="AA40" s="72">
        <v>40</v>
      </c>
      <c r="AB40" s="72"/>
      <c r="AC40" s="73"/>
      <c r="AD40" s="80" t="s">
        <v>1595</v>
      </c>
      <c r="AE40" s="80"/>
      <c r="AF40" s="80"/>
      <c r="AG40" s="80"/>
      <c r="AH40" s="80"/>
      <c r="AI40" s="80"/>
      <c r="AJ40" s="87">
        <v>41222.65782407407</v>
      </c>
      <c r="AK40" s="85" t="str">
        <f>HYPERLINK("https://yt3.ggpht.com/ytc/AKedOLRKNlmW5xqTUIa6MVB5XWSWsFYktwdrodkfdg=s88-c-k-c0x00ffffff-no-rj")</f>
        <v>https://yt3.ggpht.com/ytc/AKedOLRKNlmW5xqTUIa6MVB5XWSWsFYktwdrodkfdg=s88-c-k-c0x00ffffff-no-rj</v>
      </c>
      <c r="AL40" s="80">
        <v>0</v>
      </c>
      <c r="AM40" s="80">
        <v>0</v>
      </c>
      <c r="AN40" s="80">
        <v>5</v>
      </c>
      <c r="AO40" s="80" t="b">
        <v>0</v>
      </c>
      <c r="AP40" s="80">
        <v>0</v>
      </c>
      <c r="AQ40" s="80"/>
      <c r="AR40" s="80"/>
      <c r="AS40" s="80" t="s">
        <v>3412</v>
      </c>
      <c r="AT40" s="85" t="str">
        <f>HYPERLINK("https://www.youtube.com/channel/UCNJwFhmayWXA2d8_NQFr6sw")</f>
        <v>https://www.youtube.com/channel/UCNJwFhmayWXA2d8_NQFr6sw</v>
      </c>
      <c r="AU40" s="80" t="str">
        <f>REPLACE(INDEX(GroupVertices[Group],MATCH(Vertices[[#This Row],[Vertex]],GroupVertices[Vertex],0)),1,1,"")</f>
        <v>1</v>
      </c>
      <c r="AV40" s="49">
        <v>2</v>
      </c>
      <c r="AW40" s="50">
        <v>3.9215686274509802</v>
      </c>
      <c r="AX40" s="49">
        <v>0</v>
      </c>
      <c r="AY40" s="50">
        <v>0</v>
      </c>
      <c r="AZ40" s="49">
        <v>0</v>
      </c>
      <c r="BA40" s="50">
        <v>0</v>
      </c>
      <c r="BB40" s="49">
        <v>49</v>
      </c>
      <c r="BC40" s="50">
        <v>96.07843137254902</v>
      </c>
      <c r="BD40" s="49">
        <v>51</v>
      </c>
      <c r="BE40" s="49"/>
      <c r="BF40" s="49"/>
      <c r="BG40" s="49"/>
      <c r="BH40" s="49"/>
      <c r="BI40" s="49"/>
      <c r="BJ40" s="49"/>
      <c r="BK40" s="111" t="s">
        <v>4448</v>
      </c>
      <c r="BL40" s="111" t="s">
        <v>4448</v>
      </c>
      <c r="BM40" s="111" t="s">
        <v>4929</v>
      </c>
      <c r="BN40" s="111" t="s">
        <v>4929</v>
      </c>
      <c r="BO40" s="2"/>
      <c r="BP40" s="3"/>
      <c r="BQ40" s="3"/>
      <c r="BR40" s="3"/>
      <c r="BS40" s="3"/>
    </row>
    <row r="41" spans="1:71" ht="15">
      <c r="A41" s="65" t="s">
        <v>287</v>
      </c>
      <c r="B41" s="66"/>
      <c r="C41" s="66"/>
      <c r="D41" s="67">
        <v>1000</v>
      </c>
      <c r="E41" s="69"/>
      <c r="F41" s="103" t="str">
        <f>HYPERLINK("https://yt3.ggpht.com/ytc/AKedOLQjdoYqyzGAIIWFlt_iZhULPyVsaeFU4SXATfd4iQ=s88-c-k-c0x00ffffff-no-rj")</f>
        <v>https://yt3.ggpht.com/ytc/AKedOLQjdoYqyzGAIIWFlt_iZhULPyVsaeFU4SXATfd4iQ=s88-c-k-c0x00ffffff-no-rj</v>
      </c>
      <c r="G41" s="66"/>
      <c r="H41" s="70" t="s">
        <v>1616</v>
      </c>
      <c r="I41" s="71"/>
      <c r="J41" s="71" t="s">
        <v>75</v>
      </c>
      <c r="K41" s="70" t="s">
        <v>1616</v>
      </c>
      <c r="L41" s="74">
        <v>9999</v>
      </c>
      <c r="M41" s="75">
        <v>6194.9326171875</v>
      </c>
      <c r="N41" s="75">
        <v>8404.537109375</v>
      </c>
      <c r="O41" s="76"/>
      <c r="P41" s="77"/>
      <c r="Q41" s="77"/>
      <c r="R41" s="89"/>
      <c r="S41" s="49">
        <v>191</v>
      </c>
      <c r="T41" s="49">
        <v>77</v>
      </c>
      <c r="U41" s="50">
        <v>36656</v>
      </c>
      <c r="V41" s="50">
        <v>0.005155</v>
      </c>
      <c r="W41" s="50">
        <v>0.069641</v>
      </c>
      <c r="X41" s="50">
        <v>84.522586</v>
      </c>
      <c r="Y41" s="50">
        <v>0.0001113895850737956</v>
      </c>
      <c r="Z41" s="50">
        <v>0.4</v>
      </c>
      <c r="AA41" s="72">
        <v>41</v>
      </c>
      <c r="AB41" s="72"/>
      <c r="AC41" s="73"/>
      <c r="AD41" s="80" t="s">
        <v>1616</v>
      </c>
      <c r="AE41" s="80" t="s">
        <v>2827</v>
      </c>
      <c r="AF41" s="80"/>
      <c r="AG41" s="80"/>
      <c r="AH41" s="80"/>
      <c r="AI41" s="80" t="s">
        <v>3024</v>
      </c>
      <c r="AJ41" s="80" t="s">
        <v>3125</v>
      </c>
      <c r="AK41" s="85" t="str">
        <f>HYPERLINK("https://yt3.ggpht.com/ytc/AKedOLQjdoYqyzGAIIWFlt_iZhULPyVsaeFU4SXATfd4iQ=s88-c-k-c0x00ffffff-no-rj")</f>
        <v>https://yt3.ggpht.com/ytc/AKedOLQjdoYqyzGAIIWFlt_iZhULPyVsaeFU4SXATfd4iQ=s88-c-k-c0x00ffffff-no-rj</v>
      </c>
      <c r="AL41" s="80">
        <v>8686602</v>
      </c>
      <c r="AM41" s="80">
        <v>0</v>
      </c>
      <c r="AN41" s="80">
        <v>65300</v>
      </c>
      <c r="AO41" s="80" t="b">
        <v>0</v>
      </c>
      <c r="AP41" s="80">
        <v>518</v>
      </c>
      <c r="AQ41" s="80"/>
      <c r="AR41" s="80"/>
      <c r="AS41" s="80" t="s">
        <v>3412</v>
      </c>
      <c r="AT41" s="85" t="str">
        <f>HYPERLINK("https://www.youtube.com/channel/UCbUhO-tut97b5IQhZ3i7TMA")</f>
        <v>https://www.youtube.com/channel/UCbUhO-tut97b5IQhZ3i7TMA</v>
      </c>
      <c r="AU41" s="80" t="str">
        <f>REPLACE(INDEX(GroupVertices[Group],MATCH(Vertices[[#This Row],[Vertex]],GroupVertices[Vertex],0)),1,1,"")</f>
        <v>1</v>
      </c>
      <c r="AV41" s="49">
        <v>79</v>
      </c>
      <c r="AW41" s="50">
        <v>10.219922380336351</v>
      </c>
      <c r="AX41" s="49">
        <v>9</v>
      </c>
      <c r="AY41" s="50">
        <v>1.1642949547218628</v>
      </c>
      <c r="AZ41" s="49">
        <v>0</v>
      </c>
      <c r="BA41" s="50">
        <v>0</v>
      </c>
      <c r="BB41" s="49">
        <v>685</v>
      </c>
      <c r="BC41" s="50">
        <v>88.61578266494179</v>
      </c>
      <c r="BD41" s="49">
        <v>773</v>
      </c>
      <c r="BE41" s="49"/>
      <c r="BF41" s="49"/>
      <c r="BG41" s="49"/>
      <c r="BH41" s="49"/>
      <c r="BI41" s="49"/>
      <c r="BJ41" s="49"/>
      <c r="BK41" s="111" t="s">
        <v>4449</v>
      </c>
      <c r="BL41" s="111" t="s">
        <v>4867</v>
      </c>
      <c r="BM41" s="111" t="s">
        <v>4930</v>
      </c>
      <c r="BN41" s="111" t="s">
        <v>4930</v>
      </c>
      <c r="BO41" s="2"/>
      <c r="BP41" s="3"/>
      <c r="BQ41" s="3"/>
      <c r="BR41" s="3"/>
      <c r="BS41" s="3"/>
    </row>
    <row r="42" spans="1:71" ht="15">
      <c r="A42" s="65" t="s">
        <v>267</v>
      </c>
      <c r="B42" s="66"/>
      <c r="C42" s="66"/>
      <c r="D42" s="67">
        <v>150</v>
      </c>
      <c r="E42" s="69"/>
      <c r="F42" s="103" t="str">
        <f>HYPERLINK("https://yt3.ggpht.com/ytc/AKedOLTVNLt_bUTErzf9ezEART0AjPhTmpaviCRGaQ=s88-c-k-c0x00ffffff-no-rj")</f>
        <v>https://yt3.ggpht.com/ytc/AKedOLTVNLt_bUTErzf9ezEART0AjPhTmpaviCRGaQ=s88-c-k-c0x00ffffff-no-rj</v>
      </c>
      <c r="G42" s="66"/>
      <c r="H42" s="70" t="s">
        <v>1596</v>
      </c>
      <c r="I42" s="71"/>
      <c r="J42" s="71" t="s">
        <v>159</v>
      </c>
      <c r="K42" s="70" t="s">
        <v>1596</v>
      </c>
      <c r="L42" s="74">
        <v>1</v>
      </c>
      <c r="M42" s="75">
        <v>3159.97900390625</v>
      </c>
      <c r="N42" s="75">
        <v>8163.4482421875</v>
      </c>
      <c r="O42" s="76"/>
      <c r="P42" s="77"/>
      <c r="Q42" s="77"/>
      <c r="R42" s="89"/>
      <c r="S42" s="49">
        <v>0</v>
      </c>
      <c r="T42" s="49">
        <v>1</v>
      </c>
      <c r="U42" s="50">
        <v>0</v>
      </c>
      <c r="V42" s="50">
        <v>0.002597</v>
      </c>
      <c r="W42" s="50">
        <v>0.00486</v>
      </c>
      <c r="X42" s="50">
        <v>0.526148</v>
      </c>
      <c r="Y42" s="50">
        <v>0</v>
      </c>
      <c r="Z42" s="50">
        <v>0</v>
      </c>
      <c r="AA42" s="72">
        <v>42</v>
      </c>
      <c r="AB42" s="72"/>
      <c r="AC42" s="73"/>
      <c r="AD42" s="80" t="s">
        <v>1596</v>
      </c>
      <c r="AE42" s="80"/>
      <c r="AF42" s="80"/>
      <c r="AG42" s="80"/>
      <c r="AH42" s="80"/>
      <c r="AI42" s="80"/>
      <c r="AJ42" s="80" t="s">
        <v>3126</v>
      </c>
      <c r="AK42" s="85" t="str">
        <f>HYPERLINK("https://yt3.ggpht.com/ytc/AKedOLTVNLt_bUTErzf9ezEART0AjPhTmpaviCRGaQ=s88-c-k-c0x00ffffff-no-rj")</f>
        <v>https://yt3.ggpht.com/ytc/AKedOLTVNLt_bUTErzf9ezEART0AjPhTmpaviCRGaQ=s88-c-k-c0x00ffffff-no-rj</v>
      </c>
      <c r="AL42" s="80">
        <v>0</v>
      </c>
      <c r="AM42" s="80">
        <v>0</v>
      </c>
      <c r="AN42" s="80">
        <v>0</v>
      </c>
      <c r="AO42" s="80" t="b">
        <v>0</v>
      </c>
      <c r="AP42" s="80">
        <v>0</v>
      </c>
      <c r="AQ42" s="80"/>
      <c r="AR42" s="80"/>
      <c r="AS42" s="80" t="s">
        <v>3412</v>
      </c>
      <c r="AT42" s="85" t="str">
        <f>HYPERLINK("https://www.youtube.com/channel/UC6jL00JL-Y4PTXFkQa0YtXw")</f>
        <v>https://www.youtube.com/channel/UC6jL00JL-Y4PTXFkQa0YtXw</v>
      </c>
      <c r="AU42" s="80" t="str">
        <f>REPLACE(INDEX(GroupVertices[Group],MATCH(Vertices[[#This Row],[Vertex]],GroupVertices[Vertex],0)),1,1,"")</f>
        <v>1</v>
      </c>
      <c r="AV42" s="49">
        <v>4</v>
      </c>
      <c r="AW42" s="50">
        <v>5.714285714285714</v>
      </c>
      <c r="AX42" s="49">
        <v>3</v>
      </c>
      <c r="AY42" s="50">
        <v>4.285714285714286</v>
      </c>
      <c r="AZ42" s="49">
        <v>0</v>
      </c>
      <c r="BA42" s="50">
        <v>0</v>
      </c>
      <c r="BB42" s="49">
        <v>63</v>
      </c>
      <c r="BC42" s="50">
        <v>90</v>
      </c>
      <c r="BD42" s="49">
        <v>70</v>
      </c>
      <c r="BE42" s="49"/>
      <c r="BF42" s="49"/>
      <c r="BG42" s="49"/>
      <c r="BH42" s="49"/>
      <c r="BI42" s="49"/>
      <c r="BJ42" s="49"/>
      <c r="BK42" s="111" t="s">
        <v>4450</v>
      </c>
      <c r="BL42" s="111" t="s">
        <v>4450</v>
      </c>
      <c r="BM42" s="111" t="s">
        <v>4931</v>
      </c>
      <c r="BN42" s="111" t="s">
        <v>4931</v>
      </c>
      <c r="BO42" s="2"/>
      <c r="BP42" s="3"/>
      <c r="BQ42" s="3"/>
      <c r="BR42" s="3"/>
      <c r="BS42" s="3"/>
    </row>
    <row r="43" spans="1:71" ht="15">
      <c r="A43" s="65" t="s">
        <v>268</v>
      </c>
      <c r="B43" s="66"/>
      <c r="C43" s="66"/>
      <c r="D43" s="67">
        <v>150</v>
      </c>
      <c r="E43" s="69"/>
      <c r="F43" s="103" t="str">
        <f>HYPERLINK("https://yt3.ggpht.com/ytc/AKedOLSZ8xwGrlibT4wW0q9Mqye8jqpF3KNZkiW6hTxr=s88-c-k-c0x00ffffff-no-rj")</f>
        <v>https://yt3.ggpht.com/ytc/AKedOLSZ8xwGrlibT4wW0q9Mqye8jqpF3KNZkiW6hTxr=s88-c-k-c0x00ffffff-no-rj</v>
      </c>
      <c r="G43" s="66"/>
      <c r="H43" s="70" t="s">
        <v>1597</v>
      </c>
      <c r="I43" s="71"/>
      <c r="J43" s="71" t="s">
        <v>159</v>
      </c>
      <c r="K43" s="70" t="s">
        <v>1597</v>
      </c>
      <c r="L43" s="74">
        <v>1</v>
      </c>
      <c r="M43" s="75">
        <v>2962.1123046875</v>
      </c>
      <c r="N43" s="75">
        <v>8718.1923828125</v>
      </c>
      <c r="O43" s="76"/>
      <c r="P43" s="77"/>
      <c r="Q43" s="77"/>
      <c r="R43" s="89"/>
      <c r="S43" s="49">
        <v>0</v>
      </c>
      <c r="T43" s="49">
        <v>1</v>
      </c>
      <c r="U43" s="50">
        <v>0</v>
      </c>
      <c r="V43" s="50">
        <v>0.002597</v>
      </c>
      <c r="W43" s="50">
        <v>0.00486</v>
      </c>
      <c r="X43" s="50">
        <v>0.526148</v>
      </c>
      <c r="Y43" s="50">
        <v>0</v>
      </c>
      <c r="Z43" s="50">
        <v>0</v>
      </c>
      <c r="AA43" s="72">
        <v>43</v>
      </c>
      <c r="AB43" s="72"/>
      <c r="AC43" s="73"/>
      <c r="AD43" s="80" t="s">
        <v>1597</v>
      </c>
      <c r="AE43" s="80"/>
      <c r="AF43" s="80"/>
      <c r="AG43" s="80"/>
      <c r="AH43" s="80"/>
      <c r="AI43" s="80"/>
      <c r="AJ43" s="80" t="s">
        <v>3127</v>
      </c>
      <c r="AK43" s="85" t="str">
        <f>HYPERLINK("https://yt3.ggpht.com/ytc/AKedOLSZ8xwGrlibT4wW0q9Mqye8jqpF3KNZkiW6hTxr=s88-c-k-c0x00ffffff-no-rj")</f>
        <v>https://yt3.ggpht.com/ytc/AKedOLSZ8xwGrlibT4wW0q9Mqye8jqpF3KNZkiW6hTxr=s88-c-k-c0x00ffffff-no-rj</v>
      </c>
      <c r="AL43" s="80">
        <v>0</v>
      </c>
      <c r="AM43" s="80">
        <v>0</v>
      </c>
      <c r="AN43" s="80">
        <v>2</v>
      </c>
      <c r="AO43" s="80" t="b">
        <v>0</v>
      </c>
      <c r="AP43" s="80">
        <v>0</v>
      </c>
      <c r="AQ43" s="80"/>
      <c r="AR43" s="80"/>
      <c r="AS43" s="80" t="s">
        <v>3412</v>
      </c>
      <c r="AT43" s="85" t="str">
        <f>HYPERLINK("https://www.youtube.com/channel/UCSsxCzEeuuL06aJ6VVde8eA")</f>
        <v>https://www.youtube.com/channel/UCSsxCzEeuuL06aJ6VVde8eA</v>
      </c>
      <c r="AU43" s="80" t="str">
        <f>REPLACE(INDEX(GroupVertices[Group],MATCH(Vertices[[#This Row],[Vertex]],GroupVertices[Vertex],0)),1,1,"")</f>
        <v>1</v>
      </c>
      <c r="AV43" s="49">
        <v>2</v>
      </c>
      <c r="AW43" s="50">
        <v>18.181818181818183</v>
      </c>
      <c r="AX43" s="49">
        <v>0</v>
      </c>
      <c r="AY43" s="50">
        <v>0</v>
      </c>
      <c r="AZ43" s="49">
        <v>0</v>
      </c>
      <c r="BA43" s="50">
        <v>0</v>
      </c>
      <c r="BB43" s="49">
        <v>9</v>
      </c>
      <c r="BC43" s="50">
        <v>81.81818181818181</v>
      </c>
      <c r="BD43" s="49">
        <v>11</v>
      </c>
      <c r="BE43" s="49"/>
      <c r="BF43" s="49"/>
      <c r="BG43" s="49"/>
      <c r="BH43" s="49"/>
      <c r="BI43" s="49"/>
      <c r="BJ43" s="49"/>
      <c r="BK43" s="111" t="s">
        <v>4451</v>
      </c>
      <c r="BL43" s="111" t="s">
        <v>4451</v>
      </c>
      <c r="BM43" s="111" t="s">
        <v>4932</v>
      </c>
      <c r="BN43" s="111" t="s">
        <v>4932</v>
      </c>
      <c r="BO43" s="2"/>
      <c r="BP43" s="3"/>
      <c r="BQ43" s="3"/>
      <c r="BR43" s="3"/>
      <c r="BS43" s="3"/>
    </row>
    <row r="44" spans="1:71" ht="15">
      <c r="A44" s="65" t="s">
        <v>269</v>
      </c>
      <c r="B44" s="66"/>
      <c r="C44" s="66"/>
      <c r="D44" s="67">
        <v>150</v>
      </c>
      <c r="E44" s="69"/>
      <c r="F44" s="103" t="str">
        <f>HYPERLINK("https://yt3.ggpht.com/ytc/AKedOLTFVpiDMx-6jT3L_seBlIZxIw-MVJd8KOqjwA=s88-c-k-c0x00ffffff-no-rj")</f>
        <v>https://yt3.ggpht.com/ytc/AKedOLTFVpiDMx-6jT3L_seBlIZxIw-MVJd8KOqjwA=s88-c-k-c0x00ffffff-no-rj</v>
      </c>
      <c r="G44" s="66"/>
      <c r="H44" s="70" t="s">
        <v>1598</v>
      </c>
      <c r="I44" s="71"/>
      <c r="J44" s="71" t="s">
        <v>159</v>
      </c>
      <c r="K44" s="70" t="s">
        <v>1598</v>
      </c>
      <c r="L44" s="74">
        <v>1</v>
      </c>
      <c r="M44" s="75">
        <v>3845.3955078125</v>
      </c>
      <c r="N44" s="75">
        <v>8239.056640625</v>
      </c>
      <c r="O44" s="76"/>
      <c r="P44" s="77"/>
      <c r="Q44" s="77"/>
      <c r="R44" s="89"/>
      <c r="S44" s="49">
        <v>0</v>
      </c>
      <c r="T44" s="49">
        <v>1</v>
      </c>
      <c r="U44" s="50">
        <v>0</v>
      </c>
      <c r="V44" s="50">
        <v>0.002597</v>
      </c>
      <c r="W44" s="50">
        <v>0.00486</v>
      </c>
      <c r="X44" s="50">
        <v>0.526148</v>
      </c>
      <c r="Y44" s="50">
        <v>0</v>
      </c>
      <c r="Z44" s="50">
        <v>0</v>
      </c>
      <c r="AA44" s="72">
        <v>44</v>
      </c>
      <c r="AB44" s="72"/>
      <c r="AC44" s="73"/>
      <c r="AD44" s="80" t="s">
        <v>1598</v>
      </c>
      <c r="AE44" s="80"/>
      <c r="AF44" s="80"/>
      <c r="AG44" s="80"/>
      <c r="AH44" s="80"/>
      <c r="AI44" s="80"/>
      <c r="AJ44" s="87">
        <v>41985.62331018518</v>
      </c>
      <c r="AK44" s="85" t="str">
        <f>HYPERLINK("https://yt3.ggpht.com/ytc/AKedOLTFVpiDMx-6jT3L_seBlIZxIw-MVJd8KOqjwA=s88-c-k-c0x00ffffff-no-rj")</f>
        <v>https://yt3.ggpht.com/ytc/AKedOLTFVpiDMx-6jT3L_seBlIZxIw-MVJd8KOqjwA=s88-c-k-c0x00ffffff-no-rj</v>
      </c>
      <c r="AL44" s="80">
        <v>0</v>
      </c>
      <c r="AM44" s="80">
        <v>0</v>
      </c>
      <c r="AN44" s="80">
        <v>0</v>
      </c>
      <c r="AO44" s="80" t="b">
        <v>0</v>
      </c>
      <c r="AP44" s="80">
        <v>0</v>
      </c>
      <c r="AQ44" s="80"/>
      <c r="AR44" s="80"/>
      <c r="AS44" s="80" t="s">
        <v>3412</v>
      </c>
      <c r="AT44" s="85" t="str">
        <f>HYPERLINK("https://www.youtube.com/channel/UC231SAu_r4ieV7M177NEedg")</f>
        <v>https://www.youtube.com/channel/UC231SAu_r4ieV7M177NEedg</v>
      </c>
      <c r="AU44" s="80" t="str">
        <f>REPLACE(INDEX(GroupVertices[Group],MATCH(Vertices[[#This Row],[Vertex]],GroupVertices[Vertex],0)),1,1,"")</f>
        <v>1</v>
      </c>
      <c r="AV44" s="49">
        <v>4</v>
      </c>
      <c r="AW44" s="50">
        <v>9.75609756097561</v>
      </c>
      <c r="AX44" s="49">
        <v>0</v>
      </c>
      <c r="AY44" s="50">
        <v>0</v>
      </c>
      <c r="AZ44" s="49">
        <v>0</v>
      </c>
      <c r="BA44" s="50">
        <v>0</v>
      </c>
      <c r="BB44" s="49">
        <v>37</v>
      </c>
      <c r="BC44" s="50">
        <v>90.2439024390244</v>
      </c>
      <c r="BD44" s="49">
        <v>41</v>
      </c>
      <c r="BE44" s="49"/>
      <c r="BF44" s="49"/>
      <c r="BG44" s="49"/>
      <c r="BH44" s="49"/>
      <c r="BI44" s="49"/>
      <c r="BJ44" s="49"/>
      <c r="BK44" s="111" t="s">
        <v>4452</v>
      </c>
      <c r="BL44" s="111" t="s">
        <v>4452</v>
      </c>
      <c r="BM44" s="111" t="s">
        <v>4933</v>
      </c>
      <c r="BN44" s="111" t="s">
        <v>4933</v>
      </c>
      <c r="BO44" s="2"/>
      <c r="BP44" s="3"/>
      <c r="BQ44" s="3"/>
      <c r="BR44" s="3"/>
      <c r="BS44" s="3"/>
    </row>
    <row r="45" spans="1:71" ht="15">
      <c r="A45" s="65" t="s">
        <v>270</v>
      </c>
      <c r="B45" s="66"/>
      <c r="C45" s="66"/>
      <c r="D45" s="67">
        <v>150</v>
      </c>
      <c r="E45" s="69"/>
      <c r="F45" s="103" t="str">
        <f>HYPERLINK("https://yt3.ggpht.com/ytc/AKedOLR4bL8I-RJ5c9WGMNdPVJ1MiuIPrTjxkUNzRA=s88-c-k-c0x00ffffff-no-rj")</f>
        <v>https://yt3.ggpht.com/ytc/AKedOLR4bL8I-RJ5c9WGMNdPVJ1MiuIPrTjxkUNzRA=s88-c-k-c0x00ffffff-no-rj</v>
      </c>
      <c r="G45" s="66"/>
      <c r="H45" s="70" t="s">
        <v>1599</v>
      </c>
      <c r="I45" s="71"/>
      <c r="J45" s="71" t="s">
        <v>159</v>
      </c>
      <c r="K45" s="70" t="s">
        <v>1599</v>
      </c>
      <c r="L45" s="74">
        <v>1</v>
      </c>
      <c r="M45" s="75">
        <v>5458.048828125</v>
      </c>
      <c r="N45" s="75">
        <v>7751.84130859375</v>
      </c>
      <c r="O45" s="76"/>
      <c r="P45" s="77"/>
      <c r="Q45" s="77"/>
      <c r="R45" s="89"/>
      <c r="S45" s="49">
        <v>0</v>
      </c>
      <c r="T45" s="49">
        <v>1</v>
      </c>
      <c r="U45" s="50">
        <v>0</v>
      </c>
      <c r="V45" s="50">
        <v>0.002597</v>
      </c>
      <c r="W45" s="50">
        <v>0.00486</v>
      </c>
      <c r="X45" s="50">
        <v>0.526148</v>
      </c>
      <c r="Y45" s="50">
        <v>0</v>
      </c>
      <c r="Z45" s="50">
        <v>0</v>
      </c>
      <c r="AA45" s="72">
        <v>45</v>
      </c>
      <c r="AB45" s="72"/>
      <c r="AC45" s="73"/>
      <c r="AD45" s="80" t="s">
        <v>1599</v>
      </c>
      <c r="AE45" s="80"/>
      <c r="AF45" s="80"/>
      <c r="AG45" s="80"/>
      <c r="AH45" s="80"/>
      <c r="AI45" s="80"/>
      <c r="AJ45" s="80" t="s">
        <v>3128</v>
      </c>
      <c r="AK45" s="85" t="str">
        <f>HYPERLINK("https://yt3.ggpht.com/ytc/AKedOLR4bL8I-RJ5c9WGMNdPVJ1MiuIPrTjxkUNzRA=s88-c-k-c0x00ffffff-no-rj")</f>
        <v>https://yt3.ggpht.com/ytc/AKedOLR4bL8I-RJ5c9WGMNdPVJ1MiuIPrTjxkUNzRA=s88-c-k-c0x00ffffff-no-rj</v>
      </c>
      <c r="AL45" s="80">
        <v>0</v>
      </c>
      <c r="AM45" s="80">
        <v>0</v>
      </c>
      <c r="AN45" s="80">
        <v>0</v>
      </c>
      <c r="AO45" s="80" t="b">
        <v>0</v>
      </c>
      <c r="AP45" s="80">
        <v>0</v>
      </c>
      <c r="AQ45" s="80"/>
      <c r="AR45" s="80"/>
      <c r="AS45" s="80" t="s">
        <v>3412</v>
      </c>
      <c r="AT45" s="85" t="str">
        <f>HYPERLINK("https://www.youtube.com/channel/UCra_RTJ8-u_qg7FEsTc3v_A")</f>
        <v>https://www.youtube.com/channel/UCra_RTJ8-u_qg7FEsTc3v_A</v>
      </c>
      <c r="AU45" s="80" t="str">
        <f>REPLACE(INDEX(GroupVertices[Group],MATCH(Vertices[[#This Row],[Vertex]],GroupVertices[Vertex],0)),1,1,"")</f>
        <v>1</v>
      </c>
      <c r="AV45" s="49">
        <v>7</v>
      </c>
      <c r="AW45" s="50">
        <v>9.210526315789474</v>
      </c>
      <c r="AX45" s="49">
        <v>3</v>
      </c>
      <c r="AY45" s="50">
        <v>3.9473684210526314</v>
      </c>
      <c r="AZ45" s="49">
        <v>0</v>
      </c>
      <c r="BA45" s="50">
        <v>0</v>
      </c>
      <c r="BB45" s="49">
        <v>66</v>
      </c>
      <c r="BC45" s="50">
        <v>86.84210526315789</v>
      </c>
      <c r="BD45" s="49">
        <v>76</v>
      </c>
      <c r="BE45" s="49"/>
      <c r="BF45" s="49"/>
      <c r="BG45" s="49"/>
      <c r="BH45" s="49"/>
      <c r="BI45" s="49"/>
      <c r="BJ45" s="49"/>
      <c r="BK45" s="111" t="s">
        <v>4453</v>
      </c>
      <c r="BL45" s="111" t="s">
        <v>4453</v>
      </c>
      <c r="BM45" s="111" t="s">
        <v>4934</v>
      </c>
      <c r="BN45" s="111" t="s">
        <v>4934</v>
      </c>
      <c r="BO45" s="2"/>
      <c r="BP45" s="3"/>
      <c r="BQ45" s="3"/>
      <c r="BR45" s="3"/>
      <c r="BS45" s="3"/>
    </row>
    <row r="46" spans="1:71" ht="15">
      <c r="A46" s="65" t="s">
        <v>271</v>
      </c>
      <c r="B46" s="66"/>
      <c r="C46" s="66"/>
      <c r="D46" s="67">
        <v>150</v>
      </c>
      <c r="E46" s="69"/>
      <c r="F46" s="103" t="str">
        <f>HYPERLINK("https://yt3.ggpht.com/ytc/AKedOLRRkW65U9XxIbjfKGR8TY1C0k9hvkm8kYUET49b=s88-c-k-c0x00ffffff-no-rj")</f>
        <v>https://yt3.ggpht.com/ytc/AKedOLRRkW65U9XxIbjfKGR8TY1C0k9hvkm8kYUET49b=s88-c-k-c0x00ffffff-no-rj</v>
      </c>
      <c r="G46" s="66"/>
      <c r="H46" s="70" t="s">
        <v>1600</v>
      </c>
      <c r="I46" s="71"/>
      <c r="J46" s="71" t="s">
        <v>159</v>
      </c>
      <c r="K46" s="70" t="s">
        <v>1600</v>
      </c>
      <c r="L46" s="74">
        <v>1</v>
      </c>
      <c r="M46" s="75">
        <v>4347.18017578125</v>
      </c>
      <c r="N46" s="75">
        <v>8018.81689453125</v>
      </c>
      <c r="O46" s="76"/>
      <c r="P46" s="77"/>
      <c r="Q46" s="77"/>
      <c r="R46" s="89"/>
      <c r="S46" s="49">
        <v>0</v>
      </c>
      <c r="T46" s="49">
        <v>1</v>
      </c>
      <c r="U46" s="50">
        <v>0</v>
      </c>
      <c r="V46" s="50">
        <v>0.002597</v>
      </c>
      <c r="W46" s="50">
        <v>0.00486</v>
      </c>
      <c r="X46" s="50">
        <v>0.526148</v>
      </c>
      <c r="Y46" s="50">
        <v>0</v>
      </c>
      <c r="Z46" s="50">
        <v>0</v>
      </c>
      <c r="AA46" s="72">
        <v>46</v>
      </c>
      <c r="AB46" s="72"/>
      <c r="AC46" s="73"/>
      <c r="AD46" s="80" t="s">
        <v>1600</v>
      </c>
      <c r="AE46" s="80"/>
      <c r="AF46" s="80"/>
      <c r="AG46" s="80"/>
      <c r="AH46" s="80"/>
      <c r="AI46" s="80"/>
      <c r="AJ46" s="87">
        <v>40796.86550925926</v>
      </c>
      <c r="AK46" s="85" t="str">
        <f>HYPERLINK("https://yt3.ggpht.com/ytc/AKedOLRRkW65U9XxIbjfKGR8TY1C0k9hvkm8kYUET49b=s88-c-k-c0x00ffffff-no-rj")</f>
        <v>https://yt3.ggpht.com/ytc/AKedOLRRkW65U9XxIbjfKGR8TY1C0k9hvkm8kYUET49b=s88-c-k-c0x00ffffff-no-rj</v>
      </c>
      <c r="AL46" s="80">
        <v>0</v>
      </c>
      <c r="AM46" s="80">
        <v>0</v>
      </c>
      <c r="AN46" s="80">
        <v>0</v>
      </c>
      <c r="AO46" s="80" t="b">
        <v>0</v>
      </c>
      <c r="AP46" s="80">
        <v>0</v>
      </c>
      <c r="AQ46" s="80"/>
      <c r="AR46" s="80"/>
      <c r="AS46" s="80" t="s">
        <v>3412</v>
      </c>
      <c r="AT46" s="85" t="str">
        <f>HYPERLINK("https://www.youtube.com/channel/UCAgfa5wms3giPz-TJlvrupg")</f>
        <v>https://www.youtube.com/channel/UCAgfa5wms3giPz-TJlvrupg</v>
      </c>
      <c r="AU46" s="80" t="str">
        <f>REPLACE(INDEX(GroupVertices[Group],MATCH(Vertices[[#This Row],[Vertex]],GroupVertices[Vertex],0)),1,1,"")</f>
        <v>1</v>
      </c>
      <c r="AV46" s="49">
        <v>4</v>
      </c>
      <c r="AW46" s="50">
        <v>7.142857142857143</v>
      </c>
      <c r="AX46" s="49">
        <v>1</v>
      </c>
      <c r="AY46" s="50">
        <v>1.7857142857142858</v>
      </c>
      <c r="AZ46" s="49">
        <v>0</v>
      </c>
      <c r="BA46" s="50">
        <v>0</v>
      </c>
      <c r="BB46" s="49">
        <v>51</v>
      </c>
      <c r="BC46" s="50">
        <v>91.07142857142857</v>
      </c>
      <c r="BD46" s="49">
        <v>56</v>
      </c>
      <c r="BE46" s="49"/>
      <c r="BF46" s="49"/>
      <c r="BG46" s="49"/>
      <c r="BH46" s="49"/>
      <c r="BI46" s="49"/>
      <c r="BJ46" s="49"/>
      <c r="BK46" s="111" t="s">
        <v>4454</v>
      </c>
      <c r="BL46" s="111" t="s">
        <v>4454</v>
      </c>
      <c r="BM46" s="111" t="s">
        <v>4935</v>
      </c>
      <c r="BN46" s="111" t="s">
        <v>4935</v>
      </c>
      <c r="BO46" s="2"/>
      <c r="BP46" s="3"/>
      <c r="BQ46" s="3"/>
      <c r="BR46" s="3"/>
      <c r="BS46" s="3"/>
    </row>
    <row r="47" spans="1:71" ht="15">
      <c r="A47" s="65" t="s">
        <v>272</v>
      </c>
      <c r="B47" s="66"/>
      <c r="C47" s="66"/>
      <c r="D47" s="67">
        <v>150</v>
      </c>
      <c r="E47" s="69"/>
      <c r="F47" s="103" t="str">
        <f>HYPERLINK("https://yt3.ggpht.com/ytc/AKedOLSVy5AR9O6uXCi_cx9yQ5cAR1-lf2fo_k1FfJwZ=s88-c-k-c0x00ffffff-no-rj")</f>
        <v>https://yt3.ggpht.com/ytc/AKedOLSVy5AR9O6uXCi_cx9yQ5cAR1-lf2fo_k1FfJwZ=s88-c-k-c0x00ffffff-no-rj</v>
      </c>
      <c r="G47" s="66"/>
      <c r="H47" s="70" t="s">
        <v>1601</v>
      </c>
      <c r="I47" s="71"/>
      <c r="J47" s="71" t="s">
        <v>159</v>
      </c>
      <c r="K47" s="70" t="s">
        <v>1601</v>
      </c>
      <c r="L47" s="74">
        <v>1</v>
      </c>
      <c r="M47" s="75">
        <v>9820.4462890625</v>
      </c>
      <c r="N47" s="75">
        <v>8217.6142578125</v>
      </c>
      <c r="O47" s="76"/>
      <c r="P47" s="77"/>
      <c r="Q47" s="77"/>
      <c r="R47" s="89"/>
      <c r="S47" s="49">
        <v>0</v>
      </c>
      <c r="T47" s="49">
        <v>1</v>
      </c>
      <c r="U47" s="50">
        <v>0</v>
      </c>
      <c r="V47" s="50">
        <v>0.002597</v>
      </c>
      <c r="W47" s="50">
        <v>0.00486</v>
      </c>
      <c r="X47" s="50">
        <v>0.526148</v>
      </c>
      <c r="Y47" s="50">
        <v>0</v>
      </c>
      <c r="Z47" s="50">
        <v>0</v>
      </c>
      <c r="AA47" s="72">
        <v>47</v>
      </c>
      <c r="AB47" s="72"/>
      <c r="AC47" s="73"/>
      <c r="AD47" s="80" t="s">
        <v>1601</v>
      </c>
      <c r="AE47" s="80"/>
      <c r="AF47" s="80"/>
      <c r="AG47" s="80"/>
      <c r="AH47" s="80"/>
      <c r="AI47" s="80"/>
      <c r="AJ47" s="87">
        <v>43564.94767361111</v>
      </c>
      <c r="AK47" s="85" t="str">
        <f>HYPERLINK("https://yt3.ggpht.com/ytc/AKedOLSVy5AR9O6uXCi_cx9yQ5cAR1-lf2fo_k1FfJwZ=s88-c-k-c0x00ffffff-no-rj")</f>
        <v>https://yt3.ggpht.com/ytc/AKedOLSVy5AR9O6uXCi_cx9yQ5cAR1-lf2fo_k1FfJwZ=s88-c-k-c0x00ffffff-no-rj</v>
      </c>
      <c r="AL47" s="80">
        <v>0</v>
      </c>
      <c r="AM47" s="80">
        <v>0</v>
      </c>
      <c r="AN47" s="80">
        <v>0</v>
      </c>
      <c r="AO47" s="80" t="b">
        <v>0</v>
      </c>
      <c r="AP47" s="80">
        <v>0</v>
      </c>
      <c r="AQ47" s="80"/>
      <c r="AR47" s="80"/>
      <c r="AS47" s="80" t="s">
        <v>3412</v>
      </c>
      <c r="AT47" s="85" t="str">
        <f>HYPERLINK("https://www.youtube.com/channel/UCVca94o9ajc4K5O4TVzbgGg")</f>
        <v>https://www.youtube.com/channel/UCVca94o9ajc4K5O4TVzbgGg</v>
      </c>
      <c r="AU47" s="80" t="str">
        <f>REPLACE(INDEX(GroupVertices[Group],MATCH(Vertices[[#This Row],[Vertex]],GroupVertices[Vertex],0)),1,1,"")</f>
        <v>1</v>
      </c>
      <c r="AV47" s="49">
        <v>1</v>
      </c>
      <c r="AW47" s="50">
        <v>6.25</v>
      </c>
      <c r="AX47" s="49">
        <v>1</v>
      </c>
      <c r="AY47" s="50">
        <v>6.25</v>
      </c>
      <c r="AZ47" s="49">
        <v>0</v>
      </c>
      <c r="BA47" s="50">
        <v>0</v>
      </c>
      <c r="BB47" s="49">
        <v>14</v>
      </c>
      <c r="BC47" s="50">
        <v>87.5</v>
      </c>
      <c r="BD47" s="49">
        <v>16</v>
      </c>
      <c r="BE47" s="49"/>
      <c r="BF47" s="49"/>
      <c r="BG47" s="49"/>
      <c r="BH47" s="49"/>
      <c r="BI47" s="49"/>
      <c r="BJ47" s="49"/>
      <c r="BK47" s="111" t="s">
        <v>4455</v>
      </c>
      <c r="BL47" s="111" t="s">
        <v>4455</v>
      </c>
      <c r="BM47" s="111" t="s">
        <v>4936</v>
      </c>
      <c r="BN47" s="111" t="s">
        <v>4936</v>
      </c>
      <c r="BO47" s="2"/>
      <c r="BP47" s="3"/>
      <c r="BQ47" s="3"/>
      <c r="BR47" s="3"/>
      <c r="BS47" s="3"/>
    </row>
    <row r="48" spans="1:71" ht="15">
      <c r="A48" s="65" t="s">
        <v>273</v>
      </c>
      <c r="B48" s="66"/>
      <c r="C48" s="66"/>
      <c r="D48" s="67">
        <v>150</v>
      </c>
      <c r="E48" s="69"/>
      <c r="F48" s="103" t="str">
        <f>HYPERLINK("https://yt3.ggpht.com/ytc/AKedOLT2ZD-7Bict99wtLNN9e5SrD10T37gK8LyFnA=s88-c-k-c0x00ffffff-no-rj")</f>
        <v>https://yt3.ggpht.com/ytc/AKedOLT2ZD-7Bict99wtLNN9e5SrD10T37gK8LyFnA=s88-c-k-c0x00ffffff-no-rj</v>
      </c>
      <c r="G48" s="66"/>
      <c r="H48" s="70" t="s">
        <v>1602</v>
      </c>
      <c r="I48" s="71"/>
      <c r="J48" s="71" t="s">
        <v>159</v>
      </c>
      <c r="K48" s="70" t="s">
        <v>1602</v>
      </c>
      <c r="L48" s="74">
        <v>1</v>
      </c>
      <c r="M48" s="75">
        <v>5291.2509765625</v>
      </c>
      <c r="N48" s="75">
        <v>7249.615234375</v>
      </c>
      <c r="O48" s="76"/>
      <c r="P48" s="77"/>
      <c r="Q48" s="77"/>
      <c r="R48" s="89"/>
      <c r="S48" s="49">
        <v>0</v>
      </c>
      <c r="T48" s="49">
        <v>1</v>
      </c>
      <c r="U48" s="50">
        <v>0</v>
      </c>
      <c r="V48" s="50">
        <v>0.002597</v>
      </c>
      <c r="W48" s="50">
        <v>0.00486</v>
      </c>
      <c r="X48" s="50">
        <v>0.526148</v>
      </c>
      <c r="Y48" s="50">
        <v>0</v>
      </c>
      <c r="Z48" s="50">
        <v>0</v>
      </c>
      <c r="AA48" s="72">
        <v>48</v>
      </c>
      <c r="AB48" s="72"/>
      <c r="AC48" s="73"/>
      <c r="AD48" s="80" t="s">
        <v>1602</v>
      </c>
      <c r="AE48" s="80"/>
      <c r="AF48" s="80"/>
      <c r="AG48" s="80"/>
      <c r="AH48" s="80"/>
      <c r="AI48" s="80"/>
      <c r="AJ48" s="87">
        <v>43376.70627314815</v>
      </c>
      <c r="AK48" s="85" t="str">
        <f>HYPERLINK("https://yt3.ggpht.com/ytc/AKedOLT2ZD-7Bict99wtLNN9e5SrD10T37gK8LyFnA=s88-c-k-c0x00ffffff-no-rj")</f>
        <v>https://yt3.ggpht.com/ytc/AKedOLT2ZD-7Bict99wtLNN9e5SrD10T37gK8LyFnA=s88-c-k-c0x00ffffff-no-rj</v>
      </c>
      <c r="AL48" s="80">
        <v>0</v>
      </c>
      <c r="AM48" s="80">
        <v>0</v>
      </c>
      <c r="AN48" s="80">
        <v>0</v>
      </c>
      <c r="AO48" s="80" t="b">
        <v>0</v>
      </c>
      <c r="AP48" s="80">
        <v>0</v>
      </c>
      <c r="AQ48" s="80"/>
      <c r="AR48" s="80"/>
      <c r="AS48" s="80" t="s">
        <v>3412</v>
      </c>
      <c r="AT48" s="85" t="str">
        <f>HYPERLINK("https://www.youtube.com/channel/UCBHiZ2I6P89WK8fMBnMcajw")</f>
        <v>https://www.youtube.com/channel/UCBHiZ2I6P89WK8fMBnMcajw</v>
      </c>
      <c r="AU48" s="80" t="str">
        <f>REPLACE(INDEX(GroupVertices[Group],MATCH(Vertices[[#This Row],[Vertex]],GroupVertices[Vertex],0)),1,1,"")</f>
        <v>1</v>
      </c>
      <c r="AV48" s="49">
        <v>1</v>
      </c>
      <c r="AW48" s="50">
        <v>7.142857142857143</v>
      </c>
      <c r="AX48" s="49">
        <v>0</v>
      </c>
      <c r="AY48" s="50">
        <v>0</v>
      </c>
      <c r="AZ48" s="49">
        <v>0</v>
      </c>
      <c r="BA48" s="50">
        <v>0</v>
      </c>
      <c r="BB48" s="49">
        <v>13</v>
      </c>
      <c r="BC48" s="50">
        <v>92.85714285714286</v>
      </c>
      <c r="BD48" s="49">
        <v>14</v>
      </c>
      <c r="BE48" s="49"/>
      <c r="BF48" s="49"/>
      <c r="BG48" s="49"/>
      <c r="BH48" s="49"/>
      <c r="BI48" s="49"/>
      <c r="BJ48" s="49"/>
      <c r="BK48" s="111" t="s">
        <v>4456</v>
      </c>
      <c r="BL48" s="111" t="s">
        <v>4456</v>
      </c>
      <c r="BM48" s="111" t="s">
        <v>4937</v>
      </c>
      <c r="BN48" s="111" t="s">
        <v>4937</v>
      </c>
      <c r="BO48" s="2"/>
      <c r="BP48" s="3"/>
      <c r="BQ48" s="3"/>
      <c r="BR48" s="3"/>
      <c r="BS48" s="3"/>
    </row>
    <row r="49" spans="1:71" ht="15">
      <c r="A49" s="65" t="s">
        <v>274</v>
      </c>
      <c r="B49" s="66"/>
      <c r="C49" s="66"/>
      <c r="D49" s="67">
        <v>150</v>
      </c>
      <c r="E49" s="69"/>
      <c r="F49" s="103" t="str">
        <f>HYPERLINK("https://yt3.ggpht.com/ytc/AKedOLTn9F3CF1tTGTbGaDrtEDOVu2HutjX3GetY2fEb=s88-c-k-c0x00ffffff-no-rj")</f>
        <v>https://yt3.ggpht.com/ytc/AKedOLTn9F3CF1tTGTbGaDrtEDOVu2HutjX3GetY2fEb=s88-c-k-c0x00ffffff-no-rj</v>
      </c>
      <c r="G49" s="66"/>
      <c r="H49" s="70" t="s">
        <v>1603</v>
      </c>
      <c r="I49" s="71"/>
      <c r="J49" s="71" t="s">
        <v>159</v>
      </c>
      <c r="K49" s="70" t="s">
        <v>1603</v>
      </c>
      <c r="L49" s="74">
        <v>1</v>
      </c>
      <c r="M49" s="75">
        <v>9446.892578125</v>
      </c>
      <c r="N49" s="75">
        <v>8081.58203125</v>
      </c>
      <c r="O49" s="76"/>
      <c r="P49" s="77"/>
      <c r="Q49" s="77"/>
      <c r="R49" s="89"/>
      <c r="S49" s="49">
        <v>0</v>
      </c>
      <c r="T49" s="49">
        <v>1</v>
      </c>
      <c r="U49" s="50">
        <v>0</v>
      </c>
      <c r="V49" s="50">
        <v>0.002597</v>
      </c>
      <c r="W49" s="50">
        <v>0.00486</v>
      </c>
      <c r="X49" s="50">
        <v>0.526148</v>
      </c>
      <c r="Y49" s="50">
        <v>0</v>
      </c>
      <c r="Z49" s="50">
        <v>0</v>
      </c>
      <c r="AA49" s="72">
        <v>49</v>
      </c>
      <c r="AB49" s="72"/>
      <c r="AC49" s="73"/>
      <c r="AD49" s="80" t="s">
        <v>1603</v>
      </c>
      <c r="AE49" s="80"/>
      <c r="AF49" s="80"/>
      <c r="AG49" s="80"/>
      <c r="AH49" s="80"/>
      <c r="AI49" s="80"/>
      <c r="AJ49" s="87">
        <v>42708.24130787037</v>
      </c>
      <c r="AK49" s="85" t="str">
        <f>HYPERLINK("https://yt3.ggpht.com/ytc/AKedOLTn9F3CF1tTGTbGaDrtEDOVu2HutjX3GetY2fEb=s88-c-k-c0x00ffffff-no-rj")</f>
        <v>https://yt3.ggpht.com/ytc/AKedOLTn9F3CF1tTGTbGaDrtEDOVu2HutjX3GetY2fEb=s88-c-k-c0x00ffffff-no-rj</v>
      </c>
      <c r="AL49" s="80">
        <v>0</v>
      </c>
      <c r="AM49" s="80">
        <v>0</v>
      </c>
      <c r="AN49" s="80">
        <v>7</v>
      </c>
      <c r="AO49" s="80" t="b">
        <v>0</v>
      </c>
      <c r="AP49" s="80">
        <v>0</v>
      </c>
      <c r="AQ49" s="80"/>
      <c r="AR49" s="80"/>
      <c r="AS49" s="80" t="s">
        <v>3412</v>
      </c>
      <c r="AT49" s="85" t="str">
        <f>HYPERLINK("https://www.youtube.com/channel/UCB2xDM90FsYLtQZa8iben6w")</f>
        <v>https://www.youtube.com/channel/UCB2xDM90FsYLtQZa8iben6w</v>
      </c>
      <c r="AU49" s="80" t="str">
        <f>REPLACE(INDEX(GroupVertices[Group],MATCH(Vertices[[#This Row],[Vertex]],GroupVertices[Vertex],0)),1,1,"")</f>
        <v>1</v>
      </c>
      <c r="AV49" s="49">
        <v>1</v>
      </c>
      <c r="AW49" s="50">
        <v>6.666666666666667</v>
      </c>
      <c r="AX49" s="49">
        <v>0</v>
      </c>
      <c r="AY49" s="50">
        <v>0</v>
      </c>
      <c r="AZ49" s="49">
        <v>0</v>
      </c>
      <c r="BA49" s="50">
        <v>0</v>
      </c>
      <c r="BB49" s="49">
        <v>14</v>
      </c>
      <c r="BC49" s="50">
        <v>93.33333333333333</v>
      </c>
      <c r="BD49" s="49">
        <v>15</v>
      </c>
      <c r="BE49" s="49"/>
      <c r="BF49" s="49"/>
      <c r="BG49" s="49"/>
      <c r="BH49" s="49"/>
      <c r="BI49" s="49"/>
      <c r="BJ49" s="49"/>
      <c r="BK49" s="111" t="s">
        <v>4457</v>
      </c>
      <c r="BL49" s="111" t="s">
        <v>4457</v>
      </c>
      <c r="BM49" s="111" t="s">
        <v>4938</v>
      </c>
      <c r="BN49" s="111" t="s">
        <v>4938</v>
      </c>
      <c r="BO49" s="2"/>
      <c r="BP49" s="3"/>
      <c r="BQ49" s="3"/>
      <c r="BR49" s="3"/>
      <c r="BS49" s="3"/>
    </row>
    <row r="50" spans="1:71" ht="15">
      <c r="A50" s="65" t="s">
        <v>275</v>
      </c>
      <c r="B50" s="66"/>
      <c r="C50" s="66"/>
      <c r="D50" s="67">
        <v>150</v>
      </c>
      <c r="E50" s="69"/>
      <c r="F50" s="103" t="str">
        <f>HYPERLINK("https://yt3.ggpht.com/ytc/AKedOLRwO0k1Jv9Ilb07CuDnSEW_w3g_UJ3wCgYPGg=s88-c-k-c0x00ffffff-no-rj")</f>
        <v>https://yt3.ggpht.com/ytc/AKedOLRwO0k1Jv9Ilb07CuDnSEW_w3g_UJ3wCgYPGg=s88-c-k-c0x00ffffff-no-rj</v>
      </c>
      <c r="G50" s="66"/>
      <c r="H50" s="70" t="s">
        <v>1604</v>
      </c>
      <c r="I50" s="71"/>
      <c r="J50" s="71" t="s">
        <v>159</v>
      </c>
      <c r="K50" s="70" t="s">
        <v>1604</v>
      </c>
      <c r="L50" s="74">
        <v>1</v>
      </c>
      <c r="M50" s="75">
        <v>4891.22119140625</v>
      </c>
      <c r="N50" s="75">
        <v>9541.3310546875</v>
      </c>
      <c r="O50" s="76"/>
      <c r="P50" s="77"/>
      <c r="Q50" s="77"/>
      <c r="R50" s="89"/>
      <c r="S50" s="49">
        <v>0</v>
      </c>
      <c r="T50" s="49">
        <v>1</v>
      </c>
      <c r="U50" s="50">
        <v>0</v>
      </c>
      <c r="V50" s="50">
        <v>0.002597</v>
      </c>
      <c r="W50" s="50">
        <v>0.00486</v>
      </c>
      <c r="X50" s="50">
        <v>0.526148</v>
      </c>
      <c r="Y50" s="50">
        <v>0</v>
      </c>
      <c r="Z50" s="50">
        <v>0</v>
      </c>
      <c r="AA50" s="72">
        <v>50</v>
      </c>
      <c r="AB50" s="72"/>
      <c r="AC50" s="73"/>
      <c r="AD50" s="80" t="s">
        <v>1604</v>
      </c>
      <c r="AE50" s="80"/>
      <c r="AF50" s="80"/>
      <c r="AG50" s="80"/>
      <c r="AH50" s="80"/>
      <c r="AI50" s="80"/>
      <c r="AJ50" s="80" t="s">
        <v>3129</v>
      </c>
      <c r="AK50" s="85" t="str">
        <f>HYPERLINK("https://yt3.ggpht.com/ytc/AKedOLRwO0k1Jv9Ilb07CuDnSEW_w3g_UJ3wCgYPGg=s88-c-k-c0x00ffffff-no-rj")</f>
        <v>https://yt3.ggpht.com/ytc/AKedOLRwO0k1Jv9Ilb07CuDnSEW_w3g_UJ3wCgYPGg=s88-c-k-c0x00ffffff-no-rj</v>
      </c>
      <c r="AL50" s="80">
        <v>0</v>
      </c>
      <c r="AM50" s="80">
        <v>0</v>
      </c>
      <c r="AN50" s="80">
        <v>0</v>
      </c>
      <c r="AO50" s="80" t="b">
        <v>0</v>
      </c>
      <c r="AP50" s="80">
        <v>0</v>
      </c>
      <c r="AQ50" s="80"/>
      <c r="AR50" s="80"/>
      <c r="AS50" s="80" t="s">
        <v>3412</v>
      </c>
      <c r="AT50" s="85" t="str">
        <f>HYPERLINK("https://www.youtube.com/channel/UCtYUcIQ1g4KU-es2VAz7JtQ")</f>
        <v>https://www.youtube.com/channel/UCtYUcIQ1g4KU-es2VAz7JtQ</v>
      </c>
      <c r="AU50" s="80" t="str">
        <f>REPLACE(INDEX(GroupVertices[Group],MATCH(Vertices[[#This Row],[Vertex]],GroupVertices[Vertex],0)),1,1,"")</f>
        <v>1</v>
      </c>
      <c r="AV50" s="49">
        <v>2</v>
      </c>
      <c r="AW50" s="50">
        <v>6.666666666666667</v>
      </c>
      <c r="AX50" s="49">
        <v>0</v>
      </c>
      <c r="AY50" s="50">
        <v>0</v>
      </c>
      <c r="AZ50" s="49">
        <v>0</v>
      </c>
      <c r="BA50" s="50">
        <v>0</v>
      </c>
      <c r="BB50" s="49">
        <v>28</v>
      </c>
      <c r="BC50" s="50">
        <v>93.33333333333333</v>
      </c>
      <c r="BD50" s="49">
        <v>30</v>
      </c>
      <c r="BE50" s="49"/>
      <c r="BF50" s="49"/>
      <c r="BG50" s="49"/>
      <c r="BH50" s="49"/>
      <c r="BI50" s="49"/>
      <c r="BJ50" s="49"/>
      <c r="BK50" s="111" t="s">
        <v>4458</v>
      </c>
      <c r="BL50" s="111" t="s">
        <v>4458</v>
      </c>
      <c r="BM50" s="111" t="s">
        <v>4939</v>
      </c>
      <c r="BN50" s="111" t="s">
        <v>4939</v>
      </c>
      <c r="BO50" s="2"/>
      <c r="BP50" s="3"/>
      <c r="BQ50" s="3"/>
      <c r="BR50" s="3"/>
      <c r="BS50" s="3"/>
    </row>
    <row r="51" spans="1:71" ht="15">
      <c r="A51" s="65" t="s">
        <v>276</v>
      </c>
      <c r="B51" s="66"/>
      <c r="C51" s="66"/>
      <c r="D51" s="67">
        <v>150</v>
      </c>
      <c r="E51" s="69"/>
      <c r="F51" s="103" t="str">
        <f>HYPERLINK("https://yt3.ggpht.com/ytc/AKedOLREVsVLXJeueP1g7KkHgJVb4oxVjMlW8nznNA=s88-c-k-c0x00ffffff-no-rj")</f>
        <v>https://yt3.ggpht.com/ytc/AKedOLREVsVLXJeueP1g7KkHgJVb4oxVjMlW8nznNA=s88-c-k-c0x00ffffff-no-rj</v>
      </c>
      <c r="G51" s="66"/>
      <c r="H51" s="70" t="s">
        <v>1605</v>
      </c>
      <c r="I51" s="71"/>
      <c r="J51" s="71" t="s">
        <v>159</v>
      </c>
      <c r="K51" s="70" t="s">
        <v>1605</v>
      </c>
      <c r="L51" s="74">
        <v>1</v>
      </c>
      <c r="M51" s="75">
        <v>3948.093994140625</v>
      </c>
      <c r="N51" s="75">
        <v>7733.8095703125</v>
      </c>
      <c r="O51" s="76"/>
      <c r="P51" s="77"/>
      <c r="Q51" s="77"/>
      <c r="R51" s="89"/>
      <c r="S51" s="49">
        <v>0</v>
      </c>
      <c r="T51" s="49">
        <v>1</v>
      </c>
      <c r="U51" s="50">
        <v>0</v>
      </c>
      <c r="V51" s="50">
        <v>0.002597</v>
      </c>
      <c r="W51" s="50">
        <v>0.00486</v>
      </c>
      <c r="X51" s="50">
        <v>0.526148</v>
      </c>
      <c r="Y51" s="50">
        <v>0</v>
      </c>
      <c r="Z51" s="50">
        <v>0</v>
      </c>
      <c r="AA51" s="72">
        <v>51</v>
      </c>
      <c r="AB51" s="72"/>
      <c r="AC51" s="73"/>
      <c r="AD51" s="80" t="s">
        <v>1605</v>
      </c>
      <c r="AE51" s="80"/>
      <c r="AF51" s="80"/>
      <c r="AG51" s="80"/>
      <c r="AH51" s="80"/>
      <c r="AI51" s="80"/>
      <c r="AJ51" s="80" t="s">
        <v>3130</v>
      </c>
      <c r="AK51" s="85" t="str">
        <f>HYPERLINK("https://yt3.ggpht.com/ytc/AKedOLREVsVLXJeueP1g7KkHgJVb4oxVjMlW8nznNA=s88-c-k-c0x00ffffff-no-rj")</f>
        <v>https://yt3.ggpht.com/ytc/AKedOLREVsVLXJeueP1g7KkHgJVb4oxVjMlW8nznNA=s88-c-k-c0x00ffffff-no-rj</v>
      </c>
      <c r="AL51" s="80">
        <v>0</v>
      </c>
      <c r="AM51" s="80">
        <v>0</v>
      </c>
      <c r="AN51" s="80">
        <v>2</v>
      </c>
      <c r="AO51" s="80" t="b">
        <v>0</v>
      </c>
      <c r="AP51" s="80">
        <v>0</v>
      </c>
      <c r="AQ51" s="80"/>
      <c r="AR51" s="80"/>
      <c r="AS51" s="80" t="s">
        <v>3412</v>
      </c>
      <c r="AT51" s="85" t="str">
        <f>HYPERLINK("https://www.youtube.com/channel/UC_PZn0aPVrcSJ9upkA3kDXQ")</f>
        <v>https://www.youtube.com/channel/UC_PZn0aPVrcSJ9upkA3kDXQ</v>
      </c>
      <c r="AU51" s="80" t="str">
        <f>REPLACE(INDEX(GroupVertices[Group],MATCH(Vertices[[#This Row],[Vertex]],GroupVertices[Vertex],0)),1,1,"")</f>
        <v>1</v>
      </c>
      <c r="AV51" s="49">
        <v>4</v>
      </c>
      <c r="AW51" s="50">
        <v>8.16326530612245</v>
      </c>
      <c r="AX51" s="49">
        <v>0</v>
      </c>
      <c r="AY51" s="50">
        <v>0</v>
      </c>
      <c r="AZ51" s="49">
        <v>0</v>
      </c>
      <c r="BA51" s="50">
        <v>0</v>
      </c>
      <c r="BB51" s="49">
        <v>45</v>
      </c>
      <c r="BC51" s="50">
        <v>91.83673469387755</v>
      </c>
      <c r="BD51" s="49">
        <v>49</v>
      </c>
      <c r="BE51" s="49"/>
      <c r="BF51" s="49"/>
      <c r="BG51" s="49"/>
      <c r="BH51" s="49"/>
      <c r="BI51" s="49"/>
      <c r="BJ51" s="49"/>
      <c r="BK51" s="111" t="s">
        <v>4459</v>
      </c>
      <c r="BL51" s="111" t="s">
        <v>4459</v>
      </c>
      <c r="BM51" s="111" t="s">
        <v>4940</v>
      </c>
      <c r="BN51" s="111" t="s">
        <v>4940</v>
      </c>
      <c r="BO51" s="2"/>
      <c r="BP51" s="3"/>
      <c r="BQ51" s="3"/>
      <c r="BR51" s="3"/>
      <c r="BS51" s="3"/>
    </row>
    <row r="52" spans="1:71" ht="15">
      <c r="A52" s="65" t="s">
        <v>277</v>
      </c>
      <c r="B52" s="66"/>
      <c r="C52" s="66"/>
      <c r="D52" s="67">
        <v>150</v>
      </c>
      <c r="E52" s="69"/>
      <c r="F52" s="103" t="str">
        <f>HYPERLINK("https://yt3.ggpht.com/ytc/AKedOLScpGwsxoty8McEz1O9EVRmRknaaFbewjj8TQ=s88-c-k-c0x00ffffff-no-rj")</f>
        <v>https://yt3.ggpht.com/ytc/AKedOLScpGwsxoty8McEz1O9EVRmRknaaFbewjj8TQ=s88-c-k-c0x00ffffff-no-rj</v>
      </c>
      <c r="G52" s="66"/>
      <c r="H52" s="70" t="s">
        <v>1606</v>
      </c>
      <c r="I52" s="71"/>
      <c r="J52" s="71" t="s">
        <v>159</v>
      </c>
      <c r="K52" s="70" t="s">
        <v>1606</v>
      </c>
      <c r="L52" s="74">
        <v>1</v>
      </c>
      <c r="M52" s="75">
        <v>6035.3564453125</v>
      </c>
      <c r="N52" s="75">
        <v>9261.2626953125</v>
      </c>
      <c r="O52" s="76"/>
      <c r="P52" s="77"/>
      <c r="Q52" s="77"/>
      <c r="R52" s="89"/>
      <c r="S52" s="49">
        <v>0</v>
      </c>
      <c r="T52" s="49">
        <v>1</v>
      </c>
      <c r="U52" s="50">
        <v>0</v>
      </c>
      <c r="V52" s="50">
        <v>0.002597</v>
      </c>
      <c r="W52" s="50">
        <v>0.00486</v>
      </c>
      <c r="X52" s="50">
        <v>0.526148</v>
      </c>
      <c r="Y52" s="50">
        <v>0</v>
      </c>
      <c r="Z52" s="50">
        <v>0</v>
      </c>
      <c r="AA52" s="72">
        <v>52</v>
      </c>
      <c r="AB52" s="72"/>
      <c r="AC52" s="73"/>
      <c r="AD52" s="80" t="s">
        <v>1606</v>
      </c>
      <c r="AE52" s="80"/>
      <c r="AF52" s="80"/>
      <c r="AG52" s="80"/>
      <c r="AH52" s="80"/>
      <c r="AI52" s="80"/>
      <c r="AJ52" s="80" t="s">
        <v>3131</v>
      </c>
      <c r="AK52" s="85" t="str">
        <f>HYPERLINK("https://yt3.ggpht.com/ytc/AKedOLScpGwsxoty8McEz1O9EVRmRknaaFbewjj8TQ=s88-c-k-c0x00ffffff-no-rj")</f>
        <v>https://yt3.ggpht.com/ytc/AKedOLScpGwsxoty8McEz1O9EVRmRknaaFbewjj8TQ=s88-c-k-c0x00ffffff-no-rj</v>
      </c>
      <c r="AL52" s="80">
        <v>0</v>
      </c>
      <c r="AM52" s="80">
        <v>0</v>
      </c>
      <c r="AN52" s="80">
        <v>1</v>
      </c>
      <c r="AO52" s="80" t="b">
        <v>0</v>
      </c>
      <c r="AP52" s="80">
        <v>0</v>
      </c>
      <c r="AQ52" s="80"/>
      <c r="AR52" s="80"/>
      <c r="AS52" s="80" t="s">
        <v>3412</v>
      </c>
      <c r="AT52" s="85" t="str">
        <f>HYPERLINK("https://www.youtube.com/channel/UCZEUK7gTOg3jEw96Wj1YiyQ")</f>
        <v>https://www.youtube.com/channel/UCZEUK7gTOg3jEw96Wj1YiyQ</v>
      </c>
      <c r="AU52" s="80" t="str">
        <f>REPLACE(INDEX(GroupVertices[Group],MATCH(Vertices[[#This Row],[Vertex]],GroupVertices[Vertex],0)),1,1,"")</f>
        <v>1</v>
      </c>
      <c r="AV52" s="49">
        <v>6</v>
      </c>
      <c r="AW52" s="50">
        <v>5.882352941176471</v>
      </c>
      <c r="AX52" s="49">
        <v>6</v>
      </c>
      <c r="AY52" s="50">
        <v>5.882352941176471</v>
      </c>
      <c r="AZ52" s="49">
        <v>0</v>
      </c>
      <c r="BA52" s="50">
        <v>0</v>
      </c>
      <c r="BB52" s="49">
        <v>90</v>
      </c>
      <c r="BC52" s="50">
        <v>88.23529411764706</v>
      </c>
      <c r="BD52" s="49">
        <v>102</v>
      </c>
      <c r="BE52" s="49"/>
      <c r="BF52" s="49"/>
      <c r="BG52" s="49"/>
      <c r="BH52" s="49"/>
      <c r="BI52" s="49"/>
      <c r="BJ52" s="49"/>
      <c r="BK52" s="111" t="s">
        <v>4460</v>
      </c>
      <c r="BL52" s="111" t="s">
        <v>4460</v>
      </c>
      <c r="BM52" s="111" t="s">
        <v>4941</v>
      </c>
      <c r="BN52" s="111" t="s">
        <v>4941</v>
      </c>
      <c r="BO52" s="2"/>
      <c r="BP52" s="3"/>
      <c r="BQ52" s="3"/>
      <c r="BR52" s="3"/>
      <c r="BS52" s="3"/>
    </row>
    <row r="53" spans="1:71" ht="15">
      <c r="A53" s="65" t="s">
        <v>278</v>
      </c>
      <c r="B53" s="66"/>
      <c r="C53" s="66"/>
      <c r="D53" s="67">
        <v>150</v>
      </c>
      <c r="E53" s="69"/>
      <c r="F53" s="103" t="str">
        <f>HYPERLINK("https://yt3.ggpht.com/ytc/AKedOLSfNAU6w7AVx1WN-lhFDXrxq0YWvTR6xTW0wrai=s88-c-k-c0x00ffffff-no-rj")</f>
        <v>https://yt3.ggpht.com/ytc/AKedOLSfNAU6w7AVx1WN-lhFDXrxq0YWvTR6xTW0wrai=s88-c-k-c0x00ffffff-no-rj</v>
      </c>
      <c r="G53" s="66"/>
      <c r="H53" s="70" t="s">
        <v>1607</v>
      </c>
      <c r="I53" s="71"/>
      <c r="J53" s="71" t="s">
        <v>159</v>
      </c>
      <c r="K53" s="70" t="s">
        <v>1607</v>
      </c>
      <c r="L53" s="74">
        <v>1</v>
      </c>
      <c r="M53" s="75">
        <v>6992.3173828125</v>
      </c>
      <c r="N53" s="75">
        <v>8693.609375</v>
      </c>
      <c r="O53" s="76"/>
      <c r="P53" s="77"/>
      <c r="Q53" s="77"/>
      <c r="R53" s="89"/>
      <c r="S53" s="49">
        <v>0</v>
      </c>
      <c r="T53" s="49">
        <v>1</v>
      </c>
      <c r="U53" s="50">
        <v>0</v>
      </c>
      <c r="V53" s="50">
        <v>0.002597</v>
      </c>
      <c r="W53" s="50">
        <v>0.00486</v>
      </c>
      <c r="X53" s="50">
        <v>0.526148</v>
      </c>
      <c r="Y53" s="50">
        <v>0</v>
      </c>
      <c r="Z53" s="50">
        <v>0</v>
      </c>
      <c r="AA53" s="72">
        <v>53</v>
      </c>
      <c r="AB53" s="72"/>
      <c r="AC53" s="73"/>
      <c r="AD53" s="80" t="s">
        <v>1607</v>
      </c>
      <c r="AE53" s="80"/>
      <c r="AF53" s="80"/>
      <c r="AG53" s="80"/>
      <c r="AH53" s="80"/>
      <c r="AI53" s="80"/>
      <c r="AJ53" s="80" t="s">
        <v>3132</v>
      </c>
      <c r="AK53" s="85" t="str">
        <f>HYPERLINK("https://yt3.ggpht.com/ytc/AKedOLSfNAU6w7AVx1WN-lhFDXrxq0YWvTR6xTW0wrai=s88-c-k-c0x00ffffff-no-rj")</f>
        <v>https://yt3.ggpht.com/ytc/AKedOLSfNAU6w7AVx1WN-lhFDXrxq0YWvTR6xTW0wrai=s88-c-k-c0x00ffffff-no-rj</v>
      </c>
      <c r="AL53" s="80">
        <v>832</v>
      </c>
      <c r="AM53" s="80">
        <v>0</v>
      </c>
      <c r="AN53" s="80">
        <v>9</v>
      </c>
      <c r="AO53" s="80" t="b">
        <v>0</v>
      </c>
      <c r="AP53" s="80">
        <v>1</v>
      </c>
      <c r="AQ53" s="80"/>
      <c r="AR53" s="80"/>
      <c r="AS53" s="80" t="s">
        <v>3412</v>
      </c>
      <c r="AT53" s="85" t="str">
        <f>HYPERLINK("https://www.youtube.com/channel/UC0g1YwKNzgOxNo75tTXolYA")</f>
        <v>https://www.youtube.com/channel/UC0g1YwKNzgOxNo75tTXolYA</v>
      </c>
      <c r="AU53" s="80" t="str">
        <f>REPLACE(INDEX(GroupVertices[Group],MATCH(Vertices[[#This Row],[Vertex]],GroupVertices[Vertex],0)),1,1,"")</f>
        <v>1</v>
      </c>
      <c r="AV53" s="49">
        <v>3</v>
      </c>
      <c r="AW53" s="50">
        <v>4.411764705882353</v>
      </c>
      <c r="AX53" s="49">
        <v>3</v>
      </c>
      <c r="AY53" s="50">
        <v>4.411764705882353</v>
      </c>
      <c r="AZ53" s="49">
        <v>0</v>
      </c>
      <c r="BA53" s="50">
        <v>0</v>
      </c>
      <c r="BB53" s="49">
        <v>62</v>
      </c>
      <c r="BC53" s="50">
        <v>91.17647058823529</v>
      </c>
      <c r="BD53" s="49">
        <v>68</v>
      </c>
      <c r="BE53" s="49"/>
      <c r="BF53" s="49"/>
      <c r="BG53" s="49"/>
      <c r="BH53" s="49"/>
      <c r="BI53" s="49"/>
      <c r="BJ53" s="49"/>
      <c r="BK53" s="111" t="s">
        <v>4461</v>
      </c>
      <c r="BL53" s="111" t="s">
        <v>4461</v>
      </c>
      <c r="BM53" s="111" t="s">
        <v>4942</v>
      </c>
      <c r="BN53" s="111" t="s">
        <v>4942</v>
      </c>
      <c r="BO53" s="2"/>
      <c r="BP53" s="3"/>
      <c r="BQ53" s="3"/>
      <c r="BR53" s="3"/>
      <c r="BS53" s="3"/>
    </row>
    <row r="54" spans="1:71" ht="15">
      <c r="A54" s="65" t="s">
        <v>279</v>
      </c>
      <c r="B54" s="66"/>
      <c r="C54" s="66"/>
      <c r="D54" s="67">
        <v>150</v>
      </c>
      <c r="E54" s="69"/>
      <c r="F54" s="103" t="str">
        <f>HYPERLINK("https://yt3.ggpht.com/ytc/AKedOLRu8wnawaapRkT1i6sozBye7J4h9BIYGC1ViW1jFA=s88-c-k-c0x00ffffff-no-rj")</f>
        <v>https://yt3.ggpht.com/ytc/AKedOLRu8wnawaapRkT1i6sozBye7J4h9BIYGC1ViW1jFA=s88-c-k-c0x00ffffff-no-rj</v>
      </c>
      <c r="G54" s="66"/>
      <c r="H54" s="70" t="s">
        <v>1608</v>
      </c>
      <c r="I54" s="71"/>
      <c r="J54" s="71" t="s">
        <v>159</v>
      </c>
      <c r="K54" s="70" t="s">
        <v>1608</v>
      </c>
      <c r="L54" s="74">
        <v>1</v>
      </c>
      <c r="M54" s="75">
        <v>8066.1201171875</v>
      </c>
      <c r="N54" s="75">
        <v>8228.216796875</v>
      </c>
      <c r="O54" s="76"/>
      <c r="P54" s="77"/>
      <c r="Q54" s="77"/>
      <c r="R54" s="89"/>
      <c r="S54" s="49">
        <v>0</v>
      </c>
      <c r="T54" s="49">
        <v>1</v>
      </c>
      <c r="U54" s="50">
        <v>0</v>
      </c>
      <c r="V54" s="50">
        <v>0.002597</v>
      </c>
      <c r="W54" s="50">
        <v>0.00486</v>
      </c>
      <c r="X54" s="50">
        <v>0.526148</v>
      </c>
      <c r="Y54" s="50">
        <v>0</v>
      </c>
      <c r="Z54" s="50">
        <v>0</v>
      </c>
      <c r="AA54" s="72">
        <v>54</v>
      </c>
      <c r="AB54" s="72"/>
      <c r="AC54" s="73"/>
      <c r="AD54" s="80" t="s">
        <v>1608</v>
      </c>
      <c r="AE54" s="80"/>
      <c r="AF54" s="80"/>
      <c r="AG54" s="80"/>
      <c r="AH54" s="80"/>
      <c r="AI54" s="80"/>
      <c r="AJ54" s="80" t="s">
        <v>3133</v>
      </c>
      <c r="AK54" s="85" t="str">
        <f>HYPERLINK("https://yt3.ggpht.com/ytc/AKedOLRu8wnawaapRkT1i6sozBye7J4h9BIYGC1ViW1jFA=s88-c-k-c0x00ffffff-no-rj")</f>
        <v>https://yt3.ggpht.com/ytc/AKedOLRu8wnawaapRkT1i6sozBye7J4h9BIYGC1ViW1jFA=s88-c-k-c0x00ffffff-no-rj</v>
      </c>
      <c r="AL54" s="80">
        <v>0</v>
      </c>
      <c r="AM54" s="80">
        <v>0</v>
      </c>
      <c r="AN54" s="80">
        <v>27</v>
      </c>
      <c r="AO54" s="80" t="b">
        <v>0</v>
      </c>
      <c r="AP54" s="80">
        <v>0</v>
      </c>
      <c r="AQ54" s="80"/>
      <c r="AR54" s="80"/>
      <c r="AS54" s="80" t="s">
        <v>3412</v>
      </c>
      <c r="AT54" s="85" t="str">
        <f>HYPERLINK("https://www.youtube.com/channel/UCy4vchV8fH1y73tBFK6MeSw")</f>
        <v>https://www.youtube.com/channel/UCy4vchV8fH1y73tBFK6MeSw</v>
      </c>
      <c r="AU54" s="80" t="str">
        <f>REPLACE(INDEX(GroupVertices[Group],MATCH(Vertices[[#This Row],[Vertex]],GroupVertices[Vertex],0)),1,1,"")</f>
        <v>1</v>
      </c>
      <c r="AV54" s="49">
        <v>4</v>
      </c>
      <c r="AW54" s="50">
        <v>7.8431372549019605</v>
      </c>
      <c r="AX54" s="49">
        <v>0</v>
      </c>
      <c r="AY54" s="50">
        <v>0</v>
      </c>
      <c r="AZ54" s="49">
        <v>0</v>
      </c>
      <c r="BA54" s="50">
        <v>0</v>
      </c>
      <c r="BB54" s="49">
        <v>47</v>
      </c>
      <c r="BC54" s="50">
        <v>92.15686274509804</v>
      </c>
      <c r="BD54" s="49">
        <v>51</v>
      </c>
      <c r="BE54" s="49"/>
      <c r="BF54" s="49"/>
      <c r="BG54" s="49"/>
      <c r="BH54" s="49"/>
      <c r="BI54" s="49"/>
      <c r="BJ54" s="49"/>
      <c r="BK54" s="111" t="s">
        <v>4462</v>
      </c>
      <c r="BL54" s="111" t="s">
        <v>4868</v>
      </c>
      <c r="BM54" s="111" t="s">
        <v>4943</v>
      </c>
      <c r="BN54" s="111" t="s">
        <v>5334</v>
      </c>
      <c r="BO54" s="2"/>
      <c r="BP54" s="3"/>
      <c r="BQ54" s="3"/>
      <c r="BR54" s="3"/>
      <c r="BS54" s="3"/>
    </row>
    <row r="55" spans="1:71" ht="15">
      <c r="A55" s="65" t="s">
        <v>280</v>
      </c>
      <c r="B55" s="66"/>
      <c r="C55" s="66"/>
      <c r="D55" s="67">
        <v>150</v>
      </c>
      <c r="E55" s="69"/>
      <c r="F55" s="103" t="str">
        <f>HYPERLINK("https://yt3.ggpht.com/ytc/AKedOLRZFjzJok0m1283FZoi2ZkotYazvZO-T4j7JQ=s88-c-k-c0x00ffffff-no-rj")</f>
        <v>https://yt3.ggpht.com/ytc/AKedOLRZFjzJok0m1283FZoi2ZkotYazvZO-T4j7JQ=s88-c-k-c0x00ffffff-no-rj</v>
      </c>
      <c r="G55" s="66"/>
      <c r="H55" s="70" t="s">
        <v>1609</v>
      </c>
      <c r="I55" s="71"/>
      <c r="J55" s="71" t="s">
        <v>159</v>
      </c>
      <c r="K55" s="70" t="s">
        <v>1609</v>
      </c>
      <c r="L55" s="74">
        <v>1</v>
      </c>
      <c r="M55" s="75">
        <v>8224.5947265625</v>
      </c>
      <c r="N55" s="75">
        <v>7472.96337890625</v>
      </c>
      <c r="O55" s="76"/>
      <c r="P55" s="77"/>
      <c r="Q55" s="77"/>
      <c r="R55" s="89"/>
      <c r="S55" s="49">
        <v>0</v>
      </c>
      <c r="T55" s="49">
        <v>1</v>
      </c>
      <c r="U55" s="50">
        <v>0</v>
      </c>
      <c r="V55" s="50">
        <v>0.002597</v>
      </c>
      <c r="W55" s="50">
        <v>0.00486</v>
      </c>
      <c r="X55" s="50">
        <v>0.526148</v>
      </c>
      <c r="Y55" s="50">
        <v>0</v>
      </c>
      <c r="Z55" s="50">
        <v>0</v>
      </c>
      <c r="AA55" s="72">
        <v>55</v>
      </c>
      <c r="AB55" s="72"/>
      <c r="AC55" s="73"/>
      <c r="AD55" s="80" t="s">
        <v>1609</v>
      </c>
      <c r="AE55" s="80"/>
      <c r="AF55" s="80"/>
      <c r="AG55" s="80"/>
      <c r="AH55" s="80"/>
      <c r="AI55" s="80"/>
      <c r="AJ55" s="87">
        <v>40765.85508101852</v>
      </c>
      <c r="AK55" s="85" t="str">
        <f>HYPERLINK("https://yt3.ggpht.com/ytc/AKedOLRZFjzJok0m1283FZoi2ZkotYazvZO-T4j7JQ=s88-c-k-c0x00ffffff-no-rj")</f>
        <v>https://yt3.ggpht.com/ytc/AKedOLRZFjzJok0m1283FZoi2ZkotYazvZO-T4j7JQ=s88-c-k-c0x00ffffff-no-rj</v>
      </c>
      <c r="AL55" s="80">
        <v>0</v>
      </c>
      <c r="AM55" s="80">
        <v>0</v>
      </c>
      <c r="AN55" s="80">
        <v>0</v>
      </c>
      <c r="AO55" s="80" t="b">
        <v>0</v>
      </c>
      <c r="AP55" s="80">
        <v>0</v>
      </c>
      <c r="AQ55" s="80"/>
      <c r="AR55" s="80"/>
      <c r="AS55" s="80" t="s">
        <v>3412</v>
      </c>
      <c r="AT55" s="85" t="str">
        <f>HYPERLINK("https://www.youtube.com/channel/UCR8erYjzdFG6pUs12wdE0Eg")</f>
        <v>https://www.youtube.com/channel/UCR8erYjzdFG6pUs12wdE0Eg</v>
      </c>
      <c r="AU55" s="80" t="str">
        <f>REPLACE(INDEX(GroupVertices[Group],MATCH(Vertices[[#This Row],[Vertex]],GroupVertices[Vertex],0)),1,1,"")</f>
        <v>1</v>
      </c>
      <c r="AV55" s="49">
        <v>2</v>
      </c>
      <c r="AW55" s="50">
        <v>16.666666666666668</v>
      </c>
      <c r="AX55" s="49">
        <v>0</v>
      </c>
      <c r="AY55" s="50">
        <v>0</v>
      </c>
      <c r="AZ55" s="49">
        <v>0</v>
      </c>
      <c r="BA55" s="50">
        <v>0</v>
      </c>
      <c r="BB55" s="49">
        <v>10</v>
      </c>
      <c r="BC55" s="50">
        <v>83.33333333333333</v>
      </c>
      <c r="BD55" s="49">
        <v>12</v>
      </c>
      <c r="BE55" s="49"/>
      <c r="BF55" s="49"/>
      <c r="BG55" s="49"/>
      <c r="BH55" s="49"/>
      <c r="BI55" s="49"/>
      <c r="BJ55" s="49"/>
      <c r="BK55" s="111" t="s">
        <v>4463</v>
      </c>
      <c r="BL55" s="111" t="s">
        <v>4463</v>
      </c>
      <c r="BM55" s="111" t="s">
        <v>4944</v>
      </c>
      <c r="BN55" s="111" t="s">
        <v>4944</v>
      </c>
      <c r="BO55" s="2"/>
      <c r="BP55" s="3"/>
      <c r="BQ55" s="3"/>
      <c r="BR55" s="3"/>
      <c r="BS55" s="3"/>
    </row>
    <row r="56" spans="1:71" ht="15">
      <c r="A56" s="65" t="s">
        <v>281</v>
      </c>
      <c r="B56" s="66"/>
      <c r="C56" s="66"/>
      <c r="D56" s="67">
        <v>150</v>
      </c>
      <c r="E56" s="69"/>
      <c r="F56" s="103" t="str">
        <f>HYPERLINK("https://yt3.ggpht.com/ytc/AKedOLSgegRBwZL6x2ANLBUcsIwoznnkN7T3q-N-JA=s88-c-k-c0x00ffffff-no-rj")</f>
        <v>https://yt3.ggpht.com/ytc/AKedOLSgegRBwZL6x2ANLBUcsIwoznnkN7T3q-N-JA=s88-c-k-c0x00ffffff-no-rj</v>
      </c>
      <c r="G56" s="66"/>
      <c r="H56" s="70" t="s">
        <v>1610</v>
      </c>
      <c r="I56" s="71"/>
      <c r="J56" s="71" t="s">
        <v>159</v>
      </c>
      <c r="K56" s="70" t="s">
        <v>1610</v>
      </c>
      <c r="L56" s="74">
        <v>1</v>
      </c>
      <c r="M56" s="75">
        <v>5813.775390625</v>
      </c>
      <c r="N56" s="75">
        <v>8018.51904296875</v>
      </c>
      <c r="O56" s="76"/>
      <c r="P56" s="77"/>
      <c r="Q56" s="77"/>
      <c r="R56" s="89"/>
      <c r="S56" s="49">
        <v>0</v>
      </c>
      <c r="T56" s="49">
        <v>1</v>
      </c>
      <c r="U56" s="50">
        <v>0</v>
      </c>
      <c r="V56" s="50">
        <v>0.002597</v>
      </c>
      <c r="W56" s="50">
        <v>0.00486</v>
      </c>
      <c r="X56" s="50">
        <v>0.526148</v>
      </c>
      <c r="Y56" s="50">
        <v>0</v>
      </c>
      <c r="Z56" s="50">
        <v>0</v>
      </c>
      <c r="AA56" s="72">
        <v>56</v>
      </c>
      <c r="AB56" s="72"/>
      <c r="AC56" s="73"/>
      <c r="AD56" s="80" t="s">
        <v>1610</v>
      </c>
      <c r="AE56" s="80"/>
      <c r="AF56" s="80"/>
      <c r="AG56" s="80"/>
      <c r="AH56" s="80"/>
      <c r="AI56" s="80"/>
      <c r="AJ56" s="80" t="s">
        <v>3134</v>
      </c>
      <c r="AK56" s="85" t="str">
        <f>HYPERLINK("https://yt3.ggpht.com/ytc/AKedOLSgegRBwZL6x2ANLBUcsIwoznnkN7T3q-N-JA=s88-c-k-c0x00ffffff-no-rj")</f>
        <v>https://yt3.ggpht.com/ytc/AKedOLSgegRBwZL6x2ANLBUcsIwoznnkN7T3q-N-JA=s88-c-k-c0x00ffffff-no-rj</v>
      </c>
      <c r="AL56" s="80">
        <v>0</v>
      </c>
      <c r="AM56" s="80">
        <v>0</v>
      </c>
      <c r="AN56" s="80">
        <v>0</v>
      </c>
      <c r="AO56" s="80" t="b">
        <v>0</v>
      </c>
      <c r="AP56" s="80">
        <v>0</v>
      </c>
      <c r="AQ56" s="80"/>
      <c r="AR56" s="80"/>
      <c r="AS56" s="80" t="s">
        <v>3412</v>
      </c>
      <c r="AT56" s="85" t="str">
        <f>HYPERLINK("https://www.youtube.com/channel/UCpDXbt0pPAzy_Aoj-Ee873w")</f>
        <v>https://www.youtube.com/channel/UCpDXbt0pPAzy_Aoj-Ee873w</v>
      </c>
      <c r="AU56" s="80" t="str">
        <f>REPLACE(INDEX(GroupVertices[Group],MATCH(Vertices[[#This Row],[Vertex]],GroupVertices[Vertex],0)),1,1,"")</f>
        <v>1</v>
      </c>
      <c r="AV56" s="49">
        <v>2</v>
      </c>
      <c r="AW56" s="50">
        <v>2.272727272727273</v>
      </c>
      <c r="AX56" s="49">
        <v>7</v>
      </c>
      <c r="AY56" s="50">
        <v>7.954545454545454</v>
      </c>
      <c r="AZ56" s="49">
        <v>0</v>
      </c>
      <c r="BA56" s="50">
        <v>0</v>
      </c>
      <c r="BB56" s="49">
        <v>79</v>
      </c>
      <c r="BC56" s="50">
        <v>89.77272727272727</v>
      </c>
      <c r="BD56" s="49">
        <v>88</v>
      </c>
      <c r="BE56" s="49"/>
      <c r="BF56" s="49"/>
      <c r="BG56" s="49"/>
      <c r="BH56" s="49"/>
      <c r="BI56" s="49"/>
      <c r="BJ56" s="49"/>
      <c r="BK56" s="111" t="s">
        <v>4464</v>
      </c>
      <c r="BL56" s="111" t="s">
        <v>4464</v>
      </c>
      <c r="BM56" s="111" t="s">
        <v>4945</v>
      </c>
      <c r="BN56" s="111" t="s">
        <v>4945</v>
      </c>
      <c r="BO56" s="2"/>
      <c r="BP56" s="3"/>
      <c r="BQ56" s="3"/>
      <c r="BR56" s="3"/>
      <c r="BS56" s="3"/>
    </row>
    <row r="57" spans="1:71" ht="15">
      <c r="A57" s="65" t="s">
        <v>282</v>
      </c>
      <c r="B57" s="66"/>
      <c r="C57" s="66"/>
      <c r="D57" s="67">
        <v>150</v>
      </c>
      <c r="E57" s="69"/>
      <c r="F57" s="103" t="str">
        <f>HYPERLINK("https://yt3.ggpht.com/ytc/AKedOLQi0GkUS4vvtSsKLMIoMmYm6f5ZNnJ0KCm3ZdhA=s88-c-k-c0x00ffffff-no-rj")</f>
        <v>https://yt3.ggpht.com/ytc/AKedOLQi0GkUS4vvtSsKLMIoMmYm6f5ZNnJ0KCm3ZdhA=s88-c-k-c0x00ffffff-no-rj</v>
      </c>
      <c r="G57" s="66"/>
      <c r="H57" s="70" t="s">
        <v>1611</v>
      </c>
      <c r="I57" s="71"/>
      <c r="J57" s="71" t="s">
        <v>159</v>
      </c>
      <c r="K57" s="70" t="s">
        <v>1611</v>
      </c>
      <c r="L57" s="74">
        <v>1</v>
      </c>
      <c r="M57" s="75">
        <v>3371.85595703125</v>
      </c>
      <c r="N57" s="75">
        <v>7716.392578125</v>
      </c>
      <c r="O57" s="76"/>
      <c r="P57" s="77"/>
      <c r="Q57" s="77"/>
      <c r="R57" s="89"/>
      <c r="S57" s="49">
        <v>0</v>
      </c>
      <c r="T57" s="49">
        <v>1</v>
      </c>
      <c r="U57" s="50">
        <v>0</v>
      </c>
      <c r="V57" s="50">
        <v>0.002597</v>
      </c>
      <c r="W57" s="50">
        <v>0.00486</v>
      </c>
      <c r="X57" s="50">
        <v>0.526148</v>
      </c>
      <c r="Y57" s="50">
        <v>0</v>
      </c>
      <c r="Z57" s="50">
        <v>0</v>
      </c>
      <c r="AA57" s="72">
        <v>57</v>
      </c>
      <c r="AB57" s="72"/>
      <c r="AC57" s="73"/>
      <c r="AD57" s="80" t="s">
        <v>1611</v>
      </c>
      <c r="AE57" s="80" t="s">
        <v>2828</v>
      </c>
      <c r="AF57" s="80"/>
      <c r="AG57" s="80"/>
      <c r="AH57" s="80"/>
      <c r="AI57" s="80"/>
      <c r="AJ57" s="80" t="s">
        <v>3135</v>
      </c>
      <c r="AK57" s="85" t="str">
        <f>HYPERLINK("https://yt3.ggpht.com/ytc/AKedOLQi0GkUS4vvtSsKLMIoMmYm6f5ZNnJ0KCm3ZdhA=s88-c-k-c0x00ffffff-no-rj")</f>
        <v>https://yt3.ggpht.com/ytc/AKedOLQi0GkUS4vvtSsKLMIoMmYm6f5ZNnJ0KCm3ZdhA=s88-c-k-c0x00ffffff-no-rj</v>
      </c>
      <c r="AL57" s="80">
        <v>0</v>
      </c>
      <c r="AM57" s="80">
        <v>0</v>
      </c>
      <c r="AN57" s="80">
        <v>5</v>
      </c>
      <c r="AO57" s="80" t="b">
        <v>0</v>
      </c>
      <c r="AP57" s="80">
        <v>0</v>
      </c>
      <c r="AQ57" s="80"/>
      <c r="AR57" s="80"/>
      <c r="AS57" s="80" t="s">
        <v>3412</v>
      </c>
      <c r="AT57" s="85" t="str">
        <f>HYPERLINK("https://www.youtube.com/channel/UCMtOd4deYchj5X-2d7hh0Eg")</f>
        <v>https://www.youtube.com/channel/UCMtOd4deYchj5X-2d7hh0Eg</v>
      </c>
      <c r="AU57" s="80" t="str">
        <f>REPLACE(INDEX(GroupVertices[Group],MATCH(Vertices[[#This Row],[Vertex]],GroupVertices[Vertex],0)),1,1,"")</f>
        <v>1</v>
      </c>
      <c r="AV57" s="49">
        <v>6</v>
      </c>
      <c r="AW57" s="50">
        <v>8.823529411764707</v>
      </c>
      <c r="AX57" s="49">
        <v>0</v>
      </c>
      <c r="AY57" s="50">
        <v>0</v>
      </c>
      <c r="AZ57" s="49">
        <v>0</v>
      </c>
      <c r="BA57" s="50">
        <v>0</v>
      </c>
      <c r="BB57" s="49">
        <v>62</v>
      </c>
      <c r="BC57" s="50">
        <v>91.17647058823529</v>
      </c>
      <c r="BD57" s="49">
        <v>68</v>
      </c>
      <c r="BE57" s="49"/>
      <c r="BF57" s="49"/>
      <c r="BG57" s="49"/>
      <c r="BH57" s="49"/>
      <c r="BI57" s="49"/>
      <c r="BJ57" s="49"/>
      <c r="BK57" s="111" t="s">
        <v>4465</v>
      </c>
      <c r="BL57" s="111" t="s">
        <v>4465</v>
      </c>
      <c r="BM57" s="111" t="s">
        <v>4946</v>
      </c>
      <c r="BN57" s="111" t="s">
        <v>4946</v>
      </c>
      <c r="BO57" s="2"/>
      <c r="BP57" s="3"/>
      <c r="BQ57" s="3"/>
      <c r="BR57" s="3"/>
      <c r="BS57" s="3"/>
    </row>
    <row r="58" spans="1:71" ht="15">
      <c r="A58" s="65" t="s">
        <v>283</v>
      </c>
      <c r="B58" s="66"/>
      <c r="C58" s="66"/>
      <c r="D58" s="67">
        <v>150</v>
      </c>
      <c r="E58" s="69"/>
      <c r="F58" s="103" t="str">
        <f>HYPERLINK("https://yt3.ggpht.com/ytc/AKedOLQ1UIUADCBnP35-PMzbzXShM_cDu0qjCIJVqA=s88-c-k-c0x00ffffff-no-rj")</f>
        <v>https://yt3.ggpht.com/ytc/AKedOLQ1UIUADCBnP35-PMzbzXShM_cDu0qjCIJVqA=s88-c-k-c0x00ffffff-no-rj</v>
      </c>
      <c r="G58" s="66"/>
      <c r="H58" s="70" t="s">
        <v>1612</v>
      </c>
      <c r="I58" s="71"/>
      <c r="J58" s="71" t="s">
        <v>159</v>
      </c>
      <c r="K58" s="70" t="s">
        <v>1612</v>
      </c>
      <c r="L58" s="74">
        <v>1</v>
      </c>
      <c r="M58" s="75">
        <v>4610.3623046875</v>
      </c>
      <c r="N58" s="75">
        <v>7293.19677734375</v>
      </c>
      <c r="O58" s="76"/>
      <c r="P58" s="77"/>
      <c r="Q58" s="77"/>
      <c r="R58" s="89"/>
      <c r="S58" s="49">
        <v>0</v>
      </c>
      <c r="T58" s="49">
        <v>1</v>
      </c>
      <c r="U58" s="50">
        <v>0</v>
      </c>
      <c r="V58" s="50">
        <v>0.002597</v>
      </c>
      <c r="W58" s="50">
        <v>0.00486</v>
      </c>
      <c r="X58" s="50">
        <v>0.526148</v>
      </c>
      <c r="Y58" s="50">
        <v>0</v>
      </c>
      <c r="Z58" s="50">
        <v>0</v>
      </c>
      <c r="AA58" s="72">
        <v>58</v>
      </c>
      <c r="AB58" s="72"/>
      <c r="AC58" s="73"/>
      <c r="AD58" s="80" t="s">
        <v>1612</v>
      </c>
      <c r="AE58" s="80"/>
      <c r="AF58" s="80"/>
      <c r="AG58" s="80"/>
      <c r="AH58" s="80"/>
      <c r="AI58" s="80"/>
      <c r="AJ58" s="87">
        <v>43080.74712962963</v>
      </c>
      <c r="AK58" s="85" t="str">
        <f>HYPERLINK("https://yt3.ggpht.com/ytc/AKedOLQ1UIUADCBnP35-PMzbzXShM_cDu0qjCIJVqA=s88-c-k-c0x00ffffff-no-rj")</f>
        <v>https://yt3.ggpht.com/ytc/AKedOLQ1UIUADCBnP35-PMzbzXShM_cDu0qjCIJVqA=s88-c-k-c0x00ffffff-no-rj</v>
      </c>
      <c r="AL58" s="80">
        <v>0</v>
      </c>
      <c r="AM58" s="80">
        <v>0</v>
      </c>
      <c r="AN58" s="80">
        <v>1</v>
      </c>
      <c r="AO58" s="80" t="b">
        <v>0</v>
      </c>
      <c r="AP58" s="80">
        <v>0</v>
      </c>
      <c r="AQ58" s="80"/>
      <c r="AR58" s="80"/>
      <c r="AS58" s="80" t="s">
        <v>3412</v>
      </c>
      <c r="AT58" s="85" t="str">
        <f>HYPERLINK("https://www.youtube.com/channel/UC_sK7dhnDJWilumRU19D7NA")</f>
        <v>https://www.youtube.com/channel/UC_sK7dhnDJWilumRU19D7NA</v>
      </c>
      <c r="AU58" s="80" t="str">
        <f>REPLACE(INDEX(GroupVertices[Group],MATCH(Vertices[[#This Row],[Vertex]],GroupVertices[Vertex],0)),1,1,"")</f>
        <v>1</v>
      </c>
      <c r="AV58" s="49">
        <v>1</v>
      </c>
      <c r="AW58" s="50">
        <v>10</v>
      </c>
      <c r="AX58" s="49">
        <v>0</v>
      </c>
      <c r="AY58" s="50">
        <v>0</v>
      </c>
      <c r="AZ58" s="49">
        <v>0</v>
      </c>
      <c r="BA58" s="50">
        <v>0</v>
      </c>
      <c r="BB58" s="49">
        <v>9</v>
      </c>
      <c r="BC58" s="50">
        <v>90</v>
      </c>
      <c r="BD58" s="49">
        <v>10</v>
      </c>
      <c r="BE58" s="49"/>
      <c r="BF58" s="49"/>
      <c r="BG58" s="49"/>
      <c r="BH58" s="49"/>
      <c r="BI58" s="49"/>
      <c r="BJ58" s="49"/>
      <c r="BK58" s="111" t="s">
        <v>4466</v>
      </c>
      <c r="BL58" s="111" t="s">
        <v>4466</v>
      </c>
      <c r="BM58" s="111" t="s">
        <v>4947</v>
      </c>
      <c r="BN58" s="111" t="s">
        <v>4947</v>
      </c>
      <c r="BO58" s="2"/>
      <c r="BP58" s="3"/>
      <c r="BQ58" s="3"/>
      <c r="BR58" s="3"/>
      <c r="BS58" s="3"/>
    </row>
    <row r="59" spans="1:71" ht="15">
      <c r="A59" s="65" t="s">
        <v>284</v>
      </c>
      <c r="B59" s="66"/>
      <c r="C59" s="66"/>
      <c r="D59" s="67">
        <v>150</v>
      </c>
      <c r="E59" s="69"/>
      <c r="F59" s="103" t="str">
        <f>HYPERLINK("https://yt3.ggpht.com/VL8ag32fs9KcDmKg_fjBtBGYMLeZHPF4WL4SajRBjGCrtppFs7cswgIbiLtuerwkZAXDqryHXE4=s88-c-k-c0x00ffffff-no-rj")</f>
        <v>https://yt3.ggpht.com/VL8ag32fs9KcDmKg_fjBtBGYMLeZHPF4WL4SajRBjGCrtppFs7cswgIbiLtuerwkZAXDqryHXE4=s88-c-k-c0x00ffffff-no-rj</v>
      </c>
      <c r="G59" s="66"/>
      <c r="H59" s="70" t="s">
        <v>1613</v>
      </c>
      <c r="I59" s="71"/>
      <c r="J59" s="71" t="s">
        <v>159</v>
      </c>
      <c r="K59" s="70" t="s">
        <v>1613</v>
      </c>
      <c r="L59" s="74">
        <v>1</v>
      </c>
      <c r="M59" s="75">
        <v>9571.3642578125</v>
      </c>
      <c r="N59" s="75">
        <v>8441.1787109375</v>
      </c>
      <c r="O59" s="76"/>
      <c r="P59" s="77"/>
      <c r="Q59" s="77"/>
      <c r="R59" s="89"/>
      <c r="S59" s="49">
        <v>0</v>
      </c>
      <c r="T59" s="49">
        <v>1</v>
      </c>
      <c r="U59" s="50">
        <v>0</v>
      </c>
      <c r="V59" s="50">
        <v>0.002597</v>
      </c>
      <c r="W59" s="50">
        <v>0.00486</v>
      </c>
      <c r="X59" s="50">
        <v>0.526148</v>
      </c>
      <c r="Y59" s="50">
        <v>0</v>
      </c>
      <c r="Z59" s="50">
        <v>0</v>
      </c>
      <c r="AA59" s="72">
        <v>59</v>
      </c>
      <c r="AB59" s="72"/>
      <c r="AC59" s="73"/>
      <c r="AD59" s="80" t="s">
        <v>1613</v>
      </c>
      <c r="AE59" s="80" t="s">
        <v>2829</v>
      </c>
      <c r="AF59" s="80"/>
      <c r="AG59" s="80"/>
      <c r="AH59" s="80"/>
      <c r="AI59" s="80" t="s">
        <v>3025</v>
      </c>
      <c r="AJ59" s="80" t="s">
        <v>3136</v>
      </c>
      <c r="AK59" s="85" t="str">
        <f>HYPERLINK("https://yt3.ggpht.com/VL8ag32fs9KcDmKg_fjBtBGYMLeZHPF4WL4SajRBjGCrtppFs7cswgIbiLtuerwkZAXDqryHXE4=s88-c-k-c0x00ffffff-no-rj")</f>
        <v>https://yt3.ggpht.com/VL8ag32fs9KcDmKg_fjBtBGYMLeZHPF4WL4SajRBjGCrtppFs7cswgIbiLtuerwkZAXDqryHXE4=s88-c-k-c0x00ffffff-no-rj</v>
      </c>
      <c r="AL59" s="80">
        <v>50094</v>
      </c>
      <c r="AM59" s="80">
        <v>0</v>
      </c>
      <c r="AN59" s="80">
        <v>702</v>
      </c>
      <c r="AO59" s="80" t="b">
        <v>0</v>
      </c>
      <c r="AP59" s="80">
        <v>249</v>
      </c>
      <c r="AQ59" s="80"/>
      <c r="AR59" s="80"/>
      <c r="AS59" s="80" t="s">
        <v>3412</v>
      </c>
      <c r="AT59" s="85" t="str">
        <f>HYPERLINK("https://www.youtube.com/channel/UChc7BnM-97wf6UKkeckiQlg")</f>
        <v>https://www.youtube.com/channel/UChc7BnM-97wf6UKkeckiQlg</v>
      </c>
      <c r="AU59" s="80" t="str">
        <f>REPLACE(INDEX(GroupVertices[Group],MATCH(Vertices[[#This Row],[Vertex]],GroupVertices[Vertex],0)),1,1,"")</f>
        <v>1</v>
      </c>
      <c r="AV59" s="49">
        <v>1</v>
      </c>
      <c r="AW59" s="50">
        <v>7.142857142857143</v>
      </c>
      <c r="AX59" s="49">
        <v>0</v>
      </c>
      <c r="AY59" s="50">
        <v>0</v>
      </c>
      <c r="AZ59" s="49">
        <v>0</v>
      </c>
      <c r="BA59" s="50">
        <v>0</v>
      </c>
      <c r="BB59" s="49">
        <v>13</v>
      </c>
      <c r="BC59" s="50">
        <v>92.85714285714286</v>
      </c>
      <c r="BD59" s="49">
        <v>14</v>
      </c>
      <c r="BE59" s="49"/>
      <c r="BF59" s="49"/>
      <c r="BG59" s="49"/>
      <c r="BH59" s="49"/>
      <c r="BI59" s="49"/>
      <c r="BJ59" s="49"/>
      <c r="BK59" s="111" t="s">
        <v>4467</v>
      </c>
      <c r="BL59" s="111" t="s">
        <v>4467</v>
      </c>
      <c r="BM59" s="111" t="s">
        <v>4948</v>
      </c>
      <c r="BN59" s="111" t="s">
        <v>4948</v>
      </c>
      <c r="BO59" s="2"/>
      <c r="BP59" s="3"/>
      <c r="BQ59" s="3"/>
      <c r="BR59" s="3"/>
      <c r="BS59" s="3"/>
    </row>
    <row r="60" spans="1:71" ht="15">
      <c r="A60" s="65" t="s">
        <v>285</v>
      </c>
      <c r="B60" s="66"/>
      <c r="C60" s="66"/>
      <c r="D60" s="67">
        <v>150</v>
      </c>
      <c r="E60" s="69"/>
      <c r="F60" s="103" t="str">
        <f>HYPERLINK("https://yt3.ggpht.com/ytc/AKedOLRmDhl6ctvBy8vKD_w0PeiX-g8sIFRpBp4hWg=s88-c-k-c0x00ffffff-no-rj")</f>
        <v>https://yt3.ggpht.com/ytc/AKedOLRmDhl6ctvBy8vKD_w0PeiX-g8sIFRpBp4hWg=s88-c-k-c0x00ffffff-no-rj</v>
      </c>
      <c r="G60" s="66"/>
      <c r="H60" s="70" t="s">
        <v>1614</v>
      </c>
      <c r="I60" s="71"/>
      <c r="J60" s="71" t="s">
        <v>159</v>
      </c>
      <c r="K60" s="70" t="s">
        <v>1614</v>
      </c>
      <c r="L60" s="74">
        <v>1</v>
      </c>
      <c r="M60" s="75">
        <v>7964.99560546875</v>
      </c>
      <c r="N60" s="75">
        <v>9379.794921875</v>
      </c>
      <c r="O60" s="76"/>
      <c r="P60" s="77"/>
      <c r="Q60" s="77"/>
      <c r="R60" s="89"/>
      <c r="S60" s="49">
        <v>0</v>
      </c>
      <c r="T60" s="49">
        <v>1</v>
      </c>
      <c r="U60" s="50">
        <v>0</v>
      </c>
      <c r="V60" s="50">
        <v>0.002597</v>
      </c>
      <c r="W60" s="50">
        <v>0.00486</v>
      </c>
      <c r="X60" s="50">
        <v>0.526148</v>
      </c>
      <c r="Y60" s="50">
        <v>0</v>
      </c>
      <c r="Z60" s="50">
        <v>0</v>
      </c>
      <c r="AA60" s="72">
        <v>60</v>
      </c>
      <c r="AB60" s="72"/>
      <c r="AC60" s="73"/>
      <c r="AD60" s="80" t="s">
        <v>1614</v>
      </c>
      <c r="AE60" s="80"/>
      <c r="AF60" s="80"/>
      <c r="AG60" s="80"/>
      <c r="AH60" s="80"/>
      <c r="AI60" s="80"/>
      <c r="AJ60" s="80" t="s">
        <v>3137</v>
      </c>
      <c r="AK60" s="85" t="str">
        <f>HYPERLINK("https://yt3.ggpht.com/ytc/AKedOLRmDhl6ctvBy8vKD_w0PeiX-g8sIFRpBp4hWg=s88-c-k-c0x00ffffff-no-rj")</f>
        <v>https://yt3.ggpht.com/ytc/AKedOLRmDhl6ctvBy8vKD_w0PeiX-g8sIFRpBp4hWg=s88-c-k-c0x00ffffff-no-rj</v>
      </c>
      <c r="AL60" s="80">
        <v>0</v>
      </c>
      <c r="AM60" s="80">
        <v>0</v>
      </c>
      <c r="AN60" s="80">
        <v>0</v>
      </c>
      <c r="AO60" s="80" t="b">
        <v>0</v>
      </c>
      <c r="AP60" s="80">
        <v>0</v>
      </c>
      <c r="AQ60" s="80"/>
      <c r="AR60" s="80"/>
      <c r="AS60" s="80" t="s">
        <v>3412</v>
      </c>
      <c r="AT60" s="85" t="str">
        <f>HYPERLINK("https://www.youtube.com/channel/UCK3EGVMfelUkWMnyAvmmipg")</f>
        <v>https://www.youtube.com/channel/UCK3EGVMfelUkWMnyAvmmipg</v>
      </c>
      <c r="AU60" s="80" t="str">
        <f>REPLACE(INDEX(GroupVertices[Group],MATCH(Vertices[[#This Row],[Vertex]],GroupVertices[Vertex],0)),1,1,"")</f>
        <v>1</v>
      </c>
      <c r="AV60" s="49">
        <v>3</v>
      </c>
      <c r="AW60" s="50">
        <v>11.11111111111111</v>
      </c>
      <c r="AX60" s="49">
        <v>0</v>
      </c>
      <c r="AY60" s="50">
        <v>0</v>
      </c>
      <c r="AZ60" s="49">
        <v>0</v>
      </c>
      <c r="BA60" s="50">
        <v>0</v>
      </c>
      <c r="BB60" s="49">
        <v>24</v>
      </c>
      <c r="BC60" s="50">
        <v>88.88888888888889</v>
      </c>
      <c r="BD60" s="49">
        <v>27</v>
      </c>
      <c r="BE60" s="49"/>
      <c r="BF60" s="49"/>
      <c r="BG60" s="49"/>
      <c r="BH60" s="49"/>
      <c r="BI60" s="49"/>
      <c r="BJ60" s="49"/>
      <c r="BK60" s="111" t="s">
        <v>4468</v>
      </c>
      <c r="BL60" s="111" t="s">
        <v>4468</v>
      </c>
      <c r="BM60" s="111" t="s">
        <v>4949</v>
      </c>
      <c r="BN60" s="111" t="s">
        <v>4949</v>
      </c>
      <c r="BO60" s="2"/>
      <c r="BP60" s="3"/>
      <c r="BQ60" s="3"/>
      <c r="BR60" s="3"/>
      <c r="BS60" s="3"/>
    </row>
    <row r="61" spans="1:71" ht="15">
      <c r="A61" s="65" t="s">
        <v>286</v>
      </c>
      <c r="B61" s="66"/>
      <c r="C61" s="66"/>
      <c r="D61" s="67">
        <v>150</v>
      </c>
      <c r="E61" s="69"/>
      <c r="F61" s="103" t="str">
        <f>HYPERLINK("https://yt3.ggpht.com/ytc/AKedOLQl6-zhsmu9Eb98G8nGdhexC_Hzan6aoprt7TEmng=s88-c-k-c0x00ffffff-no-rj")</f>
        <v>https://yt3.ggpht.com/ytc/AKedOLQl6-zhsmu9Eb98G8nGdhexC_Hzan6aoprt7TEmng=s88-c-k-c0x00ffffff-no-rj</v>
      </c>
      <c r="G61" s="66"/>
      <c r="H61" s="70" t="s">
        <v>1615</v>
      </c>
      <c r="I61" s="71"/>
      <c r="J61" s="71" t="s">
        <v>159</v>
      </c>
      <c r="K61" s="70" t="s">
        <v>1615</v>
      </c>
      <c r="L61" s="74">
        <v>1</v>
      </c>
      <c r="M61" s="75">
        <v>7856.93408203125</v>
      </c>
      <c r="N61" s="75">
        <v>9511.794921875</v>
      </c>
      <c r="O61" s="76"/>
      <c r="P61" s="77"/>
      <c r="Q61" s="77"/>
      <c r="R61" s="89"/>
      <c r="S61" s="49">
        <v>0</v>
      </c>
      <c r="T61" s="49">
        <v>1</v>
      </c>
      <c r="U61" s="50">
        <v>0</v>
      </c>
      <c r="V61" s="50">
        <v>0.002597</v>
      </c>
      <c r="W61" s="50">
        <v>0.00486</v>
      </c>
      <c r="X61" s="50">
        <v>0.526148</v>
      </c>
      <c r="Y61" s="50">
        <v>0</v>
      </c>
      <c r="Z61" s="50">
        <v>0</v>
      </c>
      <c r="AA61" s="72">
        <v>61</v>
      </c>
      <c r="AB61" s="72"/>
      <c r="AC61" s="73"/>
      <c r="AD61" s="80" t="s">
        <v>1615</v>
      </c>
      <c r="AE61" s="80" t="s">
        <v>2830</v>
      </c>
      <c r="AF61" s="80"/>
      <c r="AG61" s="80"/>
      <c r="AH61" s="80"/>
      <c r="AI61" s="80"/>
      <c r="AJ61" s="87">
        <v>39123.61834490741</v>
      </c>
      <c r="AK61" s="85" t="str">
        <f>HYPERLINK("https://yt3.ggpht.com/ytc/AKedOLQl6-zhsmu9Eb98G8nGdhexC_Hzan6aoprt7TEmng=s88-c-k-c0x00ffffff-no-rj")</f>
        <v>https://yt3.ggpht.com/ytc/AKedOLQl6-zhsmu9Eb98G8nGdhexC_Hzan6aoprt7TEmng=s88-c-k-c0x00ffffff-no-rj</v>
      </c>
      <c r="AL61" s="80">
        <v>1561</v>
      </c>
      <c r="AM61" s="80">
        <v>0</v>
      </c>
      <c r="AN61" s="80">
        <v>53</v>
      </c>
      <c r="AO61" s="80" t="b">
        <v>0</v>
      </c>
      <c r="AP61" s="80">
        <v>11</v>
      </c>
      <c r="AQ61" s="80"/>
      <c r="AR61" s="80"/>
      <c r="AS61" s="80" t="s">
        <v>3412</v>
      </c>
      <c r="AT61" s="85" t="str">
        <f>HYPERLINK("https://www.youtube.com/channel/UCasRFL3j50VabkCHFMDrGyw")</f>
        <v>https://www.youtube.com/channel/UCasRFL3j50VabkCHFMDrGyw</v>
      </c>
      <c r="AU61" s="80" t="str">
        <f>REPLACE(INDEX(GroupVertices[Group],MATCH(Vertices[[#This Row],[Vertex]],GroupVertices[Vertex],0)),1,1,"")</f>
        <v>1</v>
      </c>
      <c r="AV61" s="49">
        <v>1</v>
      </c>
      <c r="AW61" s="50">
        <v>7.6923076923076925</v>
      </c>
      <c r="AX61" s="49">
        <v>0</v>
      </c>
      <c r="AY61" s="50">
        <v>0</v>
      </c>
      <c r="AZ61" s="49">
        <v>0</v>
      </c>
      <c r="BA61" s="50">
        <v>0</v>
      </c>
      <c r="BB61" s="49">
        <v>12</v>
      </c>
      <c r="BC61" s="50">
        <v>92.3076923076923</v>
      </c>
      <c r="BD61" s="49">
        <v>13</v>
      </c>
      <c r="BE61" s="49"/>
      <c r="BF61" s="49"/>
      <c r="BG61" s="49"/>
      <c r="BH61" s="49"/>
      <c r="BI61" s="49"/>
      <c r="BJ61" s="49"/>
      <c r="BK61" s="111" t="s">
        <v>4469</v>
      </c>
      <c r="BL61" s="111" t="s">
        <v>4469</v>
      </c>
      <c r="BM61" s="111" t="s">
        <v>4950</v>
      </c>
      <c r="BN61" s="111" t="s">
        <v>4950</v>
      </c>
      <c r="BO61" s="2"/>
      <c r="BP61" s="3"/>
      <c r="BQ61" s="3"/>
      <c r="BR61" s="3"/>
      <c r="BS61" s="3"/>
    </row>
    <row r="62" spans="1:71" ht="15">
      <c r="A62" s="65" t="s">
        <v>288</v>
      </c>
      <c r="B62" s="66"/>
      <c r="C62" s="66"/>
      <c r="D62" s="67">
        <v>150</v>
      </c>
      <c r="E62" s="69"/>
      <c r="F62" s="103" t="str">
        <f>HYPERLINK("https://yt3.ggpht.com/ytc/AKedOLRuaI1Kd2G6-Im7HDxb1YDQCAxpuGdk4sARpWFbxwI=s88-c-k-c0x00ffffff-no-rj")</f>
        <v>https://yt3.ggpht.com/ytc/AKedOLRuaI1Kd2G6-Im7HDxb1YDQCAxpuGdk4sARpWFbxwI=s88-c-k-c0x00ffffff-no-rj</v>
      </c>
      <c r="G62" s="66"/>
      <c r="H62" s="70" t="s">
        <v>1617</v>
      </c>
      <c r="I62" s="71"/>
      <c r="J62" s="71" t="s">
        <v>159</v>
      </c>
      <c r="K62" s="70" t="s">
        <v>1617</v>
      </c>
      <c r="L62" s="74">
        <v>1</v>
      </c>
      <c r="M62" s="75">
        <v>3176.43603515625</v>
      </c>
      <c r="N62" s="75">
        <v>8038.3818359375</v>
      </c>
      <c r="O62" s="76"/>
      <c r="P62" s="77"/>
      <c r="Q62" s="77"/>
      <c r="R62" s="89"/>
      <c r="S62" s="49">
        <v>2</v>
      </c>
      <c r="T62" s="49">
        <v>2</v>
      </c>
      <c r="U62" s="50">
        <v>0</v>
      </c>
      <c r="V62" s="50">
        <v>0.002597</v>
      </c>
      <c r="W62" s="50">
        <v>0.005224</v>
      </c>
      <c r="X62" s="50">
        <v>0.915039</v>
      </c>
      <c r="Y62" s="50">
        <v>0</v>
      </c>
      <c r="Z62" s="50">
        <v>1</v>
      </c>
      <c r="AA62" s="72">
        <v>62</v>
      </c>
      <c r="AB62" s="72"/>
      <c r="AC62" s="73"/>
      <c r="AD62" s="80" t="s">
        <v>1617</v>
      </c>
      <c r="AE62" s="80" t="s">
        <v>2831</v>
      </c>
      <c r="AF62" s="80"/>
      <c r="AG62" s="80"/>
      <c r="AH62" s="80"/>
      <c r="AI62" s="80"/>
      <c r="AJ62" s="87">
        <v>41768.75608796296</v>
      </c>
      <c r="AK62" s="85" t="str">
        <f>HYPERLINK("https://yt3.ggpht.com/ytc/AKedOLRuaI1Kd2G6-Im7HDxb1YDQCAxpuGdk4sARpWFbxwI=s88-c-k-c0x00ffffff-no-rj")</f>
        <v>https://yt3.ggpht.com/ytc/AKedOLRuaI1Kd2G6-Im7HDxb1YDQCAxpuGdk4sARpWFbxwI=s88-c-k-c0x00ffffff-no-rj</v>
      </c>
      <c r="AL62" s="80">
        <v>423</v>
      </c>
      <c r="AM62" s="80">
        <v>0</v>
      </c>
      <c r="AN62" s="80">
        <v>9</v>
      </c>
      <c r="AO62" s="80" t="b">
        <v>0</v>
      </c>
      <c r="AP62" s="80">
        <v>6</v>
      </c>
      <c r="AQ62" s="80"/>
      <c r="AR62" s="80"/>
      <c r="AS62" s="80" t="s">
        <v>3412</v>
      </c>
      <c r="AT62" s="85" t="str">
        <f>HYPERLINK("https://www.youtube.com/channel/UCDeZ6HE0SS-Z-_otfYJds9w")</f>
        <v>https://www.youtube.com/channel/UCDeZ6HE0SS-Z-_otfYJds9w</v>
      </c>
      <c r="AU62" s="80" t="str">
        <f>REPLACE(INDEX(GroupVertices[Group],MATCH(Vertices[[#This Row],[Vertex]],GroupVertices[Vertex],0)),1,1,"")</f>
        <v>1</v>
      </c>
      <c r="AV62" s="49">
        <v>8</v>
      </c>
      <c r="AW62" s="50">
        <v>8.16326530612245</v>
      </c>
      <c r="AX62" s="49">
        <v>4</v>
      </c>
      <c r="AY62" s="50">
        <v>4.081632653061225</v>
      </c>
      <c r="AZ62" s="49">
        <v>0</v>
      </c>
      <c r="BA62" s="50">
        <v>0</v>
      </c>
      <c r="BB62" s="49">
        <v>86</v>
      </c>
      <c r="BC62" s="50">
        <v>87.75510204081633</v>
      </c>
      <c r="BD62" s="49">
        <v>98</v>
      </c>
      <c r="BE62" s="49"/>
      <c r="BF62" s="49"/>
      <c r="BG62" s="49"/>
      <c r="BH62" s="49"/>
      <c r="BI62" s="49"/>
      <c r="BJ62" s="49"/>
      <c r="BK62" s="111" t="s">
        <v>4470</v>
      </c>
      <c r="BL62" s="111" t="s">
        <v>4470</v>
      </c>
      <c r="BM62" s="111" t="s">
        <v>4951</v>
      </c>
      <c r="BN62" s="111" t="s">
        <v>4951</v>
      </c>
      <c r="BO62" s="2"/>
      <c r="BP62" s="3"/>
      <c r="BQ62" s="3"/>
      <c r="BR62" s="3"/>
      <c r="BS62" s="3"/>
    </row>
    <row r="63" spans="1:71" ht="15">
      <c r="A63" s="65" t="s">
        <v>289</v>
      </c>
      <c r="B63" s="66"/>
      <c r="C63" s="66"/>
      <c r="D63" s="67">
        <v>150</v>
      </c>
      <c r="E63" s="69"/>
      <c r="F63" s="103" t="str">
        <f>HYPERLINK("https://yt3.ggpht.com/ytc/AKedOLSQTwLzLpgAEE03oMtFQ-T30PuZ986DQFgXcsoXZQ=s88-c-k-c0x00ffffff-no-rj")</f>
        <v>https://yt3.ggpht.com/ytc/AKedOLSQTwLzLpgAEE03oMtFQ-T30PuZ986DQFgXcsoXZQ=s88-c-k-c0x00ffffff-no-rj</v>
      </c>
      <c r="G63" s="66"/>
      <c r="H63" s="70" t="s">
        <v>1618</v>
      </c>
      <c r="I63" s="71"/>
      <c r="J63" s="71" t="s">
        <v>159</v>
      </c>
      <c r="K63" s="70" t="s">
        <v>1618</v>
      </c>
      <c r="L63" s="74">
        <v>1</v>
      </c>
      <c r="M63" s="75">
        <v>4646.6220703125</v>
      </c>
      <c r="N63" s="75">
        <v>8637.6044921875</v>
      </c>
      <c r="O63" s="76"/>
      <c r="P63" s="77"/>
      <c r="Q63" s="77"/>
      <c r="R63" s="89"/>
      <c r="S63" s="49">
        <v>0</v>
      </c>
      <c r="T63" s="49">
        <v>1</v>
      </c>
      <c r="U63" s="50">
        <v>0</v>
      </c>
      <c r="V63" s="50">
        <v>0.002597</v>
      </c>
      <c r="W63" s="50">
        <v>0.00486</v>
      </c>
      <c r="X63" s="50">
        <v>0.526148</v>
      </c>
      <c r="Y63" s="50">
        <v>0</v>
      </c>
      <c r="Z63" s="50">
        <v>0</v>
      </c>
      <c r="AA63" s="72">
        <v>63</v>
      </c>
      <c r="AB63" s="72"/>
      <c r="AC63" s="73"/>
      <c r="AD63" s="80" t="s">
        <v>1618</v>
      </c>
      <c r="AE63" s="80" t="s">
        <v>2832</v>
      </c>
      <c r="AF63" s="80"/>
      <c r="AG63" s="80"/>
      <c r="AH63" s="80"/>
      <c r="AI63" s="80" t="s">
        <v>3026</v>
      </c>
      <c r="AJ63" s="80" t="s">
        <v>3138</v>
      </c>
      <c r="AK63" s="85" t="str">
        <f>HYPERLINK("https://yt3.ggpht.com/ytc/AKedOLSQTwLzLpgAEE03oMtFQ-T30PuZ986DQFgXcsoXZQ=s88-c-k-c0x00ffffff-no-rj")</f>
        <v>https://yt3.ggpht.com/ytc/AKedOLSQTwLzLpgAEE03oMtFQ-T30PuZ986DQFgXcsoXZQ=s88-c-k-c0x00ffffff-no-rj</v>
      </c>
      <c r="AL63" s="80">
        <v>946322</v>
      </c>
      <c r="AM63" s="80">
        <v>0</v>
      </c>
      <c r="AN63" s="80">
        <v>6540</v>
      </c>
      <c r="AO63" s="80" t="b">
        <v>0</v>
      </c>
      <c r="AP63" s="80">
        <v>883</v>
      </c>
      <c r="AQ63" s="80"/>
      <c r="AR63" s="80"/>
      <c r="AS63" s="80" t="s">
        <v>3412</v>
      </c>
      <c r="AT63" s="85" t="str">
        <f>HYPERLINK("https://www.youtube.com/channel/UCvWr2Az6LRelFYRHgwdRf9w")</f>
        <v>https://www.youtube.com/channel/UCvWr2Az6LRelFYRHgwdRf9w</v>
      </c>
      <c r="AU63" s="80" t="str">
        <f>REPLACE(INDEX(GroupVertices[Group],MATCH(Vertices[[#This Row],[Vertex]],GroupVertices[Vertex],0)),1,1,"")</f>
        <v>1</v>
      </c>
      <c r="AV63" s="49">
        <v>2</v>
      </c>
      <c r="AW63" s="50">
        <v>14.285714285714286</v>
      </c>
      <c r="AX63" s="49">
        <v>0</v>
      </c>
      <c r="AY63" s="50">
        <v>0</v>
      </c>
      <c r="AZ63" s="49">
        <v>0</v>
      </c>
      <c r="BA63" s="50">
        <v>0</v>
      </c>
      <c r="BB63" s="49">
        <v>12</v>
      </c>
      <c r="BC63" s="50">
        <v>85.71428571428571</v>
      </c>
      <c r="BD63" s="49">
        <v>14</v>
      </c>
      <c r="BE63" s="49"/>
      <c r="BF63" s="49"/>
      <c r="BG63" s="49"/>
      <c r="BH63" s="49"/>
      <c r="BI63" s="49"/>
      <c r="BJ63" s="49"/>
      <c r="BK63" s="111" t="s">
        <v>4471</v>
      </c>
      <c r="BL63" s="111" t="s">
        <v>4471</v>
      </c>
      <c r="BM63" s="111" t="s">
        <v>4952</v>
      </c>
      <c r="BN63" s="111" t="s">
        <v>4952</v>
      </c>
      <c r="BO63" s="2"/>
      <c r="BP63" s="3"/>
      <c r="BQ63" s="3"/>
      <c r="BR63" s="3"/>
      <c r="BS63" s="3"/>
    </row>
    <row r="64" spans="1:71" ht="15">
      <c r="A64" s="65" t="s">
        <v>290</v>
      </c>
      <c r="B64" s="66"/>
      <c r="C64" s="66"/>
      <c r="D64" s="67">
        <v>150</v>
      </c>
      <c r="E64" s="69"/>
      <c r="F64" s="103" t="str">
        <f>HYPERLINK("https://yt3.ggpht.com/ytc/AKedOLR_QDUVYAf1-GpVOZ8D-rHT5hC5oZELZWoQNHl5=s88-c-k-c0x00ffffff-no-rj")</f>
        <v>https://yt3.ggpht.com/ytc/AKedOLR_QDUVYAf1-GpVOZ8D-rHT5hC5oZELZWoQNHl5=s88-c-k-c0x00ffffff-no-rj</v>
      </c>
      <c r="G64" s="66"/>
      <c r="H64" s="70" t="s">
        <v>1619</v>
      </c>
      <c r="I64" s="71"/>
      <c r="J64" s="71" t="s">
        <v>159</v>
      </c>
      <c r="K64" s="70" t="s">
        <v>1619</v>
      </c>
      <c r="L64" s="74">
        <v>1</v>
      </c>
      <c r="M64" s="75">
        <v>3310.33154296875</v>
      </c>
      <c r="N64" s="75">
        <v>9157.1513671875</v>
      </c>
      <c r="O64" s="76"/>
      <c r="P64" s="77"/>
      <c r="Q64" s="77"/>
      <c r="R64" s="89"/>
      <c r="S64" s="49">
        <v>0</v>
      </c>
      <c r="T64" s="49">
        <v>1</v>
      </c>
      <c r="U64" s="50">
        <v>0</v>
      </c>
      <c r="V64" s="50">
        <v>0.002597</v>
      </c>
      <c r="W64" s="50">
        <v>0.00486</v>
      </c>
      <c r="X64" s="50">
        <v>0.526148</v>
      </c>
      <c r="Y64" s="50">
        <v>0</v>
      </c>
      <c r="Z64" s="50">
        <v>0</v>
      </c>
      <c r="AA64" s="72">
        <v>64</v>
      </c>
      <c r="AB64" s="72"/>
      <c r="AC64" s="73"/>
      <c r="AD64" s="80" t="s">
        <v>1619</v>
      </c>
      <c r="AE64" s="80"/>
      <c r="AF64" s="80"/>
      <c r="AG64" s="80"/>
      <c r="AH64" s="80"/>
      <c r="AI64" s="80"/>
      <c r="AJ64" s="80" t="s">
        <v>3139</v>
      </c>
      <c r="AK64" s="85" t="str">
        <f>HYPERLINK("https://yt3.ggpht.com/ytc/AKedOLR_QDUVYAf1-GpVOZ8D-rHT5hC5oZELZWoQNHl5=s88-c-k-c0x00ffffff-no-rj")</f>
        <v>https://yt3.ggpht.com/ytc/AKedOLR_QDUVYAf1-GpVOZ8D-rHT5hC5oZELZWoQNHl5=s88-c-k-c0x00ffffff-no-rj</v>
      </c>
      <c r="AL64" s="80">
        <v>0</v>
      </c>
      <c r="AM64" s="80">
        <v>0</v>
      </c>
      <c r="AN64" s="80">
        <v>2</v>
      </c>
      <c r="AO64" s="80" t="b">
        <v>0</v>
      </c>
      <c r="AP64" s="80">
        <v>0</v>
      </c>
      <c r="AQ64" s="80"/>
      <c r="AR64" s="80"/>
      <c r="AS64" s="80" t="s">
        <v>3412</v>
      </c>
      <c r="AT64" s="85" t="str">
        <f>HYPERLINK("https://www.youtube.com/channel/UCSporYyxSsMznLmirvplwJw")</f>
        <v>https://www.youtube.com/channel/UCSporYyxSsMznLmirvplwJw</v>
      </c>
      <c r="AU64" s="80" t="str">
        <f>REPLACE(INDEX(GroupVertices[Group],MATCH(Vertices[[#This Row],[Vertex]],GroupVertices[Vertex],0)),1,1,"")</f>
        <v>1</v>
      </c>
      <c r="AV64" s="49">
        <v>2</v>
      </c>
      <c r="AW64" s="50">
        <v>16.666666666666668</v>
      </c>
      <c r="AX64" s="49">
        <v>0</v>
      </c>
      <c r="AY64" s="50">
        <v>0</v>
      </c>
      <c r="AZ64" s="49">
        <v>0</v>
      </c>
      <c r="BA64" s="50">
        <v>0</v>
      </c>
      <c r="BB64" s="49">
        <v>10</v>
      </c>
      <c r="BC64" s="50">
        <v>83.33333333333333</v>
      </c>
      <c r="BD64" s="49">
        <v>12</v>
      </c>
      <c r="BE64" s="49"/>
      <c r="BF64" s="49"/>
      <c r="BG64" s="49"/>
      <c r="BH64" s="49"/>
      <c r="BI64" s="49"/>
      <c r="BJ64" s="49"/>
      <c r="BK64" s="111" t="s">
        <v>4472</v>
      </c>
      <c r="BL64" s="111" t="s">
        <v>4472</v>
      </c>
      <c r="BM64" s="111" t="s">
        <v>4953</v>
      </c>
      <c r="BN64" s="111" t="s">
        <v>4953</v>
      </c>
      <c r="BO64" s="2"/>
      <c r="BP64" s="3"/>
      <c r="BQ64" s="3"/>
      <c r="BR64" s="3"/>
      <c r="BS64" s="3"/>
    </row>
    <row r="65" spans="1:71" ht="15">
      <c r="A65" s="65" t="s">
        <v>291</v>
      </c>
      <c r="B65" s="66"/>
      <c r="C65" s="66"/>
      <c r="D65" s="67">
        <v>150</v>
      </c>
      <c r="E65" s="69"/>
      <c r="F65" s="103" t="str">
        <f>HYPERLINK("https://yt3.ggpht.com/ytc/AKedOLS8Ags4lALUmyKqOYogr3t4wvGgVjjW7AuGAw=s88-c-k-c0x00ffffff-no-rj")</f>
        <v>https://yt3.ggpht.com/ytc/AKedOLS8Ags4lALUmyKqOYogr3t4wvGgVjjW7AuGAw=s88-c-k-c0x00ffffff-no-rj</v>
      </c>
      <c r="G65" s="66"/>
      <c r="H65" s="70" t="s">
        <v>1620</v>
      </c>
      <c r="I65" s="71"/>
      <c r="J65" s="71" t="s">
        <v>159</v>
      </c>
      <c r="K65" s="70" t="s">
        <v>1620</v>
      </c>
      <c r="L65" s="74">
        <v>1</v>
      </c>
      <c r="M65" s="75">
        <v>3763.026611328125</v>
      </c>
      <c r="N65" s="75">
        <v>7499.79052734375</v>
      </c>
      <c r="O65" s="76"/>
      <c r="P65" s="77"/>
      <c r="Q65" s="77"/>
      <c r="R65" s="89"/>
      <c r="S65" s="49">
        <v>0</v>
      </c>
      <c r="T65" s="49">
        <v>1</v>
      </c>
      <c r="U65" s="50">
        <v>0</v>
      </c>
      <c r="V65" s="50">
        <v>0.002597</v>
      </c>
      <c r="W65" s="50">
        <v>0.00486</v>
      </c>
      <c r="X65" s="50">
        <v>0.526148</v>
      </c>
      <c r="Y65" s="50">
        <v>0</v>
      </c>
      <c r="Z65" s="50">
        <v>0</v>
      </c>
      <c r="AA65" s="72">
        <v>65</v>
      </c>
      <c r="AB65" s="72"/>
      <c r="AC65" s="73"/>
      <c r="AD65" s="80" t="s">
        <v>1620</v>
      </c>
      <c r="AE65" s="80"/>
      <c r="AF65" s="80"/>
      <c r="AG65" s="80"/>
      <c r="AH65" s="80"/>
      <c r="AI65" s="80"/>
      <c r="AJ65" s="80" t="s">
        <v>3140</v>
      </c>
      <c r="AK65" s="85" t="str">
        <f>HYPERLINK("https://yt3.ggpht.com/ytc/AKedOLS8Ags4lALUmyKqOYogr3t4wvGgVjjW7AuGAw=s88-c-k-c0x00ffffff-no-rj")</f>
        <v>https://yt3.ggpht.com/ytc/AKedOLS8Ags4lALUmyKqOYogr3t4wvGgVjjW7AuGAw=s88-c-k-c0x00ffffff-no-rj</v>
      </c>
      <c r="AL65" s="80">
        <v>0</v>
      </c>
      <c r="AM65" s="80">
        <v>0</v>
      </c>
      <c r="AN65" s="80">
        <v>3</v>
      </c>
      <c r="AO65" s="80" t="b">
        <v>0</v>
      </c>
      <c r="AP65" s="80">
        <v>0</v>
      </c>
      <c r="AQ65" s="80"/>
      <c r="AR65" s="80"/>
      <c r="AS65" s="80" t="s">
        <v>3412</v>
      </c>
      <c r="AT65" s="85" t="str">
        <f>HYPERLINK("https://www.youtube.com/channel/UCwOvzEJx5_czsWd7pHE1J9Q")</f>
        <v>https://www.youtube.com/channel/UCwOvzEJx5_czsWd7pHE1J9Q</v>
      </c>
      <c r="AU65" s="80" t="str">
        <f>REPLACE(INDEX(GroupVertices[Group],MATCH(Vertices[[#This Row],[Vertex]],GroupVertices[Vertex],0)),1,1,"")</f>
        <v>1</v>
      </c>
      <c r="AV65" s="49">
        <v>4</v>
      </c>
      <c r="AW65" s="50">
        <v>12.5</v>
      </c>
      <c r="AX65" s="49">
        <v>0</v>
      </c>
      <c r="AY65" s="50">
        <v>0</v>
      </c>
      <c r="AZ65" s="49">
        <v>0</v>
      </c>
      <c r="BA65" s="50">
        <v>0</v>
      </c>
      <c r="BB65" s="49">
        <v>28</v>
      </c>
      <c r="BC65" s="50">
        <v>87.5</v>
      </c>
      <c r="BD65" s="49">
        <v>32</v>
      </c>
      <c r="BE65" s="49"/>
      <c r="BF65" s="49"/>
      <c r="BG65" s="49"/>
      <c r="BH65" s="49"/>
      <c r="BI65" s="49"/>
      <c r="BJ65" s="49"/>
      <c r="BK65" s="111" t="s">
        <v>4473</v>
      </c>
      <c r="BL65" s="111" t="s">
        <v>4473</v>
      </c>
      <c r="BM65" s="111" t="s">
        <v>4954</v>
      </c>
      <c r="BN65" s="111" t="s">
        <v>4954</v>
      </c>
      <c r="BO65" s="2"/>
      <c r="BP65" s="3"/>
      <c r="BQ65" s="3"/>
      <c r="BR65" s="3"/>
      <c r="BS65" s="3"/>
    </row>
    <row r="66" spans="1:71" ht="15">
      <c r="A66" s="65" t="s">
        <v>292</v>
      </c>
      <c r="B66" s="66"/>
      <c r="C66" s="66"/>
      <c r="D66" s="67">
        <v>150</v>
      </c>
      <c r="E66" s="69"/>
      <c r="F66" s="103" t="str">
        <f>HYPERLINK("https://yt3.ggpht.com/ytc/AKedOLT1h2xlifwtaXQ-Nz_y3BaoPXaQWyUfSCF-CA=s88-c-k-c0x00ffffff-no-rj")</f>
        <v>https://yt3.ggpht.com/ytc/AKedOLT1h2xlifwtaXQ-Nz_y3BaoPXaQWyUfSCF-CA=s88-c-k-c0x00ffffff-no-rj</v>
      </c>
      <c r="G66" s="66"/>
      <c r="H66" s="70" t="s">
        <v>1621</v>
      </c>
      <c r="I66" s="71"/>
      <c r="J66" s="71" t="s">
        <v>159</v>
      </c>
      <c r="K66" s="70" t="s">
        <v>1621</v>
      </c>
      <c r="L66" s="74">
        <v>1</v>
      </c>
      <c r="M66" s="75">
        <v>2840.842529296875</v>
      </c>
      <c r="N66" s="75">
        <v>8678.5966796875</v>
      </c>
      <c r="O66" s="76"/>
      <c r="P66" s="77"/>
      <c r="Q66" s="77"/>
      <c r="R66" s="89"/>
      <c r="S66" s="49">
        <v>0</v>
      </c>
      <c r="T66" s="49">
        <v>1</v>
      </c>
      <c r="U66" s="50">
        <v>0</v>
      </c>
      <c r="V66" s="50">
        <v>0.002597</v>
      </c>
      <c r="W66" s="50">
        <v>0.00486</v>
      </c>
      <c r="X66" s="50">
        <v>0.526148</v>
      </c>
      <c r="Y66" s="50">
        <v>0</v>
      </c>
      <c r="Z66" s="50">
        <v>0</v>
      </c>
      <c r="AA66" s="72">
        <v>66</v>
      </c>
      <c r="AB66" s="72"/>
      <c r="AC66" s="73"/>
      <c r="AD66" s="80" t="s">
        <v>1621</v>
      </c>
      <c r="AE66" s="80"/>
      <c r="AF66" s="80"/>
      <c r="AG66" s="80"/>
      <c r="AH66" s="80"/>
      <c r="AI66" s="80"/>
      <c r="AJ66" s="80" t="s">
        <v>3141</v>
      </c>
      <c r="AK66" s="85" t="str">
        <f>HYPERLINK("https://yt3.ggpht.com/ytc/AKedOLT1h2xlifwtaXQ-Nz_y3BaoPXaQWyUfSCF-CA=s88-c-k-c0x00ffffff-no-rj")</f>
        <v>https://yt3.ggpht.com/ytc/AKedOLT1h2xlifwtaXQ-Nz_y3BaoPXaQWyUfSCF-CA=s88-c-k-c0x00ffffff-no-rj</v>
      </c>
      <c r="AL66" s="80">
        <v>458</v>
      </c>
      <c r="AM66" s="80">
        <v>0</v>
      </c>
      <c r="AN66" s="80">
        <v>0</v>
      </c>
      <c r="AO66" s="80" t="b">
        <v>1</v>
      </c>
      <c r="AP66" s="80">
        <v>12</v>
      </c>
      <c r="AQ66" s="80"/>
      <c r="AR66" s="80"/>
      <c r="AS66" s="80" t="s">
        <v>3412</v>
      </c>
      <c r="AT66" s="85" t="str">
        <f>HYPERLINK("https://www.youtube.com/channel/UCRBXqBiHg9FGZXG119_L6Lg")</f>
        <v>https://www.youtube.com/channel/UCRBXqBiHg9FGZXG119_L6Lg</v>
      </c>
      <c r="AU66" s="80" t="str">
        <f>REPLACE(INDEX(GroupVertices[Group],MATCH(Vertices[[#This Row],[Vertex]],GroupVertices[Vertex],0)),1,1,"")</f>
        <v>1</v>
      </c>
      <c r="AV66" s="49">
        <v>4</v>
      </c>
      <c r="AW66" s="50">
        <v>7.407407407407407</v>
      </c>
      <c r="AX66" s="49">
        <v>0</v>
      </c>
      <c r="AY66" s="50">
        <v>0</v>
      </c>
      <c r="AZ66" s="49">
        <v>0</v>
      </c>
      <c r="BA66" s="50">
        <v>0</v>
      </c>
      <c r="BB66" s="49">
        <v>50</v>
      </c>
      <c r="BC66" s="50">
        <v>92.5925925925926</v>
      </c>
      <c r="BD66" s="49">
        <v>54</v>
      </c>
      <c r="BE66" s="49"/>
      <c r="BF66" s="49"/>
      <c r="BG66" s="49"/>
      <c r="BH66" s="49"/>
      <c r="BI66" s="49"/>
      <c r="BJ66" s="49"/>
      <c r="BK66" s="111" t="s">
        <v>4474</v>
      </c>
      <c r="BL66" s="111" t="s">
        <v>4474</v>
      </c>
      <c r="BM66" s="111" t="s">
        <v>4955</v>
      </c>
      <c r="BN66" s="111" t="s">
        <v>4955</v>
      </c>
      <c r="BO66" s="2"/>
      <c r="BP66" s="3"/>
      <c r="BQ66" s="3"/>
      <c r="BR66" s="3"/>
      <c r="BS66" s="3"/>
    </row>
    <row r="67" spans="1:71" ht="15">
      <c r="A67" s="65" t="s">
        <v>293</v>
      </c>
      <c r="B67" s="66"/>
      <c r="C67" s="66"/>
      <c r="D67" s="67">
        <v>150</v>
      </c>
      <c r="E67" s="69"/>
      <c r="F67" s="103" t="str">
        <f>HYPERLINK("https://yt3.ggpht.com/ytc/AKedOLScec4lX3O1FjJ_GLWJTgdNzOSPiEFEyS0MKw=s88-c-k-c0x00ffffff-no-rj")</f>
        <v>https://yt3.ggpht.com/ytc/AKedOLScec4lX3O1FjJ_GLWJTgdNzOSPiEFEyS0MKw=s88-c-k-c0x00ffffff-no-rj</v>
      </c>
      <c r="G67" s="66"/>
      <c r="H67" s="70" t="s">
        <v>1622</v>
      </c>
      <c r="I67" s="71"/>
      <c r="J67" s="71" t="s">
        <v>159</v>
      </c>
      <c r="K67" s="70" t="s">
        <v>1622</v>
      </c>
      <c r="L67" s="74">
        <v>1</v>
      </c>
      <c r="M67" s="75">
        <v>8645.166015625</v>
      </c>
      <c r="N67" s="75">
        <v>7564.9521484375</v>
      </c>
      <c r="O67" s="76"/>
      <c r="P67" s="77"/>
      <c r="Q67" s="77"/>
      <c r="R67" s="89"/>
      <c r="S67" s="49">
        <v>0</v>
      </c>
      <c r="T67" s="49">
        <v>1</v>
      </c>
      <c r="U67" s="50">
        <v>0</v>
      </c>
      <c r="V67" s="50">
        <v>0.002597</v>
      </c>
      <c r="W67" s="50">
        <v>0.00486</v>
      </c>
      <c r="X67" s="50">
        <v>0.526148</v>
      </c>
      <c r="Y67" s="50">
        <v>0</v>
      </c>
      <c r="Z67" s="50">
        <v>0</v>
      </c>
      <c r="AA67" s="72">
        <v>67</v>
      </c>
      <c r="AB67" s="72"/>
      <c r="AC67" s="73"/>
      <c r="AD67" s="80" t="s">
        <v>1622</v>
      </c>
      <c r="AE67" s="80"/>
      <c r="AF67" s="80"/>
      <c r="AG67" s="80"/>
      <c r="AH67" s="80"/>
      <c r="AI67" s="80"/>
      <c r="AJ67" s="80" t="s">
        <v>3142</v>
      </c>
      <c r="AK67" s="85" t="str">
        <f>HYPERLINK("https://yt3.ggpht.com/ytc/AKedOLScec4lX3O1FjJ_GLWJTgdNzOSPiEFEyS0MKw=s88-c-k-c0x00ffffff-no-rj")</f>
        <v>https://yt3.ggpht.com/ytc/AKedOLScec4lX3O1FjJ_GLWJTgdNzOSPiEFEyS0MKw=s88-c-k-c0x00ffffff-no-rj</v>
      </c>
      <c r="AL67" s="80">
        <v>0</v>
      </c>
      <c r="AM67" s="80">
        <v>0</v>
      </c>
      <c r="AN67" s="80">
        <v>1</v>
      </c>
      <c r="AO67" s="80" t="b">
        <v>0</v>
      </c>
      <c r="AP67" s="80">
        <v>0</v>
      </c>
      <c r="AQ67" s="80"/>
      <c r="AR67" s="80"/>
      <c r="AS67" s="80" t="s">
        <v>3412</v>
      </c>
      <c r="AT67" s="85" t="str">
        <f>HYPERLINK("https://www.youtube.com/channel/UCBoeMYCVCwfFftwIOrzdY7g")</f>
        <v>https://www.youtube.com/channel/UCBoeMYCVCwfFftwIOrzdY7g</v>
      </c>
      <c r="AU67" s="80" t="str">
        <f>REPLACE(INDEX(GroupVertices[Group],MATCH(Vertices[[#This Row],[Vertex]],GroupVertices[Vertex],0)),1,1,"")</f>
        <v>1</v>
      </c>
      <c r="AV67" s="49">
        <v>0</v>
      </c>
      <c r="AW67" s="50">
        <v>0</v>
      </c>
      <c r="AX67" s="49">
        <v>0</v>
      </c>
      <c r="AY67" s="50">
        <v>0</v>
      </c>
      <c r="AZ67" s="49">
        <v>0</v>
      </c>
      <c r="BA67" s="50">
        <v>0</v>
      </c>
      <c r="BB67" s="49">
        <v>11</v>
      </c>
      <c r="BC67" s="50">
        <v>100</v>
      </c>
      <c r="BD67" s="49">
        <v>11</v>
      </c>
      <c r="BE67" s="49"/>
      <c r="BF67" s="49"/>
      <c r="BG67" s="49"/>
      <c r="BH67" s="49"/>
      <c r="BI67" s="49"/>
      <c r="BJ67" s="49"/>
      <c r="BK67" s="111" t="s">
        <v>4475</v>
      </c>
      <c r="BL67" s="111" t="s">
        <v>4475</v>
      </c>
      <c r="BM67" s="111" t="s">
        <v>4956</v>
      </c>
      <c r="BN67" s="111" t="s">
        <v>4956</v>
      </c>
      <c r="BO67" s="2"/>
      <c r="BP67" s="3"/>
      <c r="BQ67" s="3"/>
      <c r="BR67" s="3"/>
      <c r="BS67" s="3"/>
    </row>
    <row r="68" spans="1:71" ht="15">
      <c r="A68" s="65" t="s">
        <v>294</v>
      </c>
      <c r="B68" s="66"/>
      <c r="C68" s="66"/>
      <c r="D68" s="67">
        <v>150</v>
      </c>
      <c r="E68" s="69"/>
      <c r="F68" s="103" t="str">
        <f>HYPERLINK("https://yt3.ggpht.com/ytc/AKedOLQNEV0pU9umOQZ6_WFDHPcoJzUD24t0oMwTh7LK=s88-c-k-c0x00ffffff-no-rj")</f>
        <v>https://yt3.ggpht.com/ytc/AKedOLQNEV0pU9umOQZ6_WFDHPcoJzUD24t0oMwTh7LK=s88-c-k-c0x00ffffff-no-rj</v>
      </c>
      <c r="G68" s="66"/>
      <c r="H68" s="70" t="s">
        <v>1623</v>
      </c>
      <c r="I68" s="71"/>
      <c r="J68" s="71" t="s">
        <v>159</v>
      </c>
      <c r="K68" s="70" t="s">
        <v>1623</v>
      </c>
      <c r="L68" s="74">
        <v>1</v>
      </c>
      <c r="M68" s="75">
        <v>6792.01025390625</v>
      </c>
      <c r="N68" s="75">
        <v>9057.162109375</v>
      </c>
      <c r="O68" s="76"/>
      <c r="P68" s="77"/>
      <c r="Q68" s="77"/>
      <c r="R68" s="89"/>
      <c r="S68" s="49">
        <v>0</v>
      </c>
      <c r="T68" s="49">
        <v>1</v>
      </c>
      <c r="U68" s="50">
        <v>0</v>
      </c>
      <c r="V68" s="50">
        <v>0.002597</v>
      </c>
      <c r="W68" s="50">
        <v>0.00486</v>
      </c>
      <c r="X68" s="50">
        <v>0.526148</v>
      </c>
      <c r="Y68" s="50">
        <v>0</v>
      </c>
      <c r="Z68" s="50">
        <v>0</v>
      </c>
      <c r="AA68" s="72">
        <v>68</v>
      </c>
      <c r="AB68" s="72"/>
      <c r="AC68" s="73"/>
      <c r="AD68" s="80" t="s">
        <v>1623</v>
      </c>
      <c r="AE68" s="80" t="s">
        <v>2833</v>
      </c>
      <c r="AF68" s="80"/>
      <c r="AG68" s="80"/>
      <c r="AH68" s="80"/>
      <c r="AI68" s="80"/>
      <c r="AJ68" s="80" t="s">
        <v>3143</v>
      </c>
      <c r="AK68" s="85" t="str">
        <f>HYPERLINK("https://yt3.ggpht.com/ytc/AKedOLQNEV0pU9umOQZ6_WFDHPcoJzUD24t0oMwTh7LK=s88-c-k-c0x00ffffff-no-rj")</f>
        <v>https://yt3.ggpht.com/ytc/AKedOLQNEV0pU9umOQZ6_WFDHPcoJzUD24t0oMwTh7LK=s88-c-k-c0x00ffffff-no-rj</v>
      </c>
      <c r="AL68" s="80">
        <v>0</v>
      </c>
      <c r="AM68" s="80">
        <v>0</v>
      </c>
      <c r="AN68" s="80">
        <v>0</v>
      </c>
      <c r="AO68" s="80" t="b">
        <v>0</v>
      </c>
      <c r="AP68" s="80">
        <v>0</v>
      </c>
      <c r="AQ68" s="80"/>
      <c r="AR68" s="80"/>
      <c r="AS68" s="80" t="s">
        <v>3412</v>
      </c>
      <c r="AT68" s="85" t="str">
        <f>HYPERLINK("https://www.youtube.com/channel/UC6FGmrJo8QpYHQnhGiboVrA")</f>
        <v>https://www.youtube.com/channel/UC6FGmrJo8QpYHQnhGiboVrA</v>
      </c>
      <c r="AU68" s="80" t="str">
        <f>REPLACE(INDEX(GroupVertices[Group],MATCH(Vertices[[#This Row],[Vertex]],GroupVertices[Vertex],0)),1,1,"")</f>
        <v>1</v>
      </c>
      <c r="AV68" s="49">
        <v>2</v>
      </c>
      <c r="AW68" s="50">
        <v>11.764705882352942</v>
      </c>
      <c r="AX68" s="49">
        <v>0</v>
      </c>
      <c r="AY68" s="50">
        <v>0</v>
      </c>
      <c r="AZ68" s="49">
        <v>0</v>
      </c>
      <c r="BA68" s="50">
        <v>0</v>
      </c>
      <c r="BB68" s="49">
        <v>15</v>
      </c>
      <c r="BC68" s="50">
        <v>88.23529411764706</v>
      </c>
      <c r="BD68" s="49">
        <v>17</v>
      </c>
      <c r="BE68" s="49"/>
      <c r="BF68" s="49"/>
      <c r="BG68" s="49"/>
      <c r="BH68" s="49"/>
      <c r="BI68" s="49"/>
      <c r="BJ68" s="49"/>
      <c r="BK68" s="111" t="s">
        <v>4476</v>
      </c>
      <c r="BL68" s="111" t="s">
        <v>4476</v>
      </c>
      <c r="BM68" s="111" t="s">
        <v>4957</v>
      </c>
      <c r="BN68" s="111" t="s">
        <v>4957</v>
      </c>
      <c r="BO68" s="2"/>
      <c r="BP68" s="3"/>
      <c r="BQ68" s="3"/>
      <c r="BR68" s="3"/>
      <c r="BS68" s="3"/>
    </row>
    <row r="69" spans="1:71" ht="15">
      <c r="A69" s="65" t="s">
        <v>295</v>
      </c>
      <c r="B69" s="66"/>
      <c r="C69" s="66"/>
      <c r="D69" s="67">
        <v>150</v>
      </c>
      <c r="E69" s="69"/>
      <c r="F69" s="103" t="str">
        <f>HYPERLINK("https://yt3.ggpht.com/ytc/AKedOLQ2bQZ3sUIHMelNej2BocgBMYHbym1nzZwfBo2G=s88-c-k-c0x00ffffff-no-rj")</f>
        <v>https://yt3.ggpht.com/ytc/AKedOLQ2bQZ3sUIHMelNej2BocgBMYHbym1nzZwfBo2G=s88-c-k-c0x00ffffff-no-rj</v>
      </c>
      <c r="G69" s="66"/>
      <c r="H69" s="70" t="s">
        <v>1624</v>
      </c>
      <c r="I69" s="71"/>
      <c r="J69" s="71" t="s">
        <v>159</v>
      </c>
      <c r="K69" s="70" t="s">
        <v>1624</v>
      </c>
      <c r="L69" s="74">
        <v>1</v>
      </c>
      <c r="M69" s="75">
        <v>8552.5009765625</v>
      </c>
      <c r="N69" s="75">
        <v>8094.79296875</v>
      </c>
      <c r="O69" s="76"/>
      <c r="P69" s="77"/>
      <c r="Q69" s="77"/>
      <c r="R69" s="89"/>
      <c r="S69" s="49">
        <v>0</v>
      </c>
      <c r="T69" s="49">
        <v>1</v>
      </c>
      <c r="U69" s="50">
        <v>0</v>
      </c>
      <c r="V69" s="50">
        <v>0.002597</v>
      </c>
      <c r="W69" s="50">
        <v>0.00486</v>
      </c>
      <c r="X69" s="50">
        <v>0.526148</v>
      </c>
      <c r="Y69" s="50">
        <v>0</v>
      </c>
      <c r="Z69" s="50">
        <v>0</v>
      </c>
      <c r="AA69" s="72">
        <v>69</v>
      </c>
      <c r="AB69" s="72"/>
      <c r="AC69" s="73"/>
      <c r="AD69" s="80" t="s">
        <v>1624</v>
      </c>
      <c r="AE69" s="80"/>
      <c r="AF69" s="80"/>
      <c r="AG69" s="80"/>
      <c r="AH69" s="80"/>
      <c r="AI69" s="80"/>
      <c r="AJ69" s="80" t="s">
        <v>3144</v>
      </c>
      <c r="AK69" s="85" t="str">
        <f>HYPERLINK("https://yt3.ggpht.com/ytc/AKedOLQ2bQZ3sUIHMelNej2BocgBMYHbym1nzZwfBo2G=s88-c-k-c0x00ffffff-no-rj")</f>
        <v>https://yt3.ggpht.com/ytc/AKedOLQ2bQZ3sUIHMelNej2BocgBMYHbym1nzZwfBo2G=s88-c-k-c0x00ffffff-no-rj</v>
      </c>
      <c r="AL69" s="80">
        <v>0</v>
      </c>
      <c r="AM69" s="80">
        <v>0</v>
      </c>
      <c r="AN69" s="80">
        <v>0</v>
      </c>
      <c r="AO69" s="80" t="b">
        <v>0</v>
      </c>
      <c r="AP69" s="80">
        <v>0</v>
      </c>
      <c r="AQ69" s="80"/>
      <c r="AR69" s="80"/>
      <c r="AS69" s="80" t="s">
        <v>3412</v>
      </c>
      <c r="AT69" s="85" t="str">
        <f>HYPERLINK("https://www.youtube.com/channel/UCVenFdtes09KGZXQWlt1dhg")</f>
        <v>https://www.youtube.com/channel/UCVenFdtes09KGZXQWlt1dhg</v>
      </c>
      <c r="AU69" s="80" t="str">
        <f>REPLACE(INDEX(GroupVertices[Group],MATCH(Vertices[[#This Row],[Vertex]],GroupVertices[Vertex],0)),1,1,"")</f>
        <v>1</v>
      </c>
      <c r="AV69" s="49">
        <v>4</v>
      </c>
      <c r="AW69" s="50">
        <v>26.666666666666668</v>
      </c>
      <c r="AX69" s="49">
        <v>0</v>
      </c>
      <c r="AY69" s="50">
        <v>0</v>
      </c>
      <c r="AZ69" s="49">
        <v>0</v>
      </c>
      <c r="BA69" s="50">
        <v>0</v>
      </c>
      <c r="BB69" s="49">
        <v>11</v>
      </c>
      <c r="BC69" s="50">
        <v>73.33333333333333</v>
      </c>
      <c r="BD69" s="49">
        <v>15</v>
      </c>
      <c r="BE69" s="49"/>
      <c r="BF69" s="49"/>
      <c r="BG69" s="49"/>
      <c r="BH69" s="49"/>
      <c r="BI69" s="49"/>
      <c r="BJ69" s="49"/>
      <c r="BK69" s="111" t="s">
        <v>4477</v>
      </c>
      <c r="BL69" s="111" t="s">
        <v>4477</v>
      </c>
      <c r="BM69" s="111" t="s">
        <v>4958</v>
      </c>
      <c r="BN69" s="111" t="s">
        <v>4958</v>
      </c>
      <c r="BO69" s="2"/>
      <c r="BP69" s="3"/>
      <c r="BQ69" s="3"/>
      <c r="BR69" s="3"/>
      <c r="BS69" s="3"/>
    </row>
    <row r="70" spans="1:71" ht="15">
      <c r="A70" s="65" t="s">
        <v>296</v>
      </c>
      <c r="B70" s="66"/>
      <c r="C70" s="66"/>
      <c r="D70" s="67">
        <v>150</v>
      </c>
      <c r="E70" s="69"/>
      <c r="F70" s="103" t="str">
        <f>HYPERLINK("https://yt3.ggpht.com/ytc/AKedOLRMHMXc2uh7v2HY6EwXWa-2UTFMkq8eTh01Ofgc6Q=s88-c-k-c0x00ffffff-no-rj")</f>
        <v>https://yt3.ggpht.com/ytc/AKedOLRMHMXc2uh7v2HY6EwXWa-2UTFMkq8eTh01Ofgc6Q=s88-c-k-c0x00ffffff-no-rj</v>
      </c>
      <c r="G70" s="66"/>
      <c r="H70" s="70" t="s">
        <v>1625</v>
      </c>
      <c r="I70" s="71"/>
      <c r="J70" s="71" t="s">
        <v>159</v>
      </c>
      <c r="K70" s="70" t="s">
        <v>1625</v>
      </c>
      <c r="L70" s="74">
        <v>1</v>
      </c>
      <c r="M70" s="75">
        <v>2762.201416015625</v>
      </c>
      <c r="N70" s="75">
        <v>8556.98828125</v>
      </c>
      <c r="O70" s="76"/>
      <c r="P70" s="77"/>
      <c r="Q70" s="77"/>
      <c r="R70" s="89"/>
      <c r="S70" s="49">
        <v>0</v>
      </c>
      <c r="T70" s="49">
        <v>1</v>
      </c>
      <c r="U70" s="50">
        <v>0</v>
      </c>
      <c r="V70" s="50">
        <v>0.002597</v>
      </c>
      <c r="W70" s="50">
        <v>0.00486</v>
      </c>
      <c r="X70" s="50">
        <v>0.526148</v>
      </c>
      <c r="Y70" s="50">
        <v>0</v>
      </c>
      <c r="Z70" s="50">
        <v>0</v>
      </c>
      <c r="AA70" s="72">
        <v>70</v>
      </c>
      <c r="AB70" s="72"/>
      <c r="AC70" s="73"/>
      <c r="AD70" s="80" t="s">
        <v>1625</v>
      </c>
      <c r="AE70" s="80" t="s">
        <v>2834</v>
      </c>
      <c r="AF70" s="80"/>
      <c r="AG70" s="80"/>
      <c r="AH70" s="80"/>
      <c r="AI70" s="80"/>
      <c r="AJ70" s="80" t="s">
        <v>3145</v>
      </c>
      <c r="AK70" s="85" t="str">
        <f>HYPERLINK("https://yt3.ggpht.com/ytc/AKedOLRMHMXc2uh7v2HY6EwXWa-2UTFMkq8eTh01Ofgc6Q=s88-c-k-c0x00ffffff-no-rj")</f>
        <v>https://yt3.ggpht.com/ytc/AKedOLRMHMXc2uh7v2HY6EwXWa-2UTFMkq8eTh01Ofgc6Q=s88-c-k-c0x00ffffff-no-rj</v>
      </c>
      <c r="AL70" s="80">
        <v>0</v>
      </c>
      <c r="AM70" s="80">
        <v>0</v>
      </c>
      <c r="AN70" s="80">
        <v>0</v>
      </c>
      <c r="AO70" s="80" t="b">
        <v>0</v>
      </c>
      <c r="AP70" s="80">
        <v>0</v>
      </c>
      <c r="AQ70" s="80"/>
      <c r="AR70" s="80"/>
      <c r="AS70" s="80" t="s">
        <v>3412</v>
      </c>
      <c r="AT70" s="85" t="str">
        <f>HYPERLINK("https://www.youtube.com/channel/UCvtyaiU7OgNdyAaMOfmzF0w")</f>
        <v>https://www.youtube.com/channel/UCvtyaiU7OgNdyAaMOfmzF0w</v>
      </c>
      <c r="AU70" s="80" t="str">
        <f>REPLACE(INDEX(GroupVertices[Group],MATCH(Vertices[[#This Row],[Vertex]],GroupVertices[Vertex],0)),1,1,"")</f>
        <v>1</v>
      </c>
      <c r="AV70" s="49">
        <v>10</v>
      </c>
      <c r="AW70" s="50">
        <v>18.181818181818183</v>
      </c>
      <c r="AX70" s="49">
        <v>2</v>
      </c>
      <c r="AY70" s="50">
        <v>3.6363636363636362</v>
      </c>
      <c r="AZ70" s="49">
        <v>0</v>
      </c>
      <c r="BA70" s="50">
        <v>0</v>
      </c>
      <c r="BB70" s="49">
        <v>43</v>
      </c>
      <c r="BC70" s="50">
        <v>78.18181818181819</v>
      </c>
      <c r="BD70" s="49">
        <v>55</v>
      </c>
      <c r="BE70" s="49"/>
      <c r="BF70" s="49"/>
      <c r="BG70" s="49"/>
      <c r="BH70" s="49"/>
      <c r="BI70" s="49"/>
      <c r="BJ70" s="49"/>
      <c r="BK70" s="111" t="s">
        <v>4478</v>
      </c>
      <c r="BL70" s="111" t="s">
        <v>4478</v>
      </c>
      <c r="BM70" s="111" t="s">
        <v>4959</v>
      </c>
      <c r="BN70" s="111" t="s">
        <v>4959</v>
      </c>
      <c r="BO70" s="2"/>
      <c r="BP70" s="3"/>
      <c r="BQ70" s="3"/>
      <c r="BR70" s="3"/>
      <c r="BS70" s="3"/>
    </row>
    <row r="71" spans="1:71" ht="15">
      <c r="A71" s="65" t="s">
        <v>297</v>
      </c>
      <c r="B71" s="66"/>
      <c r="C71" s="66"/>
      <c r="D71" s="67">
        <v>150</v>
      </c>
      <c r="E71" s="69"/>
      <c r="F71" s="103" t="str">
        <f>HYPERLINK("https://yt3.ggpht.com/ytc/AKedOLQQDPj5s482OK4Fybfb2rjOL2t-rlY1FZsjsA=s88-c-k-c0x00ffffff-no-rj")</f>
        <v>https://yt3.ggpht.com/ytc/AKedOLQQDPj5s482OK4Fybfb2rjOL2t-rlY1FZsjsA=s88-c-k-c0x00ffffff-no-rj</v>
      </c>
      <c r="G71" s="66"/>
      <c r="H71" s="70" t="s">
        <v>1626</v>
      </c>
      <c r="I71" s="71"/>
      <c r="J71" s="71" t="s">
        <v>159</v>
      </c>
      <c r="K71" s="70" t="s">
        <v>1626</v>
      </c>
      <c r="L71" s="74">
        <v>1</v>
      </c>
      <c r="M71" s="75">
        <v>3933.610595703125</v>
      </c>
      <c r="N71" s="75">
        <v>9341.6728515625</v>
      </c>
      <c r="O71" s="76"/>
      <c r="P71" s="77"/>
      <c r="Q71" s="77"/>
      <c r="R71" s="89"/>
      <c r="S71" s="49">
        <v>0</v>
      </c>
      <c r="T71" s="49">
        <v>1</v>
      </c>
      <c r="U71" s="50">
        <v>0</v>
      </c>
      <c r="V71" s="50">
        <v>0.002597</v>
      </c>
      <c r="W71" s="50">
        <v>0.00486</v>
      </c>
      <c r="X71" s="50">
        <v>0.526148</v>
      </c>
      <c r="Y71" s="50">
        <v>0</v>
      </c>
      <c r="Z71" s="50">
        <v>0</v>
      </c>
      <c r="AA71" s="72">
        <v>71</v>
      </c>
      <c r="AB71" s="72"/>
      <c r="AC71" s="73"/>
      <c r="AD71" s="80" t="s">
        <v>1626</v>
      </c>
      <c r="AE71" s="80"/>
      <c r="AF71" s="80"/>
      <c r="AG71" s="80"/>
      <c r="AH71" s="80"/>
      <c r="AI71" s="80"/>
      <c r="AJ71" s="80" t="s">
        <v>3146</v>
      </c>
      <c r="AK71" s="85" t="str">
        <f>HYPERLINK("https://yt3.ggpht.com/ytc/AKedOLQQDPj5s482OK4Fybfb2rjOL2t-rlY1FZsjsA=s88-c-k-c0x00ffffff-no-rj")</f>
        <v>https://yt3.ggpht.com/ytc/AKedOLQQDPj5s482OK4Fybfb2rjOL2t-rlY1FZsjsA=s88-c-k-c0x00ffffff-no-rj</v>
      </c>
      <c r="AL71" s="80">
        <v>0</v>
      </c>
      <c r="AM71" s="80">
        <v>0</v>
      </c>
      <c r="AN71" s="80">
        <v>0</v>
      </c>
      <c r="AO71" s="80" t="b">
        <v>0</v>
      </c>
      <c r="AP71" s="80">
        <v>0</v>
      </c>
      <c r="AQ71" s="80"/>
      <c r="AR71" s="80"/>
      <c r="AS71" s="80" t="s">
        <v>3412</v>
      </c>
      <c r="AT71" s="85" t="str">
        <f>HYPERLINK("https://www.youtube.com/channel/UC4bD2x-P1Ytc8GW3ud1_zCQ")</f>
        <v>https://www.youtube.com/channel/UC4bD2x-P1Ytc8GW3ud1_zCQ</v>
      </c>
      <c r="AU71" s="80" t="str">
        <f>REPLACE(INDEX(GroupVertices[Group],MATCH(Vertices[[#This Row],[Vertex]],GroupVertices[Vertex],0)),1,1,"")</f>
        <v>1</v>
      </c>
      <c r="AV71" s="49">
        <v>2</v>
      </c>
      <c r="AW71" s="50">
        <v>6.896551724137931</v>
      </c>
      <c r="AX71" s="49">
        <v>0</v>
      </c>
      <c r="AY71" s="50">
        <v>0</v>
      </c>
      <c r="AZ71" s="49">
        <v>0</v>
      </c>
      <c r="BA71" s="50">
        <v>0</v>
      </c>
      <c r="BB71" s="49">
        <v>27</v>
      </c>
      <c r="BC71" s="50">
        <v>93.10344827586206</v>
      </c>
      <c r="BD71" s="49">
        <v>29</v>
      </c>
      <c r="BE71" s="49"/>
      <c r="BF71" s="49"/>
      <c r="BG71" s="49"/>
      <c r="BH71" s="49"/>
      <c r="BI71" s="49"/>
      <c r="BJ71" s="49"/>
      <c r="BK71" s="111" t="s">
        <v>4479</v>
      </c>
      <c r="BL71" s="111" t="s">
        <v>4479</v>
      </c>
      <c r="BM71" s="111" t="s">
        <v>4960</v>
      </c>
      <c r="BN71" s="111" t="s">
        <v>4960</v>
      </c>
      <c r="BO71" s="2"/>
      <c r="BP71" s="3"/>
      <c r="BQ71" s="3"/>
      <c r="BR71" s="3"/>
      <c r="BS71" s="3"/>
    </row>
    <row r="72" spans="1:71" ht="15">
      <c r="A72" s="65" t="s">
        <v>298</v>
      </c>
      <c r="B72" s="66"/>
      <c r="C72" s="66"/>
      <c r="D72" s="67">
        <v>150</v>
      </c>
      <c r="E72" s="69"/>
      <c r="F72" s="103" t="str">
        <f>HYPERLINK("https://yt3.ggpht.com/ytc/AKedOLQalifqLhwUnACflw6Iu-f2tsHMaL4JVziXPA=s88-c-k-c0x00ffffff-no-rj")</f>
        <v>https://yt3.ggpht.com/ytc/AKedOLQalifqLhwUnACflw6Iu-f2tsHMaL4JVziXPA=s88-c-k-c0x00ffffff-no-rj</v>
      </c>
      <c r="G72" s="66"/>
      <c r="H72" s="70" t="s">
        <v>1627</v>
      </c>
      <c r="I72" s="71"/>
      <c r="J72" s="71" t="s">
        <v>159</v>
      </c>
      <c r="K72" s="70" t="s">
        <v>1627</v>
      </c>
      <c r="L72" s="74">
        <v>1</v>
      </c>
      <c r="M72" s="75">
        <v>4807.45849609375</v>
      </c>
      <c r="N72" s="75">
        <v>8397.216796875</v>
      </c>
      <c r="O72" s="76"/>
      <c r="P72" s="77"/>
      <c r="Q72" s="77"/>
      <c r="R72" s="89"/>
      <c r="S72" s="49">
        <v>0</v>
      </c>
      <c r="T72" s="49">
        <v>1</v>
      </c>
      <c r="U72" s="50">
        <v>0</v>
      </c>
      <c r="V72" s="50">
        <v>0.002597</v>
      </c>
      <c r="W72" s="50">
        <v>0.00486</v>
      </c>
      <c r="X72" s="50">
        <v>0.526148</v>
      </c>
      <c r="Y72" s="50">
        <v>0</v>
      </c>
      <c r="Z72" s="50">
        <v>0</v>
      </c>
      <c r="AA72" s="72">
        <v>72</v>
      </c>
      <c r="AB72" s="72"/>
      <c r="AC72" s="73"/>
      <c r="AD72" s="80" t="s">
        <v>1627</v>
      </c>
      <c r="AE72" s="80"/>
      <c r="AF72" s="80"/>
      <c r="AG72" s="80"/>
      <c r="AH72" s="80"/>
      <c r="AI72" s="80"/>
      <c r="AJ72" s="80" t="s">
        <v>3147</v>
      </c>
      <c r="AK72" s="85" t="str">
        <f>HYPERLINK("https://yt3.ggpht.com/ytc/AKedOLQalifqLhwUnACflw6Iu-f2tsHMaL4JVziXPA=s88-c-k-c0x00ffffff-no-rj")</f>
        <v>https://yt3.ggpht.com/ytc/AKedOLQalifqLhwUnACflw6Iu-f2tsHMaL4JVziXPA=s88-c-k-c0x00ffffff-no-rj</v>
      </c>
      <c r="AL72" s="80">
        <v>0</v>
      </c>
      <c r="AM72" s="80">
        <v>0</v>
      </c>
      <c r="AN72" s="80">
        <v>0</v>
      </c>
      <c r="AO72" s="80" t="b">
        <v>0</v>
      </c>
      <c r="AP72" s="80">
        <v>0</v>
      </c>
      <c r="AQ72" s="80"/>
      <c r="AR72" s="80"/>
      <c r="AS72" s="80" t="s">
        <v>3412</v>
      </c>
      <c r="AT72" s="85" t="str">
        <f>HYPERLINK("https://www.youtube.com/channel/UCgzeJtnw7ZrCBCMKSKJtDYA")</f>
        <v>https://www.youtube.com/channel/UCgzeJtnw7ZrCBCMKSKJtDYA</v>
      </c>
      <c r="AU72" s="80" t="str">
        <f>REPLACE(INDEX(GroupVertices[Group],MATCH(Vertices[[#This Row],[Vertex]],GroupVertices[Vertex],0)),1,1,"")</f>
        <v>1</v>
      </c>
      <c r="AV72" s="49">
        <v>1</v>
      </c>
      <c r="AW72" s="50">
        <v>6.25</v>
      </c>
      <c r="AX72" s="49">
        <v>0</v>
      </c>
      <c r="AY72" s="50">
        <v>0</v>
      </c>
      <c r="AZ72" s="49">
        <v>0</v>
      </c>
      <c r="BA72" s="50">
        <v>0</v>
      </c>
      <c r="BB72" s="49">
        <v>15</v>
      </c>
      <c r="BC72" s="50">
        <v>93.75</v>
      </c>
      <c r="BD72" s="49">
        <v>16</v>
      </c>
      <c r="BE72" s="49"/>
      <c r="BF72" s="49"/>
      <c r="BG72" s="49"/>
      <c r="BH72" s="49"/>
      <c r="BI72" s="49"/>
      <c r="BJ72" s="49"/>
      <c r="BK72" s="111" t="s">
        <v>4480</v>
      </c>
      <c r="BL72" s="111" t="s">
        <v>4480</v>
      </c>
      <c r="BM72" s="111" t="s">
        <v>4961</v>
      </c>
      <c r="BN72" s="111" t="s">
        <v>4961</v>
      </c>
      <c r="BO72" s="2"/>
      <c r="BP72" s="3"/>
      <c r="BQ72" s="3"/>
      <c r="BR72" s="3"/>
      <c r="BS72" s="3"/>
    </row>
    <row r="73" spans="1:71" ht="15">
      <c r="A73" s="65" t="s">
        <v>299</v>
      </c>
      <c r="B73" s="66"/>
      <c r="C73" s="66"/>
      <c r="D73" s="67">
        <v>150</v>
      </c>
      <c r="E73" s="69"/>
      <c r="F73" s="103" t="str">
        <f>HYPERLINK("https://yt3.ggpht.com/ytc/AKedOLRb0fLVTYEIXZTo3ZRnW--Z3qUdInuEh5AK7Vocfw=s88-c-k-c0x00ffffff-no-rj")</f>
        <v>https://yt3.ggpht.com/ytc/AKedOLRb0fLVTYEIXZTo3ZRnW--Z3qUdInuEh5AK7Vocfw=s88-c-k-c0x00ffffff-no-rj</v>
      </c>
      <c r="G73" s="66"/>
      <c r="H73" s="70" t="s">
        <v>1628</v>
      </c>
      <c r="I73" s="71"/>
      <c r="J73" s="71" t="s">
        <v>159</v>
      </c>
      <c r="K73" s="70" t="s">
        <v>1628</v>
      </c>
      <c r="L73" s="74">
        <v>1</v>
      </c>
      <c r="M73" s="75">
        <v>9371.3818359375</v>
      </c>
      <c r="N73" s="75">
        <v>8940.7548828125</v>
      </c>
      <c r="O73" s="76"/>
      <c r="P73" s="77"/>
      <c r="Q73" s="77"/>
      <c r="R73" s="89"/>
      <c r="S73" s="49">
        <v>1</v>
      </c>
      <c r="T73" s="49">
        <v>1</v>
      </c>
      <c r="U73" s="50">
        <v>0</v>
      </c>
      <c r="V73" s="50">
        <v>0.002597</v>
      </c>
      <c r="W73" s="50">
        <v>0.00486</v>
      </c>
      <c r="X73" s="50">
        <v>0.526148</v>
      </c>
      <c r="Y73" s="50">
        <v>0</v>
      </c>
      <c r="Z73" s="50">
        <v>1</v>
      </c>
      <c r="AA73" s="72">
        <v>73</v>
      </c>
      <c r="AB73" s="72"/>
      <c r="AC73" s="73"/>
      <c r="AD73" s="80" t="s">
        <v>1628</v>
      </c>
      <c r="AE73" s="80"/>
      <c r="AF73" s="80"/>
      <c r="AG73" s="80"/>
      <c r="AH73" s="80"/>
      <c r="AI73" s="80"/>
      <c r="AJ73" s="80" t="s">
        <v>3148</v>
      </c>
      <c r="AK73" s="85" t="str">
        <f>HYPERLINK("https://yt3.ggpht.com/ytc/AKedOLRb0fLVTYEIXZTo3ZRnW--Z3qUdInuEh5AK7Vocfw=s88-c-k-c0x00ffffff-no-rj")</f>
        <v>https://yt3.ggpht.com/ytc/AKedOLRb0fLVTYEIXZTo3ZRnW--Z3qUdInuEh5AK7Vocfw=s88-c-k-c0x00ffffff-no-rj</v>
      </c>
      <c r="AL73" s="80">
        <v>0</v>
      </c>
      <c r="AM73" s="80">
        <v>0</v>
      </c>
      <c r="AN73" s="80">
        <v>4</v>
      </c>
      <c r="AO73" s="80" t="b">
        <v>0</v>
      </c>
      <c r="AP73" s="80">
        <v>0</v>
      </c>
      <c r="AQ73" s="80"/>
      <c r="AR73" s="80"/>
      <c r="AS73" s="80" t="s">
        <v>3412</v>
      </c>
      <c r="AT73" s="85" t="str">
        <f>HYPERLINK("https://www.youtube.com/channel/UCOLOVs7HBYRbMIMiD7L3FpA")</f>
        <v>https://www.youtube.com/channel/UCOLOVs7HBYRbMIMiD7L3FpA</v>
      </c>
      <c r="AU73" s="80" t="str">
        <f>REPLACE(INDEX(GroupVertices[Group],MATCH(Vertices[[#This Row],[Vertex]],GroupVertices[Vertex],0)),1,1,"")</f>
        <v>1</v>
      </c>
      <c r="AV73" s="49">
        <v>5</v>
      </c>
      <c r="AW73" s="50">
        <v>4.065040650406504</v>
      </c>
      <c r="AX73" s="49">
        <v>4</v>
      </c>
      <c r="AY73" s="50">
        <v>3.252032520325203</v>
      </c>
      <c r="AZ73" s="49">
        <v>0</v>
      </c>
      <c r="BA73" s="50">
        <v>0</v>
      </c>
      <c r="BB73" s="49">
        <v>114</v>
      </c>
      <c r="BC73" s="50">
        <v>92.6829268292683</v>
      </c>
      <c r="BD73" s="49">
        <v>123</v>
      </c>
      <c r="BE73" s="49"/>
      <c r="BF73" s="49"/>
      <c r="BG73" s="49"/>
      <c r="BH73" s="49"/>
      <c r="BI73" s="49"/>
      <c r="BJ73" s="49"/>
      <c r="BK73" s="111" t="s">
        <v>4481</v>
      </c>
      <c r="BL73" s="111" t="s">
        <v>4869</v>
      </c>
      <c r="BM73" s="111" t="s">
        <v>4962</v>
      </c>
      <c r="BN73" s="111" t="s">
        <v>4962</v>
      </c>
      <c r="BO73" s="2"/>
      <c r="BP73" s="3"/>
      <c r="BQ73" s="3"/>
      <c r="BR73" s="3"/>
      <c r="BS73" s="3"/>
    </row>
    <row r="74" spans="1:71" ht="15">
      <c r="A74" s="65" t="s">
        <v>300</v>
      </c>
      <c r="B74" s="66"/>
      <c r="C74" s="66"/>
      <c r="D74" s="67">
        <v>150</v>
      </c>
      <c r="E74" s="69"/>
      <c r="F74" s="103" t="str">
        <f>HYPERLINK("https://yt3.ggpht.com/ytc/AKedOLSFfCCoudPTTPRBP0HoJs6PWmPOlSE-RQlAAQfmhg=s88-c-k-c0x00ffffff-no-rj")</f>
        <v>https://yt3.ggpht.com/ytc/AKedOLSFfCCoudPTTPRBP0HoJs6PWmPOlSE-RQlAAQfmhg=s88-c-k-c0x00ffffff-no-rj</v>
      </c>
      <c r="G74" s="66"/>
      <c r="H74" s="70" t="s">
        <v>1629</v>
      </c>
      <c r="I74" s="71"/>
      <c r="J74" s="71" t="s">
        <v>159</v>
      </c>
      <c r="K74" s="70" t="s">
        <v>1629</v>
      </c>
      <c r="L74" s="74">
        <v>1</v>
      </c>
      <c r="M74" s="75">
        <v>2608.511962890625</v>
      </c>
      <c r="N74" s="75">
        <v>8226.5546875</v>
      </c>
      <c r="O74" s="76"/>
      <c r="P74" s="77"/>
      <c r="Q74" s="77"/>
      <c r="R74" s="89"/>
      <c r="S74" s="49">
        <v>0</v>
      </c>
      <c r="T74" s="49">
        <v>1</v>
      </c>
      <c r="U74" s="50">
        <v>0</v>
      </c>
      <c r="V74" s="50">
        <v>0.002597</v>
      </c>
      <c r="W74" s="50">
        <v>0.00486</v>
      </c>
      <c r="X74" s="50">
        <v>0.526148</v>
      </c>
      <c r="Y74" s="50">
        <v>0</v>
      </c>
      <c r="Z74" s="50">
        <v>0</v>
      </c>
      <c r="AA74" s="72">
        <v>74</v>
      </c>
      <c r="AB74" s="72"/>
      <c r="AC74" s="73"/>
      <c r="AD74" s="80" t="s">
        <v>1629</v>
      </c>
      <c r="AE74" s="80"/>
      <c r="AF74" s="80"/>
      <c r="AG74" s="80"/>
      <c r="AH74" s="80"/>
      <c r="AI74" s="80"/>
      <c r="AJ74" s="87">
        <v>39794.87420138889</v>
      </c>
      <c r="AK74" s="85" t="str">
        <f>HYPERLINK("https://yt3.ggpht.com/ytc/AKedOLSFfCCoudPTTPRBP0HoJs6PWmPOlSE-RQlAAQfmhg=s88-c-k-c0x00ffffff-no-rj")</f>
        <v>https://yt3.ggpht.com/ytc/AKedOLSFfCCoudPTTPRBP0HoJs6PWmPOlSE-RQlAAQfmhg=s88-c-k-c0x00ffffff-no-rj</v>
      </c>
      <c r="AL74" s="80">
        <v>71</v>
      </c>
      <c r="AM74" s="80">
        <v>0</v>
      </c>
      <c r="AN74" s="80">
        <v>5</v>
      </c>
      <c r="AO74" s="80" t="b">
        <v>0</v>
      </c>
      <c r="AP74" s="80">
        <v>4</v>
      </c>
      <c r="AQ74" s="80"/>
      <c r="AR74" s="80"/>
      <c r="AS74" s="80" t="s">
        <v>3412</v>
      </c>
      <c r="AT74" s="85" t="str">
        <f>HYPERLINK("https://www.youtube.com/channel/UCqvZ6Vaa888e_GpL6fpxl3Q")</f>
        <v>https://www.youtube.com/channel/UCqvZ6Vaa888e_GpL6fpxl3Q</v>
      </c>
      <c r="AU74" s="80" t="str">
        <f>REPLACE(INDEX(GroupVertices[Group],MATCH(Vertices[[#This Row],[Vertex]],GroupVertices[Vertex],0)),1,1,"")</f>
        <v>1</v>
      </c>
      <c r="AV74" s="49">
        <v>2</v>
      </c>
      <c r="AW74" s="50">
        <v>4.3478260869565215</v>
      </c>
      <c r="AX74" s="49">
        <v>0</v>
      </c>
      <c r="AY74" s="50">
        <v>0</v>
      </c>
      <c r="AZ74" s="49">
        <v>0</v>
      </c>
      <c r="BA74" s="50">
        <v>0</v>
      </c>
      <c r="BB74" s="49">
        <v>44</v>
      </c>
      <c r="BC74" s="50">
        <v>95.65217391304348</v>
      </c>
      <c r="BD74" s="49">
        <v>46</v>
      </c>
      <c r="BE74" s="49"/>
      <c r="BF74" s="49"/>
      <c r="BG74" s="49"/>
      <c r="BH74" s="49"/>
      <c r="BI74" s="49"/>
      <c r="BJ74" s="49"/>
      <c r="BK74" s="111" t="s">
        <v>4482</v>
      </c>
      <c r="BL74" s="111" t="s">
        <v>4482</v>
      </c>
      <c r="BM74" s="111" t="s">
        <v>4963</v>
      </c>
      <c r="BN74" s="111" t="s">
        <v>4963</v>
      </c>
      <c r="BO74" s="2"/>
      <c r="BP74" s="3"/>
      <c r="BQ74" s="3"/>
      <c r="BR74" s="3"/>
      <c r="BS74" s="3"/>
    </row>
    <row r="75" spans="1:71" ht="15">
      <c r="A75" s="65" t="s">
        <v>301</v>
      </c>
      <c r="B75" s="66"/>
      <c r="C75" s="66"/>
      <c r="D75" s="67">
        <v>150</v>
      </c>
      <c r="E75" s="69"/>
      <c r="F75" s="103" t="str">
        <f>HYPERLINK("https://yt3.ggpht.com/ytc/AKedOLT93ibM8aUlYrKLEH0tLB-2CZ9jPhXOw5MaYA=s88-c-k-c0x00ffffff-no-rj")</f>
        <v>https://yt3.ggpht.com/ytc/AKedOLT93ibM8aUlYrKLEH0tLB-2CZ9jPhXOw5MaYA=s88-c-k-c0x00ffffff-no-rj</v>
      </c>
      <c r="G75" s="66"/>
      <c r="H75" s="70" t="s">
        <v>1630</v>
      </c>
      <c r="I75" s="71"/>
      <c r="J75" s="71" t="s">
        <v>159</v>
      </c>
      <c r="K75" s="70" t="s">
        <v>1630</v>
      </c>
      <c r="L75" s="74">
        <v>1</v>
      </c>
      <c r="M75" s="75">
        <v>7751.072265625</v>
      </c>
      <c r="N75" s="75">
        <v>7743.7861328125</v>
      </c>
      <c r="O75" s="76"/>
      <c r="P75" s="77"/>
      <c r="Q75" s="77"/>
      <c r="R75" s="89"/>
      <c r="S75" s="49">
        <v>0</v>
      </c>
      <c r="T75" s="49">
        <v>1</v>
      </c>
      <c r="U75" s="50">
        <v>0</v>
      </c>
      <c r="V75" s="50">
        <v>0.002597</v>
      </c>
      <c r="W75" s="50">
        <v>0.00486</v>
      </c>
      <c r="X75" s="50">
        <v>0.526148</v>
      </c>
      <c r="Y75" s="50">
        <v>0</v>
      </c>
      <c r="Z75" s="50">
        <v>0</v>
      </c>
      <c r="AA75" s="72">
        <v>75</v>
      </c>
      <c r="AB75" s="72"/>
      <c r="AC75" s="73"/>
      <c r="AD75" s="80" t="s">
        <v>1630</v>
      </c>
      <c r="AE75" s="80"/>
      <c r="AF75" s="80"/>
      <c r="AG75" s="80"/>
      <c r="AH75" s="80"/>
      <c r="AI75" s="80"/>
      <c r="AJ75" s="80" t="s">
        <v>3149</v>
      </c>
      <c r="AK75" s="85" t="str">
        <f>HYPERLINK("https://yt3.ggpht.com/ytc/AKedOLT93ibM8aUlYrKLEH0tLB-2CZ9jPhXOw5MaYA=s88-c-k-c0x00ffffff-no-rj")</f>
        <v>https://yt3.ggpht.com/ytc/AKedOLT93ibM8aUlYrKLEH0tLB-2CZ9jPhXOw5MaYA=s88-c-k-c0x00ffffff-no-rj</v>
      </c>
      <c r="AL75" s="80">
        <v>0</v>
      </c>
      <c r="AM75" s="80">
        <v>0</v>
      </c>
      <c r="AN75" s="80">
        <v>14</v>
      </c>
      <c r="AO75" s="80" t="b">
        <v>0</v>
      </c>
      <c r="AP75" s="80">
        <v>0</v>
      </c>
      <c r="AQ75" s="80"/>
      <c r="AR75" s="80"/>
      <c r="AS75" s="80" t="s">
        <v>3412</v>
      </c>
      <c r="AT75" s="85" t="str">
        <f>HYPERLINK("https://www.youtube.com/channel/UCnwulj1jIA909cJ3VVg3o1A")</f>
        <v>https://www.youtube.com/channel/UCnwulj1jIA909cJ3VVg3o1A</v>
      </c>
      <c r="AU75" s="80" t="str">
        <f>REPLACE(INDEX(GroupVertices[Group],MATCH(Vertices[[#This Row],[Vertex]],GroupVertices[Vertex],0)),1,1,"")</f>
        <v>1</v>
      </c>
      <c r="AV75" s="49">
        <v>0</v>
      </c>
      <c r="AW75" s="50">
        <v>0</v>
      </c>
      <c r="AX75" s="49">
        <v>4</v>
      </c>
      <c r="AY75" s="50">
        <v>12.121212121212121</v>
      </c>
      <c r="AZ75" s="49">
        <v>0</v>
      </c>
      <c r="BA75" s="50">
        <v>0</v>
      </c>
      <c r="BB75" s="49">
        <v>29</v>
      </c>
      <c r="BC75" s="50">
        <v>87.87878787878788</v>
      </c>
      <c r="BD75" s="49">
        <v>33</v>
      </c>
      <c r="BE75" s="49"/>
      <c r="BF75" s="49"/>
      <c r="BG75" s="49"/>
      <c r="BH75" s="49"/>
      <c r="BI75" s="49"/>
      <c r="BJ75" s="49"/>
      <c r="BK75" s="111" t="s">
        <v>4483</v>
      </c>
      <c r="BL75" s="111" t="s">
        <v>4483</v>
      </c>
      <c r="BM75" s="111" t="s">
        <v>4964</v>
      </c>
      <c r="BN75" s="111" t="s">
        <v>4964</v>
      </c>
      <c r="BO75" s="2"/>
      <c r="BP75" s="3"/>
      <c r="BQ75" s="3"/>
      <c r="BR75" s="3"/>
      <c r="BS75" s="3"/>
    </row>
    <row r="76" spans="1:71" ht="15">
      <c r="A76" s="65" t="s">
        <v>302</v>
      </c>
      <c r="B76" s="66"/>
      <c r="C76" s="66"/>
      <c r="D76" s="67">
        <v>150</v>
      </c>
      <c r="E76" s="69"/>
      <c r="F76" s="103" t="str">
        <f>HYPERLINK("https://yt3.ggpht.com/ytc/AKedOLQS4o5vjR3nYmAjIQc7YpCR809dba7-UrfnsVEWPA=s88-c-k-c0x00ffffff-no-rj")</f>
        <v>https://yt3.ggpht.com/ytc/AKedOLQS4o5vjR3nYmAjIQc7YpCR809dba7-UrfnsVEWPA=s88-c-k-c0x00ffffff-no-rj</v>
      </c>
      <c r="G76" s="66"/>
      <c r="H76" s="70" t="s">
        <v>1631</v>
      </c>
      <c r="I76" s="71"/>
      <c r="J76" s="71" t="s">
        <v>159</v>
      </c>
      <c r="K76" s="70" t="s">
        <v>1631</v>
      </c>
      <c r="L76" s="74">
        <v>1</v>
      </c>
      <c r="M76" s="75">
        <v>6646.54296875</v>
      </c>
      <c r="N76" s="75">
        <v>7779.81884765625</v>
      </c>
      <c r="O76" s="76"/>
      <c r="P76" s="77"/>
      <c r="Q76" s="77"/>
      <c r="R76" s="89"/>
      <c r="S76" s="49">
        <v>0</v>
      </c>
      <c r="T76" s="49">
        <v>1</v>
      </c>
      <c r="U76" s="50">
        <v>0</v>
      </c>
      <c r="V76" s="50">
        <v>0.002597</v>
      </c>
      <c r="W76" s="50">
        <v>0.00486</v>
      </c>
      <c r="X76" s="50">
        <v>0.526148</v>
      </c>
      <c r="Y76" s="50">
        <v>0</v>
      </c>
      <c r="Z76" s="50">
        <v>0</v>
      </c>
      <c r="AA76" s="72">
        <v>76</v>
      </c>
      <c r="AB76" s="72"/>
      <c r="AC76" s="73"/>
      <c r="AD76" s="80" t="s">
        <v>1631</v>
      </c>
      <c r="AE76" s="80"/>
      <c r="AF76" s="80"/>
      <c r="AG76" s="80"/>
      <c r="AH76" s="80"/>
      <c r="AI76" s="80"/>
      <c r="AJ76" s="87">
        <v>42835.41096064815</v>
      </c>
      <c r="AK76" s="85" t="str">
        <f>HYPERLINK("https://yt3.ggpht.com/ytc/AKedOLQS4o5vjR3nYmAjIQc7YpCR809dba7-UrfnsVEWPA=s88-c-k-c0x00ffffff-no-rj")</f>
        <v>https://yt3.ggpht.com/ytc/AKedOLQS4o5vjR3nYmAjIQc7YpCR809dba7-UrfnsVEWPA=s88-c-k-c0x00ffffff-no-rj</v>
      </c>
      <c r="AL76" s="80">
        <v>0</v>
      </c>
      <c r="AM76" s="80">
        <v>0</v>
      </c>
      <c r="AN76" s="80">
        <v>2</v>
      </c>
      <c r="AO76" s="80" t="b">
        <v>0</v>
      </c>
      <c r="AP76" s="80">
        <v>0</v>
      </c>
      <c r="AQ76" s="80"/>
      <c r="AR76" s="80"/>
      <c r="AS76" s="80" t="s">
        <v>3412</v>
      </c>
      <c r="AT76" s="85" t="str">
        <f>HYPERLINK("https://www.youtube.com/channel/UCkefMmtdrJyP-C7Ad6NrLFg")</f>
        <v>https://www.youtube.com/channel/UCkefMmtdrJyP-C7Ad6NrLFg</v>
      </c>
      <c r="AU76" s="80" t="str">
        <f>REPLACE(INDEX(GroupVertices[Group],MATCH(Vertices[[#This Row],[Vertex]],GroupVertices[Vertex],0)),1,1,"")</f>
        <v>1</v>
      </c>
      <c r="AV76" s="49">
        <v>0</v>
      </c>
      <c r="AW76" s="50">
        <v>0</v>
      </c>
      <c r="AX76" s="49">
        <v>0</v>
      </c>
      <c r="AY76" s="50">
        <v>0</v>
      </c>
      <c r="AZ76" s="49">
        <v>0</v>
      </c>
      <c r="BA76" s="50">
        <v>0</v>
      </c>
      <c r="BB76" s="49">
        <v>5</v>
      </c>
      <c r="BC76" s="50">
        <v>100</v>
      </c>
      <c r="BD76" s="49">
        <v>5</v>
      </c>
      <c r="BE76" s="49"/>
      <c r="BF76" s="49"/>
      <c r="BG76" s="49"/>
      <c r="BH76" s="49"/>
      <c r="BI76" s="49"/>
      <c r="BJ76" s="49"/>
      <c r="BK76" s="111" t="s">
        <v>4484</v>
      </c>
      <c r="BL76" s="111" t="s">
        <v>4484</v>
      </c>
      <c r="BM76" s="111" t="s">
        <v>4965</v>
      </c>
      <c r="BN76" s="111" t="s">
        <v>4965</v>
      </c>
      <c r="BO76" s="2"/>
      <c r="BP76" s="3"/>
      <c r="BQ76" s="3"/>
      <c r="BR76" s="3"/>
      <c r="BS76" s="3"/>
    </row>
    <row r="77" spans="1:71" ht="15">
      <c r="A77" s="65" t="s">
        <v>303</v>
      </c>
      <c r="B77" s="66"/>
      <c r="C77" s="66"/>
      <c r="D77" s="67">
        <v>150</v>
      </c>
      <c r="E77" s="69"/>
      <c r="F77" s="103" t="str">
        <f>HYPERLINK("https://yt3.ggpht.com/ytc/AKedOLSmhkc2FWmOeZHSOIHT7JwvG4XYiD3gL5YiYQ=s88-c-k-c0x00ffffff-no-rj")</f>
        <v>https://yt3.ggpht.com/ytc/AKedOLSmhkc2FWmOeZHSOIHT7JwvG4XYiD3gL5YiYQ=s88-c-k-c0x00ffffff-no-rj</v>
      </c>
      <c r="G77" s="66"/>
      <c r="H77" s="70" t="s">
        <v>1632</v>
      </c>
      <c r="I77" s="71"/>
      <c r="J77" s="71" t="s">
        <v>159</v>
      </c>
      <c r="K77" s="70" t="s">
        <v>1632</v>
      </c>
      <c r="L77" s="74">
        <v>1</v>
      </c>
      <c r="M77" s="75">
        <v>9739.3857421875</v>
      </c>
      <c r="N77" s="75">
        <v>8393.6865234375</v>
      </c>
      <c r="O77" s="76"/>
      <c r="P77" s="77"/>
      <c r="Q77" s="77"/>
      <c r="R77" s="89"/>
      <c r="S77" s="49">
        <v>0</v>
      </c>
      <c r="T77" s="49">
        <v>1</v>
      </c>
      <c r="U77" s="50">
        <v>0</v>
      </c>
      <c r="V77" s="50">
        <v>0.002597</v>
      </c>
      <c r="W77" s="50">
        <v>0.00486</v>
      </c>
      <c r="X77" s="50">
        <v>0.526148</v>
      </c>
      <c r="Y77" s="50">
        <v>0</v>
      </c>
      <c r="Z77" s="50">
        <v>0</v>
      </c>
      <c r="AA77" s="72">
        <v>77</v>
      </c>
      <c r="AB77" s="72"/>
      <c r="AC77" s="73"/>
      <c r="AD77" s="80" t="s">
        <v>1632</v>
      </c>
      <c r="AE77" s="80"/>
      <c r="AF77" s="80"/>
      <c r="AG77" s="80"/>
      <c r="AH77" s="80"/>
      <c r="AI77" s="80"/>
      <c r="AJ77" s="87">
        <v>41769.20946759259</v>
      </c>
      <c r="AK77" s="85" t="str">
        <f>HYPERLINK("https://yt3.ggpht.com/ytc/AKedOLSmhkc2FWmOeZHSOIHT7JwvG4XYiD3gL5YiYQ=s88-c-k-c0x00ffffff-no-rj")</f>
        <v>https://yt3.ggpht.com/ytc/AKedOLSmhkc2FWmOeZHSOIHT7JwvG4XYiD3gL5YiYQ=s88-c-k-c0x00ffffff-no-rj</v>
      </c>
      <c r="AL77" s="80">
        <v>0</v>
      </c>
      <c r="AM77" s="80">
        <v>0</v>
      </c>
      <c r="AN77" s="80">
        <v>1</v>
      </c>
      <c r="AO77" s="80" t="b">
        <v>0</v>
      </c>
      <c r="AP77" s="80">
        <v>0</v>
      </c>
      <c r="AQ77" s="80"/>
      <c r="AR77" s="80"/>
      <c r="AS77" s="80" t="s">
        <v>3412</v>
      </c>
      <c r="AT77" s="85" t="str">
        <f>HYPERLINK("https://www.youtube.com/channel/UCLRGTuXc8ciIjEdKBIDhubw")</f>
        <v>https://www.youtube.com/channel/UCLRGTuXc8ciIjEdKBIDhubw</v>
      </c>
      <c r="AU77" s="80" t="str">
        <f>REPLACE(INDEX(GroupVertices[Group],MATCH(Vertices[[#This Row],[Vertex]],GroupVertices[Vertex],0)),1,1,"")</f>
        <v>1</v>
      </c>
      <c r="AV77" s="49">
        <v>0</v>
      </c>
      <c r="AW77" s="50">
        <v>0</v>
      </c>
      <c r="AX77" s="49">
        <v>0</v>
      </c>
      <c r="AY77" s="50">
        <v>0</v>
      </c>
      <c r="AZ77" s="49">
        <v>0</v>
      </c>
      <c r="BA77" s="50">
        <v>0</v>
      </c>
      <c r="BB77" s="49">
        <v>17</v>
      </c>
      <c r="BC77" s="50">
        <v>100</v>
      </c>
      <c r="BD77" s="49">
        <v>17</v>
      </c>
      <c r="BE77" s="49" t="s">
        <v>4219</v>
      </c>
      <c r="BF77" s="49" t="s">
        <v>4219</v>
      </c>
      <c r="BG77" s="49" t="s">
        <v>2772</v>
      </c>
      <c r="BH77" s="49" t="s">
        <v>2772</v>
      </c>
      <c r="BI77" s="49"/>
      <c r="BJ77" s="49"/>
      <c r="BK77" s="111" t="s">
        <v>4485</v>
      </c>
      <c r="BL77" s="111" t="s">
        <v>4485</v>
      </c>
      <c r="BM77" s="111" t="s">
        <v>4966</v>
      </c>
      <c r="BN77" s="111" t="s">
        <v>4966</v>
      </c>
      <c r="BO77" s="2"/>
      <c r="BP77" s="3"/>
      <c r="BQ77" s="3"/>
      <c r="BR77" s="3"/>
      <c r="BS77" s="3"/>
    </row>
    <row r="78" spans="1:71" ht="15">
      <c r="A78" s="65" t="s">
        <v>304</v>
      </c>
      <c r="B78" s="66"/>
      <c r="C78" s="66"/>
      <c r="D78" s="67">
        <v>150</v>
      </c>
      <c r="E78" s="69"/>
      <c r="F78" s="103" t="str">
        <f>HYPERLINK("https://yt3.ggpht.com/ytc/AKedOLQ__rh4JptqoFeRzKpDNMCESe7nRGIELSJ62A=s88-c-k-c0x00ffffff-no-rj")</f>
        <v>https://yt3.ggpht.com/ytc/AKedOLQ__rh4JptqoFeRzKpDNMCESe7nRGIELSJ62A=s88-c-k-c0x00ffffff-no-rj</v>
      </c>
      <c r="G78" s="66"/>
      <c r="H78" s="70" t="s">
        <v>1633</v>
      </c>
      <c r="I78" s="71"/>
      <c r="J78" s="71" t="s">
        <v>159</v>
      </c>
      <c r="K78" s="70" t="s">
        <v>1633</v>
      </c>
      <c r="L78" s="74">
        <v>1</v>
      </c>
      <c r="M78" s="75">
        <v>4977.4091796875</v>
      </c>
      <c r="N78" s="75">
        <v>7450.873046875</v>
      </c>
      <c r="O78" s="76"/>
      <c r="P78" s="77"/>
      <c r="Q78" s="77"/>
      <c r="R78" s="89"/>
      <c r="S78" s="49">
        <v>0</v>
      </c>
      <c r="T78" s="49">
        <v>1</v>
      </c>
      <c r="U78" s="50">
        <v>0</v>
      </c>
      <c r="V78" s="50">
        <v>0.002597</v>
      </c>
      <c r="W78" s="50">
        <v>0.00486</v>
      </c>
      <c r="X78" s="50">
        <v>0.526148</v>
      </c>
      <c r="Y78" s="50">
        <v>0</v>
      </c>
      <c r="Z78" s="50">
        <v>0</v>
      </c>
      <c r="AA78" s="72">
        <v>78</v>
      </c>
      <c r="AB78" s="72"/>
      <c r="AC78" s="73"/>
      <c r="AD78" s="80" t="s">
        <v>1633</v>
      </c>
      <c r="AE78" s="80"/>
      <c r="AF78" s="80"/>
      <c r="AG78" s="80"/>
      <c r="AH78" s="80"/>
      <c r="AI78" s="80"/>
      <c r="AJ78" s="80" t="s">
        <v>3150</v>
      </c>
      <c r="AK78" s="85" t="str">
        <f>HYPERLINK("https://yt3.ggpht.com/ytc/AKedOLQ__rh4JptqoFeRzKpDNMCESe7nRGIELSJ62A=s88-c-k-c0x00ffffff-no-rj")</f>
        <v>https://yt3.ggpht.com/ytc/AKedOLQ__rh4JptqoFeRzKpDNMCESe7nRGIELSJ62A=s88-c-k-c0x00ffffff-no-rj</v>
      </c>
      <c r="AL78" s="80">
        <v>0</v>
      </c>
      <c r="AM78" s="80">
        <v>0</v>
      </c>
      <c r="AN78" s="80">
        <v>0</v>
      </c>
      <c r="AO78" s="80" t="b">
        <v>0</v>
      </c>
      <c r="AP78" s="80">
        <v>0</v>
      </c>
      <c r="AQ78" s="80"/>
      <c r="AR78" s="80"/>
      <c r="AS78" s="80" t="s">
        <v>3412</v>
      </c>
      <c r="AT78" s="85" t="str">
        <f>HYPERLINK("https://www.youtube.com/channel/UCFbSWcllroKXQnzTpSOakvw")</f>
        <v>https://www.youtube.com/channel/UCFbSWcllroKXQnzTpSOakvw</v>
      </c>
      <c r="AU78" s="80" t="str">
        <f>REPLACE(INDEX(GroupVertices[Group],MATCH(Vertices[[#This Row],[Vertex]],GroupVertices[Vertex],0)),1,1,"")</f>
        <v>1</v>
      </c>
      <c r="AV78" s="49">
        <v>1</v>
      </c>
      <c r="AW78" s="50">
        <v>5.2631578947368425</v>
      </c>
      <c r="AX78" s="49">
        <v>1</v>
      </c>
      <c r="AY78" s="50">
        <v>5.2631578947368425</v>
      </c>
      <c r="AZ78" s="49">
        <v>0</v>
      </c>
      <c r="BA78" s="50">
        <v>0</v>
      </c>
      <c r="BB78" s="49">
        <v>17</v>
      </c>
      <c r="BC78" s="50">
        <v>89.47368421052632</v>
      </c>
      <c r="BD78" s="49">
        <v>19</v>
      </c>
      <c r="BE78" s="49"/>
      <c r="BF78" s="49"/>
      <c r="BG78" s="49"/>
      <c r="BH78" s="49"/>
      <c r="BI78" s="49"/>
      <c r="BJ78" s="49"/>
      <c r="BK78" s="111" t="s">
        <v>4486</v>
      </c>
      <c r="BL78" s="111" t="s">
        <v>4486</v>
      </c>
      <c r="BM78" s="111" t="s">
        <v>4967</v>
      </c>
      <c r="BN78" s="111" t="s">
        <v>4967</v>
      </c>
      <c r="BO78" s="2"/>
      <c r="BP78" s="3"/>
      <c r="BQ78" s="3"/>
      <c r="BR78" s="3"/>
      <c r="BS78" s="3"/>
    </row>
    <row r="79" spans="1:71" ht="15">
      <c r="A79" s="65" t="s">
        <v>305</v>
      </c>
      <c r="B79" s="66"/>
      <c r="C79" s="66"/>
      <c r="D79" s="67">
        <v>150</v>
      </c>
      <c r="E79" s="69"/>
      <c r="F79" s="103" t="str">
        <f>HYPERLINK("https://yt3.ggpht.com/ytc/AKedOLTxa4kKSgcHfAYNyfy4QRvdhHpak_J0-aaQB1kqNA=s88-c-k-c0x00ffffff-no-rj")</f>
        <v>https://yt3.ggpht.com/ytc/AKedOLTxa4kKSgcHfAYNyfy4QRvdhHpak_J0-aaQB1kqNA=s88-c-k-c0x00ffffff-no-rj</v>
      </c>
      <c r="G79" s="66"/>
      <c r="H79" s="70" t="s">
        <v>1634</v>
      </c>
      <c r="I79" s="71"/>
      <c r="J79" s="71" t="s">
        <v>159</v>
      </c>
      <c r="K79" s="70" t="s">
        <v>1634</v>
      </c>
      <c r="L79" s="74">
        <v>1</v>
      </c>
      <c r="M79" s="75">
        <v>5378.56201171875</v>
      </c>
      <c r="N79" s="75">
        <v>9241.568359375</v>
      </c>
      <c r="O79" s="76"/>
      <c r="P79" s="77"/>
      <c r="Q79" s="77"/>
      <c r="R79" s="89"/>
      <c r="S79" s="49">
        <v>0</v>
      </c>
      <c r="T79" s="49">
        <v>1</v>
      </c>
      <c r="U79" s="50">
        <v>0</v>
      </c>
      <c r="V79" s="50">
        <v>0.002597</v>
      </c>
      <c r="W79" s="50">
        <v>0.00486</v>
      </c>
      <c r="X79" s="50">
        <v>0.526148</v>
      </c>
      <c r="Y79" s="50">
        <v>0</v>
      </c>
      <c r="Z79" s="50">
        <v>0</v>
      </c>
      <c r="AA79" s="72">
        <v>79</v>
      </c>
      <c r="AB79" s="72"/>
      <c r="AC79" s="73"/>
      <c r="AD79" s="80" t="s">
        <v>1634</v>
      </c>
      <c r="AE79" s="80"/>
      <c r="AF79" s="80"/>
      <c r="AG79" s="80"/>
      <c r="AH79" s="80"/>
      <c r="AI79" s="80"/>
      <c r="AJ79" s="80" t="s">
        <v>3151</v>
      </c>
      <c r="AK79" s="85" t="str">
        <f>HYPERLINK("https://yt3.ggpht.com/ytc/AKedOLTxa4kKSgcHfAYNyfy4QRvdhHpak_J0-aaQB1kqNA=s88-c-k-c0x00ffffff-no-rj")</f>
        <v>https://yt3.ggpht.com/ytc/AKedOLTxa4kKSgcHfAYNyfy4QRvdhHpak_J0-aaQB1kqNA=s88-c-k-c0x00ffffff-no-rj</v>
      </c>
      <c r="AL79" s="80">
        <v>0</v>
      </c>
      <c r="AM79" s="80">
        <v>0</v>
      </c>
      <c r="AN79" s="80">
        <v>0</v>
      </c>
      <c r="AO79" s="80" t="b">
        <v>1</v>
      </c>
      <c r="AP79" s="80">
        <v>0</v>
      </c>
      <c r="AQ79" s="80"/>
      <c r="AR79" s="80"/>
      <c r="AS79" s="80" t="s">
        <v>3412</v>
      </c>
      <c r="AT79" s="85" t="str">
        <f>HYPERLINK("https://www.youtube.com/channel/UCO-JgfhMmVsLNl0Sa_MByyw")</f>
        <v>https://www.youtube.com/channel/UCO-JgfhMmVsLNl0Sa_MByyw</v>
      </c>
      <c r="AU79" s="80" t="str">
        <f>REPLACE(INDEX(GroupVertices[Group],MATCH(Vertices[[#This Row],[Vertex]],GroupVertices[Vertex],0)),1,1,"")</f>
        <v>1</v>
      </c>
      <c r="AV79" s="49">
        <v>5</v>
      </c>
      <c r="AW79" s="50">
        <v>12.5</v>
      </c>
      <c r="AX79" s="49">
        <v>0</v>
      </c>
      <c r="AY79" s="50">
        <v>0</v>
      </c>
      <c r="AZ79" s="49">
        <v>0</v>
      </c>
      <c r="BA79" s="50">
        <v>0</v>
      </c>
      <c r="BB79" s="49">
        <v>35</v>
      </c>
      <c r="BC79" s="50">
        <v>87.5</v>
      </c>
      <c r="BD79" s="49">
        <v>40</v>
      </c>
      <c r="BE79" s="49"/>
      <c r="BF79" s="49"/>
      <c r="BG79" s="49"/>
      <c r="BH79" s="49"/>
      <c r="BI79" s="49"/>
      <c r="BJ79" s="49"/>
      <c r="BK79" s="111" t="s">
        <v>4487</v>
      </c>
      <c r="BL79" s="111" t="s">
        <v>4487</v>
      </c>
      <c r="BM79" s="111" t="s">
        <v>4968</v>
      </c>
      <c r="BN79" s="111" t="s">
        <v>4968</v>
      </c>
      <c r="BO79" s="2"/>
      <c r="BP79" s="3"/>
      <c r="BQ79" s="3"/>
      <c r="BR79" s="3"/>
      <c r="BS79" s="3"/>
    </row>
    <row r="80" spans="1:71" ht="15">
      <c r="A80" s="65" t="s">
        <v>306</v>
      </c>
      <c r="B80" s="66"/>
      <c r="C80" s="66"/>
      <c r="D80" s="67">
        <v>150</v>
      </c>
      <c r="E80" s="69"/>
      <c r="F80" s="103" t="str">
        <f>HYPERLINK("https://yt3.ggpht.com/XPvCIWtajNNvw9vXlpxAOtv-CydSsMc8Me0MZOEbq1u415ioASrb0wQ-Hg9aaigmkxsSGPO53Uw=s88-c-k-c0x00ffffff-no-rj")</f>
        <v>https://yt3.ggpht.com/XPvCIWtajNNvw9vXlpxAOtv-CydSsMc8Me0MZOEbq1u415ioASrb0wQ-Hg9aaigmkxsSGPO53Uw=s88-c-k-c0x00ffffff-no-rj</v>
      </c>
      <c r="G80" s="66"/>
      <c r="H80" s="70" t="s">
        <v>1635</v>
      </c>
      <c r="I80" s="71"/>
      <c r="J80" s="71" t="s">
        <v>159</v>
      </c>
      <c r="K80" s="70" t="s">
        <v>1635</v>
      </c>
      <c r="L80" s="74">
        <v>1</v>
      </c>
      <c r="M80" s="75">
        <v>7585.31640625</v>
      </c>
      <c r="N80" s="75">
        <v>7540.2822265625</v>
      </c>
      <c r="O80" s="76"/>
      <c r="P80" s="77"/>
      <c r="Q80" s="77"/>
      <c r="R80" s="89"/>
      <c r="S80" s="49">
        <v>0</v>
      </c>
      <c r="T80" s="49">
        <v>1</v>
      </c>
      <c r="U80" s="50">
        <v>0</v>
      </c>
      <c r="V80" s="50">
        <v>0.002597</v>
      </c>
      <c r="W80" s="50">
        <v>0.00486</v>
      </c>
      <c r="X80" s="50">
        <v>0.526148</v>
      </c>
      <c r="Y80" s="50">
        <v>0</v>
      </c>
      <c r="Z80" s="50">
        <v>0</v>
      </c>
      <c r="AA80" s="72">
        <v>80</v>
      </c>
      <c r="AB80" s="72"/>
      <c r="AC80" s="73"/>
      <c r="AD80" s="80" t="s">
        <v>1635</v>
      </c>
      <c r="AE80" s="80"/>
      <c r="AF80" s="80"/>
      <c r="AG80" s="80"/>
      <c r="AH80" s="80"/>
      <c r="AI80" s="80"/>
      <c r="AJ80" s="80" t="s">
        <v>3152</v>
      </c>
      <c r="AK80" s="85" t="str">
        <f>HYPERLINK("https://yt3.ggpht.com/XPvCIWtajNNvw9vXlpxAOtv-CydSsMc8Me0MZOEbq1u415ioASrb0wQ-Hg9aaigmkxsSGPO53Uw=s88-c-k-c0x00ffffff-no-rj")</f>
        <v>https://yt3.ggpht.com/XPvCIWtajNNvw9vXlpxAOtv-CydSsMc8Me0MZOEbq1u415ioASrb0wQ-Hg9aaigmkxsSGPO53Uw=s88-c-k-c0x00ffffff-no-rj</v>
      </c>
      <c r="AL80" s="80">
        <v>11</v>
      </c>
      <c r="AM80" s="80">
        <v>0</v>
      </c>
      <c r="AN80" s="80">
        <v>2</v>
      </c>
      <c r="AO80" s="80" t="b">
        <v>0</v>
      </c>
      <c r="AP80" s="80">
        <v>1</v>
      </c>
      <c r="AQ80" s="80"/>
      <c r="AR80" s="80"/>
      <c r="AS80" s="80" t="s">
        <v>3412</v>
      </c>
      <c r="AT80" s="85" t="str">
        <f>HYPERLINK("https://www.youtube.com/channel/UCXNtFWiCBAQ5otAp0xj-ulw")</f>
        <v>https://www.youtube.com/channel/UCXNtFWiCBAQ5otAp0xj-ulw</v>
      </c>
      <c r="AU80" s="80" t="str">
        <f>REPLACE(INDEX(GroupVertices[Group],MATCH(Vertices[[#This Row],[Vertex]],GroupVertices[Vertex],0)),1,1,"")</f>
        <v>1</v>
      </c>
      <c r="AV80" s="49">
        <v>0</v>
      </c>
      <c r="AW80" s="50">
        <v>0</v>
      </c>
      <c r="AX80" s="49">
        <v>0</v>
      </c>
      <c r="AY80" s="50">
        <v>0</v>
      </c>
      <c r="AZ80" s="49">
        <v>0</v>
      </c>
      <c r="BA80" s="50">
        <v>0</v>
      </c>
      <c r="BB80" s="49">
        <v>58</v>
      </c>
      <c r="BC80" s="50">
        <v>100</v>
      </c>
      <c r="BD80" s="49">
        <v>58</v>
      </c>
      <c r="BE80" s="49" t="s">
        <v>4212</v>
      </c>
      <c r="BF80" s="49" t="s">
        <v>4212</v>
      </c>
      <c r="BG80" s="49" t="s">
        <v>4258</v>
      </c>
      <c r="BH80" s="49" t="s">
        <v>4258</v>
      </c>
      <c r="BI80" s="49"/>
      <c r="BJ80" s="49"/>
      <c r="BK80" s="111" t="s">
        <v>4488</v>
      </c>
      <c r="BL80" s="111" t="s">
        <v>4488</v>
      </c>
      <c r="BM80" s="111" t="s">
        <v>4969</v>
      </c>
      <c r="BN80" s="111" t="s">
        <v>4969</v>
      </c>
      <c r="BO80" s="2"/>
      <c r="BP80" s="3"/>
      <c r="BQ80" s="3"/>
      <c r="BR80" s="3"/>
      <c r="BS80" s="3"/>
    </row>
    <row r="81" spans="1:71" ht="15">
      <c r="A81" s="65" t="s">
        <v>307</v>
      </c>
      <c r="B81" s="66"/>
      <c r="C81" s="66"/>
      <c r="D81" s="67">
        <v>150</v>
      </c>
      <c r="E81" s="69"/>
      <c r="F81" s="103" t="str">
        <f>HYPERLINK("https://yt3.ggpht.com/ytc/AKedOLTPdaRkFIEkEJoTLklR0jfC8HpNZxpud6BreQ=s88-c-k-c0x00ffffff-no-rj")</f>
        <v>https://yt3.ggpht.com/ytc/AKedOLTPdaRkFIEkEJoTLklR0jfC8HpNZxpud6BreQ=s88-c-k-c0x00ffffff-no-rj</v>
      </c>
      <c r="G81" s="66"/>
      <c r="H81" s="70" t="s">
        <v>1636</v>
      </c>
      <c r="I81" s="71"/>
      <c r="J81" s="71" t="s">
        <v>159</v>
      </c>
      <c r="K81" s="70" t="s">
        <v>1636</v>
      </c>
      <c r="L81" s="74">
        <v>1</v>
      </c>
      <c r="M81" s="75">
        <v>2629.715087890625</v>
      </c>
      <c r="N81" s="75">
        <v>8889.8974609375</v>
      </c>
      <c r="O81" s="76"/>
      <c r="P81" s="77"/>
      <c r="Q81" s="77"/>
      <c r="R81" s="89"/>
      <c r="S81" s="49">
        <v>0</v>
      </c>
      <c r="T81" s="49">
        <v>1</v>
      </c>
      <c r="U81" s="50">
        <v>0</v>
      </c>
      <c r="V81" s="50">
        <v>0.002597</v>
      </c>
      <c r="W81" s="50">
        <v>0.00486</v>
      </c>
      <c r="X81" s="50">
        <v>0.526148</v>
      </c>
      <c r="Y81" s="50">
        <v>0</v>
      </c>
      <c r="Z81" s="50">
        <v>0</v>
      </c>
      <c r="AA81" s="72">
        <v>81</v>
      </c>
      <c r="AB81" s="72"/>
      <c r="AC81" s="73"/>
      <c r="AD81" s="80" t="s">
        <v>1636</v>
      </c>
      <c r="AE81" s="80" t="s">
        <v>2835</v>
      </c>
      <c r="AF81" s="80"/>
      <c r="AG81" s="80"/>
      <c r="AH81" s="80"/>
      <c r="AI81" s="80"/>
      <c r="AJ81" s="80" t="s">
        <v>3153</v>
      </c>
      <c r="AK81" s="85" t="str">
        <f>HYPERLINK("https://yt3.ggpht.com/ytc/AKedOLTPdaRkFIEkEJoTLklR0jfC8HpNZxpud6BreQ=s88-c-k-c0x00ffffff-no-rj")</f>
        <v>https://yt3.ggpht.com/ytc/AKedOLTPdaRkFIEkEJoTLklR0jfC8HpNZxpud6BreQ=s88-c-k-c0x00ffffff-no-rj</v>
      </c>
      <c r="AL81" s="80">
        <v>0</v>
      </c>
      <c r="AM81" s="80">
        <v>0</v>
      </c>
      <c r="AN81" s="80">
        <v>3</v>
      </c>
      <c r="AO81" s="80" t="b">
        <v>0</v>
      </c>
      <c r="AP81" s="80">
        <v>0</v>
      </c>
      <c r="AQ81" s="80"/>
      <c r="AR81" s="80"/>
      <c r="AS81" s="80" t="s">
        <v>3412</v>
      </c>
      <c r="AT81" s="85" t="str">
        <f>HYPERLINK("https://www.youtube.com/channel/UCIE4eUMkEJAK3QS6GaRIHmQ")</f>
        <v>https://www.youtube.com/channel/UCIE4eUMkEJAK3QS6GaRIHmQ</v>
      </c>
      <c r="AU81" s="80" t="str">
        <f>REPLACE(INDEX(GroupVertices[Group],MATCH(Vertices[[#This Row],[Vertex]],GroupVertices[Vertex],0)),1,1,"")</f>
        <v>1</v>
      </c>
      <c r="AV81" s="49">
        <v>0</v>
      </c>
      <c r="AW81" s="50">
        <v>0</v>
      </c>
      <c r="AX81" s="49">
        <v>0</v>
      </c>
      <c r="AY81" s="50">
        <v>0</v>
      </c>
      <c r="AZ81" s="49">
        <v>0</v>
      </c>
      <c r="BA81" s="50">
        <v>0</v>
      </c>
      <c r="BB81" s="49">
        <v>3</v>
      </c>
      <c r="BC81" s="50">
        <v>100</v>
      </c>
      <c r="BD81" s="49">
        <v>3</v>
      </c>
      <c r="BE81" s="49"/>
      <c r="BF81" s="49"/>
      <c r="BG81" s="49"/>
      <c r="BH81" s="49"/>
      <c r="BI81" s="49"/>
      <c r="BJ81" s="49"/>
      <c r="BK81" s="111" t="s">
        <v>3839</v>
      </c>
      <c r="BL81" s="111" t="s">
        <v>3839</v>
      </c>
      <c r="BM81" s="111" t="s">
        <v>2782</v>
      </c>
      <c r="BN81" s="111" t="s">
        <v>2782</v>
      </c>
      <c r="BO81" s="2"/>
      <c r="BP81" s="3"/>
      <c r="BQ81" s="3"/>
      <c r="BR81" s="3"/>
      <c r="BS81" s="3"/>
    </row>
    <row r="82" spans="1:71" ht="15">
      <c r="A82" s="65" t="s">
        <v>308</v>
      </c>
      <c r="B82" s="66"/>
      <c r="C82" s="66"/>
      <c r="D82" s="67">
        <v>150</v>
      </c>
      <c r="E82" s="69"/>
      <c r="F82" s="103" t="str">
        <f>HYPERLINK("https://yt3.ggpht.com/ytc/AKedOLSZkSJP_cyER9R1KD1eTHgYcXtKdnj_XhNU9Q=s88-c-k-c0x00ffffff-no-rj")</f>
        <v>https://yt3.ggpht.com/ytc/AKedOLSZkSJP_cyER9R1KD1eTHgYcXtKdnj_XhNU9Q=s88-c-k-c0x00ffffff-no-rj</v>
      </c>
      <c r="G82" s="66"/>
      <c r="H82" s="70" t="s">
        <v>1637</v>
      </c>
      <c r="I82" s="71"/>
      <c r="J82" s="71" t="s">
        <v>159</v>
      </c>
      <c r="K82" s="70" t="s">
        <v>1637</v>
      </c>
      <c r="L82" s="74">
        <v>1</v>
      </c>
      <c r="M82" s="75">
        <v>9219.103515625</v>
      </c>
      <c r="N82" s="75">
        <v>8934.044921875</v>
      </c>
      <c r="O82" s="76"/>
      <c r="P82" s="77"/>
      <c r="Q82" s="77"/>
      <c r="R82" s="89"/>
      <c r="S82" s="49">
        <v>0</v>
      </c>
      <c r="T82" s="49">
        <v>1</v>
      </c>
      <c r="U82" s="50">
        <v>0</v>
      </c>
      <c r="V82" s="50">
        <v>0.002597</v>
      </c>
      <c r="W82" s="50">
        <v>0.00486</v>
      </c>
      <c r="X82" s="50">
        <v>0.526148</v>
      </c>
      <c r="Y82" s="50">
        <v>0</v>
      </c>
      <c r="Z82" s="50">
        <v>0</v>
      </c>
      <c r="AA82" s="72">
        <v>82</v>
      </c>
      <c r="AB82" s="72"/>
      <c r="AC82" s="73"/>
      <c r="AD82" s="80" t="s">
        <v>1637</v>
      </c>
      <c r="AE82" s="80"/>
      <c r="AF82" s="80"/>
      <c r="AG82" s="80"/>
      <c r="AH82" s="80"/>
      <c r="AI82" s="80"/>
      <c r="AJ82" s="80" t="s">
        <v>3154</v>
      </c>
      <c r="AK82" s="85" t="str">
        <f>HYPERLINK("https://yt3.ggpht.com/ytc/AKedOLSZkSJP_cyER9R1KD1eTHgYcXtKdnj_XhNU9Q=s88-c-k-c0x00ffffff-no-rj")</f>
        <v>https://yt3.ggpht.com/ytc/AKedOLSZkSJP_cyER9R1KD1eTHgYcXtKdnj_XhNU9Q=s88-c-k-c0x00ffffff-no-rj</v>
      </c>
      <c r="AL82" s="80">
        <v>175</v>
      </c>
      <c r="AM82" s="80">
        <v>0</v>
      </c>
      <c r="AN82" s="80">
        <v>0</v>
      </c>
      <c r="AO82" s="80" t="b">
        <v>0</v>
      </c>
      <c r="AP82" s="80">
        <v>2</v>
      </c>
      <c r="AQ82" s="80"/>
      <c r="AR82" s="80"/>
      <c r="AS82" s="80" t="s">
        <v>3412</v>
      </c>
      <c r="AT82" s="85" t="str">
        <f>HYPERLINK("https://www.youtube.com/channel/UCk6d5gH6fxBQioxom4botkg")</f>
        <v>https://www.youtube.com/channel/UCk6d5gH6fxBQioxom4botkg</v>
      </c>
      <c r="AU82" s="80" t="str">
        <f>REPLACE(INDEX(GroupVertices[Group],MATCH(Vertices[[#This Row],[Vertex]],GroupVertices[Vertex],0)),1,1,"")</f>
        <v>1</v>
      </c>
      <c r="AV82" s="49">
        <v>1</v>
      </c>
      <c r="AW82" s="50">
        <v>2.6315789473684212</v>
      </c>
      <c r="AX82" s="49">
        <v>1</v>
      </c>
      <c r="AY82" s="50">
        <v>2.6315789473684212</v>
      </c>
      <c r="AZ82" s="49">
        <v>0</v>
      </c>
      <c r="BA82" s="50">
        <v>0</v>
      </c>
      <c r="BB82" s="49">
        <v>36</v>
      </c>
      <c r="BC82" s="50">
        <v>94.73684210526316</v>
      </c>
      <c r="BD82" s="49">
        <v>38</v>
      </c>
      <c r="BE82" s="49"/>
      <c r="BF82" s="49"/>
      <c r="BG82" s="49"/>
      <c r="BH82" s="49"/>
      <c r="BI82" s="49"/>
      <c r="BJ82" s="49"/>
      <c r="BK82" s="111" t="s">
        <v>4489</v>
      </c>
      <c r="BL82" s="111" t="s">
        <v>4489</v>
      </c>
      <c r="BM82" s="111" t="s">
        <v>4970</v>
      </c>
      <c r="BN82" s="111" t="s">
        <v>4970</v>
      </c>
      <c r="BO82" s="2"/>
      <c r="BP82" s="3"/>
      <c r="BQ82" s="3"/>
      <c r="BR82" s="3"/>
      <c r="BS82" s="3"/>
    </row>
    <row r="83" spans="1:71" ht="15">
      <c r="A83" s="65" t="s">
        <v>309</v>
      </c>
      <c r="B83" s="66"/>
      <c r="C83" s="66"/>
      <c r="D83" s="67">
        <v>150</v>
      </c>
      <c r="E83" s="69"/>
      <c r="F83" s="103" t="str">
        <f>HYPERLINK("https://yt3.ggpht.com/ytc/AKedOLRpB7nUJ2dnGiXjwt28lbEX0pRmgqvyXaGXmA=s88-c-k-c0x00ffffff-no-rj")</f>
        <v>https://yt3.ggpht.com/ytc/AKedOLRpB7nUJ2dnGiXjwt28lbEX0pRmgqvyXaGXmA=s88-c-k-c0x00ffffff-no-rj</v>
      </c>
      <c r="G83" s="66"/>
      <c r="H83" s="70" t="s">
        <v>1638</v>
      </c>
      <c r="I83" s="71"/>
      <c r="J83" s="71" t="s">
        <v>159</v>
      </c>
      <c r="K83" s="70" t="s">
        <v>1638</v>
      </c>
      <c r="L83" s="74">
        <v>1</v>
      </c>
      <c r="M83" s="75">
        <v>4273.880859375</v>
      </c>
      <c r="N83" s="75">
        <v>9439.6435546875</v>
      </c>
      <c r="O83" s="76"/>
      <c r="P83" s="77"/>
      <c r="Q83" s="77"/>
      <c r="R83" s="89"/>
      <c r="S83" s="49">
        <v>0</v>
      </c>
      <c r="T83" s="49">
        <v>1</v>
      </c>
      <c r="U83" s="50">
        <v>0</v>
      </c>
      <c r="V83" s="50">
        <v>0.002597</v>
      </c>
      <c r="W83" s="50">
        <v>0.00486</v>
      </c>
      <c r="X83" s="50">
        <v>0.526148</v>
      </c>
      <c r="Y83" s="50">
        <v>0</v>
      </c>
      <c r="Z83" s="50">
        <v>0</v>
      </c>
      <c r="AA83" s="72">
        <v>83</v>
      </c>
      <c r="AB83" s="72"/>
      <c r="AC83" s="73"/>
      <c r="AD83" s="80" t="s">
        <v>1638</v>
      </c>
      <c r="AE83" s="80"/>
      <c r="AF83" s="80"/>
      <c r="AG83" s="80"/>
      <c r="AH83" s="80"/>
      <c r="AI83" s="80"/>
      <c r="AJ83" s="80" t="s">
        <v>3155</v>
      </c>
      <c r="AK83" s="85" t="str">
        <f>HYPERLINK("https://yt3.ggpht.com/ytc/AKedOLRpB7nUJ2dnGiXjwt28lbEX0pRmgqvyXaGXmA=s88-c-k-c0x00ffffff-no-rj")</f>
        <v>https://yt3.ggpht.com/ytc/AKedOLRpB7nUJ2dnGiXjwt28lbEX0pRmgqvyXaGXmA=s88-c-k-c0x00ffffff-no-rj</v>
      </c>
      <c r="AL83" s="80">
        <v>0</v>
      </c>
      <c r="AM83" s="80">
        <v>0</v>
      </c>
      <c r="AN83" s="80">
        <v>1</v>
      </c>
      <c r="AO83" s="80" t="b">
        <v>0</v>
      </c>
      <c r="AP83" s="80">
        <v>0</v>
      </c>
      <c r="AQ83" s="80"/>
      <c r="AR83" s="80"/>
      <c r="AS83" s="80" t="s">
        <v>3412</v>
      </c>
      <c r="AT83" s="85" t="str">
        <f>HYPERLINK("https://www.youtube.com/channel/UC-Od6L4roEo7XHz7QqNCoGQ")</f>
        <v>https://www.youtube.com/channel/UC-Od6L4roEo7XHz7QqNCoGQ</v>
      </c>
      <c r="AU83" s="80" t="str">
        <f>REPLACE(INDEX(GroupVertices[Group],MATCH(Vertices[[#This Row],[Vertex]],GroupVertices[Vertex],0)),1,1,"")</f>
        <v>1</v>
      </c>
      <c r="AV83" s="49">
        <v>3</v>
      </c>
      <c r="AW83" s="50">
        <v>8.823529411764707</v>
      </c>
      <c r="AX83" s="49">
        <v>0</v>
      </c>
      <c r="AY83" s="50">
        <v>0</v>
      </c>
      <c r="AZ83" s="49">
        <v>0</v>
      </c>
      <c r="BA83" s="50">
        <v>0</v>
      </c>
      <c r="BB83" s="49">
        <v>31</v>
      </c>
      <c r="BC83" s="50">
        <v>91.17647058823529</v>
      </c>
      <c r="BD83" s="49">
        <v>34</v>
      </c>
      <c r="BE83" s="49"/>
      <c r="BF83" s="49"/>
      <c r="BG83" s="49"/>
      <c r="BH83" s="49"/>
      <c r="BI83" s="49"/>
      <c r="BJ83" s="49"/>
      <c r="BK83" s="111" t="s">
        <v>4490</v>
      </c>
      <c r="BL83" s="111" t="s">
        <v>4490</v>
      </c>
      <c r="BM83" s="111" t="s">
        <v>4971</v>
      </c>
      <c r="BN83" s="111" t="s">
        <v>4971</v>
      </c>
      <c r="BO83" s="2"/>
      <c r="BP83" s="3"/>
      <c r="BQ83" s="3"/>
      <c r="BR83" s="3"/>
      <c r="BS83" s="3"/>
    </row>
    <row r="84" spans="1:71" ht="15">
      <c r="A84" s="65" t="s">
        <v>310</v>
      </c>
      <c r="B84" s="66"/>
      <c r="C84" s="66"/>
      <c r="D84" s="67">
        <v>150</v>
      </c>
      <c r="E84" s="69"/>
      <c r="F84" s="103" t="str">
        <f>HYPERLINK("https://yt3.ggpht.com/ytc/AKedOLTGig2VwAzdeQXGWfMZ20Cd9gbi56mU8gzxK1jl_g=s88-c-k-c0x00ffffff-no-rj")</f>
        <v>https://yt3.ggpht.com/ytc/AKedOLTGig2VwAzdeQXGWfMZ20Cd9gbi56mU8gzxK1jl_g=s88-c-k-c0x00ffffff-no-rj</v>
      </c>
      <c r="G84" s="66"/>
      <c r="H84" s="70" t="s">
        <v>1639</v>
      </c>
      <c r="I84" s="71"/>
      <c r="J84" s="71" t="s">
        <v>159</v>
      </c>
      <c r="K84" s="70" t="s">
        <v>1639</v>
      </c>
      <c r="L84" s="74">
        <v>1</v>
      </c>
      <c r="M84" s="75">
        <v>1280.818359375</v>
      </c>
      <c r="N84" s="75">
        <v>4091.3916015625</v>
      </c>
      <c r="O84" s="76"/>
      <c r="P84" s="77"/>
      <c r="Q84" s="77"/>
      <c r="R84" s="89"/>
      <c r="S84" s="49">
        <v>0</v>
      </c>
      <c r="T84" s="49">
        <v>1</v>
      </c>
      <c r="U84" s="50">
        <v>0</v>
      </c>
      <c r="V84" s="50">
        <v>0.007143</v>
      </c>
      <c r="W84" s="50">
        <v>0</v>
      </c>
      <c r="X84" s="50">
        <v>0.533027</v>
      </c>
      <c r="Y84" s="50">
        <v>0</v>
      </c>
      <c r="Z84" s="50">
        <v>0</v>
      </c>
      <c r="AA84" s="72">
        <v>84</v>
      </c>
      <c r="AB84" s="72"/>
      <c r="AC84" s="73"/>
      <c r="AD84" s="80" t="s">
        <v>1639</v>
      </c>
      <c r="AE84" s="80"/>
      <c r="AF84" s="80"/>
      <c r="AG84" s="80"/>
      <c r="AH84" s="80"/>
      <c r="AI84" s="80" t="s">
        <v>3027</v>
      </c>
      <c r="AJ84" s="80" t="s">
        <v>3156</v>
      </c>
      <c r="AK84" s="85" t="str">
        <f>HYPERLINK("https://yt3.ggpht.com/ytc/AKedOLTGig2VwAzdeQXGWfMZ20Cd9gbi56mU8gzxK1jl_g=s88-c-k-c0x00ffffff-no-rj")</f>
        <v>https://yt3.ggpht.com/ytc/AKedOLTGig2VwAzdeQXGWfMZ20Cd9gbi56mU8gzxK1jl_g=s88-c-k-c0x00ffffff-no-rj</v>
      </c>
      <c r="AL84" s="80">
        <v>41345</v>
      </c>
      <c r="AM84" s="80">
        <v>0</v>
      </c>
      <c r="AN84" s="80">
        <v>1810</v>
      </c>
      <c r="AO84" s="80" t="b">
        <v>0</v>
      </c>
      <c r="AP84" s="80">
        <v>243</v>
      </c>
      <c r="AQ84" s="80"/>
      <c r="AR84" s="80"/>
      <c r="AS84" s="80" t="s">
        <v>3412</v>
      </c>
      <c r="AT84" s="85" t="str">
        <f>HYPERLINK("https://www.youtube.com/channel/UCaZU_VNXJa9GSxkI8zfF_bQ")</f>
        <v>https://www.youtube.com/channel/UCaZU_VNXJa9GSxkI8zfF_bQ</v>
      </c>
      <c r="AU84" s="80" t="str">
        <f>REPLACE(INDEX(GroupVertices[Group],MATCH(Vertices[[#This Row],[Vertex]],GroupVertices[Vertex],0)),1,1,"")</f>
        <v>2</v>
      </c>
      <c r="AV84" s="49">
        <v>0</v>
      </c>
      <c r="AW84" s="50">
        <v>0</v>
      </c>
      <c r="AX84" s="49">
        <v>0</v>
      </c>
      <c r="AY84" s="50">
        <v>0</v>
      </c>
      <c r="AZ84" s="49">
        <v>0</v>
      </c>
      <c r="BA84" s="50">
        <v>0</v>
      </c>
      <c r="BB84" s="49">
        <v>7</v>
      </c>
      <c r="BC84" s="50">
        <v>100</v>
      </c>
      <c r="BD84" s="49">
        <v>7</v>
      </c>
      <c r="BE84" s="49"/>
      <c r="BF84" s="49"/>
      <c r="BG84" s="49"/>
      <c r="BH84" s="49"/>
      <c r="BI84" s="49"/>
      <c r="BJ84" s="49"/>
      <c r="BK84" s="111" t="s">
        <v>4491</v>
      </c>
      <c r="BL84" s="111" t="s">
        <v>4491</v>
      </c>
      <c r="BM84" s="111" t="s">
        <v>4972</v>
      </c>
      <c r="BN84" s="111" t="s">
        <v>4972</v>
      </c>
      <c r="BO84" s="2"/>
      <c r="BP84" s="3"/>
      <c r="BQ84" s="3"/>
      <c r="BR84" s="3"/>
      <c r="BS84" s="3"/>
    </row>
    <row r="85" spans="1:71" ht="15">
      <c r="A85" s="65" t="s">
        <v>750</v>
      </c>
      <c r="B85" s="66"/>
      <c r="C85" s="66"/>
      <c r="D85" s="67">
        <v>1000</v>
      </c>
      <c r="E85" s="69"/>
      <c r="F85" s="103" t="str">
        <f>HYPERLINK("https://yt3.ggpht.com/ytc/AKedOLRkDUiaYdxc9dQWZj6xnHmkJlGE_1fzQIxcZ7-A6w=s88-c-k-c0x00ffffff-no-rj")</f>
        <v>https://yt3.ggpht.com/ytc/AKedOLRkDUiaYdxc9dQWZj6xnHmkJlGE_1fzQIxcZ7-A6w=s88-c-k-c0x00ffffff-no-rj</v>
      </c>
      <c r="G85" s="66"/>
      <c r="H85" s="70" t="s">
        <v>2796</v>
      </c>
      <c r="I85" s="71"/>
      <c r="J85" s="71" t="s">
        <v>75</v>
      </c>
      <c r="K85" s="70" t="s">
        <v>2796</v>
      </c>
      <c r="L85" s="74">
        <v>938.7216281099957</v>
      </c>
      <c r="M85" s="75">
        <v>1667.8695068359375</v>
      </c>
      <c r="N85" s="75">
        <v>4612.31982421875</v>
      </c>
      <c r="O85" s="76"/>
      <c r="P85" s="77"/>
      <c r="Q85" s="77"/>
      <c r="R85" s="89"/>
      <c r="S85" s="49">
        <v>40</v>
      </c>
      <c r="T85" s="49">
        <v>1</v>
      </c>
      <c r="U85" s="50">
        <v>3438</v>
      </c>
      <c r="V85" s="50">
        <v>0.012346</v>
      </c>
      <c r="W85" s="50">
        <v>0</v>
      </c>
      <c r="X85" s="50">
        <v>18.024803</v>
      </c>
      <c r="Y85" s="50">
        <v>0</v>
      </c>
      <c r="Z85" s="50">
        <v>0</v>
      </c>
      <c r="AA85" s="72">
        <v>85</v>
      </c>
      <c r="AB85" s="72"/>
      <c r="AC85" s="73"/>
      <c r="AD85" s="80" t="s">
        <v>2796</v>
      </c>
      <c r="AE85" s="80" t="s">
        <v>2836</v>
      </c>
      <c r="AF85" s="80"/>
      <c r="AG85" s="80"/>
      <c r="AH85" s="80"/>
      <c r="AI85" s="80" t="s">
        <v>3028</v>
      </c>
      <c r="AJ85" s="87">
        <v>43988.53523148148</v>
      </c>
      <c r="AK85" s="85" t="str">
        <f>HYPERLINK("https://yt3.ggpht.com/ytc/AKedOLRkDUiaYdxc9dQWZj6xnHmkJlGE_1fzQIxcZ7-A6w=s88-c-k-c0x00ffffff-no-rj")</f>
        <v>https://yt3.ggpht.com/ytc/AKedOLRkDUiaYdxc9dQWZj6xnHmkJlGE_1fzQIxcZ7-A6w=s88-c-k-c0x00ffffff-no-rj</v>
      </c>
      <c r="AL85" s="80">
        <v>195191</v>
      </c>
      <c r="AM85" s="80">
        <v>0</v>
      </c>
      <c r="AN85" s="80">
        <v>2920</v>
      </c>
      <c r="AO85" s="80" t="b">
        <v>0</v>
      </c>
      <c r="AP85" s="80">
        <v>149</v>
      </c>
      <c r="AQ85" s="80"/>
      <c r="AR85" s="80"/>
      <c r="AS85" s="80" t="s">
        <v>3412</v>
      </c>
      <c r="AT85" s="85" t="str">
        <f>HYPERLINK("https://www.youtube.com/channel/UChCX4aOq9WdweUQFSkZEONw")</f>
        <v>https://www.youtube.com/channel/UChCX4aOq9WdweUQFSkZEONw</v>
      </c>
      <c r="AU85" s="80" t="str">
        <f>REPLACE(INDEX(GroupVertices[Group],MATCH(Vertices[[#This Row],[Vertex]],GroupVertices[Vertex],0)),1,1,"")</f>
        <v>2</v>
      </c>
      <c r="AV85" s="49"/>
      <c r="AW85" s="50"/>
      <c r="AX85" s="49"/>
      <c r="AY85" s="50"/>
      <c r="AZ85" s="49"/>
      <c r="BA85" s="50"/>
      <c r="BB85" s="49"/>
      <c r="BC85" s="50"/>
      <c r="BD85" s="49"/>
      <c r="BE85" s="49"/>
      <c r="BF85" s="49"/>
      <c r="BG85" s="49"/>
      <c r="BH85" s="49"/>
      <c r="BI85" s="49"/>
      <c r="BJ85" s="49"/>
      <c r="BK85" s="111" t="s">
        <v>2782</v>
      </c>
      <c r="BL85" s="111" t="s">
        <v>2782</v>
      </c>
      <c r="BM85" s="111" t="s">
        <v>2782</v>
      </c>
      <c r="BN85" s="111" t="s">
        <v>2782</v>
      </c>
      <c r="BO85" s="2"/>
      <c r="BP85" s="3"/>
      <c r="BQ85" s="3"/>
      <c r="BR85" s="3"/>
      <c r="BS85" s="3"/>
    </row>
    <row r="86" spans="1:71" ht="15">
      <c r="A86" s="65" t="s">
        <v>311</v>
      </c>
      <c r="B86" s="66"/>
      <c r="C86" s="66"/>
      <c r="D86" s="67">
        <v>150</v>
      </c>
      <c r="E86" s="69"/>
      <c r="F86" s="103" t="str">
        <f>HYPERLINK("https://yt3.ggpht.com/ytc/AKedOLRbiCMbBtIC57jVhO3DqZ1oQcyhmxyoOkCB3RB3LA=s88-c-k-c0x00ffffff-no-rj")</f>
        <v>https://yt3.ggpht.com/ytc/AKedOLRbiCMbBtIC57jVhO3DqZ1oQcyhmxyoOkCB3RB3LA=s88-c-k-c0x00ffffff-no-rj</v>
      </c>
      <c r="G86" s="66"/>
      <c r="H86" s="70" t="s">
        <v>1640</v>
      </c>
      <c r="I86" s="71"/>
      <c r="J86" s="71" t="s">
        <v>159</v>
      </c>
      <c r="K86" s="70" t="s">
        <v>1640</v>
      </c>
      <c r="L86" s="74">
        <v>1</v>
      </c>
      <c r="M86" s="75">
        <v>1979.5064697265625</v>
      </c>
      <c r="N86" s="75">
        <v>4600.14697265625</v>
      </c>
      <c r="O86" s="76"/>
      <c r="P86" s="77"/>
      <c r="Q86" s="77"/>
      <c r="R86" s="89"/>
      <c r="S86" s="49">
        <v>0</v>
      </c>
      <c r="T86" s="49">
        <v>1</v>
      </c>
      <c r="U86" s="50">
        <v>0</v>
      </c>
      <c r="V86" s="50">
        <v>0.007143</v>
      </c>
      <c r="W86" s="50">
        <v>0</v>
      </c>
      <c r="X86" s="50">
        <v>0.533027</v>
      </c>
      <c r="Y86" s="50">
        <v>0</v>
      </c>
      <c r="Z86" s="50">
        <v>0</v>
      </c>
      <c r="AA86" s="72">
        <v>86</v>
      </c>
      <c r="AB86" s="72"/>
      <c r="AC86" s="73"/>
      <c r="AD86" s="80" t="s">
        <v>1640</v>
      </c>
      <c r="AE86" s="80" t="s">
        <v>2837</v>
      </c>
      <c r="AF86" s="80"/>
      <c r="AG86" s="80"/>
      <c r="AH86" s="80"/>
      <c r="AI86" s="80" t="s">
        <v>3029</v>
      </c>
      <c r="AJ86" s="87">
        <v>43347.28704861111</v>
      </c>
      <c r="AK86" s="85" t="str">
        <f>HYPERLINK("https://yt3.ggpht.com/ytc/AKedOLRbiCMbBtIC57jVhO3DqZ1oQcyhmxyoOkCB3RB3LA=s88-c-k-c0x00ffffff-no-rj")</f>
        <v>https://yt3.ggpht.com/ytc/AKedOLRbiCMbBtIC57jVhO3DqZ1oQcyhmxyoOkCB3RB3LA=s88-c-k-c0x00ffffff-no-rj</v>
      </c>
      <c r="AL86" s="80">
        <v>312680</v>
      </c>
      <c r="AM86" s="80">
        <v>0</v>
      </c>
      <c r="AN86" s="80">
        <v>0</v>
      </c>
      <c r="AO86" s="80" t="b">
        <v>1</v>
      </c>
      <c r="AP86" s="80">
        <v>56</v>
      </c>
      <c r="AQ86" s="80"/>
      <c r="AR86" s="80"/>
      <c r="AS86" s="80" t="s">
        <v>3412</v>
      </c>
      <c r="AT86" s="85" t="str">
        <f>HYPERLINK("https://www.youtube.com/channel/UCL1ld4KXrnzFjPbvrtKIaLA")</f>
        <v>https://www.youtube.com/channel/UCL1ld4KXrnzFjPbvrtKIaLA</v>
      </c>
      <c r="AU86" s="80" t="str">
        <f>REPLACE(INDEX(GroupVertices[Group],MATCH(Vertices[[#This Row],[Vertex]],GroupVertices[Vertex],0)),1,1,"")</f>
        <v>2</v>
      </c>
      <c r="AV86" s="49">
        <v>0</v>
      </c>
      <c r="AW86" s="50">
        <v>0</v>
      </c>
      <c r="AX86" s="49">
        <v>0</v>
      </c>
      <c r="AY86" s="50">
        <v>0</v>
      </c>
      <c r="AZ86" s="49">
        <v>0</v>
      </c>
      <c r="BA86" s="50">
        <v>0</v>
      </c>
      <c r="BB86" s="49">
        <v>22</v>
      </c>
      <c r="BC86" s="50">
        <v>100</v>
      </c>
      <c r="BD86" s="49">
        <v>22</v>
      </c>
      <c r="BE86" s="49"/>
      <c r="BF86" s="49"/>
      <c r="BG86" s="49"/>
      <c r="BH86" s="49"/>
      <c r="BI86" s="49"/>
      <c r="BJ86" s="49"/>
      <c r="BK86" s="111" t="s">
        <v>4492</v>
      </c>
      <c r="BL86" s="111" t="s">
        <v>4492</v>
      </c>
      <c r="BM86" s="111" t="s">
        <v>4973</v>
      </c>
      <c r="BN86" s="111" t="s">
        <v>4973</v>
      </c>
      <c r="BO86" s="2"/>
      <c r="BP86" s="3"/>
      <c r="BQ86" s="3"/>
      <c r="BR86" s="3"/>
      <c r="BS86" s="3"/>
    </row>
    <row r="87" spans="1:71" ht="15">
      <c r="A87" s="65" t="s">
        <v>312</v>
      </c>
      <c r="B87" s="66"/>
      <c r="C87" s="66"/>
      <c r="D87" s="67">
        <v>150</v>
      </c>
      <c r="E87" s="69"/>
      <c r="F87" s="103" t="str">
        <f>HYPERLINK("https://yt3.ggpht.com/ytc/AKedOLSdhMMyybH2CE8wq5d6Q1UgE01pZ2_Y_GMgQg=s88-c-k-c0x00ffffff-no-rj")</f>
        <v>https://yt3.ggpht.com/ytc/AKedOLSdhMMyybH2CE8wq5d6Q1UgE01pZ2_Y_GMgQg=s88-c-k-c0x00ffffff-no-rj</v>
      </c>
      <c r="G87" s="66"/>
      <c r="H87" s="70" t="s">
        <v>1641</v>
      </c>
      <c r="I87" s="71"/>
      <c r="J87" s="71" t="s">
        <v>159</v>
      </c>
      <c r="K87" s="70" t="s">
        <v>1641</v>
      </c>
      <c r="L87" s="74">
        <v>1</v>
      </c>
      <c r="M87" s="75">
        <v>2263.059326171875</v>
      </c>
      <c r="N87" s="75">
        <v>4197.1318359375</v>
      </c>
      <c r="O87" s="76"/>
      <c r="P87" s="77"/>
      <c r="Q87" s="77"/>
      <c r="R87" s="89"/>
      <c r="S87" s="49">
        <v>0</v>
      </c>
      <c r="T87" s="49">
        <v>1</v>
      </c>
      <c r="U87" s="50">
        <v>0</v>
      </c>
      <c r="V87" s="50">
        <v>0.007143</v>
      </c>
      <c r="W87" s="50">
        <v>0</v>
      </c>
      <c r="X87" s="50">
        <v>0.533027</v>
      </c>
      <c r="Y87" s="50">
        <v>0</v>
      </c>
      <c r="Z87" s="50">
        <v>0</v>
      </c>
      <c r="AA87" s="72">
        <v>87</v>
      </c>
      <c r="AB87" s="72"/>
      <c r="AC87" s="73"/>
      <c r="AD87" s="80" t="s">
        <v>1641</v>
      </c>
      <c r="AE87" s="80"/>
      <c r="AF87" s="80"/>
      <c r="AG87" s="80"/>
      <c r="AH87" s="80"/>
      <c r="AI87" s="80"/>
      <c r="AJ87" s="80" t="s">
        <v>3157</v>
      </c>
      <c r="AK87" s="85" t="str">
        <f>HYPERLINK("https://yt3.ggpht.com/ytc/AKedOLSdhMMyybH2CE8wq5d6Q1UgE01pZ2_Y_GMgQg=s88-c-k-c0x00ffffff-no-rj")</f>
        <v>https://yt3.ggpht.com/ytc/AKedOLSdhMMyybH2CE8wq5d6Q1UgE01pZ2_Y_GMgQg=s88-c-k-c0x00ffffff-no-rj</v>
      </c>
      <c r="AL87" s="80">
        <v>0</v>
      </c>
      <c r="AM87" s="80">
        <v>0</v>
      </c>
      <c r="AN87" s="80">
        <v>0</v>
      </c>
      <c r="AO87" s="80" t="b">
        <v>0</v>
      </c>
      <c r="AP87" s="80">
        <v>0</v>
      </c>
      <c r="AQ87" s="80"/>
      <c r="AR87" s="80"/>
      <c r="AS87" s="80" t="s">
        <v>3412</v>
      </c>
      <c r="AT87" s="85" t="str">
        <f>HYPERLINK("https://www.youtube.com/channel/UCTg0ECFaM5xh7Tmcp3z19UQ")</f>
        <v>https://www.youtube.com/channel/UCTg0ECFaM5xh7Tmcp3z19UQ</v>
      </c>
      <c r="AU87" s="80" t="str">
        <f>REPLACE(INDEX(GroupVertices[Group],MATCH(Vertices[[#This Row],[Vertex]],GroupVertices[Vertex],0)),1,1,"")</f>
        <v>2</v>
      </c>
      <c r="AV87" s="49">
        <v>2</v>
      </c>
      <c r="AW87" s="50">
        <v>50</v>
      </c>
      <c r="AX87" s="49">
        <v>0</v>
      </c>
      <c r="AY87" s="50">
        <v>0</v>
      </c>
      <c r="AZ87" s="49">
        <v>0</v>
      </c>
      <c r="BA87" s="50">
        <v>0</v>
      </c>
      <c r="BB87" s="49">
        <v>2</v>
      </c>
      <c r="BC87" s="50">
        <v>50</v>
      </c>
      <c r="BD87" s="49">
        <v>4</v>
      </c>
      <c r="BE87" s="49"/>
      <c r="BF87" s="49"/>
      <c r="BG87" s="49"/>
      <c r="BH87" s="49"/>
      <c r="BI87" s="49"/>
      <c r="BJ87" s="49"/>
      <c r="BK87" s="111" t="s">
        <v>4493</v>
      </c>
      <c r="BL87" s="111" t="s">
        <v>4493</v>
      </c>
      <c r="BM87" s="111" t="s">
        <v>4974</v>
      </c>
      <c r="BN87" s="111" t="s">
        <v>4974</v>
      </c>
      <c r="BO87" s="2"/>
      <c r="BP87" s="3"/>
      <c r="BQ87" s="3"/>
      <c r="BR87" s="3"/>
      <c r="BS87" s="3"/>
    </row>
    <row r="88" spans="1:71" ht="15">
      <c r="A88" s="65" t="s">
        <v>313</v>
      </c>
      <c r="B88" s="66"/>
      <c r="C88" s="66"/>
      <c r="D88" s="67">
        <v>150</v>
      </c>
      <c r="E88" s="69"/>
      <c r="F88" s="103" t="str">
        <f>HYPERLINK("https://yt3.ggpht.com/ytc/AKedOLTyHwZ6C49NaNfKd_55GVTay_mZcsU6zEXErjb8=s88-c-k-c0x00ffffff-no-rj")</f>
        <v>https://yt3.ggpht.com/ytc/AKedOLTyHwZ6C49NaNfKd_55GVTay_mZcsU6zEXErjb8=s88-c-k-c0x00ffffff-no-rj</v>
      </c>
      <c r="G88" s="66"/>
      <c r="H88" s="70" t="s">
        <v>1642</v>
      </c>
      <c r="I88" s="71"/>
      <c r="J88" s="71" t="s">
        <v>159</v>
      </c>
      <c r="K88" s="70" t="s">
        <v>1642</v>
      </c>
      <c r="L88" s="74">
        <v>1</v>
      </c>
      <c r="M88" s="75">
        <v>2294.951171875</v>
      </c>
      <c r="N88" s="75">
        <v>4415.4716796875</v>
      </c>
      <c r="O88" s="76"/>
      <c r="P88" s="77"/>
      <c r="Q88" s="77"/>
      <c r="R88" s="89"/>
      <c r="S88" s="49">
        <v>0</v>
      </c>
      <c r="T88" s="49">
        <v>1</v>
      </c>
      <c r="U88" s="50">
        <v>0</v>
      </c>
      <c r="V88" s="50">
        <v>0.007143</v>
      </c>
      <c r="W88" s="50">
        <v>0</v>
      </c>
      <c r="X88" s="50">
        <v>0.533027</v>
      </c>
      <c r="Y88" s="50">
        <v>0</v>
      </c>
      <c r="Z88" s="50">
        <v>0</v>
      </c>
      <c r="AA88" s="72">
        <v>88</v>
      </c>
      <c r="AB88" s="72"/>
      <c r="AC88" s="73"/>
      <c r="AD88" s="80" t="s">
        <v>1642</v>
      </c>
      <c r="AE88" s="80" t="s">
        <v>2838</v>
      </c>
      <c r="AF88" s="80"/>
      <c r="AG88" s="80"/>
      <c r="AH88" s="80"/>
      <c r="AI88" s="80"/>
      <c r="AJ88" s="80" t="s">
        <v>3158</v>
      </c>
      <c r="AK88" s="85" t="str">
        <f>HYPERLINK("https://yt3.ggpht.com/ytc/AKedOLTyHwZ6C49NaNfKd_55GVTay_mZcsU6zEXErjb8=s88-c-k-c0x00ffffff-no-rj")</f>
        <v>https://yt3.ggpht.com/ytc/AKedOLTyHwZ6C49NaNfKd_55GVTay_mZcsU6zEXErjb8=s88-c-k-c0x00ffffff-no-rj</v>
      </c>
      <c r="AL88" s="80">
        <v>23938</v>
      </c>
      <c r="AM88" s="80">
        <v>0</v>
      </c>
      <c r="AN88" s="80">
        <v>1240</v>
      </c>
      <c r="AO88" s="80" t="b">
        <v>0</v>
      </c>
      <c r="AP88" s="80">
        <v>84</v>
      </c>
      <c r="AQ88" s="80"/>
      <c r="AR88" s="80"/>
      <c r="AS88" s="80" t="s">
        <v>3412</v>
      </c>
      <c r="AT88" s="85" t="str">
        <f>HYPERLINK("https://www.youtube.com/channel/UCVfLDbf46CUW-zrx5yQrjgA")</f>
        <v>https://www.youtube.com/channel/UCVfLDbf46CUW-zrx5yQrjgA</v>
      </c>
      <c r="AU88" s="80" t="str">
        <f>REPLACE(INDEX(GroupVertices[Group],MATCH(Vertices[[#This Row],[Vertex]],GroupVertices[Vertex],0)),1,1,"")</f>
        <v>2</v>
      </c>
      <c r="AV88" s="49">
        <v>2</v>
      </c>
      <c r="AW88" s="50">
        <v>50</v>
      </c>
      <c r="AX88" s="49">
        <v>0</v>
      </c>
      <c r="AY88" s="50">
        <v>0</v>
      </c>
      <c r="AZ88" s="49">
        <v>0</v>
      </c>
      <c r="BA88" s="50">
        <v>0</v>
      </c>
      <c r="BB88" s="49">
        <v>2</v>
      </c>
      <c r="BC88" s="50">
        <v>50</v>
      </c>
      <c r="BD88" s="49">
        <v>4</v>
      </c>
      <c r="BE88" s="49"/>
      <c r="BF88" s="49"/>
      <c r="BG88" s="49"/>
      <c r="BH88" s="49"/>
      <c r="BI88" s="49"/>
      <c r="BJ88" s="49"/>
      <c r="BK88" s="111" t="s">
        <v>4494</v>
      </c>
      <c r="BL88" s="111" t="s">
        <v>4494</v>
      </c>
      <c r="BM88" s="111" t="s">
        <v>4975</v>
      </c>
      <c r="BN88" s="111" t="s">
        <v>4975</v>
      </c>
      <c r="BO88" s="2"/>
      <c r="BP88" s="3"/>
      <c r="BQ88" s="3"/>
      <c r="BR88" s="3"/>
      <c r="BS88" s="3"/>
    </row>
    <row r="89" spans="1:71" ht="15">
      <c r="A89" s="65" t="s">
        <v>314</v>
      </c>
      <c r="B89" s="66"/>
      <c r="C89" s="66"/>
      <c r="D89" s="67">
        <v>150</v>
      </c>
      <c r="E89" s="69"/>
      <c r="F89" s="103" t="str">
        <f>HYPERLINK("https://yt3.ggpht.com/ytc/AKedOLSTKOxdGPggDwpQmWN6xBjpF2qHg9nSgMHo8Q=s88-c-k-c0x00ffffff-no-rj")</f>
        <v>https://yt3.ggpht.com/ytc/AKedOLSTKOxdGPggDwpQmWN6xBjpF2qHg9nSgMHo8Q=s88-c-k-c0x00ffffff-no-rj</v>
      </c>
      <c r="G89" s="66"/>
      <c r="H89" s="70" t="s">
        <v>1643</v>
      </c>
      <c r="I89" s="71"/>
      <c r="J89" s="71" t="s">
        <v>159</v>
      </c>
      <c r="K89" s="70" t="s">
        <v>1643</v>
      </c>
      <c r="L89" s="74">
        <v>1</v>
      </c>
      <c r="M89" s="75">
        <v>1001.2694091796875</v>
      </c>
      <c r="N89" s="75">
        <v>4580.76904296875</v>
      </c>
      <c r="O89" s="76"/>
      <c r="P89" s="77"/>
      <c r="Q89" s="77"/>
      <c r="R89" s="89"/>
      <c r="S89" s="49">
        <v>0</v>
      </c>
      <c r="T89" s="49">
        <v>1</v>
      </c>
      <c r="U89" s="50">
        <v>0</v>
      </c>
      <c r="V89" s="50">
        <v>0.007143</v>
      </c>
      <c r="W89" s="50">
        <v>0</v>
      </c>
      <c r="X89" s="50">
        <v>0.533027</v>
      </c>
      <c r="Y89" s="50">
        <v>0</v>
      </c>
      <c r="Z89" s="50">
        <v>0</v>
      </c>
      <c r="AA89" s="72">
        <v>89</v>
      </c>
      <c r="AB89" s="72"/>
      <c r="AC89" s="73"/>
      <c r="AD89" s="80" t="s">
        <v>1643</v>
      </c>
      <c r="AE89" s="80"/>
      <c r="AF89" s="80"/>
      <c r="AG89" s="80"/>
      <c r="AH89" s="80"/>
      <c r="AI89" s="80"/>
      <c r="AJ89" s="80" t="s">
        <v>3159</v>
      </c>
      <c r="AK89" s="85" t="str">
        <f>HYPERLINK("https://yt3.ggpht.com/ytc/AKedOLSTKOxdGPggDwpQmWN6xBjpF2qHg9nSgMHo8Q=s88-c-k-c0x00ffffff-no-rj")</f>
        <v>https://yt3.ggpht.com/ytc/AKedOLSTKOxdGPggDwpQmWN6xBjpF2qHg9nSgMHo8Q=s88-c-k-c0x00ffffff-no-rj</v>
      </c>
      <c r="AL89" s="80">
        <v>0</v>
      </c>
      <c r="AM89" s="80">
        <v>0</v>
      </c>
      <c r="AN89" s="80">
        <v>0</v>
      </c>
      <c r="AO89" s="80" t="b">
        <v>0</v>
      </c>
      <c r="AP89" s="80">
        <v>0</v>
      </c>
      <c r="AQ89" s="80"/>
      <c r="AR89" s="80"/>
      <c r="AS89" s="80" t="s">
        <v>3412</v>
      </c>
      <c r="AT89" s="85" t="str">
        <f>HYPERLINK("https://www.youtube.com/channel/UCIjIs0UtwQhHsD7o--IW0RA")</f>
        <v>https://www.youtube.com/channel/UCIjIs0UtwQhHsD7o--IW0RA</v>
      </c>
      <c r="AU89" s="80" t="str">
        <f>REPLACE(INDEX(GroupVertices[Group],MATCH(Vertices[[#This Row],[Vertex]],GroupVertices[Vertex],0)),1,1,"")</f>
        <v>2</v>
      </c>
      <c r="AV89" s="49">
        <v>3</v>
      </c>
      <c r="AW89" s="50">
        <v>50</v>
      </c>
      <c r="AX89" s="49">
        <v>0</v>
      </c>
      <c r="AY89" s="50">
        <v>0</v>
      </c>
      <c r="AZ89" s="49">
        <v>0</v>
      </c>
      <c r="BA89" s="50">
        <v>0</v>
      </c>
      <c r="BB89" s="49">
        <v>3</v>
      </c>
      <c r="BC89" s="50">
        <v>50</v>
      </c>
      <c r="BD89" s="49">
        <v>6</v>
      </c>
      <c r="BE89" s="49"/>
      <c r="BF89" s="49"/>
      <c r="BG89" s="49"/>
      <c r="BH89" s="49"/>
      <c r="BI89" s="49"/>
      <c r="BJ89" s="49"/>
      <c r="BK89" s="111" t="s">
        <v>4495</v>
      </c>
      <c r="BL89" s="111" t="s">
        <v>4495</v>
      </c>
      <c r="BM89" s="111" t="s">
        <v>4976</v>
      </c>
      <c r="BN89" s="111" t="s">
        <v>4976</v>
      </c>
      <c r="BO89" s="2"/>
      <c r="BP89" s="3"/>
      <c r="BQ89" s="3"/>
      <c r="BR89" s="3"/>
      <c r="BS89" s="3"/>
    </row>
    <row r="90" spans="1:71" ht="15">
      <c r="A90" s="65" t="s">
        <v>315</v>
      </c>
      <c r="B90" s="66"/>
      <c r="C90" s="66"/>
      <c r="D90" s="67">
        <v>150</v>
      </c>
      <c r="E90" s="69"/>
      <c r="F90" s="103" t="str">
        <f>HYPERLINK("https://yt3.ggpht.com/ytc/AKedOLT9clpnx0tOKMg8Ym9P035PYgtVRQAZBXGGFA=s88-c-k-c0x00ffffff-no-rj")</f>
        <v>https://yt3.ggpht.com/ytc/AKedOLT9clpnx0tOKMg8Ym9P035PYgtVRQAZBXGGFA=s88-c-k-c0x00ffffff-no-rj</v>
      </c>
      <c r="G90" s="66"/>
      <c r="H90" s="70" t="s">
        <v>1644</v>
      </c>
      <c r="I90" s="71"/>
      <c r="J90" s="71" t="s">
        <v>159</v>
      </c>
      <c r="K90" s="70" t="s">
        <v>1644</v>
      </c>
      <c r="L90" s="74">
        <v>1</v>
      </c>
      <c r="M90" s="75">
        <v>1221.35302734375</v>
      </c>
      <c r="N90" s="75">
        <v>6235.0302734375</v>
      </c>
      <c r="O90" s="76"/>
      <c r="P90" s="77"/>
      <c r="Q90" s="77"/>
      <c r="R90" s="89"/>
      <c r="S90" s="49">
        <v>0</v>
      </c>
      <c r="T90" s="49">
        <v>1</v>
      </c>
      <c r="U90" s="50">
        <v>0</v>
      </c>
      <c r="V90" s="50">
        <v>0.005076</v>
      </c>
      <c r="W90" s="50">
        <v>0</v>
      </c>
      <c r="X90" s="50">
        <v>0.589489</v>
      </c>
      <c r="Y90" s="50">
        <v>0</v>
      </c>
      <c r="Z90" s="50">
        <v>0</v>
      </c>
      <c r="AA90" s="72">
        <v>90</v>
      </c>
      <c r="AB90" s="72"/>
      <c r="AC90" s="73"/>
      <c r="AD90" s="80" t="s">
        <v>1644</v>
      </c>
      <c r="AE90" s="80"/>
      <c r="AF90" s="80"/>
      <c r="AG90" s="80"/>
      <c r="AH90" s="80"/>
      <c r="AI90" s="80"/>
      <c r="AJ90" s="80" t="s">
        <v>3160</v>
      </c>
      <c r="AK90" s="85" t="str">
        <f>HYPERLINK("https://yt3.ggpht.com/ytc/AKedOLT9clpnx0tOKMg8Ym9P035PYgtVRQAZBXGGFA=s88-c-k-c0x00ffffff-no-rj")</f>
        <v>https://yt3.ggpht.com/ytc/AKedOLT9clpnx0tOKMg8Ym9P035PYgtVRQAZBXGGFA=s88-c-k-c0x00ffffff-no-rj</v>
      </c>
      <c r="AL90" s="80">
        <v>0</v>
      </c>
      <c r="AM90" s="80">
        <v>0</v>
      </c>
      <c r="AN90" s="80">
        <v>0</v>
      </c>
      <c r="AO90" s="80" t="b">
        <v>0</v>
      </c>
      <c r="AP90" s="80">
        <v>0</v>
      </c>
      <c r="AQ90" s="80"/>
      <c r="AR90" s="80"/>
      <c r="AS90" s="80" t="s">
        <v>3412</v>
      </c>
      <c r="AT90" s="85" t="str">
        <f>HYPERLINK("https://www.youtube.com/channel/UCN0dKbQrLtK1-HCyQJAt0Mg")</f>
        <v>https://www.youtube.com/channel/UCN0dKbQrLtK1-HCyQJAt0Mg</v>
      </c>
      <c r="AU90" s="80" t="str">
        <f>REPLACE(INDEX(GroupVertices[Group],MATCH(Vertices[[#This Row],[Vertex]],GroupVertices[Vertex],0)),1,1,"")</f>
        <v>2</v>
      </c>
      <c r="AV90" s="49">
        <v>0</v>
      </c>
      <c r="AW90" s="50">
        <v>0</v>
      </c>
      <c r="AX90" s="49">
        <v>0</v>
      </c>
      <c r="AY90" s="50">
        <v>0</v>
      </c>
      <c r="AZ90" s="49">
        <v>0</v>
      </c>
      <c r="BA90" s="50">
        <v>0</v>
      </c>
      <c r="BB90" s="49">
        <v>4</v>
      </c>
      <c r="BC90" s="50">
        <v>100</v>
      </c>
      <c r="BD90" s="49">
        <v>4</v>
      </c>
      <c r="BE90" s="49"/>
      <c r="BF90" s="49"/>
      <c r="BG90" s="49"/>
      <c r="BH90" s="49"/>
      <c r="BI90" s="49"/>
      <c r="BJ90" s="49"/>
      <c r="BK90" s="111" t="s">
        <v>4496</v>
      </c>
      <c r="BL90" s="111" t="s">
        <v>4496</v>
      </c>
      <c r="BM90" s="111" t="s">
        <v>4977</v>
      </c>
      <c r="BN90" s="111" t="s">
        <v>4977</v>
      </c>
      <c r="BO90" s="2"/>
      <c r="BP90" s="3"/>
      <c r="BQ90" s="3"/>
      <c r="BR90" s="3"/>
      <c r="BS90" s="3"/>
    </row>
    <row r="91" spans="1:71" ht="15">
      <c r="A91" s="65" t="s">
        <v>316</v>
      </c>
      <c r="B91" s="66"/>
      <c r="C91" s="66"/>
      <c r="D91" s="67">
        <v>209.70238095238096</v>
      </c>
      <c r="E91" s="69"/>
      <c r="F91" s="103" t="str">
        <f>HYPERLINK("https://yt3.ggpht.com/ytc/AKedOLSZLSo7de4fNf7p64YfaFyji3g1v47xq3EyUgLo=s88-c-k-c0x00ffffff-no-rj")</f>
        <v>https://yt3.ggpht.com/ytc/AKedOLSZLSo7de4fNf7p64YfaFyji3g1v47xq3EyUgLo=s88-c-k-c0x00ffffff-no-rj</v>
      </c>
      <c r="G91" s="66"/>
      <c r="H91" s="70" t="s">
        <v>1645</v>
      </c>
      <c r="I91" s="71"/>
      <c r="J91" s="71" t="s">
        <v>75</v>
      </c>
      <c r="K91" s="70" t="s">
        <v>1645</v>
      </c>
      <c r="L91" s="74">
        <v>33.18474465298996</v>
      </c>
      <c r="M91" s="75">
        <v>1439.840576171875</v>
      </c>
      <c r="N91" s="75">
        <v>5456.14111328125</v>
      </c>
      <c r="O91" s="76"/>
      <c r="P91" s="77"/>
      <c r="Q91" s="77"/>
      <c r="R91" s="89"/>
      <c r="S91" s="49">
        <v>1</v>
      </c>
      <c r="T91" s="49">
        <v>1</v>
      </c>
      <c r="U91" s="50">
        <v>118</v>
      </c>
      <c r="V91" s="50">
        <v>0.007246</v>
      </c>
      <c r="W91" s="50">
        <v>0</v>
      </c>
      <c r="X91" s="50">
        <v>1.034093</v>
      </c>
      <c r="Y91" s="50">
        <v>0</v>
      </c>
      <c r="Z91" s="50">
        <v>0</v>
      </c>
      <c r="AA91" s="72">
        <v>91</v>
      </c>
      <c r="AB91" s="72"/>
      <c r="AC91" s="73"/>
      <c r="AD91" s="80" t="s">
        <v>1645</v>
      </c>
      <c r="AE91" s="80" t="s">
        <v>2839</v>
      </c>
      <c r="AF91" s="80"/>
      <c r="AG91" s="80"/>
      <c r="AH91" s="80"/>
      <c r="AI91" s="80"/>
      <c r="AJ91" s="87">
        <v>43834.88296296296</v>
      </c>
      <c r="AK91" s="85" t="str">
        <f>HYPERLINK("https://yt3.ggpht.com/ytc/AKedOLSZLSo7de4fNf7p64YfaFyji3g1v47xq3EyUgLo=s88-c-k-c0x00ffffff-no-rj")</f>
        <v>https://yt3.ggpht.com/ytc/AKedOLSZLSo7de4fNf7p64YfaFyji3g1v47xq3EyUgLo=s88-c-k-c0x00ffffff-no-rj</v>
      </c>
      <c r="AL91" s="80">
        <v>34275</v>
      </c>
      <c r="AM91" s="80">
        <v>0</v>
      </c>
      <c r="AN91" s="80">
        <v>0</v>
      </c>
      <c r="AO91" s="80" t="b">
        <v>1</v>
      </c>
      <c r="AP91" s="80">
        <v>102</v>
      </c>
      <c r="AQ91" s="80"/>
      <c r="AR91" s="80"/>
      <c r="AS91" s="80" t="s">
        <v>3412</v>
      </c>
      <c r="AT91" s="85" t="str">
        <f>HYPERLINK("https://www.youtube.com/channel/UCMbrctS0F7b4wcKJ2vjkBxw")</f>
        <v>https://www.youtube.com/channel/UCMbrctS0F7b4wcKJ2vjkBxw</v>
      </c>
      <c r="AU91" s="80" t="str">
        <f>REPLACE(INDEX(GroupVertices[Group],MATCH(Vertices[[#This Row],[Vertex]],GroupVertices[Vertex],0)),1,1,"")</f>
        <v>2</v>
      </c>
      <c r="AV91" s="49">
        <v>1</v>
      </c>
      <c r="AW91" s="50">
        <v>5.555555555555555</v>
      </c>
      <c r="AX91" s="49">
        <v>0</v>
      </c>
      <c r="AY91" s="50">
        <v>0</v>
      </c>
      <c r="AZ91" s="49">
        <v>0</v>
      </c>
      <c r="BA91" s="50">
        <v>0</v>
      </c>
      <c r="BB91" s="49">
        <v>17</v>
      </c>
      <c r="BC91" s="50">
        <v>94.44444444444444</v>
      </c>
      <c r="BD91" s="49">
        <v>18</v>
      </c>
      <c r="BE91" s="49"/>
      <c r="BF91" s="49"/>
      <c r="BG91" s="49"/>
      <c r="BH91" s="49"/>
      <c r="BI91" s="49"/>
      <c r="BJ91" s="49"/>
      <c r="BK91" s="111" t="s">
        <v>4497</v>
      </c>
      <c r="BL91" s="111" t="s">
        <v>4497</v>
      </c>
      <c r="BM91" s="111" t="s">
        <v>4978</v>
      </c>
      <c r="BN91" s="111" t="s">
        <v>4978</v>
      </c>
      <c r="BO91" s="2"/>
      <c r="BP91" s="3"/>
      <c r="BQ91" s="3"/>
      <c r="BR91" s="3"/>
      <c r="BS91" s="3"/>
    </row>
    <row r="92" spans="1:71" ht="15">
      <c r="A92" s="65" t="s">
        <v>317</v>
      </c>
      <c r="B92" s="66"/>
      <c r="C92" s="66"/>
      <c r="D92" s="67">
        <v>150</v>
      </c>
      <c r="E92" s="69"/>
      <c r="F92" s="103" t="str">
        <f>HYPERLINK("https://yt3.ggpht.com/ytc/AKedOLRK_mb5Ji2SXibS2knY3hr-0Jlt47xmGHsLiyvZrQ=s88-c-k-c0x00ffffff-no-rj")</f>
        <v>https://yt3.ggpht.com/ytc/AKedOLRK_mb5Ji2SXibS2knY3hr-0Jlt47xmGHsLiyvZrQ=s88-c-k-c0x00ffffff-no-rj</v>
      </c>
      <c r="G92" s="66"/>
      <c r="H92" s="70" t="s">
        <v>1646</v>
      </c>
      <c r="I92" s="71"/>
      <c r="J92" s="71" t="s">
        <v>159</v>
      </c>
      <c r="K92" s="70" t="s">
        <v>1646</v>
      </c>
      <c r="L92" s="74">
        <v>1</v>
      </c>
      <c r="M92" s="75">
        <v>2034.7869873046875</v>
      </c>
      <c r="N92" s="75">
        <v>5143.13330078125</v>
      </c>
      <c r="O92" s="76"/>
      <c r="P92" s="77"/>
      <c r="Q92" s="77"/>
      <c r="R92" s="89"/>
      <c r="S92" s="49">
        <v>0</v>
      </c>
      <c r="T92" s="49">
        <v>1</v>
      </c>
      <c r="U92" s="50">
        <v>0</v>
      </c>
      <c r="V92" s="50">
        <v>0.007143</v>
      </c>
      <c r="W92" s="50">
        <v>0</v>
      </c>
      <c r="X92" s="50">
        <v>0.533027</v>
      </c>
      <c r="Y92" s="50">
        <v>0</v>
      </c>
      <c r="Z92" s="50">
        <v>0</v>
      </c>
      <c r="AA92" s="72">
        <v>92</v>
      </c>
      <c r="AB92" s="72"/>
      <c r="AC92" s="73"/>
      <c r="AD92" s="80" t="s">
        <v>1646</v>
      </c>
      <c r="AE92" s="80" t="s">
        <v>2840</v>
      </c>
      <c r="AF92" s="80"/>
      <c r="AG92" s="80"/>
      <c r="AH92" s="80"/>
      <c r="AI92" s="80"/>
      <c r="AJ92" s="80" t="s">
        <v>3161</v>
      </c>
      <c r="AK92" s="85" t="str">
        <f>HYPERLINK("https://yt3.ggpht.com/ytc/AKedOLRK_mb5Ji2SXibS2knY3hr-0Jlt47xmGHsLiyvZrQ=s88-c-k-c0x00ffffff-no-rj")</f>
        <v>https://yt3.ggpht.com/ytc/AKedOLRK_mb5Ji2SXibS2knY3hr-0Jlt47xmGHsLiyvZrQ=s88-c-k-c0x00ffffff-no-rj</v>
      </c>
      <c r="AL92" s="80">
        <v>66468</v>
      </c>
      <c r="AM92" s="80">
        <v>0</v>
      </c>
      <c r="AN92" s="80">
        <v>2020</v>
      </c>
      <c r="AO92" s="80" t="b">
        <v>0</v>
      </c>
      <c r="AP92" s="80">
        <v>196</v>
      </c>
      <c r="AQ92" s="80"/>
      <c r="AR92" s="80"/>
      <c r="AS92" s="80" t="s">
        <v>3412</v>
      </c>
      <c r="AT92" s="85" t="str">
        <f>HYPERLINK("https://www.youtube.com/channel/UCIMxSMWfV-JKLLOyclBmrPQ")</f>
        <v>https://www.youtube.com/channel/UCIMxSMWfV-JKLLOyclBmrPQ</v>
      </c>
      <c r="AU92" s="80" t="str">
        <f>REPLACE(INDEX(GroupVertices[Group],MATCH(Vertices[[#This Row],[Vertex]],GroupVertices[Vertex],0)),1,1,"")</f>
        <v>2</v>
      </c>
      <c r="AV92" s="49">
        <v>1</v>
      </c>
      <c r="AW92" s="50">
        <v>6.666666666666667</v>
      </c>
      <c r="AX92" s="49">
        <v>0</v>
      </c>
      <c r="AY92" s="50">
        <v>0</v>
      </c>
      <c r="AZ92" s="49">
        <v>0</v>
      </c>
      <c r="BA92" s="50">
        <v>0</v>
      </c>
      <c r="BB92" s="49">
        <v>14</v>
      </c>
      <c r="BC92" s="50">
        <v>93.33333333333333</v>
      </c>
      <c r="BD92" s="49">
        <v>15</v>
      </c>
      <c r="BE92" s="49"/>
      <c r="BF92" s="49"/>
      <c r="BG92" s="49"/>
      <c r="BH92" s="49"/>
      <c r="BI92" s="49"/>
      <c r="BJ92" s="49"/>
      <c r="BK92" s="111" t="s">
        <v>4498</v>
      </c>
      <c r="BL92" s="111" t="s">
        <v>4498</v>
      </c>
      <c r="BM92" s="111" t="s">
        <v>4979</v>
      </c>
      <c r="BN92" s="111" t="s">
        <v>4979</v>
      </c>
      <c r="BO92" s="2"/>
      <c r="BP92" s="3"/>
      <c r="BQ92" s="3"/>
      <c r="BR92" s="3"/>
      <c r="BS92" s="3"/>
    </row>
    <row r="93" spans="1:71" ht="15">
      <c r="A93" s="65" t="s">
        <v>318</v>
      </c>
      <c r="B93" s="66"/>
      <c r="C93" s="66"/>
      <c r="D93" s="67">
        <v>150</v>
      </c>
      <c r="E93" s="69"/>
      <c r="F93" s="103" t="str">
        <f>HYPERLINK("https://yt3.ggpht.com/ytc/AKedOLQgSt-ZowDaUK5CyJj__w2bmXvIlJns2C_9VDen=s88-c-k-c0x00ffffff-no-rj")</f>
        <v>https://yt3.ggpht.com/ytc/AKedOLQgSt-ZowDaUK5CyJj__w2bmXvIlJns2C_9VDen=s88-c-k-c0x00ffffff-no-rj</v>
      </c>
      <c r="G93" s="66"/>
      <c r="H93" s="70" t="s">
        <v>1647</v>
      </c>
      <c r="I93" s="71"/>
      <c r="J93" s="71" t="s">
        <v>159</v>
      </c>
      <c r="K93" s="70" t="s">
        <v>1647</v>
      </c>
      <c r="L93" s="74">
        <v>1</v>
      </c>
      <c r="M93" s="75">
        <v>2320.32568359375</v>
      </c>
      <c r="N93" s="75">
        <v>4897.54736328125</v>
      </c>
      <c r="O93" s="76"/>
      <c r="P93" s="77"/>
      <c r="Q93" s="77"/>
      <c r="R93" s="89"/>
      <c r="S93" s="49">
        <v>0</v>
      </c>
      <c r="T93" s="49">
        <v>1</v>
      </c>
      <c r="U93" s="50">
        <v>0</v>
      </c>
      <c r="V93" s="50">
        <v>0.007143</v>
      </c>
      <c r="W93" s="50">
        <v>0</v>
      </c>
      <c r="X93" s="50">
        <v>0.533027</v>
      </c>
      <c r="Y93" s="50">
        <v>0</v>
      </c>
      <c r="Z93" s="50">
        <v>0</v>
      </c>
      <c r="AA93" s="72">
        <v>93</v>
      </c>
      <c r="AB93" s="72"/>
      <c r="AC93" s="73"/>
      <c r="AD93" s="80" t="s">
        <v>1647</v>
      </c>
      <c r="AE93" s="80" t="s">
        <v>2841</v>
      </c>
      <c r="AF93" s="80"/>
      <c r="AG93" s="80"/>
      <c r="AH93" s="80"/>
      <c r="AI93" s="80"/>
      <c r="AJ93" s="80" t="s">
        <v>3162</v>
      </c>
      <c r="AK93" s="85" t="str">
        <f>HYPERLINK("https://yt3.ggpht.com/ytc/AKedOLQgSt-ZowDaUK5CyJj__w2bmXvIlJns2C_9VDen=s88-c-k-c0x00ffffff-no-rj")</f>
        <v>https://yt3.ggpht.com/ytc/AKedOLQgSt-ZowDaUK5CyJj__w2bmXvIlJns2C_9VDen=s88-c-k-c0x00ffffff-no-rj</v>
      </c>
      <c r="AL93" s="80">
        <v>18945</v>
      </c>
      <c r="AM93" s="80">
        <v>0</v>
      </c>
      <c r="AN93" s="80">
        <v>638</v>
      </c>
      <c r="AO93" s="80" t="b">
        <v>0</v>
      </c>
      <c r="AP93" s="80">
        <v>88</v>
      </c>
      <c r="AQ93" s="80"/>
      <c r="AR93" s="80"/>
      <c r="AS93" s="80" t="s">
        <v>3412</v>
      </c>
      <c r="AT93" s="85" t="str">
        <f>HYPERLINK("https://www.youtube.com/channel/UCX0jdsd691BolSCl3uCd2rA")</f>
        <v>https://www.youtube.com/channel/UCX0jdsd691BolSCl3uCd2rA</v>
      </c>
      <c r="AU93" s="80" t="str">
        <f>REPLACE(INDEX(GroupVertices[Group],MATCH(Vertices[[#This Row],[Vertex]],GroupVertices[Vertex],0)),1,1,"")</f>
        <v>2</v>
      </c>
      <c r="AV93" s="49">
        <v>0</v>
      </c>
      <c r="AW93" s="50">
        <v>0</v>
      </c>
      <c r="AX93" s="49">
        <v>0</v>
      </c>
      <c r="AY93" s="50">
        <v>0</v>
      </c>
      <c r="AZ93" s="49">
        <v>0</v>
      </c>
      <c r="BA93" s="50">
        <v>0</v>
      </c>
      <c r="BB93" s="49">
        <v>18</v>
      </c>
      <c r="BC93" s="50">
        <v>100</v>
      </c>
      <c r="BD93" s="49">
        <v>18</v>
      </c>
      <c r="BE93" s="49"/>
      <c r="BF93" s="49"/>
      <c r="BG93" s="49"/>
      <c r="BH93" s="49"/>
      <c r="BI93" s="49"/>
      <c r="BJ93" s="49"/>
      <c r="BK93" s="111" t="s">
        <v>4499</v>
      </c>
      <c r="BL93" s="111" t="s">
        <v>4499</v>
      </c>
      <c r="BM93" s="111" t="s">
        <v>4980</v>
      </c>
      <c r="BN93" s="111" t="s">
        <v>4980</v>
      </c>
      <c r="BO93" s="2"/>
      <c r="BP93" s="3"/>
      <c r="BQ93" s="3"/>
      <c r="BR93" s="3"/>
      <c r="BS93" s="3"/>
    </row>
    <row r="94" spans="1:71" ht="15">
      <c r="A94" s="65" t="s">
        <v>319</v>
      </c>
      <c r="B94" s="66"/>
      <c r="C94" s="66"/>
      <c r="D94" s="67">
        <v>150</v>
      </c>
      <c r="E94" s="69"/>
      <c r="F94" s="103" t="str">
        <f>HYPERLINK("https://yt3.ggpht.com/ytc/AKedOLQmzqKgh0e4j5S0YoQXjxlllozPCpoKl6TTskr6BA=s88-c-k-c0x00ffffff-no-rj")</f>
        <v>https://yt3.ggpht.com/ytc/AKedOLQmzqKgh0e4j5S0YoQXjxlllozPCpoKl6TTskr6BA=s88-c-k-c0x00ffffff-no-rj</v>
      </c>
      <c r="G94" s="66"/>
      <c r="H94" s="70" t="s">
        <v>1648</v>
      </c>
      <c r="I94" s="71"/>
      <c r="J94" s="71" t="s">
        <v>159</v>
      </c>
      <c r="K94" s="70" t="s">
        <v>1648</v>
      </c>
      <c r="L94" s="74">
        <v>1</v>
      </c>
      <c r="M94" s="75">
        <v>1512.2294921875</v>
      </c>
      <c r="N94" s="75">
        <v>4253.3623046875</v>
      </c>
      <c r="O94" s="76"/>
      <c r="P94" s="77"/>
      <c r="Q94" s="77"/>
      <c r="R94" s="89"/>
      <c r="S94" s="49">
        <v>0</v>
      </c>
      <c r="T94" s="49">
        <v>1</v>
      </c>
      <c r="U94" s="50">
        <v>0</v>
      </c>
      <c r="V94" s="50">
        <v>0.007143</v>
      </c>
      <c r="W94" s="50">
        <v>0</v>
      </c>
      <c r="X94" s="50">
        <v>0.533027</v>
      </c>
      <c r="Y94" s="50">
        <v>0</v>
      </c>
      <c r="Z94" s="50">
        <v>0</v>
      </c>
      <c r="AA94" s="72">
        <v>94</v>
      </c>
      <c r="AB94" s="72"/>
      <c r="AC94" s="73"/>
      <c r="AD94" s="80" t="s">
        <v>1648</v>
      </c>
      <c r="AE94" s="80" t="s">
        <v>2842</v>
      </c>
      <c r="AF94" s="80"/>
      <c r="AG94" s="80"/>
      <c r="AH94" s="80"/>
      <c r="AI94" s="80" t="s">
        <v>3030</v>
      </c>
      <c r="AJ94" s="87">
        <v>41518.8134375</v>
      </c>
      <c r="AK94" s="85" t="str">
        <f>HYPERLINK("https://yt3.ggpht.com/ytc/AKedOLQmzqKgh0e4j5S0YoQXjxlllozPCpoKl6TTskr6BA=s88-c-k-c0x00ffffff-no-rj")</f>
        <v>https://yt3.ggpht.com/ytc/AKedOLQmzqKgh0e4j5S0YoQXjxlllozPCpoKl6TTskr6BA=s88-c-k-c0x00ffffff-no-rj</v>
      </c>
      <c r="AL94" s="80">
        <v>156815</v>
      </c>
      <c r="AM94" s="80">
        <v>0</v>
      </c>
      <c r="AN94" s="80">
        <v>0</v>
      </c>
      <c r="AO94" s="80" t="b">
        <v>1</v>
      </c>
      <c r="AP94" s="80">
        <v>241</v>
      </c>
      <c r="AQ94" s="80"/>
      <c r="AR94" s="80"/>
      <c r="AS94" s="80" t="s">
        <v>3412</v>
      </c>
      <c r="AT94" s="85" t="str">
        <f>HYPERLINK("https://www.youtube.com/channel/UCRVdRLrGnsbmgmDN6N5xBYw")</f>
        <v>https://www.youtube.com/channel/UCRVdRLrGnsbmgmDN6N5xBYw</v>
      </c>
      <c r="AU94" s="80" t="str">
        <f>REPLACE(INDEX(GroupVertices[Group],MATCH(Vertices[[#This Row],[Vertex]],GroupVertices[Vertex],0)),1,1,"")</f>
        <v>2</v>
      </c>
      <c r="AV94" s="49">
        <v>0</v>
      </c>
      <c r="AW94" s="50">
        <v>0</v>
      </c>
      <c r="AX94" s="49">
        <v>0</v>
      </c>
      <c r="AY94" s="50">
        <v>0</v>
      </c>
      <c r="AZ94" s="49">
        <v>0</v>
      </c>
      <c r="BA94" s="50">
        <v>0</v>
      </c>
      <c r="BB94" s="49">
        <v>0</v>
      </c>
      <c r="BC94" s="50">
        <v>0</v>
      </c>
      <c r="BD94" s="49">
        <v>0</v>
      </c>
      <c r="BE94" s="49"/>
      <c r="BF94" s="49"/>
      <c r="BG94" s="49"/>
      <c r="BH94" s="49"/>
      <c r="BI94" s="49"/>
      <c r="BJ94" s="49"/>
      <c r="BK94" s="111" t="s">
        <v>2782</v>
      </c>
      <c r="BL94" s="111" t="s">
        <v>2782</v>
      </c>
      <c r="BM94" s="111" t="s">
        <v>2782</v>
      </c>
      <c r="BN94" s="111" t="s">
        <v>2782</v>
      </c>
      <c r="BO94" s="2"/>
      <c r="BP94" s="3"/>
      <c r="BQ94" s="3"/>
      <c r="BR94" s="3"/>
      <c r="BS94" s="3"/>
    </row>
    <row r="95" spans="1:71" ht="15">
      <c r="A95" s="65" t="s">
        <v>320</v>
      </c>
      <c r="B95" s="66"/>
      <c r="C95" s="66"/>
      <c r="D95" s="67">
        <v>150</v>
      </c>
      <c r="E95" s="69"/>
      <c r="F95" s="103" t="str">
        <f>HYPERLINK("https://yt3.ggpht.com/ytc/AKedOLQrk7hOL8qGVdL1VzYlrwINnWEKe_OcnjgCxwRD=s88-c-k-c0x00ffffff-no-rj")</f>
        <v>https://yt3.ggpht.com/ytc/AKedOLQrk7hOL8qGVdL1VzYlrwINnWEKe_OcnjgCxwRD=s88-c-k-c0x00ffffff-no-rj</v>
      </c>
      <c r="G95" s="66"/>
      <c r="H95" s="70" t="s">
        <v>1649</v>
      </c>
      <c r="I95" s="71"/>
      <c r="J95" s="71" t="s">
        <v>159</v>
      </c>
      <c r="K95" s="70" t="s">
        <v>1649</v>
      </c>
      <c r="L95" s="74">
        <v>1</v>
      </c>
      <c r="M95" s="75">
        <v>1274.9522705078125</v>
      </c>
      <c r="N95" s="75">
        <v>4409.296875</v>
      </c>
      <c r="O95" s="76"/>
      <c r="P95" s="77"/>
      <c r="Q95" s="77"/>
      <c r="R95" s="89"/>
      <c r="S95" s="49">
        <v>0</v>
      </c>
      <c r="T95" s="49">
        <v>1</v>
      </c>
      <c r="U95" s="50">
        <v>0</v>
      </c>
      <c r="V95" s="50">
        <v>0.007143</v>
      </c>
      <c r="W95" s="50">
        <v>0</v>
      </c>
      <c r="X95" s="50">
        <v>0.533027</v>
      </c>
      <c r="Y95" s="50">
        <v>0</v>
      </c>
      <c r="Z95" s="50">
        <v>0</v>
      </c>
      <c r="AA95" s="72">
        <v>95</v>
      </c>
      <c r="AB95" s="72"/>
      <c r="AC95" s="73"/>
      <c r="AD95" s="80" t="s">
        <v>1649</v>
      </c>
      <c r="AE95" s="80" t="s">
        <v>2843</v>
      </c>
      <c r="AF95" s="80"/>
      <c r="AG95" s="80"/>
      <c r="AH95" s="80"/>
      <c r="AI95" s="80" t="s">
        <v>3031</v>
      </c>
      <c r="AJ95" s="80" t="s">
        <v>3163</v>
      </c>
      <c r="AK95" s="85" t="str">
        <f>HYPERLINK("https://yt3.ggpht.com/ytc/AKedOLQrk7hOL8qGVdL1VzYlrwINnWEKe_OcnjgCxwRD=s88-c-k-c0x00ffffff-no-rj")</f>
        <v>https://yt3.ggpht.com/ytc/AKedOLQrk7hOL8qGVdL1VzYlrwINnWEKe_OcnjgCxwRD=s88-c-k-c0x00ffffff-no-rj</v>
      </c>
      <c r="AL95" s="80">
        <v>33939</v>
      </c>
      <c r="AM95" s="80">
        <v>0</v>
      </c>
      <c r="AN95" s="80">
        <v>2100</v>
      </c>
      <c r="AO95" s="80" t="b">
        <v>0</v>
      </c>
      <c r="AP95" s="80">
        <v>131</v>
      </c>
      <c r="AQ95" s="80"/>
      <c r="AR95" s="80"/>
      <c r="AS95" s="80" t="s">
        <v>3412</v>
      </c>
      <c r="AT95" s="85" t="str">
        <f>HYPERLINK("https://www.youtube.com/channel/UCVWo8kvTSDWSICFECknClxQ")</f>
        <v>https://www.youtube.com/channel/UCVWo8kvTSDWSICFECknClxQ</v>
      </c>
      <c r="AU95" s="80" t="str">
        <f>REPLACE(INDEX(GroupVertices[Group],MATCH(Vertices[[#This Row],[Vertex]],GroupVertices[Vertex],0)),1,1,"")</f>
        <v>2</v>
      </c>
      <c r="AV95" s="49">
        <v>1</v>
      </c>
      <c r="AW95" s="50">
        <v>33.333333333333336</v>
      </c>
      <c r="AX95" s="49">
        <v>0</v>
      </c>
      <c r="AY95" s="50">
        <v>0</v>
      </c>
      <c r="AZ95" s="49">
        <v>0</v>
      </c>
      <c r="BA95" s="50">
        <v>0</v>
      </c>
      <c r="BB95" s="49">
        <v>2</v>
      </c>
      <c r="BC95" s="50">
        <v>66.66666666666667</v>
      </c>
      <c r="BD95" s="49">
        <v>3</v>
      </c>
      <c r="BE95" s="49"/>
      <c r="BF95" s="49"/>
      <c r="BG95" s="49"/>
      <c r="BH95" s="49"/>
      <c r="BI95" s="49"/>
      <c r="BJ95" s="49"/>
      <c r="BK95" s="111" t="s">
        <v>4500</v>
      </c>
      <c r="BL95" s="111" t="s">
        <v>4500</v>
      </c>
      <c r="BM95" s="111" t="s">
        <v>4981</v>
      </c>
      <c r="BN95" s="111" t="s">
        <v>4981</v>
      </c>
      <c r="BO95" s="2"/>
      <c r="BP95" s="3"/>
      <c r="BQ95" s="3"/>
      <c r="BR95" s="3"/>
      <c r="BS95" s="3"/>
    </row>
    <row r="96" spans="1:71" ht="15">
      <c r="A96" s="65" t="s">
        <v>321</v>
      </c>
      <c r="B96" s="66"/>
      <c r="C96" s="66"/>
      <c r="D96" s="67">
        <v>150</v>
      </c>
      <c r="E96" s="69"/>
      <c r="F96" s="103" t="str">
        <f>HYPERLINK("https://yt3.ggpht.com/rTfR3hkWjYMl97PkJWLhTit_cqHVzdc2RKZRjIz3DoWzP4R7ZHXjsdOrAzc-MTOaPJ7XpQTYJA=s88-c-k-c0x00ffffff-no-rj")</f>
        <v>https://yt3.ggpht.com/rTfR3hkWjYMl97PkJWLhTit_cqHVzdc2RKZRjIz3DoWzP4R7ZHXjsdOrAzc-MTOaPJ7XpQTYJA=s88-c-k-c0x00ffffff-no-rj</v>
      </c>
      <c r="G96" s="66"/>
      <c r="H96" s="70" t="s">
        <v>1650</v>
      </c>
      <c r="I96" s="71"/>
      <c r="J96" s="71" t="s">
        <v>159</v>
      </c>
      <c r="K96" s="70" t="s">
        <v>1650</v>
      </c>
      <c r="L96" s="74">
        <v>1</v>
      </c>
      <c r="M96" s="75">
        <v>1777.0206298828125</v>
      </c>
      <c r="N96" s="75">
        <v>3888.129150390625</v>
      </c>
      <c r="O96" s="76"/>
      <c r="P96" s="77"/>
      <c r="Q96" s="77"/>
      <c r="R96" s="89"/>
      <c r="S96" s="49">
        <v>0</v>
      </c>
      <c r="T96" s="49">
        <v>1</v>
      </c>
      <c r="U96" s="50">
        <v>0</v>
      </c>
      <c r="V96" s="50">
        <v>0.007143</v>
      </c>
      <c r="W96" s="50">
        <v>0</v>
      </c>
      <c r="X96" s="50">
        <v>0.533027</v>
      </c>
      <c r="Y96" s="50">
        <v>0</v>
      </c>
      <c r="Z96" s="50">
        <v>0</v>
      </c>
      <c r="AA96" s="72">
        <v>96</v>
      </c>
      <c r="AB96" s="72"/>
      <c r="AC96" s="73"/>
      <c r="AD96" s="80" t="s">
        <v>1650</v>
      </c>
      <c r="AE96" s="80" t="s">
        <v>2844</v>
      </c>
      <c r="AF96" s="80"/>
      <c r="AG96" s="80"/>
      <c r="AH96" s="80"/>
      <c r="AI96" s="80" t="s">
        <v>3032</v>
      </c>
      <c r="AJ96" s="80" t="s">
        <v>3164</v>
      </c>
      <c r="AK96" s="85" t="str">
        <f>HYPERLINK("https://yt3.ggpht.com/rTfR3hkWjYMl97PkJWLhTit_cqHVzdc2RKZRjIz3DoWzP4R7ZHXjsdOrAzc-MTOaPJ7XpQTYJA=s88-c-k-c0x00ffffff-no-rj")</f>
        <v>https://yt3.ggpht.com/rTfR3hkWjYMl97PkJWLhTit_cqHVzdc2RKZRjIz3DoWzP4R7ZHXjsdOrAzc-MTOaPJ7XpQTYJA=s88-c-k-c0x00ffffff-no-rj</v>
      </c>
      <c r="AL96" s="80">
        <v>281802</v>
      </c>
      <c r="AM96" s="80">
        <v>0</v>
      </c>
      <c r="AN96" s="80">
        <v>0</v>
      </c>
      <c r="AO96" s="80" t="b">
        <v>1</v>
      </c>
      <c r="AP96" s="80">
        <v>240</v>
      </c>
      <c r="AQ96" s="80"/>
      <c r="AR96" s="80"/>
      <c r="AS96" s="80" t="s">
        <v>3412</v>
      </c>
      <c r="AT96" s="85" t="str">
        <f>HYPERLINK("https://www.youtube.com/channel/UCKLYhAdMd8BrHelG05-fxMw")</f>
        <v>https://www.youtube.com/channel/UCKLYhAdMd8BrHelG05-fxMw</v>
      </c>
      <c r="AU96" s="80" t="str">
        <f>REPLACE(INDEX(GroupVertices[Group],MATCH(Vertices[[#This Row],[Vertex]],GroupVertices[Vertex],0)),1,1,"")</f>
        <v>2</v>
      </c>
      <c r="AV96" s="49">
        <v>0</v>
      </c>
      <c r="AW96" s="50">
        <v>0</v>
      </c>
      <c r="AX96" s="49">
        <v>0</v>
      </c>
      <c r="AY96" s="50">
        <v>0</v>
      </c>
      <c r="AZ96" s="49">
        <v>0</v>
      </c>
      <c r="BA96" s="50">
        <v>0</v>
      </c>
      <c r="BB96" s="49">
        <v>7</v>
      </c>
      <c r="BC96" s="50">
        <v>100</v>
      </c>
      <c r="BD96" s="49">
        <v>7</v>
      </c>
      <c r="BE96" s="49"/>
      <c r="BF96" s="49"/>
      <c r="BG96" s="49"/>
      <c r="BH96" s="49"/>
      <c r="BI96" s="49"/>
      <c r="BJ96" s="49"/>
      <c r="BK96" s="111" t="s">
        <v>4501</v>
      </c>
      <c r="BL96" s="111" t="s">
        <v>4501</v>
      </c>
      <c r="BM96" s="111" t="s">
        <v>4982</v>
      </c>
      <c r="BN96" s="111" t="s">
        <v>4982</v>
      </c>
      <c r="BO96" s="2"/>
      <c r="BP96" s="3"/>
      <c r="BQ96" s="3"/>
      <c r="BR96" s="3"/>
      <c r="BS96" s="3"/>
    </row>
    <row r="97" spans="1:71" ht="15">
      <c r="A97" s="65" t="s">
        <v>322</v>
      </c>
      <c r="B97" s="66"/>
      <c r="C97" s="66"/>
      <c r="D97" s="67">
        <v>150</v>
      </c>
      <c r="E97" s="69"/>
      <c r="F97" s="103" t="str">
        <f>HYPERLINK("https://yt3.ggpht.com/uYk995ENZxyWq-DFpn_NbzzcgfsTt5bGInqi4Vo6SvnvhKA-jJaM6JZC5-IGafylFghoDKnkSQ=s88-c-k-c0x00ffffff-no-rj")</f>
        <v>https://yt3.ggpht.com/uYk995ENZxyWq-DFpn_NbzzcgfsTt5bGInqi4Vo6SvnvhKA-jJaM6JZC5-IGafylFghoDKnkSQ=s88-c-k-c0x00ffffff-no-rj</v>
      </c>
      <c r="G97" s="66"/>
      <c r="H97" s="70" t="s">
        <v>1651</v>
      </c>
      <c r="I97" s="71"/>
      <c r="J97" s="71" t="s">
        <v>159</v>
      </c>
      <c r="K97" s="70" t="s">
        <v>1651</v>
      </c>
      <c r="L97" s="74">
        <v>1</v>
      </c>
      <c r="M97" s="75">
        <v>1106.4600830078125</v>
      </c>
      <c r="N97" s="75">
        <v>4255.3037109375</v>
      </c>
      <c r="O97" s="76"/>
      <c r="P97" s="77"/>
      <c r="Q97" s="77"/>
      <c r="R97" s="89"/>
      <c r="S97" s="49">
        <v>0</v>
      </c>
      <c r="T97" s="49">
        <v>1</v>
      </c>
      <c r="U97" s="50">
        <v>0</v>
      </c>
      <c r="V97" s="50">
        <v>0.007143</v>
      </c>
      <c r="W97" s="50">
        <v>0</v>
      </c>
      <c r="X97" s="50">
        <v>0.533027</v>
      </c>
      <c r="Y97" s="50">
        <v>0</v>
      </c>
      <c r="Z97" s="50">
        <v>0</v>
      </c>
      <c r="AA97" s="72">
        <v>97</v>
      </c>
      <c r="AB97" s="72"/>
      <c r="AC97" s="73"/>
      <c r="AD97" s="80" t="s">
        <v>1651</v>
      </c>
      <c r="AE97" s="80" t="s">
        <v>2845</v>
      </c>
      <c r="AF97" s="80"/>
      <c r="AG97" s="80"/>
      <c r="AH97" s="80"/>
      <c r="AI97" s="80"/>
      <c r="AJ97" s="80" t="s">
        <v>3165</v>
      </c>
      <c r="AK97" s="85" t="str">
        <f>HYPERLINK("https://yt3.ggpht.com/uYk995ENZxyWq-DFpn_NbzzcgfsTt5bGInqi4Vo6SvnvhKA-jJaM6JZC5-IGafylFghoDKnkSQ=s88-c-k-c0x00ffffff-no-rj")</f>
        <v>https://yt3.ggpht.com/uYk995ENZxyWq-DFpn_NbzzcgfsTt5bGInqi4Vo6SvnvhKA-jJaM6JZC5-IGafylFghoDKnkSQ=s88-c-k-c0x00ffffff-no-rj</v>
      </c>
      <c r="AL97" s="80">
        <v>55880</v>
      </c>
      <c r="AM97" s="80">
        <v>0</v>
      </c>
      <c r="AN97" s="80">
        <v>0</v>
      </c>
      <c r="AO97" s="80" t="b">
        <v>1</v>
      </c>
      <c r="AP97" s="80">
        <v>68</v>
      </c>
      <c r="AQ97" s="80"/>
      <c r="AR97" s="80"/>
      <c r="AS97" s="80" t="s">
        <v>3412</v>
      </c>
      <c r="AT97" s="85" t="str">
        <f>HYPERLINK("https://www.youtube.com/channel/UCKBQWlRCDdhVhVgngdupSXg")</f>
        <v>https://www.youtube.com/channel/UCKBQWlRCDdhVhVgngdupSXg</v>
      </c>
      <c r="AU97" s="80" t="str">
        <f>REPLACE(INDEX(GroupVertices[Group],MATCH(Vertices[[#This Row],[Vertex]],GroupVertices[Vertex],0)),1,1,"")</f>
        <v>2</v>
      </c>
      <c r="AV97" s="49">
        <v>1</v>
      </c>
      <c r="AW97" s="50">
        <v>16.666666666666668</v>
      </c>
      <c r="AX97" s="49">
        <v>1</v>
      </c>
      <c r="AY97" s="50">
        <v>16.666666666666668</v>
      </c>
      <c r="AZ97" s="49">
        <v>0</v>
      </c>
      <c r="BA97" s="50">
        <v>0</v>
      </c>
      <c r="BB97" s="49">
        <v>4</v>
      </c>
      <c r="BC97" s="50">
        <v>66.66666666666667</v>
      </c>
      <c r="BD97" s="49">
        <v>6</v>
      </c>
      <c r="BE97" s="49"/>
      <c r="BF97" s="49"/>
      <c r="BG97" s="49"/>
      <c r="BH97" s="49"/>
      <c r="BI97" s="49"/>
      <c r="BJ97" s="49"/>
      <c r="BK97" s="111" t="s">
        <v>4502</v>
      </c>
      <c r="BL97" s="111" t="s">
        <v>4502</v>
      </c>
      <c r="BM97" s="111" t="s">
        <v>4983</v>
      </c>
      <c r="BN97" s="111" t="s">
        <v>4983</v>
      </c>
      <c r="BO97" s="2"/>
      <c r="BP97" s="3"/>
      <c r="BQ97" s="3"/>
      <c r="BR97" s="3"/>
      <c r="BS97" s="3"/>
    </row>
    <row r="98" spans="1:71" ht="15">
      <c r="A98" s="65" t="s">
        <v>323</v>
      </c>
      <c r="B98" s="66"/>
      <c r="C98" s="66"/>
      <c r="D98" s="67">
        <v>150</v>
      </c>
      <c r="E98" s="69"/>
      <c r="F98" s="103" t="str">
        <f>HYPERLINK("https://yt3.ggpht.com/omtpEmPgt82NCwW1__5AyzcLtpdhf_l4HjpAFU16gvDokQ3uZ_rQk2CPJulJZeD3TOg2MEdG=s88-c-k-c0x00ffffff-no-rj")</f>
        <v>https://yt3.ggpht.com/omtpEmPgt82NCwW1__5AyzcLtpdhf_l4HjpAFU16gvDokQ3uZ_rQk2CPJulJZeD3TOg2MEdG=s88-c-k-c0x00ffffff-no-rj</v>
      </c>
      <c r="G98" s="66"/>
      <c r="H98" s="70" t="s">
        <v>1652</v>
      </c>
      <c r="I98" s="71"/>
      <c r="J98" s="71" t="s">
        <v>159</v>
      </c>
      <c r="K98" s="70" t="s">
        <v>1652</v>
      </c>
      <c r="L98" s="74">
        <v>1</v>
      </c>
      <c r="M98" s="75">
        <v>1246.3426513671875</v>
      </c>
      <c r="N98" s="75">
        <v>5233.92822265625</v>
      </c>
      <c r="O98" s="76"/>
      <c r="P98" s="77"/>
      <c r="Q98" s="77"/>
      <c r="R98" s="89"/>
      <c r="S98" s="49">
        <v>0</v>
      </c>
      <c r="T98" s="49">
        <v>1</v>
      </c>
      <c r="U98" s="50">
        <v>0</v>
      </c>
      <c r="V98" s="50">
        <v>0.007143</v>
      </c>
      <c r="W98" s="50">
        <v>0</v>
      </c>
      <c r="X98" s="50">
        <v>0.533027</v>
      </c>
      <c r="Y98" s="50">
        <v>0</v>
      </c>
      <c r="Z98" s="50">
        <v>0</v>
      </c>
      <c r="AA98" s="72">
        <v>98</v>
      </c>
      <c r="AB98" s="72"/>
      <c r="AC98" s="73"/>
      <c r="AD98" s="80" t="s">
        <v>1652</v>
      </c>
      <c r="AE98" s="80" t="s">
        <v>2846</v>
      </c>
      <c r="AF98" s="80"/>
      <c r="AG98" s="80"/>
      <c r="AH98" s="80"/>
      <c r="AI98" s="80"/>
      <c r="AJ98" s="87">
        <v>41771.7403587963</v>
      </c>
      <c r="AK98" s="85" t="str">
        <f>HYPERLINK("https://yt3.ggpht.com/omtpEmPgt82NCwW1__5AyzcLtpdhf_l4HjpAFU16gvDokQ3uZ_rQk2CPJulJZeD3TOg2MEdG=s88-c-k-c0x00ffffff-no-rj")</f>
        <v>https://yt3.ggpht.com/omtpEmPgt82NCwW1__5AyzcLtpdhf_l4HjpAFU16gvDokQ3uZ_rQk2CPJulJZeD3TOg2MEdG=s88-c-k-c0x00ffffff-no-rj</v>
      </c>
      <c r="AL98" s="80">
        <v>51763</v>
      </c>
      <c r="AM98" s="80">
        <v>0</v>
      </c>
      <c r="AN98" s="80">
        <v>0</v>
      </c>
      <c r="AO98" s="80" t="b">
        <v>1</v>
      </c>
      <c r="AP98" s="80">
        <v>113</v>
      </c>
      <c r="AQ98" s="80"/>
      <c r="AR98" s="80"/>
      <c r="AS98" s="80" t="s">
        <v>3412</v>
      </c>
      <c r="AT98" s="85" t="str">
        <f>HYPERLINK("https://www.youtube.com/channel/UCnExUyxVK5ZUmul18inqnsA")</f>
        <v>https://www.youtube.com/channel/UCnExUyxVK5ZUmul18inqnsA</v>
      </c>
      <c r="AU98" s="80" t="str">
        <f>REPLACE(INDEX(GroupVertices[Group],MATCH(Vertices[[#This Row],[Vertex]],GroupVertices[Vertex],0)),1,1,"")</f>
        <v>2</v>
      </c>
      <c r="AV98" s="49">
        <v>0</v>
      </c>
      <c r="AW98" s="50">
        <v>0</v>
      </c>
      <c r="AX98" s="49">
        <v>0</v>
      </c>
      <c r="AY98" s="50">
        <v>0</v>
      </c>
      <c r="AZ98" s="49">
        <v>0</v>
      </c>
      <c r="BA98" s="50">
        <v>0</v>
      </c>
      <c r="BB98" s="49">
        <v>4</v>
      </c>
      <c r="BC98" s="50">
        <v>100</v>
      </c>
      <c r="BD98" s="49">
        <v>4</v>
      </c>
      <c r="BE98" s="49"/>
      <c r="BF98" s="49"/>
      <c r="BG98" s="49"/>
      <c r="BH98" s="49"/>
      <c r="BI98" s="49"/>
      <c r="BJ98" s="49"/>
      <c r="BK98" s="111" t="s">
        <v>4503</v>
      </c>
      <c r="BL98" s="111" t="s">
        <v>4503</v>
      </c>
      <c r="BM98" s="111" t="s">
        <v>4984</v>
      </c>
      <c r="BN98" s="111" t="s">
        <v>4984</v>
      </c>
      <c r="BO98" s="2"/>
      <c r="BP98" s="3"/>
      <c r="BQ98" s="3"/>
      <c r="BR98" s="3"/>
      <c r="BS98" s="3"/>
    </row>
    <row r="99" spans="1:71" ht="15">
      <c r="A99" s="65" t="s">
        <v>324</v>
      </c>
      <c r="B99" s="66"/>
      <c r="C99" s="66"/>
      <c r="D99" s="67">
        <v>150</v>
      </c>
      <c r="E99" s="69"/>
      <c r="F99" s="103" t="str">
        <f>HYPERLINK("https://yt3.ggpht.com/ytc/AKedOLTCaSkkltjzJXHZ7_IqpiwVMUEu9mH84L22XDhjmQ=s88-c-k-c0x00ffffff-no-rj")</f>
        <v>https://yt3.ggpht.com/ytc/AKedOLTCaSkkltjzJXHZ7_IqpiwVMUEu9mH84L22XDhjmQ=s88-c-k-c0x00ffffff-no-rj</v>
      </c>
      <c r="G99" s="66"/>
      <c r="H99" s="70" t="s">
        <v>1653</v>
      </c>
      <c r="I99" s="71"/>
      <c r="J99" s="71" t="s">
        <v>159</v>
      </c>
      <c r="K99" s="70" t="s">
        <v>1653</v>
      </c>
      <c r="L99" s="74">
        <v>1</v>
      </c>
      <c r="M99" s="75">
        <v>1947.93798828125</v>
      </c>
      <c r="N99" s="75">
        <v>4054.44384765625</v>
      </c>
      <c r="O99" s="76"/>
      <c r="P99" s="77"/>
      <c r="Q99" s="77"/>
      <c r="R99" s="89"/>
      <c r="S99" s="49">
        <v>0</v>
      </c>
      <c r="T99" s="49">
        <v>1</v>
      </c>
      <c r="U99" s="50">
        <v>0</v>
      </c>
      <c r="V99" s="50">
        <v>0.007143</v>
      </c>
      <c r="W99" s="50">
        <v>0</v>
      </c>
      <c r="X99" s="50">
        <v>0.533027</v>
      </c>
      <c r="Y99" s="50">
        <v>0</v>
      </c>
      <c r="Z99" s="50">
        <v>0</v>
      </c>
      <c r="AA99" s="72">
        <v>99</v>
      </c>
      <c r="AB99" s="72"/>
      <c r="AC99" s="73"/>
      <c r="AD99" s="80" t="s">
        <v>1653</v>
      </c>
      <c r="AE99" s="80" t="s">
        <v>2847</v>
      </c>
      <c r="AF99" s="80"/>
      <c r="AG99" s="80"/>
      <c r="AH99" s="80"/>
      <c r="AI99" s="80"/>
      <c r="AJ99" s="80" t="s">
        <v>3166</v>
      </c>
      <c r="AK99" s="85" t="str">
        <f>HYPERLINK("https://yt3.ggpht.com/ytc/AKedOLTCaSkkltjzJXHZ7_IqpiwVMUEu9mH84L22XDhjmQ=s88-c-k-c0x00ffffff-no-rj")</f>
        <v>https://yt3.ggpht.com/ytc/AKedOLTCaSkkltjzJXHZ7_IqpiwVMUEu9mH84L22XDhjmQ=s88-c-k-c0x00ffffff-no-rj</v>
      </c>
      <c r="AL99" s="80">
        <v>66420</v>
      </c>
      <c r="AM99" s="80">
        <v>0</v>
      </c>
      <c r="AN99" s="80">
        <v>1780</v>
      </c>
      <c r="AO99" s="80" t="b">
        <v>0</v>
      </c>
      <c r="AP99" s="80">
        <v>104</v>
      </c>
      <c r="AQ99" s="80"/>
      <c r="AR99" s="80"/>
      <c r="AS99" s="80" t="s">
        <v>3412</v>
      </c>
      <c r="AT99" s="85" t="str">
        <f>HYPERLINK("https://www.youtube.com/channel/UCifnwNQdEJ-UlqVWRqQ5aEg")</f>
        <v>https://www.youtube.com/channel/UCifnwNQdEJ-UlqVWRqQ5aEg</v>
      </c>
      <c r="AU99" s="80" t="str">
        <f>REPLACE(INDEX(GroupVertices[Group],MATCH(Vertices[[#This Row],[Vertex]],GroupVertices[Vertex],0)),1,1,"")</f>
        <v>2</v>
      </c>
      <c r="AV99" s="49">
        <v>1</v>
      </c>
      <c r="AW99" s="50">
        <v>16.666666666666668</v>
      </c>
      <c r="AX99" s="49">
        <v>0</v>
      </c>
      <c r="AY99" s="50">
        <v>0</v>
      </c>
      <c r="AZ99" s="49">
        <v>0</v>
      </c>
      <c r="BA99" s="50">
        <v>0</v>
      </c>
      <c r="BB99" s="49">
        <v>5</v>
      </c>
      <c r="BC99" s="50">
        <v>83.33333333333333</v>
      </c>
      <c r="BD99" s="49">
        <v>6</v>
      </c>
      <c r="BE99" s="49"/>
      <c r="BF99" s="49"/>
      <c r="BG99" s="49"/>
      <c r="BH99" s="49"/>
      <c r="BI99" s="49"/>
      <c r="BJ99" s="49"/>
      <c r="BK99" s="111" t="s">
        <v>4504</v>
      </c>
      <c r="BL99" s="111" t="s">
        <v>4504</v>
      </c>
      <c r="BM99" s="111" t="s">
        <v>4336</v>
      </c>
      <c r="BN99" s="111" t="s">
        <v>4336</v>
      </c>
      <c r="BO99" s="2"/>
      <c r="BP99" s="3"/>
      <c r="BQ99" s="3"/>
      <c r="BR99" s="3"/>
      <c r="BS99" s="3"/>
    </row>
    <row r="100" spans="1:71" ht="15">
      <c r="A100" s="65" t="s">
        <v>325</v>
      </c>
      <c r="B100" s="66"/>
      <c r="C100" s="66"/>
      <c r="D100" s="67">
        <v>150</v>
      </c>
      <c r="E100" s="69"/>
      <c r="F100" s="103" t="str">
        <f>HYPERLINK("https://yt3.ggpht.com/ytc/AKedOLS6uF_oXb9ruQOw_jCuE3_TzMgkpfpkDG_0nPZQ=s88-c-k-c0x00ffffff-no-rj")</f>
        <v>https://yt3.ggpht.com/ytc/AKedOLS6uF_oXb9ruQOw_jCuE3_TzMgkpfpkDG_0nPZQ=s88-c-k-c0x00ffffff-no-rj</v>
      </c>
      <c r="G100" s="66"/>
      <c r="H100" s="70" t="s">
        <v>1654</v>
      </c>
      <c r="I100" s="71"/>
      <c r="J100" s="71" t="s">
        <v>159</v>
      </c>
      <c r="K100" s="70" t="s">
        <v>1654</v>
      </c>
      <c r="L100" s="74">
        <v>1</v>
      </c>
      <c r="M100" s="75">
        <v>2135.672119140625</v>
      </c>
      <c r="N100" s="75">
        <v>4048.986572265625</v>
      </c>
      <c r="O100" s="76"/>
      <c r="P100" s="77"/>
      <c r="Q100" s="77"/>
      <c r="R100" s="89"/>
      <c r="S100" s="49">
        <v>0</v>
      </c>
      <c r="T100" s="49">
        <v>1</v>
      </c>
      <c r="U100" s="50">
        <v>0</v>
      </c>
      <c r="V100" s="50">
        <v>0.007143</v>
      </c>
      <c r="W100" s="50">
        <v>0</v>
      </c>
      <c r="X100" s="50">
        <v>0.533027</v>
      </c>
      <c r="Y100" s="50">
        <v>0</v>
      </c>
      <c r="Z100" s="50">
        <v>0</v>
      </c>
      <c r="AA100" s="72">
        <v>100</v>
      </c>
      <c r="AB100" s="72"/>
      <c r="AC100" s="73"/>
      <c r="AD100" s="80" t="s">
        <v>1654</v>
      </c>
      <c r="AE100" s="80" t="s">
        <v>2848</v>
      </c>
      <c r="AF100" s="80"/>
      <c r="AG100" s="80"/>
      <c r="AH100" s="80"/>
      <c r="AI100" s="80" t="s">
        <v>3033</v>
      </c>
      <c r="AJ100" s="80" t="s">
        <v>3167</v>
      </c>
      <c r="AK100" s="85" t="str">
        <f>HYPERLINK("https://yt3.ggpht.com/ytc/AKedOLS6uF_oXb9ruQOw_jCuE3_TzMgkpfpkDG_0nPZQ=s88-c-k-c0x00ffffff-no-rj")</f>
        <v>https://yt3.ggpht.com/ytc/AKedOLS6uF_oXb9ruQOw_jCuE3_TzMgkpfpkDG_0nPZQ=s88-c-k-c0x00ffffff-no-rj</v>
      </c>
      <c r="AL100" s="80">
        <v>25919</v>
      </c>
      <c r="AM100" s="80">
        <v>0</v>
      </c>
      <c r="AN100" s="80">
        <v>0</v>
      </c>
      <c r="AO100" s="80" t="b">
        <v>1</v>
      </c>
      <c r="AP100" s="80">
        <v>84</v>
      </c>
      <c r="AQ100" s="80"/>
      <c r="AR100" s="80"/>
      <c r="AS100" s="80" t="s">
        <v>3412</v>
      </c>
      <c r="AT100" s="85" t="str">
        <f>HYPERLINK("https://www.youtube.com/channel/UCnJ52lHH73iTys_MTWjLRUQ")</f>
        <v>https://www.youtube.com/channel/UCnJ52lHH73iTys_MTWjLRUQ</v>
      </c>
      <c r="AU100" s="80" t="str">
        <f>REPLACE(INDEX(GroupVertices[Group],MATCH(Vertices[[#This Row],[Vertex]],GroupVertices[Vertex],0)),1,1,"")</f>
        <v>2</v>
      </c>
      <c r="AV100" s="49">
        <v>0</v>
      </c>
      <c r="AW100" s="50">
        <v>0</v>
      </c>
      <c r="AX100" s="49">
        <v>0</v>
      </c>
      <c r="AY100" s="50">
        <v>0</v>
      </c>
      <c r="AZ100" s="49">
        <v>0</v>
      </c>
      <c r="BA100" s="50">
        <v>0</v>
      </c>
      <c r="BB100" s="49">
        <v>19</v>
      </c>
      <c r="BC100" s="50">
        <v>100</v>
      </c>
      <c r="BD100" s="49">
        <v>19</v>
      </c>
      <c r="BE100" s="49"/>
      <c r="BF100" s="49"/>
      <c r="BG100" s="49"/>
      <c r="BH100" s="49"/>
      <c r="BI100" s="49"/>
      <c r="BJ100" s="49"/>
      <c r="BK100" s="111" t="s">
        <v>4505</v>
      </c>
      <c r="BL100" s="111" t="s">
        <v>4505</v>
      </c>
      <c r="BM100" s="111" t="s">
        <v>4985</v>
      </c>
      <c r="BN100" s="111" t="s">
        <v>4985</v>
      </c>
      <c r="BO100" s="2"/>
      <c r="BP100" s="3"/>
      <c r="BQ100" s="3"/>
      <c r="BR100" s="3"/>
      <c r="BS100" s="3"/>
    </row>
    <row r="101" spans="1:71" ht="15">
      <c r="A101" s="65" t="s">
        <v>326</v>
      </c>
      <c r="B101" s="66"/>
      <c r="C101" s="66"/>
      <c r="D101" s="67">
        <v>150</v>
      </c>
      <c r="E101" s="69"/>
      <c r="F101" s="103" t="str">
        <f>HYPERLINK("https://yt3.ggpht.com/ytc/AKedOLSEOAS7vEZl9BuLyM_GT13od0cWEzHROiI62A=s88-c-k-c0x00ffffff-no-rj")</f>
        <v>https://yt3.ggpht.com/ytc/AKedOLSEOAS7vEZl9BuLyM_GT13od0cWEzHROiI62A=s88-c-k-c0x00ffffff-no-rj</v>
      </c>
      <c r="G101" s="66"/>
      <c r="H101" s="70" t="s">
        <v>1655</v>
      </c>
      <c r="I101" s="71"/>
      <c r="J101" s="71" t="s">
        <v>159</v>
      </c>
      <c r="K101" s="70" t="s">
        <v>1655</v>
      </c>
      <c r="L101" s="74">
        <v>1</v>
      </c>
      <c r="M101" s="75">
        <v>272.695556640625</v>
      </c>
      <c r="N101" s="75">
        <v>3933.361328125</v>
      </c>
      <c r="O101" s="76"/>
      <c r="P101" s="77"/>
      <c r="Q101" s="77"/>
      <c r="R101" s="89"/>
      <c r="S101" s="49">
        <v>0</v>
      </c>
      <c r="T101" s="49">
        <v>1</v>
      </c>
      <c r="U101" s="50">
        <v>0</v>
      </c>
      <c r="V101" s="50">
        <v>0.005236</v>
      </c>
      <c r="W101" s="50">
        <v>0</v>
      </c>
      <c r="X101" s="50">
        <v>0.570176</v>
      </c>
      <c r="Y101" s="50">
        <v>0</v>
      </c>
      <c r="Z101" s="50">
        <v>0</v>
      </c>
      <c r="AA101" s="72">
        <v>101</v>
      </c>
      <c r="AB101" s="72"/>
      <c r="AC101" s="73"/>
      <c r="AD101" s="80" t="s">
        <v>1655</v>
      </c>
      <c r="AE101" s="80"/>
      <c r="AF101" s="80"/>
      <c r="AG101" s="80"/>
      <c r="AH101" s="80"/>
      <c r="AI101" s="80"/>
      <c r="AJ101" s="80" t="s">
        <v>3168</v>
      </c>
      <c r="AK101" s="85" t="str">
        <f>HYPERLINK("https://yt3.ggpht.com/ytc/AKedOLSEOAS7vEZl9BuLyM_GT13od0cWEzHROiI62A=s88-c-k-c0x00ffffff-no-rj")</f>
        <v>https://yt3.ggpht.com/ytc/AKedOLSEOAS7vEZl9BuLyM_GT13od0cWEzHROiI62A=s88-c-k-c0x00ffffff-no-rj</v>
      </c>
      <c r="AL101" s="80">
        <v>0</v>
      </c>
      <c r="AM101" s="80">
        <v>0</v>
      </c>
      <c r="AN101" s="80">
        <v>0</v>
      </c>
      <c r="AO101" s="80" t="b">
        <v>0</v>
      </c>
      <c r="AP101" s="80">
        <v>0</v>
      </c>
      <c r="AQ101" s="80"/>
      <c r="AR101" s="80"/>
      <c r="AS101" s="80" t="s">
        <v>3412</v>
      </c>
      <c r="AT101" s="85" t="str">
        <f>HYPERLINK("https://www.youtube.com/channel/UCLUgOZKSmgg64XBVzuCMgbw")</f>
        <v>https://www.youtube.com/channel/UCLUgOZKSmgg64XBVzuCMgbw</v>
      </c>
      <c r="AU101" s="80" t="str">
        <f>REPLACE(INDEX(GroupVertices[Group],MATCH(Vertices[[#This Row],[Vertex]],GroupVertices[Vertex],0)),1,1,"")</f>
        <v>2</v>
      </c>
      <c r="AV101" s="49">
        <v>1</v>
      </c>
      <c r="AW101" s="50">
        <v>16.666666666666668</v>
      </c>
      <c r="AX101" s="49">
        <v>0</v>
      </c>
      <c r="AY101" s="50">
        <v>0</v>
      </c>
      <c r="AZ101" s="49">
        <v>0</v>
      </c>
      <c r="BA101" s="50">
        <v>0</v>
      </c>
      <c r="BB101" s="49">
        <v>5</v>
      </c>
      <c r="BC101" s="50">
        <v>83.33333333333333</v>
      </c>
      <c r="BD101" s="49">
        <v>6</v>
      </c>
      <c r="BE101" s="49"/>
      <c r="BF101" s="49"/>
      <c r="BG101" s="49"/>
      <c r="BH101" s="49"/>
      <c r="BI101" s="49"/>
      <c r="BJ101" s="49"/>
      <c r="BK101" s="111" t="s">
        <v>4506</v>
      </c>
      <c r="BL101" s="111" t="s">
        <v>4506</v>
      </c>
      <c r="BM101" s="111" t="s">
        <v>4986</v>
      </c>
      <c r="BN101" s="111" t="s">
        <v>4986</v>
      </c>
      <c r="BO101" s="2"/>
      <c r="BP101" s="3"/>
      <c r="BQ101" s="3"/>
      <c r="BR101" s="3"/>
      <c r="BS101" s="3"/>
    </row>
    <row r="102" spans="1:71" ht="15">
      <c r="A102" s="65" t="s">
        <v>330</v>
      </c>
      <c r="B102" s="66"/>
      <c r="C102" s="66"/>
      <c r="D102" s="67">
        <v>382.73809523809524</v>
      </c>
      <c r="E102" s="69"/>
      <c r="F102" s="103" t="str">
        <f>HYPERLINK("https://yt3.ggpht.com/ytc/AKedOLSHEOJiCDepOlrgKEPUoLh-aUr-zcxfWhrcUQ=s88-c-k-c0x00ffffff-no-rj")</f>
        <v>https://yt3.ggpht.com/ytc/AKedOLSHEOJiCDepOlrgKEPUoLh-aUr-zcxfWhrcUQ=s88-c-k-c0x00ffffff-no-rj</v>
      </c>
      <c r="G102" s="66"/>
      <c r="H102" s="70" t="s">
        <v>1659</v>
      </c>
      <c r="I102" s="71"/>
      <c r="J102" s="71" t="s">
        <v>75</v>
      </c>
      <c r="K102" s="70" t="s">
        <v>1659</v>
      </c>
      <c r="L102" s="74">
        <v>126.46595373199476</v>
      </c>
      <c r="M102" s="75">
        <v>1015.7213134765625</v>
      </c>
      <c r="N102" s="75">
        <v>3970.3212890625</v>
      </c>
      <c r="O102" s="76"/>
      <c r="P102" s="77"/>
      <c r="Q102" s="77"/>
      <c r="R102" s="89"/>
      <c r="S102" s="49">
        <v>4</v>
      </c>
      <c r="T102" s="49">
        <v>1</v>
      </c>
      <c r="U102" s="50">
        <v>460</v>
      </c>
      <c r="V102" s="50">
        <v>0.007576</v>
      </c>
      <c r="W102" s="50">
        <v>0</v>
      </c>
      <c r="X102" s="50">
        <v>2.471627</v>
      </c>
      <c r="Y102" s="50">
        <v>0</v>
      </c>
      <c r="Z102" s="50">
        <v>0</v>
      </c>
      <c r="AA102" s="72">
        <v>102</v>
      </c>
      <c r="AB102" s="72"/>
      <c r="AC102" s="73"/>
      <c r="AD102" s="80" t="s">
        <v>1659</v>
      </c>
      <c r="AE102" s="80"/>
      <c r="AF102" s="80"/>
      <c r="AG102" s="80"/>
      <c r="AH102" s="80"/>
      <c r="AI102" s="80"/>
      <c r="AJ102" s="80" t="s">
        <v>3169</v>
      </c>
      <c r="AK102" s="85" t="str">
        <f>HYPERLINK("https://yt3.ggpht.com/ytc/AKedOLSHEOJiCDepOlrgKEPUoLh-aUr-zcxfWhrcUQ=s88-c-k-c0x00ffffff-no-rj")</f>
        <v>https://yt3.ggpht.com/ytc/AKedOLSHEOJiCDepOlrgKEPUoLh-aUr-zcxfWhrcUQ=s88-c-k-c0x00ffffff-no-rj</v>
      </c>
      <c r="AL102" s="80">
        <v>0</v>
      </c>
      <c r="AM102" s="80">
        <v>0</v>
      </c>
      <c r="AN102" s="80">
        <v>0</v>
      </c>
      <c r="AO102" s="80" t="b">
        <v>0</v>
      </c>
      <c r="AP102" s="80">
        <v>0</v>
      </c>
      <c r="AQ102" s="80"/>
      <c r="AR102" s="80"/>
      <c r="AS102" s="80" t="s">
        <v>3412</v>
      </c>
      <c r="AT102" s="85" t="str">
        <f>HYPERLINK("https://www.youtube.com/channel/UCt6mVizjtgC0naHMNZdzlXQ")</f>
        <v>https://www.youtube.com/channel/UCt6mVizjtgC0naHMNZdzlXQ</v>
      </c>
      <c r="AU102" s="80" t="str">
        <f>REPLACE(INDEX(GroupVertices[Group],MATCH(Vertices[[#This Row],[Vertex]],GroupVertices[Vertex],0)),1,1,"")</f>
        <v>2</v>
      </c>
      <c r="AV102" s="49">
        <v>1</v>
      </c>
      <c r="AW102" s="50">
        <v>9.090909090909092</v>
      </c>
      <c r="AX102" s="49">
        <v>0</v>
      </c>
      <c r="AY102" s="50">
        <v>0</v>
      </c>
      <c r="AZ102" s="49">
        <v>0</v>
      </c>
      <c r="BA102" s="50">
        <v>0</v>
      </c>
      <c r="BB102" s="49">
        <v>10</v>
      </c>
      <c r="BC102" s="50">
        <v>90.9090909090909</v>
      </c>
      <c r="BD102" s="49">
        <v>11</v>
      </c>
      <c r="BE102" s="49"/>
      <c r="BF102" s="49"/>
      <c r="BG102" s="49"/>
      <c r="BH102" s="49"/>
      <c r="BI102" s="49"/>
      <c r="BJ102" s="49"/>
      <c r="BK102" s="111" t="s">
        <v>4507</v>
      </c>
      <c r="BL102" s="111" t="s">
        <v>4507</v>
      </c>
      <c r="BM102" s="111" t="s">
        <v>4987</v>
      </c>
      <c r="BN102" s="111" t="s">
        <v>4987</v>
      </c>
      <c r="BO102" s="2"/>
      <c r="BP102" s="3"/>
      <c r="BQ102" s="3"/>
      <c r="BR102" s="3"/>
      <c r="BS102" s="3"/>
    </row>
    <row r="103" spans="1:71" ht="15">
      <c r="A103" s="65" t="s">
        <v>327</v>
      </c>
      <c r="B103" s="66"/>
      <c r="C103" s="66"/>
      <c r="D103" s="67">
        <v>150</v>
      </c>
      <c r="E103" s="69"/>
      <c r="F103" s="103" t="str">
        <f>HYPERLINK("https://yt3.ggpht.com/ytc/AKedOLRllV8A8luz-T2QHpS_uJAsliqBN8_KGybn2A=s88-c-k-c0x00ffffff-no-rj")</f>
        <v>https://yt3.ggpht.com/ytc/AKedOLRllV8A8luz-T2QHpS_uJAsliqBN8_KGybn2A=s88-c-k-c0x00ffffff-no-rj</v>
      </c>
      <c r="G103" s="66"/>
      <c r="H103" s="70" t="s">
        <v>1656</v>
      </c>
      <c r="I103" s="71"/>
      <c r="J103" s="71" t="s">
        <v>159</v>
      </c>
      <c r="K103" s="70" t="s">
        <v>1656</v>
      </c>
      <c r="L103" s="74">
        <v>1</v>
      </c>
      <c r="M103" s="75">
        <v>617.6356811523438</v>
      </c>
      <c r="N103" s="75">
        <v>3385.45751953125</v>
      </c>
      <c r="O103" s="76"/>
      <c r="P103" s="77"/>
      <c r="Q103" s="77"/>
      <c r="R103" s="89"/>
      <c r="S103" s="49">
        <v>0</v>
      </c>
      <c r="T103" s="49">
        <v>1</v>
      </c>
      <c r="U103" s="50">
        <v>0</v>
      </c>
      <c r="V103" s="50">
        <v>0.005236</v>
      </c>
      <c r="W103" s="50">
        <v>0</v>
      </c>
      <c r="X103" s="50">
        <v>0.570176</v>
      </c>
      <c r="Y103" s="50">
        <v>0</v>
      </c>
      <c r="Z103" s="50">
        <v>0</v>
      </c>
      <c r="AA103" s="72">
        <v>103</v>
      </c>
      <c r="AB103" s="72"/>
      <c r="AC103" s="73"/>
      <c r="AD103" s="80" t="s">
        <v>1656</v>
      </c>
      <c r="AE103" s="80"/>
      <c r="AF103" s="80"/>
      <c r="AG103" s="80"/>
      <c r="AH103" s="80"/>
      <c r="AI103" s="80"/>
      <c r="AJ103" s="80" t="s">
        <v>3170</v>
      </c>
      <c r="AK103" s="85" t="str">
        <f>HYPERLINK("https://yt3.ggpht.com/ytc/AKedOLRllV8A8luz-T2QHpS_uJAsliqBN8_KGybn2A=s88-c-k-c0x00ffffff-no-rj")</f>
        <v>https://yt3.ggpht.com/ytc/AKedOLRllV8A8luz-T2QHpS_uJAsliqBN8_KGybn2A=s88-c-k-c0x00ffffff-no-rj</v>
      </c>
      <c r="AL103" s="80">
        <v>0</v>
      </c>
      <c r="AM103" s="80">
        <v>0</v>
      </c>
      <c r="AN103" s="80">
        <v>0</v>
      </c>
      <c r="AO103" s="80" t="b">
        <v>0</v>
      </c>
      <c r="AP103" s="80">
        <v>0</v>
      </c>
      <c r="AQ103" s="80"/>
      <c r="AR103" s="80"/>
      <c r="AS103" s="80" t="s">
        <v>3412</v>
      </c>
      <c r="AT103" s="85" t="str">
        <f>HYPERLINK("https://www.youtube.com/channel/UC9IalNJ4G6skslmu1wtD-3Q")</f>
        <v>https://www.youtube.com/channel/UC9IalNJ4G6skslmu1wtD-3Q</v>
      </c>
      <c r="AU103" s="80" t="str">
        <f>REPLACE(INDEX(GroupVertices[Group],MATCH(Vertices[[#This Row],[Vertex]],GroupVertices[Vertex],0)),1,1,"")</f>
        <v>2</v>
      </c>
      <c r="AV103" s="49">
        <v>0</v>
      </c>
      <c r="AW103" s="50">
        <v>0</v>
      </c>
      <c r="AX103" s="49">
        <v>0</v>
      </c>
      <c r="AY103" s="50">
        <v>0</v>
      </c>
      <c r="AZ103" s="49">
        <v>0</v>
      </c>
      <c r="BA103" s="50">
        <v>0</v>
      </c>
      <c r="BB103" s="49">
        <v>0</v>
      </c>
      <c r="BC103" s="50">
        <v>0</v>
      </c>
      <c r="BD103" s="49">
        <v>0</v>
      </c>
      <c r="BE103" s="49"/>
      <c r="BF103" s="49"/>
      <c r="BG103" s="49"/>
      <c r="BH103" s="49"/>
      <c r="BI103" s="49"/>
      <c r="BJ103" s="49"/>
      <c r="BK103" s="111" t="s">
        <v>2782</v>
      </c>
      <c r="BL103" s="111" t="s">
        <v>2782</v>
      </c>
      <c r="BM103" s="111" t="s">
        <v>2782</v>
      </c>
      <c r="BN103" s="111" t="s">
        <v>2782</v>
      </c>
      <c r="BO103" s="2"/>
      <c r="BP103" s="3"/>
      <c r="BQ103" s="3"/>
      <c r="BR103" s="3"/>
      <c r="BS103" s="3"/>
    </row>
    <row r="104" spans="1:71" ht="15">
      <c r="A104" s="65" t="s">
        <v>328</v>
      </c>
      <c r="B104" s="66"/>
      <c r="C104" s="66"/>
      <c r="D104" s="67">
        <v>150</v>
      </c>
      <c r="E104" s="69"/>
      <c r="F104" s="103" t="str">
        <f>HYPERLINK("https://yt3.ggpht.com/ytc/AKedOLR3T9PKwEZcT9_CTHWu3sh4NAPEipiIHAa3Mg=s88-c-k-c0x00ffffff-no-rj")</f>
        <v>https://yt3.ggpht.com/ytc/AKedOLR3T9PKwEZcT9_CTHWu3sh4NAPEipiIHAa3Mg=s88-c-k-c0x00ffffff-no-rj</v>
      </c>
      <c r="G104" s="66"/>
      <c r="H104" s="70" t="s">
        <v>1657</v>
      </c>
      <c r="I104" s="71"/>
      <c r="J104" s="71" t="s">
        <v>159</v>
      </c>
      <c r="K104" s="70" t="s">
        <v>1657</v>
      </c>
      <c r="L104" s="74">
        <v>1</v>
      </c>
      <c r="M104" s="75">
        <v>862.6663208007812</v>
      </c>
      <c r="N104" s="75">
        <v>3184.80078125</v>
      </c>
      <c r="O104" s="76"/>
      <c r="P104" s="77"/>
      <c r="Q104" s="77"/>
      <c r="R104" s="89"/>
      <c r="S104" s="49">
        <v>0</v>
      </c>
      <c r="T104" s="49">
        <v>1</v>
      </c>
      <c r="U104" s="50">
        <v>0</v>
      </c>
      <c r="V104" s="50">
        <v>0.005236</v>
      </c>
      <c r="W104" s="50">
        <v>0</v>
      </c>
      <c r="X104" s="50">
        <v>0.570176</v>
      </c>
      <c r="Y104" s="50">
        <v>0</v>
      </c>
      <c r="Z104" s="50">
        <v>0</v>
      </c>
      <c r="AA104" s="72">
        <v>104</v>
      </c>
      <c r="AB104" s="72"/>
      <c r="AC104" s="73"/>
      <c r="AD104" s="80" t="s">
        <v>1657</v>
      </c>
      <c r="AE104" s="80"/>
      <c r="AF104" s="80"/>
      <c r="AG104" s="80"/>
      <c r="AH104" s="80"/>
      <c r="AI104" s="80"/>
      <c r="AJ104" s="80" t="s">
        <v>3171</v>
      </c>
      <c r="AK104" s="85" t="str">
        <f>HYPERLINK("https://yt3.ggpht.com/ytc/AKedOLR3T9PKwEZcT9_CTHWu3sh4NAPEipiIHAa3Mg=s88-c-k-c0x00ffffff-no-rj")</f>
        <v>https://yt3.ggpht.com/ytc/AKedOLR3T9PKwEZcT9_CTHWu3sh4NAPEipiIHAa3Mg=s88-c-k-c0x00ffffff-no-rj</v>
      </c>
      <c r="AL104" s="80">
        <v>0</v>
      </c>
      <c r="AM104" s="80">
        <v>0</v>
      </c>
      <c r="AN104" s="80">
        <v>0</v>
      </c>
      <c r="AO104" s="80" t="b">
        <v>0</v>
      </c>
      <c r="AP104" s="80">
        <v>0</v>
      </c>
      <c r="AQ104" s="80"/>
      <c r="AR104" s="80"/>
      <c r="AS104" s="80" t="s">
        <v>3412</v>
      </c>
      <c r="AT104" s="85" t="str">
        <f>HYPERLINK("https://www.youtube.com/channel/UCTaBfCRefmBOpPYSkeX1Wrg")</f>
        <v>https://www.youtube.com/channel/UCTaBfCRefmBOpPYSkeX1Wrg</v>
      </c>
      <c r="AU104" s="80" t="str">
        <f>REPLACE(INDEX(GroupVertices[Group],MATCH(Vertices[[#This Row],[Vertex]],GroupVertices[Vertex],0)),1,1,"")</f>
        <v>2</v>
      </c>
      <c r="AV104" s="49">
        <v>0</v>
      </c>
      <c r="AW104" s="50">
        <v>0</v>
      </c>
      <c r="AX104" s="49">
        <v>0</v>
      </c>
      <c r="AY104" s="50">
        <v>0</v>
      </c>
      <c r="AZ104" s="49">
        <v>0</v>
      </c>
      <c r="BA104" s="50">
        <v>0</v>
      </c>
      <c r="BB104" s="49">
        <v>0</v>
      </c>
      <c r="BC104" s="50">
        <v>0</v>
      </c>
      <c r="BD104" s="49">
        <v>0</v>
      </c>
      <c r="BE104" s="49"/>
      <c r="BF104" s="49"/>
      <c r="BG104" s="49"/>
      <c r="BH104" s="49"/>
      <c r="BI104" s="49"/>
      <c r="BJ104" s="49"/>
      <c r="BK104" s="111" t="s">
        <v>2782</v>
      </c>
      <c r="BL104" s="111" t="s">
        <v>2782</v>
      </c>
      <c r="BM104" s="111" t="s">
        <v>2782</v>
      </c>
      <c r="BN104" s="111" t="s">
        <v>2782</v>
      </c>
      <c r="BO104" s="2"/>
      <c r="BP104" s="3"/>
      <c r="BQ104" s="3"/>
      <c r="BR104" s="3"/>
      <c r="BS104" s="3"/>
    </row>
    <row r="105" spans="1:71" ht="15">
      <c r="A105" s="65" t="s">
        <v>329</v>
      </c>
      <c r="B105" s="66"/>
      <c r="C105" s="66"/>
      <c r="D105" s="67">
        <v>150</v>
      </c>
      <c r="E105" s="69"/>
      <c r="F105" s="103" t="str">
        <f>HYPERLINK("https://yt3.ggpht.com/ytc/AKedOLSLm11_AObKR5qYZYGyPSb0tlR5p_gWVk1Y6A=s88-c-k-c0x00ffffff-no-rj")</f>
        <v>https://yt3.ggpht.com/ytc/AKedOLSLm11_AObKR5qYZYGyPSb0tlR5p_gWVk1Y6A=s88-c-k-c0x00ffffff-no-rj</v>
      </c>
      <c r="G105" s="66"/>
      <c r="H105" s="70" t="s">
        <v>1658</v>
      </c>
      <c r="I105" s="71"/>
      <c r="J105" s="71" t="s">
        <v>159</v>
      </c>
      <c r="K105" s="70" t="s">
        <v>1658</v>
      </c>
      <c r="L105" s="74">
        <v>1</v>
      </c>
      <c r="M105" s="75">
        <v>419.99725341796875</v>
      </c>
      <c r="N105" s="75">
        <v>3639.696044921875</v>
      </c>
      <c r="O105" s="76"/>
      <c r="P105" s="77"/>
      <c r="Q105" s="77"/>
      <c r="R105" s="89"/>
      <c r="S105" s="49">
        <v>0</v>
      </c>
      <c r="T105" s="49">
        <v>1</v>
      </c>
      <c r="U105" s="50">
        <v>0</v>
      </c>
      <c r="V105" s="50">
        <v>0.005236</v>
      </c>
      <c r="W105" s="50">
        <v>0</v>
      </c>
      <c r="X105" s="50">
        <v>0.570176</v>
      </c>
      <c r="Y105" s="50">
        <v>0</v>
      </c>
      <c r="Z105" s="50">
        <v>0</v>
      </c>
      <c r="AA105" s="72">
        <v>105</v>
      </c>
      <c r="AB105" s="72"/>
      <c r="AC105" s="73"/>
      <c r="AD105" s="80" t="s">
        <v>1658</v>
      </c>
      <c r="AE105" s="80"/>
      <c r="AF105" s="80"/>
      <c r="AG105" s="80"/>
      <c r="AH105" s="80"/>
      <c r="AI105" s="80"/>
      <c r="AJ105" s="80" t="s">
        <v>3172</v>
      </c>
      <c r="AK105" s="85" t="str">
        <f>HYPERLINK("https://yt3.ggpht.com/ytc/AKedOLSLm11_AObKR5qYZYGyPSb0tlR5p_gWVk1Y6A=s88-c-k-c0x00ffffff-no-rj")</f>
        <v>https://yt3.ggpht.com/ytc/AKedOLSLm11_AObKR5qYZYGyPSb0tlR5p_gWVk1Y6A=s88-c-k-c0x00ffffff-no-rj</v>
      </c>
      <c r="AL105" s="80">
        <v>0</v>
      </c>
      <c r="AM105" s="80">
        <v>0</v>
      </c>
      <c r="AN105" s="80">
        <v>0</v>
      </c>
      <c r="AO105" s="80" t="b">
        <v>0</v>
      </c>
      <c r="AP105" s="80">
        <v>0</v>
      </c>
      <c r="AQ105" s="80"/>
      <c r="AR105" s="80"/>
      <c r="AS105" s="80" t="s">
        <v>3412</v>
      </c>
      <c r="AT105" s="85" t="str">
        <f>HYPERLINK("https://www.youtube.com/channel/UCV1aB7zve3ENDC9jsKR9qBQ")</f>
        <v>https://www.youtube.com/channel/UCV1aB7zve3ENDC9jsKR9qBQ</v>
      </c>
      <c r="AU105" s="80" t="str">
        <f>REPLACE(INDEX(GroupVertices[Group],MATCH(Vertices[[#This Row],[Vertex]],GroupVertices[Vertex],0)),1,1,"")</f>
        <v>2</v>
      </c>
      <c r="AV105" s="49">
        <v>0</v>
      </c>
      <c r="AW105" s="50">
        <v>0</v>
      </c>
      <c r="AX105" s="49">
        <v>0</v>
      </c>
      <c r="AY105" s="50">
        <v>0</v>
      </c>
      <c r="AZ105" s="49">
        <v>0</v>
      </c>
      <c r="BA105" s="50">
        <v>0</v>
      </c>
      <c r="BB105" s="49">
        <v>0</v>
      </c>
      <c r="BC105" s="50">
        <v>0</v>
      </c>
      <c r="BD105" s="49">
        <v>0</v>
      </c>
      <c r="BE105" s="49"/>
      <c r="BF105" s="49"/>
      <c r="BG105" s="49"/>
      <c r="BH105" s="49"/>
      <c r="BI105" s="49"/>
      <c r="BJ105" s="49"/>
      <c r="BK105" s="111" t="s">
        <v>2782</v>
      </c>
      <c r="BL105" s="111" t="s">
        <v>2782</v>
      </c>
      <c r="BM105" s="111" t="s">
        <v>2782</v>
      </c>
      <c r="BN105" s="111" t="s">
        <v>2782</v>
      </c>
      <c r="BO105" s="2"/>
      <c r="BP105" s="3"/>
      <c r="BQ105" s="3"/>
      <c r="BR105" s="3"/>
      <c r="BS105" s="3"/>
    </row>
    <row r="106" spans="1:71" ht="15">
      <c r="A106" s="65" t="s">
        <v>331</v>
      </c>
      <c r="B106" s="66"/>
      <c r="C106" s="66"/>
      <c r="D106" s="67">
        <v>150</v>
      </c>
      <c r="E106" s="69"/>
      <c r="F106" s="103" t="str">
        <f>HYPERLINK("https://yt3.ggpht.com/ytc/AKedOLT0QeQwnUGWINjAJcm5YQFwbumTgHBjhr8ngsP9=s88-c-k-c0x00ffffff-no-rj")</f>
        <v>https://yt3.ggpht.com/ytc/AKedOLT0QeQwnUGWINjAJcm5YQFwbumTgHBjhr8ngsP9=s88-c-k-c0x00ffffff-no-rj</v>
      </c>
      <c r="G106" s="66"/>
      <c r="H106" s="70" t="s">
        <v>1660</v>
      </c>
      <c r="I106" s="71"/>
      <c r="J106" s="71" t="s">
        <v>159</v>
      </c>
      <c r="K106" s="70" t="s">
        <v>1660</v>
      </c>
      <c r="L106" s="74">
        <v>1</v>
      </c>
      <c r="M106" s="75">
        <v>1658.4371337890625</v>
      </c>
      <c r="N106" s="75">
        <v>5390.86279296875</v>
      </c>
      <c r="O106" s="76"/>
      <c r="P106" s="77"/>
      <c r="Q106" s="77"/>
      <c r="R106" s="89"/>
      <c r="S106" s="49">
        <v>0</v>
      </c>
      <c r="T106" s="49">
        <v>1</v>
      </c>
      <c r="U106" s="50">
        <v>0</v>
      </c>
      <c r="V106" s="50">
        <v>0.007143</v>
      </c>
      <c r="W106" s="50">
        <v>0</v>
      </c>
      <c r="X106" s="50">
        <v>0.533027</v>
      </c>
      <c r="Y106" s="50">
        <v>0</v>
      </c>
      <c r="Z106" s="50">
        <v>0</v>
      </c>
      <c r="AA106" s="72">
        <v>106</v>
      </c>
      <c r="AB106" s="72"/>
      <c r="AC106" s="73"/>
      <c r="AD106" s="80" t="s">
        <v>1660</v>
      </c>
      <c r="AE106" s="80"/>
      <c r="AF106" s="80"/>
      <c r="AG106" s="80"/>
      <c r="AH106" s="80"/>
      <c r="AI106" s="80"/>
      <c r="AJ106" s="87">
        <v>43991.894780092596</v>
      </c>
      <c r="AK106" s="85" t="str">
        <f>HYPERLINK("https://yt3.ggpht.com/ytc/AKedOLT0QeQwnUGWINjAJcm5YQFwbumTgHBjhr8ngsP9=s88-c-k-c0x00ffffff-no-rj")</f>
        <v>https://yt3.ggpht.com/ytc/AKedOLT0QeQwnUGWINjAJcm5YQFwbumTgHBjhr8ngsP9=s88-c-k-c0x00ffffff-no-rj</v>
      </c>
      <c r="AL106" s="80">
        <v>0</v>
      </c>
      <c r="AM106" s="80">
        <v>0</v>
      </c>
      <c r="AN106" s="80">
        <v>0</v>
      </c>
      <c r="AO106" s="80" t="b">
        <v>0</v>
      </c>
      <c r="AP106" s="80">
        <v>0</v>
      </c>
      <c r="AQ106" s="80"/>
      <c r="AR106" s="80"/>
      <c r="AS106" s="80" t="s">
        <v>3412</v>
      </c>
      <c r="AT106" s="85" t="str">
        <f>HYPERLINK("https://www.youtube.com/channel/UCaQrVRWCK80RV6MvW1_IqQg")</f>
        <v>https://www.youtube.com/channel/UCaQrVRWCK80RV6MvW1_IqQg</v>
      </c>
      <c r="AU106" s="80" t="str">
        <f>REPLACE(INDEX(GroupVertices[Group],MATCH(Vertices[[#This Row],[Vertex]],GroupVertices[Vertex],0)),1,1,"")</f>
        <v>2</v>
      </c>
      <c r="AV106" s="49">
        <v>1</v>
      </c>
      <c r="AW106" s="50">
        <v>25</v>
      </c>
      <c r="AX106" s="49">
        <v>0</v>
      </c>
      <c r="AY106" s="50">
        <v>0</v>
      </c>
      <c r="AZ106" s="49">
        <v>0</v>
      </c>
      <c r="BA106" s="50">
        <v>0</v>
      </c>
      <c r="BB106" s="49">
        <v>3</v>
      </c>
      <c r="BC106" s="50">
        <v>75</v>
      </c>
      <c r="BD106" s="49">
        <v>4</v>
      </c>
      <c r="BE106" s="49"/>
      <c r="BF106" s="49"/>
      <c r="BG106" s="49"/>
      <c r="BH106" s="49"/>
      <c r="BI106" s="49"/>
      <c r="BJ106" s="49"/>
      <c r="BK106" s="111" t="s">
        <v>4508</v>
      </c>
      <c r="BL106" s="111" t="s">
        <v>4508</v>
      </c>
      <c r="BM106" s="111" t="s">
        <v>4988</v>
      </c>
      <c r="BN106" s="111" t="s">
        <v>4988</v>
      </c>
      <c r="BO106" s="2"/>
      <c r="BP106" s="3"/>
      <c r="BQ106" s="3"/>
      <c r="BR106" s="3"/>
      <c r="BS106" s="3"/>
    </row>
    <row r="107" spans="1:71" ht="15">
      <c r="A107" s="65" t="s">
        <v>332</v>
      </c>
      <c r="B107" s="66"/>
      <c r="C107" s="66"/>
      <c r="D107" s="67">
        <v>150</v>
      </c>
      <c r="E107" s="69"/>
      <c r="F107" s="103" t="str">
        <f>HYPERLINK("https://yt3.ggpht.com/ytc/AKedOLQIwH7dU4uRibAo2g13w2OIH--iaLLJRNu4sl-clw=s88-c-k-c0x00ffffff-no-rj")</f>
        <v>https://yt3.ggpht.com/ytc/AKedOLQIwH7dU4uRibAo2g13w2OIH--iaLLJRNu4sl-clw=s88-c-k-c0x00ffffff-no-rj</v>
      </c>
      <c r="G107" s="66"/>
      <c r="H107" s="70" t="s">
        <v>1661</v>
      </c>
      <c r="I107" s="71"/>
      <c r="J107" s="71" t="s">
        <v>159</v>
      </c>
      <c r="K107" s="70" t="s">
        <v>1661</v>
      </c>
      <c r="L107" s="74">
        <v>1</v>
      </c>
      <c r="M107" s="75">
        <v>1374.9476318359375</v>
      </c>
      <c r="N107" s="75">
        <v>3920.448974609375</v>
      </c>
      <c r="O107" s="76"/>
      <c r="P107" s="77"/>
      <c r="Q107" s="77"/>
      <c r="R107" s="89"/>
      <c r="S107" s="49">
        <v>0</v>
      </c>
      <c r="T107" s="49">
        <v>1</v>
      </c>
      <c r="U107" s="50">
        <v>0</v>
      </c>
      <c r="V107" s="50">
        <v>0.007143</v>
      </c>
      <c r="W107" s="50">
        <v>0</v>
      </c>
      <c r="X107" s="50">
        <v>0.533027</v>
      </c>
      <c r="Y107" s="50">
        <v>0</v>
      </c>
      <c r="Z107" s="50">
        <v>0</v>
      </c>
      <c r="AA107" s="72">
        <v>107</v>
      </c>
      <c r="AB107" s="72"/>
      <c r="AC107" s="73"/>
      <c r="AD107" s="80" t="s">
        <v>1661</v>
      </c>
      <c r="AE107" s="80" t="s">
        <v>2849</v>
      </c>
      <c r="AF107" s="80"/>
      <c r="AG107" s="80"/>
      <c r="AH107" s="80"/>
      <c r="AI107" s="80"/>
      <c r="AJ107" s="80" t="s">
        <v>3173</v>
      </c>
      <c r="AK107" s="85" t="str">
        <f>HYPERLINK("https://yt3.ggpht.com/ytc/AKedOLQIwH7dU4uRibAo2g13w2OIH--iaLLJRNu4sl-clw=s88-c-k-c0x00ffffff-no-rj")</f>
        <v>https://yt3.ggpht.com/ytc/AKedOLQIwH7dU4uRibAo2g13w2OIH--iaLLJRNu4sl-clw=s88-c-k-c0x00ffffff-no-rj</v>
      </c>
      <c r="AL107" s="80">
        <v>56083</v>
      </c>
      <c r="AM107" s="80">
        <v>0</v>
      </c>
      <c r="AN107" s="80">
        <v>1660</v>
      </c>
      <c r="AO107" s="80" t="b">
        <v>0</v>
      </c>
      <c r="AP107" s="80">
        <v>169</v>
      </c>
      <c r="AQ107" s="80"/>
      <c r="AR107" s="80"/>
      <c r="AS107" s="80" t="s">
        <v>3412</v>
      </c>
      <c r="AT107" s="85" t="str">
        <f>HYPERLINK("https://www.youtube.com/channel/UChyp90H8k8phe8NyHICga7A")</f>
        <v>https://www.youtube.com/channel/UChyp90H8k8phe8NyHICga7A</v>
      </c>
      <c r="AU107" s="80" t="str">
        <f>REPLACE(INDEX(GroupVertices[Group],MATCH(Vertices[[#This Row],[Vertex]],GroupVertices[Vertex],0)),1,1,"")</f>
        <v>2</v>
      </c>
      <c r="AV107" s="49">
        <v>1</v>
      </c>
      <c r="AW107" s="50">
        <v>25</v>
      </c>
      <c r="AX107" s="49">
        <v>0</v>
      </c>
      <c r="AY107" s="50">
        <v>0</v>
      </c>
      <c r="AZ107" s="49">
        <v>0</v>
      </c>
      <c r="BA107" s="50">
        <v>0</v>
      </c>
      <c r="BB107" s="49">
        <v>3</v>
      </c>
      <c r="BC107" s="50">
        <v>75</v>
      </c>
      <c r="BD107" s="49">
        <v>4</v>
      </c>
      <c r="BE107" s="49"/>
      <c r="BF107" s="49"/>
      <c r="BG107" s="49"/>
      <c r="BH107" s="49"/>
      <c r="BI107" s="49"/>
      <c r="BJ107" s="49"/>
      <c r="BK107" s="111" t="s">
        <v>4509</v>
      </c>
      <c r="BL107" s="111" t="s">
        <v>4509</v>
      </c>
      <c r="BM107" s="111" t="s">
        <v>4989</v>
      </c>
      <c r="BN107" s="111" t="s">
        <v>4989</v>
      </c>
      <c r="BO107" s="2"/>
      <c r="BP107" s="3"/>
      <c r="BQ107" s="3"/>
      <c r="BR107" s="3"/>
      <c r="BS107" s="3"/>
    </row>
    <row r="108" spans="1:71" ht="15">
      <c r="A108" s="65" t="s">
        <v>333</v>
      </c>
      <c r="B108" s="66"/>
      <c r="C108" s="66"/>
      <c r="D108" s="67">
        <v>150</v>
      </c>
      <c r="E108" s="69"/>
      <c r="F108" s="103" t="str">
        <f>HYPERLINK("https://yt3.ggpht.com/ytc/AKedOLQSY0sDL8GiAUqwhoE6VAWPQHDS8qVk_KDUreJq=s88-c-k-c0x00ffffff-no-rj")</f>
        <v>https://yt3.ggpht.com/ytc/AKedOLQSY0sDL8GiAUqwhoE6VAWPQHDS8qVk_KDUreJq=s88-c-k-c0x00ffffff-no-rj</v>
      </c>
      <c r="G108" s="66"/>
      <c r="H108" s="70" t="s">
        <v>1662</v>
      </c>
      <c r="I108" s="71"/>
      <c r="J108" s="71" t="s">
        <v>159</v>
      </c>
      <c r="K108" s="70" t="s">
        <v>1662</v>
      </c>
      <c r="L108" s="74">
        <v>1</v>
      </c>
      <c r="M108" s="75">
        <v>2282.80419921875</v>
      </c>
      <c r="N108" s="75">
        <v>4665.73828125</v>
      </c>
      <c r="O108" s="76"/>
      <c r="P108" s="77"/>
      <c r="Q108" s="77"/>
      <c r="R108" s="89"/>
      <c r="S108" s="49">
        <v>0</v>
      </c>
      <c r="T108" s="49">
        <v>1</v>
      </c>
      <c r="U108" s="50">
        <v>0</v>
      </c>
      <c r="V108" s="50">
        <v>0.007143</v>
      </c>
      <c r="W108" s="50">
        <v>0</v>
      </c>
      <c r="X108" s="50">
        <v>0.533027</v>
      </c>
      <c r="Y108" s="50">
        <v>0</v>
      </c>
      <c r="Z108" s="50">
        <v>0</v>
      </c>
      <c r="AA108" s="72">
        <v>108</v>
      </c>
      <c r="AB108" s="72"/>
      <c r="AC108" s="73"/>
      <c r="AD108" s="80" t="s">
        <v>1662</v>
      </c>
      <c r="AE108" s="80"/>
      <c r="AF108" s="80"/>
      <c r="AG108" s="80"/>
      <c r="AH108" s="80"/>
      <c r="AI108" s="80"/>
      <c r="AJ108" s="87">
        <v>44174.52637731482</v>
      </c>
      <c r="AK108" s="85" t="str">
        <f>HYPERLINK("https://yt3.ggpht.com/ytc/AKedOLQSY0sDL8GiAUqwhoE6VAWPQHDS8qVk_KDUreJq=s88-c-k-c0x00ffffff-no-rj")</f>
        <v>https://yt3.ggpht.com/ytc/AKedOLQSY0sDL8GiAUqwhoE6VAWPQHDS8qVk_KDUreJq=s88-c-k-c0x00ffffff-no-rj</v>
      </c>
      <c r="AL108" s="80">
        <v>1</v>
      </c>
      <c r="AM108" s="80">
        <v>0</v>
      </c>
      <c r="AN108" s="80">
        <v>1</v>
      </c>
      <c r="AO108" s="80" t="b">
        <v>0</v>
      </c>
      <c r="AP108" s="80">
        <v>1</v>
      </c>
      <c r="AQ108" s="80"/>
      <c r="AR108" s="80"/>
      <c r="AS108" s="80" t="s">
        <v>3412</v>
      </c>
      <c r="AT108" s="85" t="str">
        <f>HYPERLINK("https://www.youtube.com/channel/UCutUbh2IWWUOfCQo8ItFYzA")</f>
        <v>https://www.youtube.com/channel/UCutUbh2IWWUOfCQo8ItFYzA</v>
      </c>
      <c r="AU108" s="80" t="str">
        <f>REPLACE(INDEX(GroupVertices[Group],MATCH(Vertices[[#This Row],[Vertex]],GroupVertices[Vertex],0)),1,1,"")</f>
        <v>2</v>
      </c>
      <c r="AV108" s="49">
        <v>1</v>
      </c>
      <c r="AW108" s="50">
        <v>100</v>
      </c>
      <c r="AX108" s="49">
        <v>0</v>
      </c>
      <c r="AY108" s="50">
        <v>0</v>
      </c>
      <c r="AZ108" s="49">
        <v>0</v>
      </c>
      <c r="BA108" s="50">
        <v>0</v>
      </c>
      <c r="BB108" s="49">
        <v>0</v>
      </c>
      <c r="BC108" s="50">
        <v>0</v>
      </c>
      <c r="BD108" s="49">
        <v>1</v>
      </c>
      <c r="BE108" s="49"/>
      <c r="BF108" s="49"/>
      <c r="BG108" s="49"/>
      <c r="BH108" s="49"/>
      <c r="BI108" s="49"/>
      <c r="BJ108" s="49"/>
      <c r="BK108" s="111" t="s">
        <v>3461</v>
      </c>
      <c r="BL108" s="111" t="s">
        <v>3461</v>
      </c>
      <c r="BM108" s="111" t="s">
        <v>2782</v>
      </c>
      <c r="BN108" s="111" t="s">
        <v>2782</v>
      </c>
      <c r="BO108" s="2"/>
      <c r="BP108" s="3"/>
      <c r="BQ108" s="3"/>
      <c r="BR108" s="3"/>
      <c r="BS108" s="3"/>
    </row>
    <row r="109" spans="1:71" ht="15">
      <c r="A109" s="65" t="s">
        <v>334</v>
      </c>
      <c r="B109" s="66"/>
      <c r="C109" s="66"/>
      <c r="D109" s="67">
        <v>150</v>
      </c>
      <c r="E109" s="69"/>
      <c r="F109" s="103" t="str">
        <f>HYPERLINK("https://yt3.ggpht.com/vJHldwpHnqODOhM8Cn4AbVyHWkuCBpqFBes5EsfY1j6tXl9yEtdd3ijiWL7Vl1BjXlZot-Ke4A=s88-c-k-c0x00ffffff-no-rj")</f>
        <v>https://yt3.ggpht.com/vJHldwpHnqODOhM8Cn4AbVyHWkuCBpqFBes5EsfY1j6tXl9yEtdd3ijiWL7Vl1BjXlZot-Ke4A=s88-c-k-c0x00ffffff-no-rj</v>
      </c>
      <c r="G109" s="66"/>
      <c r="H109" s="70" t="s">
        <v>1663</v>
      </c>
      <c r="I109" s="71"/>
      <c r="J109" s="71" t="s">
        <v>159</v>
      </c>
      <c r="K109" s="70" t="s">
        <v>1663</v>
      </c>
      <c r="L109" s="74">
        <v>1</v>
      </c>
      <c r="M109" s="75">
        <v>1164.1134033203125</v>
      </c>
      <c r="N109" s="75">
        <v>4817.68212890625</v>
      </c>
      <c r="O109" s="76"/>
      <c r="P109" s="77"/>
      <c r="Q109" s="77"/>
      <c r="R109" s="89"/>
      <c r="S109" s="49">
        <v>0</v>
      </c>
      <c r="T109" s="49">
        <v>1</v>
      </c>
      <c r="U109" s="50">
        <v>0</v>
      </c>
      <c r="V109" s="50">
        <v>0.007143</v>
      </c>
      <c r="W109" s="50">
        <v>0</v>
      </c>
      <c r="X109" s="50">
        <v>0.533027</v>
      </c>
      <c r="Y109" s="50">
        <v>0</v>
      </c>
      <c r="Z109" s="50">
        <v>0</v>
      </c>
      <c r="AA109" s="72">
        <v>109</v>
      </c>
      <c r="AB109" s="72"/>
      <c r="AC109" s="73"/>
      <c r="AD109" s="80" t="s">
        <v>1663</v>
      </c>
      <c r="AE109" s="80"/>
      <c r="AF109" s="80"/>
      <c r="AG109" s="80"/>
      <c r="AH109" s="80"/>
      <c r="AI109" s="80"/>
      <c r="AJ109" s="80" t="s">
        <v>3174</v>
      </c>
      <c r="AK109" s="85" t="str">
        <f>HYPERLINK("https://yt3.ggpht.com/vJHldwpHnqODOhM8Cn4AbVyHWkuCBpqFBes5EsfY1j6tXl9yEtdd3ijiWL7Vl1BjXlZot-Ke4A=s88-c-k-c0x00ffffff-no-rj")</f>
        <v>https://yt3.ggpht.com/vJHldwpHnqODOhM8Cn4AbVyHWkuCBpqFBes5EsfY1j6tXl9yEtdd3ijiWL7Vl1BjXlZot-Ke4A=s88-c-k-c0x00ffffff-no-rj</v>
      </c>
      <c r="AL109" s="80">
        <v>0</v>
      </c>
      <c r="AM109" s="80">
        <v>0</v>
      </c>
      <c r="AN109" s="80">
        <v>0</v>
      </c>
      <c r="AO109" s="80" t="b">
        <v>0</v>
      </c>
      <c r="AP109" s="80">
        <v>0</v>
      </c>
      <c r="AQ109" s="80"/>
      <c r="AR109" s="80"/>
      <c r="AS109" s="80" t="s">
        <v>3412</v>
      </c>
      <c r="AT109" s="85" t="str">
        <f>HYPERLINK("https://www.youtube.com/channel/UCiPCWIXHW33J978AkHlI4CA")</f>
        <v>https://www.youtube.com/channel/UCiPCWIXHW33J978AkHlI4CA</v>
      </c>
      <c r="AU109" s="80" t="str">
        <f>REPLACE(INDEX(GroupVertices[Group],MATCH(Vertices[[#This Row],[Vertex]],GroupVertices[Vertex],0)),1,1,"")</f>
        <v>2</v>
      </c>
      <c r="AV109" s="49">
        <v>0</v>
      </c>
      <c r="AW109" s="50">
        <v>0</v>
      </c>
      <c r="AX109" s="49">
        <v>0</v>
      </c>
      <c r="AY109" s="50">
        <v>0</v>
      </c>
      <c r="AZ109" s="49">
        <v>0</v>
      </c>
      <c r="BA109" s="50">
        <v>0</v>
      </c>
      <c r="BB109" s="49">
        <v>0</v>
      </c>
      <c r="BC109" s="50">
        <v>0</v>
      </c>
      <c r="BD109" s="49">
        <v>0</v>
      </c>
      <c r="BE109" s="49"/>
      <c r="BF109" s="49"/>
      <c r="BG109" s="49"/>
      <c r="BH109" s="49"/>
      <c r="BI109" s="49"/>
      <c r="BJ109" s="49"/>
      <c r="BK109" s="111" t="s">
        <v>2782</v>
      </c>
      <c r="BL109" s="111" t="s">
        <v>2782</v>
      </c>
      <c r="BM109" s="111" t="s">
        <v>2782</v>
      </c>
      <c r="BN109" s="111" t="s">
        <v>2782</v>
      </c>
      <c r="BO109" s="2"/>
      <c r="BP109" s="3"/>
      <c r="BQ109" s="3"/>
      <c r="BR109" s="3"/>
      <c r="BS109" s="3"/>
    </row>
    <row r="110" spans="1:71" ht="15">
      <c r="A110" s="65" t="s">
        <v>335</v>
      </c>
      <c r="B110" s="66"/>
      <c r="C110" s="66"/>
      <c r="D110" s="67">
        <v>150</v>
      </c>
      <c r="E110" s="69"/>
      <c r="F110" s="103" t="str">
        <f>HYPERLINK("https://yt3.ggpht.com/ytc/AKedOLSGC_Q3ttIIDrpvbH9htUUyavYBfQ9lw8kBy2JN=s88-c-k-c0x00ffffff-no-rj")</f>
        <v>https://yt3.ggpht.com/ytc/AKedOLSGC_Q3ttIIDrpvbH9htUUyavYBfQ9lw8kBy2JN=s88-c-k-c0x00ffffff-no-rj</v>
      </c>
      <c r="G110" s="66"/>
      <c r="H110" s="70" t="s">
        <v>1664</v>
      </c>
      <c r="I110" s="71"/>
      <c r="J110" s="71" t="s">
        <v>159</v>
      </c>
      <c r="K110" s="70" t="s">
        <v>1664</v>
      </c>
      <c r="L110" s="74">
        <v>1</v>
      </c>
      <c r="M110" s="75">
        <v>1834.0958251953125</v>
      </c>
      <c r="N110" s="75">
        <v>4916.0498046875</v>
      </c>
      <c r="O110" s="76"/>
      <c r="P110" s="77"/>
      <c r="Q110" s="77"/>
      <c r="R110" s="89"/>
      <c r="S110" s="49">
        <v>0</v>
      </c>
      <c r="T110" s="49">
        <v>1</v>
      </c>
      <c r="U110" s="50">
        <v>0</v>
      </c>
      <c r="V110" s="50">
        <v>0.007143</v>
      </c>
      <c r="W110" s="50">
        <v>0</v>
      </c>
      <c r="X110" s="50">
        <v>0.533027</v>
      </c>
      <c r="Y110" s="50">
        <v>0</v>
      </c>
      <c r="Z110" s="50">
        <v>0</v>
      </c>
      <c r="AA110" s="72">
        <v>110</v>
      </c>
      <c r="AB110" s="72"/>
      <c r="AC110" s="73"/>
      <c r="AD110" s="80" t="s">
        <v>1664</v>
      </c>
      <c r="AE110" s="80"/>
      <c r="AF110" s="80"/>
      <c r="AG110" s="80"/>
      <c r="AH110" s="80"/>
      <c r="AI110" s="80"/>
      <c r="AJ110" s="87">
        <v>44174.54366898148</v>
      </c>
      <c r="AK110" s="85" t="str">
        <f>HYPERLINK("https://yt3.ggpht.com/ytc/AKedOLSGC_Q3ttIIDrpvbH9htUUyavYBfQ9lw8kBy2JN=s88-c-k-c0x00ffffff-no-rj")</f>
        <v>https://yt3.ggpht.com/ytc/AKedOLSGC_Q3ttIIDrpvbH9htUUyavYBfQ9lw8kBy2JN=s88-c-k-c0x00ffffff-no-rj</v>
      </c>
      <c r="AL110" s="80">
        <v>0</v>
      </c>
      <c r="AM110" s="80">
        <v>0</v>
      </c>
      <c r="AN110" s="80">
        <v>0</v>
      </c>
      <c r="AO110" s="80" t="b">
        <v>0</v>
      </c>
      <c r="AP110" s="80">
        <v>0</v>
      </c>
      <c r="AQ110" s="80"/>
      <c r="AR110" s="80"/>
      <c r="AS110" s="80" t="s">
        <v>3412</v>
      </c>
      <c r="AT110" s="85" t="str">
        <f>HYPERLINK("https://www.youtube.com/channel/UCAB5EVEnYdjH3uHp_F5sCzA")</f>
        <v>https://www.youtube.com/channel/UCAB5EVEnYdjH3uHp_F5sCzA</v>
      </c>
      <c r="AU110" s="80" t="str">
        <f>REPLACE(INDEX(GroupVertices[Group],MATCH(Vertices[[#This Row],[Vertex]],GroupVertices[Vertex],0)),1,1,"")</f>
        <v>2</v>
      </c>
      <c r="AV110" s="49">
        <v>1</v>
      </c>
      <c r="AW110" s="50">
        <v>100</v>
      </c>
      <c r="AX110" s="49">
        <v>0</v>
      </c>
      <c r="AY110" s="50">
        <v>0</v>
      </c>
      <c r="AZ110" s="49">
        <v>0</v>
      </c>
      <c r="BA110" s="50">
        <v>0</v>
      </c>
      <c r="BB110" s="49">
        <v>0</v>
      </c>
      <c r="BC110" s="50">
        <v>0</v>
      </c>
      <c r="BD110" s="49">
        <v>1</v>
      </c>
      <c r="BE110" s="49"/>
      <c r="BF110" s="49"/>
      <c r="BG110" s="49"/>
      <c r="BH110" s="49"/>
      <c r="BI110" s="49"/>
      <c r="BJ110" s="49"/>
      <c r="BK110" s="111" t="s">
        <v>1152</v>
      </c>
      <c r="BL110" s="111" t="s">
        <v>1152</v>
      </c>
      <c r="BM110" s="111" t="s">
        <v>2782</v>
      </c>
      <c r="BN110" s="111" t="s">
        <v>2782</v>
      </c>
      <c r="BO110" s="2"/>
      <c r="BP110" s="3"/>
      <c r="BQ110" s="3"/>
      <c r="BR110" s="3"/>
      <c r="BS110" s="3"/>
    </row>
    <row r="111" spans="1:71" ht="15">
      <c r="A111" s="65" t="s">
        <v>336</v>
      </c>
      <c r="B111" s="66"/>
      <c r="C111" s="66"/>
      <c r="D111" s="67">
        <v>150</v>
      </c>
      <c r="E111" s="69"/>
      <c r="F111" s="103" t="str">
        <f>HYPERLINK("https://yt3.ggpht.com/ytc/AKedOLRU0HyfbivUHoL8C3Bs1EbFZwcvRPNs3SJaag=s88-c-k-c0x00ffffff-no-rj")</f>
        <v>https://yt3.ggpht.com/ytc/AKedOLRU0HyfbivUHoL8C3Bs1EbFZwcvRPNs3SJaag=s88-c-k-c0x00ffffff-no-rj</v>
      </c>
      <c r="G111" s="66"/>
      <c r="H111" s="70" t="s">
        <v>1665</v>
      </c>
      <c r="I111" s="71"/>
      <c r="J111" s="71" t="s">
        <v>159</v>
      </c>
      <c r="K111" s="70" t="s">
        <v>1665</v>
      </c>
      <c r="L111" s="74">
        <v>1</v>
      </c>
      <c r="M111" s="75">
        <v>2578.818115234375</v>
      </c>
      <c r="N111" s="75">
        <v>3263.91748046875</v>
      </c>
      <c r="O111" s="76"/>
      <c r="P111" s="77"/>
      <c r="Q111" s="77"/>
      <c r="R111" s="89"/>
      <c r="S111" s="49">
        <v>0</v>
      </c>
      <c r="T111" s="49">
        <v>1</v>
      </c>
      <c r="U111" s="50">
        <v>0</v>
      </c>
      <c r="V111" s="50">
        <v>0.005236</v>
      </c>
      <c r="W111" s="50">
        <v>0</v>
      </c>
      <c r="X111" s="50">
        <v>0.570176</v>
      </c>
      <c r="Y111" s="50">
        <v>0</v>
      </c>
      <c r="Z111" s="50">
        <v>0</v>
      </c>
      <c r="AA111" s="72">
        <v>111</v>
      </c>
      <c r="AB111" s="72"/>
      <c r="AC111" s="73"/>
      <c r="AD111" s="80" t="s">
        <v>1665</v>
      </c>
      <c r="AE111" s="80"/>
      <c r="AF111" s="80"/>
      <c r="AG111" s="80"/>
      <c r="AH111" s="80"/>
      <c r="AI111" s="80"/>
      <c r="AJ111" s="87">
        <v>44349.70133101852</v>
      </c>
      <c r="AK111" s="85" t="str">
        <f>HYPERLINK("https://yt3.ggpht.com/ytc/AKedOLRU0HyfbivUHoL8C3Bs1EbFZwcvRPNs3SJaag=s88-c-k-c0x00ffffff-no-rj")</f>
        <v>https://yt3.ggpht.com/ytc/AKedOLRU0HyfbivUHoL8C3Bs1EbFZwcvRPNs3SJaag=s88-c-k-c0x00ffffff-no-rj</v>
      </c>
      <c r="AL111" s="80">
        <v>0</v>
      </c>
      <c r="AM111" s="80">
        <v>0</v>
      </c>
      <c r="AN111" s="80">
        <v>0</v>
      </c>
      <c r="AO111" s="80" t="b">
        <v>0</v>
      </c>
      <c r="AP111" s="80">
        <v>0</v>
      </c>
      <c r="AQ111" s="80"/>
      <c r="AR111" s="80"/>
      <c r="AS111" s="80" t="s">
        <v>3412</v>
      </c>
      <c r="AT111" s="85" t="str">
        <f>HYPERLINK("https://www.youtube.com/channel/UCqUWRyjAHrd05fGUEDn9f9Q")</f>
        <v>https://www.youtube.com/channel/UCqUWRyjAHrd05fGUEDn9f9Q</v>
      </c>
      <c r="AU111" s="80" t="str">
        <f>REPLACE(INDEX(GroupVertices[Group],MATCH(Vertices[[#This Row],[Vertex]],GroupVertices[Vertex],0)),1,1,"")</f>
        <v>2</v>
      </c>
      <c r="AV111" s="49">
        <v>0</v>
      </c>
      <c r="AW111" s="50">
        <v>0</v>
      </c>
      <c r="AX111" s="49">
        <v>0</v>
      </c>
      <c r="AY111" s="50">
        <v>0</v>
      </c>
      <c r="AZ111" s="49">
        <v>0</v>
      </c>
      <c r="BA111" s="50">
        <v>0</v>
      </c>
      <c r="BB111" s="49">
        <v>0</v>
      </c>
      <c r="BC111" s="50">
        <v>0</v>
      </c>
      <c r="BD111" s="49">
        <v>0</v>
      </c>
      <c r="BE111" s="49"/>
      <c r="BF111" s="49"/>
      <c r="BG111" s="49"/>
      <c r="BH111" s="49"/>
      <c r="BI111" s="49"/>
      <c r="BJ111" s="49"/>
      <c r="BK111" s="111" t="s">
        <v>2782</v>
      </c>
      <c r="BL111" s="111" t="s">
        <v>2782</v>
      </c>
      <c r="BM111" s="111" t="s">
        <v>2782</v>
      </c>
      <c r="BN111" s="111" t="s">
        <v>2782</v>
      </c>
      <c r="BO111" s="2"/>
      <c r="BP111" s="3"/>
      <c r="BQ111" s="3"/>
      <c r="BR111" s="3"/>
      <c r="BS111" s="3"/>
    </row>
    <row r="112" spans="1:71" ht="15">
      <c r="A112" s="65" t="s">
        <v>340</v>
      </c>
      <c r="B112" s="66"/>
      <c r="C112" s="66"/>
      <c r="D112" s="67">
        <v>382.73809523809524</v>
      </c>
      <c r="E112" s="69"/>
      <c r="F112" s="103" t="str">
        <f>HYPERLINK("https://yt3.ggpht.com/ytc/AKedOLThkGRpCKBb84GQaW6-ML3MgRAk98QBhC3g9_OoyQ=s88-c-k-c0x00ffffff-no-rj")</f>
        <v>https://yt3.ggpht.com/ytc/AKedOLThkGRpCKBb84GQaW6-ML3MgRAk98QBhC3g9_OoyQ=s88-c-k-c0x00ffffff-no-rj</v>
      </c>
      <c r="G112" s="66"/>
      <c r="H112" s="70" t="s">
        <v>1669</v>
      </c>
      <c r="I112" s="71"/>
      <c r="J112" s="71" t="s">
        <v>75</v>
      </c>
      <c r="K112" s="70" t="s">
        <v>1669</v>
      </c>
      <c r="L112" s="74">
        <v>126.46595373199476</v>
      </c>
      <c r="M112" s="75">
        <v>1972.806640625</v>
      </c>
      <c r="N112" s="75">
        <v>3711.72265625</v>
      </c>
      <c r="O112" s="76"/>
      <c r="P112" s="77"/>
      <c r="Q112" s="77"/>
      <c r="R112" s="89"/>
      <c r="S112" s="49">
        <v>4</v>
      </c>
      <c r="T112" s="49">
        <v>1</v>
      </c>
      <c r="U112" s="50">
        <v>460</v>
      </c>
      <c r="V112" s="50">
        <v>0.007576</v>
      </c>
      <c r="W112" s="50">
        <v>0</v>
      </c>
      <c r="X112" s="50">
        <v>2.471627</v>
      </c>
      <c r="Y112" s="50">
        <v>0</v>
      </c>
      <c r="Z112" s="50">
        <v>0</v>
      </c>
      <c r="AA112" s="72">
        <v>112</v>
      </c>
      <c r="AB112" s="72"/>
      <c r="AC112" s="73"/>
      <c r="AD112" s="80" t="s">
        <v>1669</v>
      </c>
      <c r="AE112" s="80" t="s">
        <v>2850</v>
      </c>
      <c r="AF112" s="80"/>
      <c r="AG112" s="80"/>
      <c r="AH112" s="80"/>
      <c r="AI112" s="80" t="s">
        <v>3034</v>
      </c>
      <c r="AJ112" s="87">
        <v>42494.622094907405</v>
      </c>
      <c r="AK112" s="85" t="str">
        <f>HYPERLINK("https://yt3.ggpht.com/ytc/AKedOLThkGRpCKBb84GQaW6-ML3MgRAk98QBhC3g9_OoyQ=s88-c-k-c0x00ffffff-no-rj")</f>
        <v>https://yt3.ggpht.com/ytc/AKedOLThkGRpCKBb84GQaW6-ML3MgRAk98QBhC3g9_OoyQ=s88-c-k-c0x00ffffff-no-rj</v>
      </c>
      <c r="AL112" s="80">
        <v>40542</v>
      </c>
      <c r="AM112" s="80">
        <v>0</v>
      </c>
      <c r="AN112" s="80">
        <v>0</v>
      </c>
      <c r="AO112" s="80" t="b">
        <v>1</v>
      </c>
      <c r="AP112" s="80">
        <v>114</v>
      </c>
      <c r="AQ112" s="80"/>
      <c r="AR112" s="80"/>
      <c r="AS112" s="80" t="s">
        <v>3412</v>
      </c>
      <c r="AT112" s="85" t="str">
        <f>HYPERLINK("https://www.youtube.com/channel/UCN65cpvF729KocfXYsi_mVg")</f>
        <v>https://www.youtube.com/channel/UCN65cpvF729KocfXYsi_mVg</v>
      </c>
      <c r="AU112" s="80" t="str">
        <f>REPLACE(INDEX(GroupVertices[Group],MATCH(Vertices[[#This Row],[Vertex]],GroupVertices[Vertex],0)),1,1,"")</f>
        <v>2</v>
      </c>
      <c r="AV112" s="49">
        <v>1</v>
      </c>
      <c r="AW112" s="50">
        <v>33.333333333333336</v>
      </c>
      <c r="AX112" s="49">
        <v>0</v>
      </c>
      <c r="AY112" s="50">
        <v>0</v>
      </c>
      <c r="AZ112" s="49">
        <v>0</v>
      </c>
      <c r="BA112" s="50">
        <v>0</v>
      </c>
      <c r="BB112" s="49">
        <v>2</v>
      </c>
      <c r="BC112" s="50">
        <v>66.66666666666667</v>
      </c>
      <c r="BD112" s="49">
        <v>3</v>
      </c>
      <c r="BE112" s="49"/>
      <c r="BF112" s="49"/>
      <c r="BG112" s="49"/>
      <c r="BH112" s="49"/>
      <c r="BI112" s="49"/>
      <c r="BJ112" s="49"/>
      <c r="BK112" s="111" t="s">
        <v>4510</v>
      </c>
      <c r="BL112" s="111" t="s">
        <v>4510</v>
      </c>
      <c r="BM112" s="111" t="s">
        <v>4990</v>
      </c>
      <c r="BN112" s="111" t="s">
        <v>4990</v>
      </c>
      <c r="BO112" s="2"/>
      <c r="BP112" s="3"/>
      <c r="BQ112" s="3"/>
      <c r="BR112" s="3"/>
      <c r="BS112" s="3"/>
    </row>
    <row r="113" spans="1:71" ht="15">
      <c r="A113" s="65" t="s">
        <v>337</v>
      </c>
      <c r="B113" s="66"/>
      <c r="C113" s="66"/>
      <c r="D113" s="67">
        <v>150</v>
      </c>
      <c r="E113" s="69"/>
      <c r="F113" s="103" t="str">
        <f>HYPERLINK("https://yt3.ggpht.com/ytc/AKedOLRopZqztGMS4H7NpzzfLGHsL87DO-ux-otN=s88-c-k-c0x00ffffff-no-rj")</f>
        <v>https://yt3.ggpht.com/ytc/AKedOLRopZqztGMS4H7NpzzfLGHsL87DO-ux-otN=s88-c-k-c0x00ffffff-no-rj</v>
      </c>
      <c r="G113" s="66"/>
      <c r="H113" s="70" t="s">
        <v>1666</v>
      </c>
      <c r="I113" s="71"/>
      <c r="J113" s="71" t="s">
        <v>159</v>
      </c>
      <c r="K113" s="70" t="s">
        <v>1666</v>
      </c>
      <c r="L113" s="74">
        <v>1</v>
      </c>
      <c r="M113" s="75">
        <v>1744.2264404296875</v>
      </c>
      <c r="N113" s="75">
        <v>2933.232666015625</v>
      </c>
      <c r="O113" s="76"/>
      <c r="P113" s="77"/>
      <c r="Q113" s="77"/>
      <c r="R113" s="89"/>
      <c r="S113" s="49">
        <v>0</v>
      </c>
      <c r="T113" s="49">
        <v>1</v>
      </c>
      <c r="U113" s="50">
        <v>0</v>
      </c>
      <c r="V113" s="50">
        <v>0.005236</v>
      </c>
      <c r="W113" s="50">
        <v>0</v>
      </c>
      <c r="X113" s="50">
        <v>0.570176</v>
      </c>
      <c r="Y113" s="50">
        <v>0</v>
      </c>
      <c r="Z113" s="50">
        <v>0</v>
      </c>
      <c r="AA113" s="72">
        <v>113</v>
      </c>
      <c r="AB113" s="72"/>
      <c r="AC113" s="73"/>
      <c r="AD113" s="80" t="s">
        <v>1666</v>
      </c>
      <c r="AE113" s="80"/>
      <c r="AF113" s="80"/>
      <c r="AG113" s="80"/>
      <c r="AH113" s="80"/>
      <c r="AI113" s="80"/>
      <c r="AJ113" s="80" t="s">
        <v>3175</v>
      </c>
      <c r="AK113" s="85" t="str">
        <f>HYPERLINK("https://yt3.ggpht.com/ytc/AKedOLRopZqztGMS4H7NpzzfLGHsL87DO-ux-otN=s88-c-k-c0x00ffffff-no-rj")</f>
        <v>https://yt3.ggpht.com/ytc/AKedOLRopZqztGMS4H7NpzzfLGHsL87DO-ux-otN=s88-c-k-c0x00ffffff-no-rj</v>
      </c>
      <c r="AL113" s="80">
        <v>0</v>
      </c>
      <c r="AM113" s="80">
        <v>0</v>
      </c>
      <c r="AN113" s="80">
        <v>0</v>
      </c>
      <c r="AO113" s="80" t="b">
        <v>0</v>
      </c>
      <c r="AP113" s="80">
        <v>0</v>
      </c>
      <c r="AQ113" s="80"/>
      <c r="AR113" s="80"/>
      <c r="AS113" s="80" t="s">
        <v>3412</v>
      </c>
      <c r="AT113" s="85" t="str">
        <f>HYPERLINK("https://www.youtube.com/channel/UC5rwdwwTgbjkIbUuHzNG8Jg")</f>
        <v>https://www.youtube.com/channel/UC5rwdwwTgbjkIbUuHzNG8Jg</v>
      </c>
      <c r="AU113" s="80" t="str">
        <f>REPLACE(INDEX(GroupVertices[Group],MATCH(Vertices[[#This Row],[Vertex]],GroupVertices[Vertex],0)),1,1,"")</f>
        <v>2</v>
      </c>
      <c r="AV113" s="49">
        <v>0</v>
      </c>
      <c r="AW113" s="50">
        <v>0</v>
      </c>
      <c r="AX113" s="49">
        <v>0</v>
      </c>
      <c r="AY113" s="50">
        <v>0</v>
      </c>
      <c r="AZ113" s="49">
        <v>0</v>
      </c>
      <c r="BA113" s="50">
        <v>0</v>
      </c>
      <c r="BB113" s="49">
        <v>0</v>
      </c>
      <c r="BC113" s="50">
        <v>0</v>
      </c>
      <c r="BD113" s="49">
        <v>0</v>
      </c>
      <c r="BE113" s="49"/>
      <c r="BF113" s="49"/>
      <c r="BG113" s="49"/>
      <c r="BH113" s="49"/>
      <c r="BI113" s="49"/>
      <c r="BJ113" s="49"/>
      <c r="BK113" s="111" t="s">
        <v>2782</v>
      </c>
      <c r="BL113" s="111" t="s">
        <v>2782</v>
      </c>
      <c r="BM113" s="111" t="s">
        <v>2782</v>
      </c>
      <c r="BN113" s="111" t="s">
        <v>2782</v>
      </c>
      <c r="BO113" s="2"/>
      <c r="BP113" s="3"/>
      <c r="BQ113" s="3"/>
      <c r="BR113" s="3"/>
      <c r="BS113" s="3"/>
    </row>
    <row r="114" spans="1:71" ht="15">
      <c r="A114" s="65" t="s">
        <v>338</v>
      </c>
      <c r="B114" s="66"/>
      <c r="C114" s="66"/>
      <c r="D114" s="67">
        <v>150</v>
      </c>
      <c r="E114" s="69"/>
      <c r="F114" s="103" t="str">
        <f>HYPERLINK("https://yt3.ggpht.com/ytc/AKedOLTL9g8T5UaVdLMtJJ9dlUYQdca_gZIxo4CXQg=s88-c-k-c0x00ffffff-no-rj")</f>
        <v>https://yt3.ggpht.com/ytc/AKedOLTL9g8T5UaVdLMtJJ9dlUYQdca_gZIxo4CXQg=s88-c-k-c0x00ffffff-no-rj</v>
      </c>
      <c r="G114" s="66"/>
      <c r="H114" s="70" t="s">
        <v>1667</v>
      </c>
      <c r="I114" s="71"/>
      <c r="J114" s="71" t="s">
        <v>159</v>
      </c>
      <c r="K114" s="70" t="s">
        <v>1667</v>
      </c>
      <c r="L114" s="74">
        <v>1</v>
      </c>
      <c r="M114" s="75">
        <v>2322.05908203125</v>
      </c>
      <c r="N114" s="75">
        <v>3088.121337890625</v>
      </c>
      <c r="O114" s="76"/>
      <c r="P114" s="77"/>
      <c r="Q114" s="77"/>
      <c r="R114" s="89"/>
      <c r="S114" s="49">
        <v>0</v>
      </c>
      <c r="T114" s="49">
        <v>1</v>
      </c>
      <c r="U114" s="50">
        <v>0</v>
      </c>
      <c r="V114" s="50">
        <v>0.005236</v>
      </c>
      <c r="W114" s="50">
        <v>0</v>
      </c>
      <c r="X114" s="50">
        <v>0.570176</v>
      </c>
      <c r="Y114" s="50">
        <v>0</v>
      </c>
      <c r="Z114" s="50">
        <v>0</v>
      </c>
      <c r="AA114" s="72">
        <v>114</v>
      </c>
      <c r="AB114" s="72"/>
      <c r="AC114" s="73"/>
      <c r="AD114" s="80" t="s">
        <v>1667</v>
      </c>
      <c r="AE114" s="80"/>
      <c r="AF114" s="80"/>
      <c r="AG114" s="80"/>
      <c r="AH114" s="80"/>
      <c r="AI114" s="80"/>
      <c r="AJ114" s="87">
        <v>43871.96465277778</v>
      </c>
      <c r="AK114" s="85" t="str">
        <f>HYPERLINK("https://yt3.ggpht.com/ytc/AKedOLTL9g8T5UaVdLMtJJ9dlUYQdca_gZIxo4CXQg=s88-c-k-c0x00ffffff-no-rj")</f>
        <v>https://yt3.ggpht.com/ytc/AKedOLTL9g8T5UaVdLMtJJ9dlUYQdca_gZIxo4CXQg=s88-c-k-c0x00ffffff-no-rj</v>
      </c>
      <c r="AL114" s="80">
        <v>0</v>
      </c>
      <c r="AM114" s="80">
        <v>0</v>
      </c>
      <c r="AN114" s="80">
        <v>0</v>
      </c>
      <c r="AO114" s="80" t="b">
        <v>0</v>
      </c>
      <c r="AP114" s="80">
        <v>0</v>
      </c>
      <c r="AQ114" s="80"/>
      <c r="AR114" s="80"/>
      <c r="AS114" s="80" t="s">
        <v>3412</v>
      </c>
      <c r="AT114" s="85" t="str">
        <f>HYPERLINK("https://www.youtube.com/channel/UCuWOnyHYdImx-991vy9fJgA")</f>
        <v>https://www.youtube.com/channel/UCuWOnyHYdImx-991vy9fJgA</v>
      </c>
      <c r="AU114" s="80" t="str">
        <f>REPLACE(INDEX(GroupVertices[Group],MATCH(Vertices[[#This Row],[Vertex]],GroupVertices[Vertex],0)),1,1,"")</f>
        <v>2</v>
      </c>
      <c r="AV114" s="49">
        <v>0</v>
      </c>
      <c r="AW114" s="50">
        <v>0</v>
      </c>
      <c r="AX114" s="49">
        <v>0</v>
      </c>
      <c r="AY114" s="50">
        <v>0</v>
      </c>
      <c r="AZ114" s="49">
        <v>0</v>
      </c>
      <c r="BA114" s="50">
        <v>0</v>
      </c>
      <c r="BB114" s="49">
        <v>0</v>
      </c>
      <c r="BC114" s="50">
        <v>0</v>
      </c>
      <c r="BD114" s="49">
        <v>0</v>
      </c>
      <c r="BE114" s="49"/>
      <c r="BF114" s="49"/>
      <c r="BG114" s="49"/>
      <c r="BH114" s="49"/>
      <c r="BI114" s="49"/>
      <c r="BJ114" s="49"/>
      <c r="BK114" s="111" t="s">
        <v>2782</v>
      </c>
      <c r="BL114" s="111" t="s">
        <v>2782</v>
      </c>
      <c r="BM114" s="111" t="s">
        <v>2782</v>
      </c>
      <c r="BN114" s="111" t="s">
        <v>2782</v>
      </c>
      <c r="BO114" s="2"/>
      <c r="BP114" s="3"/>
      <c r="BQ114" s="3"/>
      <c r="BR114" s="3"/>
      <c r="BS114" s="3"/>
    </row>
    <row r="115" spans="1:71" ht="15">
      <c r="A115" s="65" t="s">
        <v>339</v>
      </c>
      <c r="B115" s="66"/>
      <c r="C115" s="66"/>
      <c r="D115" s="67">
        <v>150</v>
      </c>
      <c r="E115" s="69"/>
      <c r="F115" s="103" t="str">
        <f>HYPERLINK("https://yt3.ggpht.com/ytc/AKedOLSDVdjkdWmmRQV3cCLVI7xzlddzspqNllfSxANH=s88-c-k-c0x00ffffff-no-rj")</f>
        <v>https://yt3.ggpht.com/ytc/AKedOLSDVdjkdWmmRQV3cCLVI7xzlddzspqNllfSxANH=s88-c-k-c0x00ffffff-no-rj</v>
      </c>
      <c r="G115" s="66"/>
      <c r="H115" s="70" t="s">
        <v>1668</v>
      </c>
      <c r="I115" s="71"/>
      <c r="J115" s="71" t="s">
        <v>159</v>
      </c>
      <c r="K115" s="70" t="s">
        <v>1668</v>
      </c>
      <c r="L115" s="74">
        <v>1</v>
      </c>
      <c r="M115" s="75">
        <v>2035.5047607421875</v>
      </c>
      <c r="N115" s="75">
        <v>2974.124755859375</v>
      </c>
      <c r="O115" s="76"/>
      <c r="P115" s="77"/>
      <c r="Q115" s="77"/>
      <c r="R115" s="89"/>
      <c r="S115" s="49">
        <v>0</v>
      </c>
      <c r="T115" s="49">
        <v>1</v>
      </c>
      <c r="U115" s="50">
        <v>0</v>
      </c>
      <c r="V115" s="50">
        <v>0.005236</v>
      </c>
      <c r="W115" s="50">
        <v>0</v>
      </c>
      <c r="X115" s="50">
        <v>0.570176</v>
      </c>
      <c r="Y115" s="50">
        <v>0</v>
      </c>
      <c r="Z115" s="50">
        <v>0</v>
      </c>
      <c r="AA115" s="72">
        <v>115</v>
      </c>
      <c r="AB115" s="72"/>
      <c r="AC115" s="73"/>
      <c r="AD115" s="80" t="s">
        <v>1668</v>
      </c>
      <c r="AE115" s="80"/>
      <c r="AF115" s="80"/>
      <c r="AG115" s="80"/>
      <c r="AH115" s="80"/>
      <c r="AI115" s="80"/>
      <c r="AJ115" s="87">
        <v>44144.94391203704</v>
      </c>
      <c r="AK115" s="85" t="str">
        <f>HYPERLINK("https://yt3.ggpht.com/ytc/AKedOLSDVdjkdWmmRQV3cCLVI7xzlddzspqNllfSxANH=s88-c-k-c0x00ffffff-no-rj")</f>
        <v>https://yt3.ggpht.com/ytc/AKedOLSDVdjkdWmmRQV3cCLVI7xzlddzspqNllfSxANH=s88-c-k-c0x00ffffff-no-rj</v>
      </c>
      <c r="AL115" s="80">
        <v>0</v>
      </c>
      <c r="AM115" s="80">
        <v>0</v>
      </c>
      <c r="AN115" s="80">
        <v>0</v>
      </c>
      <c r="AO115" s="80" t="b">
        <v>0</v>
      </c>
      <c r="AP115" s="80">
        <v>0</v>
      </c>
      <c r="AQ115" s="80"/>
      <c r="AR115" s="80"/>
      <c r="AS115" s="80" t="s">
        <v>3412</v>
      </c>
      <c r="AT115" s="85" t="str">
        <f>HYPERLINK("https://www.youtube.com/channel/UCXGDofo79BwPkpIbl3cRmQw")</f>
        <v>https://www.youtube.com/channel/UCXGDofo79BwPkpIbl3cRmQw</v>
      </c>
      <c r="AU115" s="80" t="str">
        <f>REPLACE(INDEX(GroupVertices[Group],MATCH(Vertices[[#This Row],[Vertex]],GroupVertices[Vertex],0)),1,1,"")</f>
        <v>2</v>
      </c>
      <c r="AV115" s="49">
        <v>0</v>
      </c>
      <c r="AW115" s="50">
        <v>0</v>
      </c>
      <c r="AX115" s="49">
        <v>0</v>
      </c>
      <c r="AY115" s="50">
        <v>0</v>
      </c>
      <c r="AZ115" s="49">
        <v>0</v>
      </c>
      <c r="BA115" s="50">
        <v>0</v>
      </c>
      <c r="BB115" s="49">
        <v>0</v>
      </c>
      <c r="BC115" s="50">
        <v>0</v>
      </c>
      <c r="BD115" s="49">
        <v>0</v>
      </c>
      <c r="BE115" s="49"/>
      <c r="BF115" s="49"/>
      <c r="BG115" s="49"/>
      <c r="BH115" s="49"/>
      <c r="BI115" s="49"/>
      <c r="BJ115" s="49"/>
      <c r="BK115" s="111" t="s">
        <v>2782</v>
      </c>
      <c r="BL115" s="111" t="s">
        <v>2782</v>
      </c>
      <c r="BM115" s="111" t="s">
        <v>2782</v>
      </c>
      <c r="BN115" s="111" t="s">
        <v>2782</v>
      </c>
      <c r="BO115" s="2"/>
      <c r="BP115" s="3"/>
      <c r="BQ115" s="3"/>
      <c r="BR115" s="3"/>
      <c r="BS115" s="3"/>
    </row>
    <row r="116" spans="1:71" ht="15">
      <c r="A116" s="65" t="s">
        <v>341</v>
      </c>
      <c r="B116" s="66"/>
      <c r="C116" s="66"/>
      <c r="D116" s="67">
        <v>150</v>
      </c>
      <c r="E116" s="69"/>
      <c r="F116" s="103" t="str">
        <f>HYPERLINK("https://yt3.ggpht.com/ytc/AKedOLRx5LZbc12Kh37wTSJrCbRBQGNtD6LN1p9p54Yq=s88-c-k-c0x00ffffff-no-rj")</f>
        <v>https://yt3.ggpht.com/ytc/AKedOLRx5LZbc12Kh37wTSJrCbRBQGNtD6LN1p9p54Yq=s88-c-k-c0x00ffffff-no-rj</v>
      </c>
      <c r="G116" s="66"/>
      <c r="H116" s="70" t="s">
        <v>1670</v>
      </c>
      <c r="I116" s="71"/>
      <c r="J116" s="71" t="s">
        <v>159</v>
      </c>
      <c r="K116" s="70" t="s">
        <v>1670</v>
      </c>
      <c r="L116" s="74">
        <v>1</v>
      </c>
      <c r="M116" s="75">
        <v>1515.8570556640625</v>
      </c>
      <c r="N116" s="75">
        <v>4921.95166015625</v>
      </c>
      <c r="O116" s="76"/>
      <c r="P116" s="77"/>
      <c r="Q116" s="77"/>
      <c r="R116" s="89"/>
      <c r="S116" s="49">
        <v>0</v>
      </c>
      <c r="T116" s="49">
        <v>1</v>
      </c>
      <c r="U116" s="50">
        <v>0</v>
      </c>
      <c r="V116" s="50">
        <v>0.007143</v>
      </c>
      <c r="W116" s="50">
        <v>0</v>
      </c>
      <c r="X116" s="50">
        <v>0.533027</v>
      </c>
      <c r="Y116" s="50">
        <v>0</v>
      </c>
      <c r="Z116" s="50">
        <v>0</v>
      </c>
      <c r="AA116" s="72">
        <v>116</v>
      </c>
      <c r="AB116" s="72"/>
      <c r="AC116" s="73"/>
      <c r="AD116" s="80" t="s">
        <v>1670</v>
      </c>
      <c r="AE116" s="80"/>
      <c r="AF116" s="80"/>
      <c r="AG116" s="80"/>
      <c r="AH116" s="80"/>
      <c r="AI116" s="80"/>
      <c r="AJ116" s="80" t="s">
        <v>3176</v>
      </c>
      <c r="AK116" s="85" t="str">
        <f>HYPERLINK("https://yt3.ggpht.com/ytc/AKedOLRx5LZbc12Kh37wTSJrCbRBQGNtD6LN1p9p54Yq=s88-c-k-c0x00ffffff-no-rj")</f>
        <v>https://yt3.ggpht.com/ytc/AKedOLRx5LZbc12Kh37wTSJrCbRBQGNtD6LN1p9p54Yq=s88-c-k-c0x00ffffff-no-rj</v>
      </c>
      <c r="AL116" s="80">
        <v>0</v>
      </c>
      <c r="AM116" s="80">
        <v>0</v>
      </c>
      <c r="AN116" s="80">
        <v>0</v>
      </c>
      <c r="AO116" s="80" t="b">
        <v>0</v>
      </c>
      <c r="AP116" s="80">
        <v>0</v>
      </c>
      <c r="AQ116" s="80"/>
      <c r="AR116" s="80"/>
      <c r="AS116" s="80" t="s">
        <v>3412</v>
      </c>
      <c r="AT116" s="85" t="str">
        <f>HYPERLINK("https://www.youtube.com/channel/UCoRdQ_Kel_HD4gtBQlrWPCw")</f>
        <v>https://www.youtube.com/channel/UCoRdQ_Kel_HD4gtBQlrWPCw</v>
      </c>
      <c r="AU116" s="80" t="str">
        <f>REPLACE(INDEX(GroupVertices[Group],MATCH(Vertices[[#This Row],[Vertex]],GroupVertices[Vertex],0)),1,1,"")</f>
        <v>2</v>
      </c>
      <c r="AV116" s="49">
        <v>1</v>
      </c>
      <c r="AW116" s="50">
        <v>33.333333333333336</v>
      </c>
      <c r="AX116" s="49">
        <v>0</v>
      </c>
      <c r="AY116" s="50">
        <v>0</v>
      </c>
      <c r="AZ116" s="49">
        <v>0</v>
      </c>
      <c r="BA116" s="50">
        <v>0</v>
      </c>
      <c r="BB116" s="49">
        <v>2</v>
      </c>
      <c r="BC116" s="50">
        <v>66.66666666666667</v>
      </c>
      <c r="BD116" s="49">
        <v>3</v>
      </c>
      <c r="BE116" s="49"/>
      <c r="BF116" s="49"/>
      <c r="BG116" s="49"/>
      <c r="BH116" s="49"/>
      <c r="BI116" s="49"/>
      <c r="BJ116" s="49"/>
      <c r="BK116" s="111" t="s">
        <v>4511</v>
      </c>
      <c r="BL116" s="111" t="s">
        <v>4511</v>
      </c>
      <c r="BM116" s="111" t="s">
        <v>4991</v>
      </c>
      <c r="BN116" s="111" t="s">
        <v>4991</v>
      </c>
      <c r="BO116" s="2"/>
      <c r="BP116" s="3"/>
      <c r="BQ116" s="3"/>
      <c r="BR116" s="3"/>
      <c r="BS116" s="3"/>
    </row>
    <row r="117" spans="1:71" ht="15">
      <c r="A117" s="65" t="s">
        <v>342</v>
      </c>
      <c r="B117" s="66"/>
      <c r="C117" s="66"/>
      <c r="D117" s="67">
        <v>150</v>
      </c>
      <c r="E117" s="69"/>
      <c r="F117" s="103" t="str">
        <f>HYPERLINK("https://yt3.ggpht.com/ytc/AKedOLRXbNn8lOqm1UtXobSckLPgW-bmkkhJoSCO91i8=s88-c-k-c0x00ffffff-no-rj")</f>
        <v>https://yt3.ggpht.com/ytc/AKedOLRXbNn8lOqm1UtXobSckLPgW-bmkkhJoSCO91i8=s88-c-k-c0x00ffffff-no-rj</v>
      </c>
      <c r="G117" s="66"/>
      <c r="H117" s="70" t="s">
        <v>1671</v>
      </c>
      <c r="I117" s="71"/>
      <c r="J117" s="71" t="s">
        <v>159</v>
      </c>
      <c r="K117" s="70" t="s">
        <v>1671</v>
      </c>
      <c r="L117" s="74">
        <v>1</v>
      </c>
      <c r="M117" s="75">
        <v>3152.31298828125</v>
      </c>
      <c r="N117" s="75">
        <v>4995.66796875</v>
      </c>
      <c r="O117" s="76"/>
      <c r="P117" s="77"/>
      <c r="Q117" s="77"/>
      <c r="R117" s="89"/>
      <c r="S117" s="49">
        <v>0</v>
      </c>
      <c r="T117" s="49">
        <v>1</v>
      </c>
      <c r="U117" s="50">
        <v>0</v>
      </c>
      <c r="V117" s="50">
        <v>0.005236</v>
      </c>
      <c r="W117" s="50">
        <v>0</v>
      </c>
      <c r="X117" s="50">
        <v>0.570176</v>
      </c>
      <c r="Y117" s="50">
        <v>0</v>
      </c>
      <c r="Z117" s="50">
        <v>0</v>
      </c>
      <c r="AA117" s="72">
        <v>117</v>
      </c>
      <c r="AB117" s="72"/>
      <c r="AC117" s="73"/>
      <c r="AD117" s="80" t="s">
        <v>1671</v>
      </c>
      <c r="AE117" s="80" t="s">
        <v>2851</v>
      </c>
      <c r="AF117" s="80"/>
      <c r="AG117" s="80"/>
      <c r="AH117" s="80"/>
      <c r="AI117" s="80"/>
      <c r="AJ117" s="87">
        <v>43778.783425925925</v>
      </c>
      <c r="AK117" s="85" t="str">
        <f>HYPERLINK("https://yt3.ggpht.com/ytc/AKedOLRXbNn8lOqm1UtXobSckLPgW-bmkkhJoSCO91i8=s88-c-k-c0x00ffffff-no-rj")</f>
        <v>https://yt3.ggpht.com/ytc/AKedOLRXbNn8lOqm1UtXobSckLPgW-bmkkhJoSCO91i8=s88-c-k-c0x00ffffff-no-rj</v>
      </c>
      <c r="AL117" s="80">
        <v>201524</v>
      </c>
      <c r="AM117" s="80">
        <v>0</v>
      </c>
      <c r="AN117" s="80">
        <v>2930</v>
      </c>
      <c r="AO117" s="80" t="b">
        <v>0</v>
      </c>
      <c r="AP117" s="80">
        <v>153</v>
      </c>
      <c r="AQ117" s="80"/>
      <c r="AR117" s="80"/>
      <c r="AS117" s="80" t="s">
        <v>3412</v>
      </c>
      <c r="AT117" s="85" t="str">
        <f>HYPERLINK("https://www.youtube.com/channel/UC8SNsXZlLVmlSoihrS71aPA")</f>
        <v>https://www.youtube.com/channel/UC8SNsXZlLVmlSoihrS71aPA</v>
      </c>
      <c r="AU117" s="80" t="str">
        <f>REPLACE(INDEX(GroupVertices[Group],MATCH(Vertices[[#This Row],[Vertex]],GroupVertices[Vertex],0)),1,1,"")</f>
        <v>2</v>
      </c>
      <c r="AV117" s="49">
        <v>0</v>
      </c>
      <c r="AW117" s="50">
        <v>0</v>
      </c>
      <c r="AX117" s="49">
        <v>0</v>
      </c>
      <c r="AY117" s="50">
        <v>0</v>
      </c>
      <c r="AZ117" s="49">
        <v>0</v>
      </c>
      <c r="BA117" s="50">
        <v>0</v>
      </c>
      <c r="BB117" s="49">
        <v>0</v>
      </c>
      <c r="BC117" s="50">
        <v>0</v>
      </c>
      <c r="BD117" s="49">
        <v>0</v>
      </c>
      <c r="BE117" s="49"/>
      <c r="BF117" s="49"/>
      <c r="BG117" s="49"/>
      <c r="BH117" s="49"/>
      <c r="BI117" s="49"/>
      <c r="BJ117" s="49"/>
      <c r="BK117" s="111" t="s">
        <v>2782</v>
      </c>
      <c r="BL117" s="111" t="s">
        <v>2782</v>
      </c>
      <c r="BM117" s="111" t="s">
        <v>2782</v>
      </c>
      <c r="BN117" s="111" t="s">
        <v>2782</v>
      </c>
      <c r="BO117" s="2"/>
      <c r="BP117" s="3"/>
      <c r="BQ117" s="3"/>
      <c r="BR117" s="3"/>
      <c r="BS117" s="3"/>
    </row>
    <row r="118" spans="1:71" ht="15">
      <c r="A118" s="65" t="s">
        <v>346</v>
      </c>
      <c r="B118" s="66"/>
      <c r="C118" s="66"/>
      <c r="D118" s="67">
        <v>382.73809523809524</v>
      </c>
      <c r="E118" s="69"/>
      <c r="F118" s="103" t="str">
        <f>HYPERLINK("https://yt3.ggpht.com/ytc/AKedOLQPFoNPlO1abqbIWbwOxOkLCWqduke1dehUusKFaw=s88-c-k-c0x00ffffff-no-rj")</f>
        <v>https://yt3.ggpht.com/ytc/AKedOLQPFoNPlO1abqbIWbwOxOkLCWqduke1dehUusKFaw=s88-c-k-c0x00ffffff-no-rj</v>
      </c>
      <c r="G118" s="66"/>
      <c r="H118" s="70" t="s">
        <v>1675</v>
      </c>
      <c r="I118" s="71"/>
      <c r="J118" s="71" t="s">
        <v>75</v>
      </c>
      <c r="K118" s="70" t="s">
        <v>1675</v>
      </c>
      <c r="L118" s="74">
        <v>126.46595373199476</v>
      </c>
      <c r="M118" s="75">
        <v>2535.2841796875</v>
      </c>
      <c r="N118" s="75">
        <v>4560.10009765625</v>
      </c>
      <c r="O118" s="76"/>
      <c r="P118" s="77"/>
      <c r="Q118" s="77"/>
      <c r="R118" s="89"/>
      <c r="S118" s="49">
        <v>4</v>
      </c>
      <c r="T118" s="49">
        <v>1</v>
      </c>
      <c r="U118" s="50">
        <v>460</v>
      </c>
      <c r="V118" s="50">
        <v>0.007576</v>
      </c>
      <c r="W118" s="50">
        <v>0</v>
      </c>
      <c r="X118" s="50">
        <v>2.471627</v>
      </c>
      <c r="Y118" s="50">
        <v>0</v>
      </c>
      <c r="Z118" s="50">
        <v>0</v>
      </c>
      <c r="AA118" s="72">
        <v>118</v>
      </c>
      <c r="AB118" s="72"/>
      <c r="AC118" s="73"/>
      <c r="AD118" s="80" t="s">
        <v>1675</v>
      </c>
      <c r="AE118" s="80" t="s">
        <v>2852</v>
      </c>
      <c r="AF118" s="80"/>
      <c r="AG118" s="80"/>
      <c r="AH118" s="80"/>
      <c r="AI118" s="80"/>
      <c r="AJ118" s="87">
        <v>43688.990208333336</v>
      </c>
      <c r="AK118" s="85" t="str">
        <f>HYPERLINK("https://yt3.ggpht.com/ytc/AKedOLQPFoNPlO1abqbIWbwOxOkLCWqduke1dehUusKFaw=s88-c-k-c0x00ffffff-no-rj")</f>
        <v>https://yt3.ggpht.com/ytc/AKedOLQPFoNPlO1abqbIWbwOxOkLCWqduke1dehUusKFaw=s88-c-k-c0x00ffffff-no-rj</v>
      </c>
      <c r="AL118" s="80">
        <v>595</v>
      </c>
      <c r="AM118" s="80">
        <v>0</v>
      </c>
      <c r="AN118" s="80">
        <v>140</v>
      </c>
      <c r="AO118" s="80" t="b">
        <v>0</v>
      </c>
      <c r="AP118" s="80">
        <v>10</v>
      </c>
      <c r="AQ118" s="80"/>
      <c r="AR118" s="80"/>
      <c r="AS118" s="80" t="s">
        <v>3412</v>
      </c>
      <c r="AT118" s="85" t="str">
        <f>HYPERLINK("https://www.youtube.com/channel/UC3YBngwt4LQe-upUMrs7-qA")</f>
        <v>https://www.youtube.com/channel/UC3YBngwt4LQe-upUMrs7-qA</v>
      </c>
      <c r="AU118" s="80" t="str">
        <f>REPLACE(INDEX(GroupVertices[Group],MATCH(Vertices[[#This Row],[Vertex]],GroupVertices[Vertex],0)),1,1,"")</f>
        <v>2</v>
      </c>
      <c r="AV118" s="49">
        <v>1</v>
      </c>
      <c r="AW118" s="50">
        <v>50</v>
      </c>
      <c r="AX118" s="49">
        <v>0</v>
      </c>
      <c r="AY118" s="50">
        <v>0</v>
      </c>
      <c r="AZ118" s="49">
        <v>0</v>
      </c>
      <c r="BA118" s="50">
        <v>0</v>
      </c>
      <c r="BB118" s="49">
        <v>1</v>
      </c>
      <c r="BC118" s="50">
        <v>50</v>
      </c>
      <c r="BD118" s="49">
        <v>2</v>
      </c>
      <c r="BE118" s="49"/>
      <c r="BF118" s="49"/>
      <c r="BG118" s="49"/>
      <c r="BH118" s="49"/>
      <c r="BI118" s="49"/>
      <c r="BJ118" s="49"/>
      <c r="BK118" s="111" t="s">
        <v>907</v>
      </c>
      <c r="BL118" s="111" t="s">
        <v>907</v>
      </c>
      <c r="BM118" s="111" t="s">
        <v>4338</v>
      </c>
      <c r="BN118" s="111" t="s">
        <v>4338</v>
      </c>
      <c r="BO118" s="2"/>
      <c r="BP118" s="3"/>
      <c r="BQ118" s="3"/>
      <c r="BR118" s="3"/>
      <c r="BS118" s="3"/>
    </row>
    <row r="119" spans="1:71" ht="15">
      <c r="A119" s="65" t="s">
        <v>343</v>
      </c>
      <c r="B119" s="66"/>
      <c r="C119" s="66"/>
      <c r="D119" s="67">
        <v>150</v>
      </c>
      <c r="E119" s="69"/>
      <c r="F119" s="103" t="str">
        <f>HYPERLINK("https://yt3.ggpht.com/ytc/AKedOLSUZX8M27BqS-PxXN10Zsuj0An3n-878LikrA=s88-c-k-c0x00ffffff-no-rj")</f>
        <v>https://yt3.ggpht.com/ytc/AKedOLSUZX8M27BqS-PxXN10Zsuj0An3n-878LikrA=s88-c-k-c0x00ffffff-no-rj</v>
      </c>
      <c r="G119" s="66"/>
      <c r="H119" s="70" t="s">
        <v>1672</v>
      </c>
      <c r="I119" s="71"/>
      <c r="J119" s="71" t="s">
        <v>159</v>
      </c>
      <c r="K119" s="70" t="s">
        <v>1672</v>
      </c>
      <c r="L119" s="74">
        <v>1</v>
      </c>
      <c r="M119" s="75">
        <v>3101.041259765625</v>
      </c>
      <c r="N119" s="75">
        <v>4044.000244140625</v>
      </c>
      <c r="O119" s="76"/>
      <c r="P119" s="77"/>
      <c r="Q119" s="77"/>
      <c r="R119" s="89"/>
      <c r="S119" s="49">
        <v>0</v>
      </c>
      <c r="T119" s="49">
        <v>1</v>
      </c>
      <c r="U119" s="50">
        <v>0</v>
      </c>
      <c r="V119" s="50">
        <v>0.005236</v>
      </c>
      <c r="W119" s="50">
        <v>0</v>
      </c>
      <c r="X119" s="50">
        <v>0.570176</v>
      </c>
      <c r="Y119" s="50">
        <v>0</v>
      </c>
      <c r="Z119" s="50">
        <v>0</v>
      </c>
      <c r="AA119" s="72">
        <v>119</v>
      </c>
      <c r="AB119" s="72"/>
      <c r="AC119" s="73"/>
      <c r="AD119" s="80" t="s">
        <v>1672</v>
      </c>
      <c r="AE119" s="80"/>
      <c r="AF119" s="80"/>
      <c r="AG119" s="80"/>
      <c r="AH119" s="80"/>
      <c r="AI119" s="80"/>
      <c r="AJ119" s="87">
        <v>43994.87328703704</v>
      </c>
      <c r="AK119" s="85" t="str">
        <f>HYPERLINK("https://yt3.ggpht.com/ytc/AKedOLSUZX8M27BqS-PxXN10Zsuj0An3n-878LikrA=s88-c-k-c0x00ffffff-no-rj")</f>
        <v>https://yt3.ggpht.com/ytc/AKedOLSUZX8M27BqS-PxXN10Zsuj0An3n-878LikrA=s88-c-k-c0x00ffffff-no-rj</v>
      </c>
      <c r="AL119" s="80">
        <v>0</v>
      </c>
      <c r="AM119" s="80">
        <v>0</v>
      </c>
      <c r="AN119" s="80">
        <v>0</v>
      </c>
      <c r="AO119" s="80" t="b">
        <v>0</v>
      </c>
      <c r="AP119" s="80">
        <v>0</v>
      </c>
      <c r="AQ119" s="80"/>
      <c r="AR119" s="80"/>
      <c r="AS119" s="80" t="s">
        <v>3412</v>
      </c>
      <c r="AT119" s="85" t="str">
        <f>HYPERLINK("https://www.youtube.com/channel/UCoOeq6tszRGSiEO_8vkoutQ")</f>
        <v>https://www.youtube.com/channel/UCoOeq6tszRGSiEO_8vkoutQ</v>
      </c>
      <c r="AU119" s="80" t="str">
        <f>REPLACE(INDEX(GroupVertices[Group],MATCH(Vertices[[#This Row],[Vertex]],GroupVertices[Vertex],0)),1,1,"")</f>
        <v>2</v>
      </c>
      <c r="AV119" s="49">
        <v>0</v>
      </c>
      <c r="AW119" s="50">
        <v>0</v>
      </c>
      <c r="AX119" s="49">
        <v>0</v>
      </c>
      <c r="AY119" s="50">
        <v>0</v>
      </c>
      <c r="AZ119" s="49">
        <v>0</v>
      </c>
      <c r="BA119" s="50">
        <v>0</v>
      </c>
      <c r="BB119" s="49">
        <v>0</v>
      </c>
      <c r="BC119" s="50">
        <v>0</v>
      </c>
      <c r="BD119" s="49">
        <v>0</v>
      </c>
      <c r="BE119" s="49"/>
      <c r="BF119" s="49"/>
      <c r="BG119" s="49"/>
      <c r="BH119" s="49"/>
      <c r="BI119" s="49"/>
      <c r="BJ119" s="49"/>
      <c r="BK119" s="111" t="s">
        <v>2782</v>
      </c>
      <c r="BL119" s="111" t="s">
        <v>2782</v>
      </c>
      <c r="BM119" s="111" t="s">
        <v>2782</v>
      </c>
      <c r="BN119" s="111" t="s">
        <v>2782</v>
      </c>
      <c r="BO119" s="2"/>
      <c r="BP119" s="3"/>
      <c r="BQ119" s="3"/>
      <c r="BR119" s="3"/>
      <c r="BS119" s="3"/>
    </row>
    <row r="120" spans="1:71" ht="15">
      <c r="A120" s="65" t="s">
        <v>344</v>
      </c>
      <c r="B120" s="66"/>
      <c r="C120" s="66"/>
      <c r="D120" s="67">
        <v>150</v>
      </c>
      <c r="E120" s="69"/>
      <c r="F120" s="103" t="str">
        <f>HYPERLINK("https://yt3.ggpht.com/ytc/AKedOLQvNYDZVRe53ps2CJHDXt67R43TcwYanPyTcQ=s88-c-k-c0x00ffffff-no-rj")</f>
        <v>https://yt3.ggpht.com/ytc/AKedOLQvNYDZVRe53ps2CJHDXt67R43TcwYanPyTcQ=s88-c-k-c0x00ffffff-no-rj</v>
      </c>
      <c r="G120" s="66"/>
      <c r="H120" s="70" t="s">
        <v>1673</v>
      </c>
      <c r="I120" s="71"/>
      <c r="J120" s="71" t="s">
        <v>159</v>
      </c>
      <c r="K120" s="70" t="s">
        <v>1673</v>
      </c>
      <c r="L120" s="74">
        <v>1</v>
      </c>
      <c r="M120" s="75">
        <v>3196.10888671875</v>
      </c>
      <c r="N120" s="75">
        <v>4684.30859375</v>
      </c>
      <c r="O120" s="76"/>
      <c r="P120" s="77"/>
      <c r="Q120" s="77"/>
      <c r="R120" s="89"/>
      <c r="S120" s="49">
        <v>0</v>
      </c>
      <c r="T120" s="49">
        <v>1</v>
      </c>
      <c r="U120" s="50">
        <v>0</v>
      </c>
      <c r="V120" s="50">
        <v>0.005236</v>
      </c>
      <c r="W120" s="50">
        <v>0</v>
      </c>
      <c r="X120" s="50">
        <v>0.570176</v>
      </c>
      <c r="Y120" s="50">
        <v>0</v>
      </c>
      <c r="Z120" s="50">
        <v>0</v>
      </c>
      <c r="AA120" s="72">
        <v>120</v>
      </c>
      <c r="AB120" s="72"/>
      <c r="AC120" s="73"/>
      <c r="AD120" s="80" t="s">
        <v>1673</v>
      </c>
      <c r="AE120" s="80"/>
      <c r="AF120" s="80"/>
      <c r="AG120" s="80"/>
      <c r="AH120" s="80"/>
      <c r="AI120" s="80"/>
      <c r="AJ120" s="87">
        <v>44177.017962962964</v>
      </c>
      <c r="AK120" s="85" t="str">
        <f>HYPERLINK("https://yt3.ggpht.com/ytc/AKedOLQvNYDZVRe53ps2CJHDXt67R43TcwYanPyTcQ=s88-c-k-c0x00ffffff-no-rj")</f>
        <v>https://yt3.ggpht.com/ytc/AKedOLQvNYDZVRe53ps2CJHDXt67R43TcwYanPyTcQ=s88-c-k-c0x00ffffff-no-rj</v>
      </c>
      <c r="AL120" s="80">
        <v>0</v>
      </c>
      <c r="AM120" s="80">
        <v>0</v>
      </c>
      <c r="AN120" s="80">
        <v>0</v>
      </c>
      <c r="AO120" s="80" t="b">
        <v>0</v>
      </c>
      <c r="AP120" s="80">
        <v>0</v>
      </c>
      <c r="AQ120" s="80"/>
      <c r="AR120" s="80"/>
      <c r="AS120" s="80" t="s">
        <v>3412</v>
      </c>
      <c r="AT120" s="85" t="str">
        <f>HYPERLINK("https://www.youtube.com/channel/UCuEqaAu_SjfAY4-RMJq4rGQ")</f>
        <v>https://www.youtube.com/channel/UCuEqaAu_SjfAY4-RMJq4rGQ</v>
      </c>
      <c r="AU120" s="80" t="str">
        <f>REPLACE(INDEX(GroupVertices[Group],MATCH(Vertices[[#This Row],[Vertex]],GroupVertices[Vertex],0)),1,1,"")</f>
        <v>2</v>
      </c>
      <c r="AV120" s="49">
        <v>0</v>
      </c>
      <c r="AW120" s="50">
        <v>0</v>
      </c>
      <c r="AX120" s="49">
        <v>0</v>
      </c>
      <c r="AY120" s="50">
        <v>0</v>
      </c>
      <c r="AZ120" s="49">
        <v>0</v>
      </c>
      <c r="BA120" s="50">
        <v>0</v>
      </c>
      <c r="BB120" s="49">
        <v>0</v>
      </c>
      <c r="BC120" s="50">
        <v>0</v>
      </c>
      <c r="BD120" s="49">
        <v>0</v>
      </c>
      <c r="BE120" s="49"/>
      <c r="BF120" s="49"/>
      <c r="BG120" s="49"/>
      <c r="BH120" s="49"/>
      <c r="BI120" s="49"/>
      <c r="BJ120" s="49"/>
      <c r="BK120" s="111" t="s">
        <v>2782</v>
      </c>
      <c r="BL120" s="111" t="s">
        <v>2782</v>
      </c>
      <c r="BM120" s="111" t="s">
        <v>2782</v>
      </c>
      <c r="BN120" s="111" t="s">
        <v>2782</v>
      </c>
      <c r="BO120" s="2"/>
      <c r="BP120" s="3"/>
      <c r="BQ120" s="3"/>
      <c r="BR120" s="3"/>
      <c r="BS120" s="3"/>
    </row>
    <row r="121" spans="1:71" ht="15">
      <c r="A121" s="65" t="s">
        <v>345</v>
      </c>
      <c r="B121" s="66"/>
      <c r="C121" s="66"/>
      <c r="D121" s="67">
        <v>150</v>
      </c>
      <c r="E121" s="69"/>
      <c r="F121" s="103" t="str">
        <f>HYPERLINK("https://yt3.ggpht.com/ytc/AKedOLQNd4K7Ey8jSthJCIjEFfZwsNs6S4wLnZbpdznh=s88-c-k-c0x00ffffff-no-rj")</f>
        <v>https://yt3.ggpht.com/ytc/AKedOLQNd4K7Ey8jSthJCIjEFfZwsNs6S4wLnZbpdznh=s88-c-k-c0x00ffffff-no-rj</v>
      </c>
      <c r="G121" s="66"/>
      <c r="H121" s="70" t="s">
        <v>1674</v>
      </c>
      <c r="I121" s="71"/>
      <c r="J121" s="71" t="s">
        <v>159</v>
      </c>
      <c r="K121" s="70" t="s">
        <v>1674</v>
      </c>
      <c r="L121" s="74">
        <v>1</v>
      </c>
      <c r="M121" s="75">
        <v>3176.989501953125</v>
      </c>
      <c r="N121" s="75">
        <v>4353.185546875</v>
      </c>
      <c r="O121" s="76"/>
      <c r="P121" s="77"/>
      <c r="Q121" s="77"/>
      <c r="R121" s="89"/>
      <c r="S121" s="49">
        <v>0</v>
      </c>
      <c r="T121" s="49">
        <v>1</v>
      </c>
      <c r="U121" s="50">
        <v>0</v>
      </c>
      <c r="V121" s="50">
        <v>0.005236</v>
      </c>
      <c r="W121" s="50">
        <v>0</v>
      </c>
      <c r="X121" s="50">
        <v>0.570176</v>
      </c>
      <c r="Y121" s="50">
        <v>0</v>
      </c>
      <c r="Z121" s="50">
        <v>0</v>
      </c>
      <c r="AA121" s="72">
        <v>121</v>
      </c>
      <c r="AB121" s="72"/>
      <c r="AC121" s="73"/>
      <c r="AD121" s="80" t="s">
        <v>1674</v>
      </c>
      <c r="AE121" s="80"/>
      <c r="AF121" s="80"/>
      <c r="AG121" s="80"/>
      <c r="AH121" s="80"/>
      <c r="AI121" s="80"/>
      <c r="AJ121" s="80" t="s">
        <v>3177</v>
      </c>
      <c r="AK121" s="85" t="str">
        <f>HYPERLINK("https://yt3.ggpht.com/ytc/AKedOLQNd4K7Ey8jSthJCIjEFfZwsNs6S4wLnZbpdznh=s88-c-k-c0x00ffffff-no-rj")</f>
        <v>https://yt3.ggpht.com/ytc/AKedOLQNd4K7Ey8jSthJCIjEFfZwsNs6S4wLnZbpdznh=s88-c-k-c0x00ffffff-no-rj</v>
      </c>
      <c r="AL121" s="80">
        <v>0</v>
      </c>
      <c r="AM121" s="80">
        <v>0</v>
      </c>
      <c r="AN121" s="80">
        <v>0</v>
      </c>
      <c r="AO121" s="80" t="b">
        <v>0</v>
      </c>
      <c r="AP121" s="80">
        <v>0</v>
      </c>
      <c r="AQ121" s="80"/>
      <c r="AR121" s="80"/>
      <c r="AS121" s="80" t="s">
        <v>3412</v>
      </c>
      <c r="AT121" s="85" t="str">
        <f>HYPERLINK("https://www.youtube.com/channel/UCIYnQZAI433GJKJqhdr_6Mw")</f>
        <v>https://www.youtube.com/channel/UCIYnQZAI433GJKJqhdr_6Mw</v>
      </c>
      <c r="AU121" s="80" t="str">
        <f>REPLACE(INDEX(GroupVertices[Group],MATCH(Vertices[[#This Row],[Vertex]],GroupVertices[Vertex],0)),1,1,"")</f>
        <v>2</v>
      </c>
      <c r="AV121" s="49">
        <v>0</v>
      </c>
      <c r="AW121" s="50">
        <v>0</v>
      </c>
      <c r="AX121" s="49">
        <v>0</v>
      </c>
      <c r="AY121" s="50">
        <v>0</v>
      </c>
      <c r="AZ121" s="49">
        <v>0</v>
      </c>
      <c r="BA121" s="50">
        <v>0</v>
      </c>
      <c r="BB121" s="49">
        <v>0</v>
      </c>
      <c r="BC121" s="50">
        <v>0</v>
      </c>
      <c r="BD121" s="49">
        <v>0</v>
      </c>
      <c r="BE121" s="49"/>
      <c r="BF121" s="49"/>
      <c r="BG121" s="49"/>
      <c r="BH121" s="49"/>
      <c r="BI121" s="49"/>
      <c r="BJ121" s="49"/>
      <c r="BK121" s="111" t="s">
        <v>2782</v>
      </c>
      <c r="BL121" s="111" t="s">
        <v>2782</v>
      </c>
      <c r="BM121" s="111" t="s">
        <v>2782</v>
      </c>
      <c r="BN121" s="111" t="s">
        <v>2782</v>
      </c>
      <c r="BO121" s="2"/>
      <c r="BP121" s="3"/>
      <c r="BQ121" s="3"/>
      <c r="BR121" s="3"/>
      <c r="BS121" s="3"/>
    </row>
    <row r="122" spans="1:71" ht="15">
      <c r="A122" s="65" t="s">
        <v>347</v>
      </c>
      <c r="B122" s="66"/>
      <c r="C122" s="66"/>
      <c r="D122" s="67">
        <v>150</v>
      </c>
      <c r="E122" s="69"/>
      <c r="F122" s="103" t="str">
        <f>HYPERLINK("https://yt3.ggpht.com/ytc/AKedOLRYu09glsWpRjkTf3kac6QYpmkpYtYYx5MJWQ=s88-c-k-c0x00ffffff-no-rj")</f>
        <v>https://yt3.ggpht.com/ytc/AKedOLRYu09glsWpRjkTf3kac6QYpmkpYtYYx5MJWQ=s88-c-k-c0x00ffffff-no-rj</v>
      </c>
      <c r="G122" s="66"/>
      <c r="H122" s="70" t="s">
        <v>1676</v>
      </c>
      <c r="I122" s="71"/>
      <c r="J122" s="71" t="s">
        <v>159</v>
      </c>
      <c r="K122" s="70" t="s">
        <v>1676</v>
      </c>
      <c r="L122" s="74">
        <v>1</v>
      </c>
      <c r="M122" s="75">
        <v>617.8423461914062</v>
      </c>
      <c r="N122" s="75">
        <v>5831.818359375</v>
      </c>
      <c r="O122" s="76"/>
      <c r="P122" s="77"/>
      <c r="Q122" s="77"/>
      <c r="R122" s="89"/>
      <c r="S122" s="49">
        <v>0</v>
      </c>
      <c r="T122" s="49">
        <v>1</v>
      </c>
      <c r="U122" s="50">
        <v>0</v>
      </c>
      <c r="V122" s="50">
        <v>0.005236</v>
      </c>
      <c r="W122" s="50">
        <v>0</v>
      </c>
      <c r="X122" s="50">
        <v>0.570176</v>
      </c>
      <c r="Y122" s="50">
        <v>0</v>
      </c>
      <c r="Z122" s="50">
        <v>0</v>
      </c>
      <c r="AA122" s="72">
        <v>122</v>
      </c>
      <c r="AB122" s="72"/>
      <c r="AC122" s="73"/>
      <c r="AD122" s="80" t="s">
        <v>1676</v>
      </c>
      <c r="AE122" s="80"/>
      <c r="AF122" s="80"/>
      <c r="AG122" s="80"/>
      <c r="AH122" s="80"/>
      <c r="AI122" s="80"/>
      <c r="AJ122" s="87">
        <v>42224.642476851855</v>
      </c>
      <c r="AK122" s="85" t="str">
        <f>HYPERLINK("https://yt3.ggpht.com/ytc/AKedOLRYu09glsWpRjkTf3kac6QYpmkpYtYYx5MJWQ=s88-c-k-c0x00ffffff-no-rj")</f>
        <v>https://yt3.ggpht.com/ytc/AKedOLRYu09glsWpRjkTf3kac6QYpmkpYtYYx5MJWQ=s88-c-k-c0x00ffffff-no-rj</v>
      </c>
      <c r="AL122" s="80">
        <v>0</v>
      </c>
      <c r="AM122" s="80">
        <v>0</v>
      </c>
      <c r="AN122" s="80">
        <v>2</v>
      </c>
      <c r="AO122" s="80" t="b">
        <v>0</v>
      </c>
      <c r="AP122" s="80">
        <v>0</v>
      </c>
      <c r="AQ122" s="80"/>
      <c r="AR122" s="80"/>
      <c r="AS122" s="80" t="s">
        <v>3412</v>
      </c>
      <c r="AT122" s="85" t="str">
        <f>HYPERLINK("https://www.youtube.com/channel/UC-m58WoB59jbQ7eCLqdwMDA")</f>
        <v>https://www.youtube.com/channel/UC-m58WoB59jbQ7eCLqdwMDA</v>
      </c>
      <c r="AU122" s="80" t="str">
        <f>REPLACE(INDEX(GroupVertices[Group],MATCH(Vertices[[#This Row],[Vertex]],GroupVertices[Vertex],0)),1,1,"")</f>
        <v>2</v>
      </c>
      <c r="AV122" s="49">
        <v>1</v>
      </c>
      <c r="AW122" s="50">
        <v>33.333333333333336</v>
      </c>
      <c r="AX122" s="49">
        <v>0</v>
      </c>
      <c r="AY122" s="50">
        <v>0</v>
      </c>
      <c r="AZ122" s="49">
        <v>0</v>
      </c>
      <c r="BA122" s="50">
        <v>0</v>
      </c>
      <c r="BB122" s="49">
        <v>2</v>
      </c>
      <c r="BC122" s="50">
        <v>66.66666666666667</v>
      </c>
      <c r="BD122" s="49">
        <v>3</v>
      </c>
      <c r="BE122" s="49"/>
      <c r="BF122" s="49"/>
      <c r="BG122" s="49"/>
      <c r="BH122" s="49"/>
      <c r="BI122" s="49"/>
      <c r="BJ122" s="49"/>
      <c r="BK122" s="111" t="s">
        <v>4512</v>
      </c>
      <c r="BL122" s="111" t="s">
        <v>4512</v>
      </c>
      <c r="BM122" s="111" t="s">
        <v>4992</v>
      </c>
      <c r="BN122" s="111" t="s">
        <v>4992</v>
      </c>
      <c r="BO122" s="2"/>
      <c r="BP122" s="3"/>
      <c r="BQ122" s="3"/>
      <c r="BR122" s="3"/>
      <c r="BS122" s="3"/>
    </row>
    <row r="123" spans="1:71" ht="15">
      <c r="A123" s="65" t="s">
        <v>351</v>
      </c>
      <c r="B123" s="66"/>
      <c r="C123" s="66"/>
      <c r="D123" s="67">
        <v>382.73809523809524</v>
      </c>
      <c r="E123" s="69"/>
      <c r="F123" s="103" t="str">
        <f>HYPERLINK("https://yt3.ggpht.com/ytc/AKedOLTePfFGXH3WD9pEVgB-kcgDLI-H2sFvfAxIfyzc=s88-c-k-c0x00ffffff-no-rj")</f>
        <v>https://yt3.ggpht.com/ytc/AKedOLTePfFGXH3WD9pEVgB-kcgDLI-H2sFvfAxIfyzc=s88-c-k-c0x00ffffff-no-rj</v>
      </c>
      <c r="G123" s="66"/>
      <c r="H123" s="70" t="s">
        <v>1680</v>
      </c>
      <c r="I123" s="71"/>
      <c r="J123" s="71" t="s">
        <v>75</v>
      </c>
      <c r="K123" s="70" t="s">
        <v>1680</v>
      </c>
      <c r="L123" s="74">
        <v>126.46595373199476</v>
      </c>
      <c r="M123" s="75">
        <v>914.8525390625</v>
      </c>
      <c r="N123" s="75">
        <v>5095.2275390625</v>
      </c>
      <c r="O123" s="76"/>
      <c r="P123" s="77"/>
      <c r="Q123" s="77"/>
      <c r="R123" s="89"/>
      <c r="S123" s="49">
        <v>4</v>
      </c>
      <c r="T123" s="49">
        <v>1</v>
      </c>
      <c r="U123" s="50">
        <v>460</v>
      </c>
      <c r="V123" s="50">
        <v>0.007576</v>
      </c>
      <c r="W123" s="50">
        <v>0</v>
      </c>
      <c r="X123" s="50">
        <v>2.471627</v>
      </c>
      <c r="Y123" s="50">
        <v>0</v>
      </c>
      <c r="Z123" s="50">
        <v>0</v>
      </c>
      <c r="AA123" s="72">
        <v>123</v>
      </c>
      <c r="AB123" s="72"/>
      <c r="AC123" s="73"/>
      <c r="AD123" s="80" t="s">
        <v>1680</v>
      </c>
      <c r="AE123" s="80" t="s">
        <v>2853</v>
      </c>
      <c r="AF123" s="80"/>
      <c r="AG123" s="80"/>
      <c r="AH123" s="80"/>
      <c r="AI123" s="80" t="s">
        <v>3035</v>
      </c>
      <c r="AJ123" s="80" t="s">
        <v>3178</v>
      </c>
      <c r="AK123" s="85" t="str">
        <f>HYPERLINK("https://yt3.ggpht.com/ytc/AKedOLTePfFGXH3WD9pEVgB-kcgDLI-H2sFvfAxIfyzc=s88-c-k-c0x00ffffff-no-rj")</f>
        <v>https://yt3.ggpht.com/ytc/AKedOLTePfFGXH3WD9pEVgB-kcgDLI-H2sFvfAxIfyzc=s88-c-k-c0x00ffffff-no-rj</v>
      </c>
      <c r="AL123" s="80">
        <v>93294</v>
      </c>
      <c r="AM123" s="80">
        <v>0</v>
      </c>
      <c r="AN123" s="80">
        <v>2100</v>
      </c>
      <c r="AO123" s="80" t="b">
        <v>0</v>
      </c>
      <c r="AP123" s="80">
        <v>242</v>
      </c>
      <c r="AQ123" s="80"/>
      <c r="AR123" s="80"/>
      <c r="AS123" s="80" t="s">
        <v>3412</v>
      </c>
      <c r="AT123" s="85" t="str">
        <f>HYPERLINK("https://www.youtube.com/channel/UCt33zV2vZmhZJUWgLEMjx6w")</f>
        <v>https://www.youtube.com/channel/UCt33zV2vZmhZJUWgLEMjx6w</v>
      </c>
      <c r="AU123" s="80" t="str">
        <f>REPLACE(INDEX(GroupVertices[Group],MATCH(Vertices[[#This Row],[Vertex]],GroupVertices[Vertex],0)),1,1,"")</f>
        <v>2</v>
      </c>
      <c r="AV123" s="49">
        <v>1</v>
      </c>
      <c r="AW123" s="50">
        <v>25</v>
      </c>
      <c r="AX123" s="49">
        <v>0</v>
      </c>
      <c r="AY123" s="50">
        <v>0</v>
      </c>
      <c r="AZ123" s="49">
        <v>0</v>
      </c>
      <c r="BA123" s="50">
        <v>0</v>
      </c>
      <c r="BB123" s="49">
        <v>3</v>
      </c>
      <c r="BC123" s="50">
        <v>75</v>
      </c>
      <c r="BD123" s="49">
        <v>4</v>
      </c>
      <c r="BE123" s="49"/>
      <c r="BF123" s="49"/>
      <c r="BG123" s="49"/>
      <c r="BH123" s="49"/>
      <c r="BI123" s="49"/>
      <c r="BJ123" s="49"/>
      <c r="BK123" s="111" t="s">
        <v>4513</v>
      </c>
      <c r="BL123" s="111" t="s">
        <v>4513</v>
      </c>
      <c r="BM123" s="111" t="s">
        <v>4993</v>
      </c>
      <c r="BN123" s="111" t="s">
        <v>4993</v>
      </c>
      <c r="BO123" s="2"/>
      <c r="BP123" s="3"/>
      <c r="BQ123" s="3"/>
      <c r="BR123" s="3"/>
      <c r="BS123" s="3"/>
    </row>
    <row r="124" spans="1:71" ht="15">
      <c r="A124" s="65" t="s">
        <v>348</v>
      </c>
      <c r="B124" s="66"/>
      <c r="C124" s="66"/>
      <c r="D124" s="67">
        <v>150</v>
      </c>
      <c r="E124" s="69"/>
      <c r="F124" s="103" t="str">
        <f>HYPERLINK("https://yt3.ggpht.com/ytc/AKedOLQQ36JDq7TW1LL_oyeOC6Xg7w3dTBNsB-_gHw=s88-c-k-c0x00ffffff-no-rj")</f>
        <v>https://yt3.ggpht.com/ytc/AKedOLQQ36JDq7TW1LL_oyeOC6Xg7w3dTBNsB-_gHw=s88-c-k-c0x00ffffff-no-rj</v>
      </c>
      <c r="G124" s="66"/>
      <c r="H124" s="70" t="s">
        <v>1677</v>
      </c>
      <c r="I124" s="71"/>
      <c r="J124" s="71" t="s">
        <v>159</v>
      </c>
      <c r="K124" s="70" t="s">
        <v>1677</v>
      </c>
      <c r="L124" s="74">
        <v>1</v>
      </c>
      <c r="M124" s="75">
        <v>267.17022705078125</v>
      </c>
      <c r="N124" s="75">
        <v>5289.92724609375</v>
      </c>
      <c r="O124" s="76"/>
      <c r="P124" s="77"/>
      <c r="Q124" s="77"/>
      <c r="R124" s="89"/>
      <c r="S124" s="49">
        <v>0</v>
      </c>
      <c r="T124" s="49">
        <v>1</v>
      </c>
      <c r="U124" s="50">
        <v>0</v>
      </c>
      <c r="V124" s="50">
        <v>0.005236</v>
      </c>
      <c r="W124" s="50">
        <v>0</v>
      </c>
      <c r="X124" s="50">
        <v>0.570176</v>
      </c>
      <c r="Y124" s="50">
        <v>0</v>
      </c>
      <c r="Z124" s="50">
        <v>0</v>
      </c>
      <c r="AA124" s="72">
        <v>124</v>
      </c>
      <c r="AB124" s="72"/>
      <c r="AC124" s="73"/>
      <c r="AD124" s="80" t="s">
        <v>1677</v>
      </c>
      <c r="AE124" s="80"/>
      <c r="AF124" s="80"/>
      <c r="AG124" s="80"/>
      <c r="AH124" s="80"/>
      <c r="AI124" s="80"/>
      <c r="AJ124" s="80" t="s">
        <v>3179</v>
      </c>
      <c r="AK124" s="85" t="str">
        <f>HYPERLINK("https://yt3.ggpht.com/ytc/AKedOLQQ36JDq7TW1LL_oyeOC6Xg7w3dTBNsB-_gHw=s88-c-k-c0x00ffffff-no-rj")</f>
        <v>https://yt3.ggpht.com/ytc/AKedOLQQ36JDq7TW1LL_oyeOC6Xg7w3dTBNsB-_gHw=s88-c-k-c0x00ffffff-no-rj</v>
      </c>
      <c r="AL124" s="80">
        <v>0</v>
      </c>
      <c r="AM124" s="80">
        <v>0</v>
      </c>
      <c r="AN124" s="80">
        <v>0</v>
      </c>
      <c r="AO124" s="80" t="b">
        <v>0</v>
      </c>
      <c r="AP124" s="80">
        <v>0</v>
      </c>
      <c r="AQ124" s="80"/>
      <c r="AR124" s="80"/>
      <c r="AS124" s="80" t="s">
        <v>3412</v>
      </c>
      <c r="AT124" s="85" t="str">
        <f>HYPERLINK("https://www.youtube.com/channel/UC3QAEUb-78-9WR5oRjzK6LQ")</f>
        <v>https://www.youtube.com/channel/UC3QAEUb-78-9WR5oRjzK6LQ</v>
      </c>
      <c r="AU124" s="80" t="str">
        <f>REPLACE(INDEX(GroupVertices[Group],MATCH(Vertices[[#This Row],[Vertex]],GroupVertices[Vertex],0)),1,1,"")</f>
        <v>2</v>
      </c>
      <c r="AV124" s="49">
        <v>1</v>
      </c>
      <c r="AW124" s="50">
        <v>33.333333333333336</v>
      </c>
      <c r="AX124" s="49">
        <v>0</v>
      </c>
      <c r="AY124" s="50">
        <v>0</v>
      </c>
      <c r="AZ124" s="49">
        <v>0</v>
      </c>
      <c r="BA124" s="50">
        <v>0</v>
      </c>
      <c r="BB124" s="49">
        <v>2</v>
      </c>
      <c r="BC124" s="50">
        <v>66.66666666666667</v>
      </c>
      <c r="BD124" s="49">
        <v>3</v>
      </c>
      <c r="BE124" s="49"/>
      <c r="BF124" s="49"/>
      <c r="BG124" s="49"/>
      <c r="BH124" s="49"/>
      <c r="BI124" s="49"/>
      <c r="BJ124" s="49"/>
      <c r="BK124" s="111" t="s">
        <v>4512</v>
      </c>
      <c r="BL124" s="111" t="s">
        <v>4512</v>
      </c>
      <c r="BM124" s="111" t="s">
        <v>4992</v>
      </c>
      <c r="BN124" s="111" t="s">
        <v>4992</v>
      </c>
      <c r="BO124" s="2"/>
      <c r="BP124" s="3"/>
      <c r="BQ124" s="3"/>
      <c r="BR124" s="3"/>
      <c r="BS124" s="3"/>
    </row>
    <row r="125" spans="1:71" ht="15">
      <c r="A125" s="65" t="s">
        <v>349</v>
      </c>
      <c r="B125" s="66"/>
      <c r="C125" s="66"/>
      <c r="D125" s="67">
        <v>150</v>
      </c>
      <c r="E125" s="69"/>
      <c r="F125" s="103" t="str">
        <f>HYPERLINK("https://yt3.ggpht.com/ytc/AKedOLQPt-c3fcYtsjXdEP3KKtspTLHcMBxCyzQGsw=s88-c-k-c0x00ffffff-no-rj")</f>
        <v>https://yt3.ggpht.com/ytc/AKedOLQPt-c3fcYtsjXdEP3KKtspTLHcMBxCyzQGsw=s88-c-k-c0x00ffffff-no-rj</v>
      </c>
      <c r="G125" s="66"/>
      <c r="H125" s="70" t="s">
        <v>1678</v>
      </c>
      <c r="I125" s="71"/>
      <c r="J125" s="71" t="s">
        <v>159</v>
      </c>
      <c r="K125" s="70" t="s">
        <v>1678</v>
      </c>
      <c r="L125" s="74">
        <v>1</v>
      </c>
      <c r="M125" s="75">
        <v>415.49114990234375</v>
      </c>
      <c r="N125" s="75">
        <v>5581.681640625</v>
      </c>
      <c r="O125" s="76"/>
      <c r="P125" s="77"/>
      <c r="Q125" s="77"/>
      <c r="R125" s="89"/>
      <c r="S125" s="49">
        <v>0</v>
      </c>
      <c r="T125" s="49">
        <v>1</v>
      </c>
      <c r="U125" s="50">
        <v>0</v>
      </c>
      <c r="V125" s="50">
        <v>0.005236</v>
      </c>
      <c r="W125" s="50">
        <v>0</v>
      </c>
      <c r="X125" s="50">
        <v>0.570176</v>
      </c>
      <c r="Y125" s="50">
        <v>0</v>
      </c>
      <c r="Z125" s="50">
        <v>0</v>
      </c>
      <c r="AA125" s="72">
        <v>125</v>
      </c>
      <c r="AB125" s="72"/>
      <c r="AC125" s="73"/>
      <c r="AD125" s="80" t="s">
        <v>1678</v>
      </c>
      <c r="AE125" s="80"/>
      <c r="AF125" s="80"/>
      <c r="AG125" s="80"/>
      <c r="AH125" s="80"/>
      <c r="AI125" s="80"/>
      <c r="AJ125" s="87">
        <v>40637.96591435185</v>
      </c>
      <c r="AK125" s="85" t="str">
        <f>HYPERLINK("https://yt3.ggpht.com/ytc/AKedOLQPt-c3fcYtsjXdEP3KKtspTLHcMBxCyzQGsw=s88-c-k-c0x00ffffff-no-rj")</f>
        <v>https://yt3.ggpht.com/ytc/AKedOLQPt-c3fcYtsjXdEP3KKtspTLHcMBxCyzQGsw=s88-c-k-c0x00ffffff-no-rj</v>
      </c>
      <c r="AL125" s="80">
        <v>0</v>
      </c>
      <c r="AM125" s="80">
        <v>0</v>
      </c>
      <c r="AN125" s="80">
        <v>1</v>
      </c>
      <c r="AO125" s="80" t="b">
        <v>0</v>
      </c>
      <c r="AP125" s="80">
        <v>0</v>
      </c>
      <c r="AQ125" s="80"/>
      <c r="AR125" s="80"/>
      <c r="AS125" s="80" t="s">
        <v>3412</v>
      </c>
      <c r="AT125" s="85" t="str">
        <f>HYPERLINK("https://www.youtube.com/channel/UCexPcgS5YwEpk9tGUQFuQbg")</f>
        <v>https://www.youtube.com/channel/UCexPcgS5YwEpk9tGUQFuQbg</v>
      </c>
      <c r="AU125" s="80" t="str">
        <f>REPLACE(INDEX(GroupVertices[Group],MATCH(Vertices[[#This Row],[Vertex]],GroupVertices[Vertex],0)),1,1,"")</f>
        <v>2</v>
      </c>
      <c r="AV125" s="49">
        <v>1</v>
      </c>
      <c r="AW125" s="50">
        <v>50</v>
      </c>
      <c r="AX125" s="49">
        <v>0</v>
      </c>
      <c r="AY125" s="50">
        <v>0</v>
      </c>
      <c r="AZ125" s="49">
        <v>0</v>
      </c>
      <c r="BA125" s="50">
        <v>0</v>
      </c>
      <c r="BB125" s="49">
        <v>1</v>
      </c>
      <c r="BC125" s="50">
        <v>50</v>
      </c>
      <c r="BD125" s="49">
        <v>2</v>
      </c>
      <c r="BE125" s="49"/>
      <c r="BF125" s="49"/>
      <c r="BG125" s="49"/>
      <c r="BH125" s="49"/>
      <c r="BI125" s="49"/>
      <c r="BJ125" s="49"/>
      <c r="BK125" s="111" t="s">
        <v>4514</v>
      </c>
      <c r="BL125" s="111" t="s">
        <v>4514</v>
      </c>
      <c r="BM125" s="111" t="s">
        <v>4339</v>
      </c>
      <c r="BN125" s="111" t="s">
        <v>4339</v>
      </c>
      <c r="BO125" s="2"/>
      <c r="BP125" s="3"/>
      <c r="BQ125" s="3"/>
      <c r="BR125" s="3"/>
      <c r="BS125" s="3"/>
    </row>
    <row r="126" spans="1:71" ht="15">
      <c r="A126" s="65" t="s">
        <v>350</v>
      </c>
      <c r="B126" s="66"/>
      <c r="C126" s="66"/>
      <c r="D126" s="67">
        <v>150</v>
      </c>
      <c r="E126" s="69"/>
      <c r="F126" s="103" t="str">
        <f>HYPERLINK("https://yt3.ggpht.com/ytc/AKedOLQcMnmerBawS5CgHVVkKW7HrlYSf8eAy9ej9Q=s88-c-k-c0x00ffffff-no-rj")</f>
        <v>https://yt3.ggpht.com/ytc/AKedOLQcMnmerBawS5CgHVVkKW7HrlYSf8eAy9ej9Q=s88-c-k-c0x00ffffff-no-rj</v>
      </c>
      <c r="G126" s="66"/>
      <c r="H126" s="70" t="s">
        <v>1679</v>
      </c>
      <c r="I126" s="71"/>
      <c r="J126" s="71" t="s">
        <v>159</v>
      </c>
      <c r="K126" s="70" t="s">
        <v>1679</v>
      </c>
      <c r="L126" s="74">
        <v>1</v>
      </c>
      <c r="M126" s="75">
        <v>178.55357360839844</v>
      </c>
      <c r="N126" s="75">
        <v>4970.0126953125</v>
      </c>
      <c r="O126" s="76"/>
      <c r="P126" s="77"/>
      <c r="Q126" s="77"/>
      <c r="R126" s="89"/>
      <c r="S126" s="49">
        <v>0</v>
      </c>
      <c r="T126" s="49">
        <v>1</v>
      </c>
      <c r="U126" s="50">
        <v>0</v>
      </c>
      <c r="V126" s="50">
        <v>0.005236</v>
      </c>
      <c r="W126" s="50">
        <v>0</v>
      </c>
      <c r="X126" s="50">
        <v>0.570176</v>
      </c>
      <c r="Y126" s="50">
        <v>0</v>
      </c>
      <c r="Z126" s="50">
        <v>0</v>
      </c>
      <c r="AA126" s="72">
        <v>126</v>
      </c>
      <c r="AB126" s="72"/>
      <c r="AC126" s="73"/>
      <c r="AD126" s="80" t="s">
        <v>1679</v>
      </c>
      <c r="AE126" s="80"/>
      <c r="AF126" s="80"/>
      <c r="AG126" s="80"/>
      <c r="AH126" s="80"/>
      <c r="AI126" s="80"/>
      <c r="AJ126" s="80" t="s">
        <v>3180</v>
      </c>
      <c r="AK126" s="85" t="str">
        <f>HYPERLINK("https://yt3.ggpht.com/ytc/AKedOLQcMnmerBawS5CgHVVkKW7HrlYSf8eAy9ej9Q=s88-c-k-c0x00ffffff-no-rj")</f>
        <v>https://yt3.ggpht.com/ytc/AKedOLQcMnmerBawS5CgHVVkKW7HrlYSf8eAy9ej9Q=s88-c-k-c0x00ffffff-no-rj</v>
      </c>
      <c r="AL126" s="80">
        <v>0</v>
      </c>
      <c r="AM126" s="80">
        <v>0</v>
      </c>
      <c r="AN126" s="80">
        <v>0</v>
      </c>
      <c r="AO126" s="80" t="b">
        <v>0</v>
      </c>
      <c r="AP126" s="80">
        <v>0</v>
      </c>
      <c r="AQ126" s="80"/>
      <c r="AR126" s="80"/>
      <c r="AS126" s="80" t="s">
        <v>3412</v>
      </c>
      <c r="AT126" s="85" t="str">
        <f>HYPERLINK("https://www.youtube.com/channel/UC1E9RN8uVLv22LJu2HovsNQ")</f>
        <v>https://www.youtube.com/channel/UC1E9RN8uVLv22LJu2HovsNQ</v>
      </c>
      <c r="AU126" s="80" t="str">
        <f>REPLACE(INDEX(GroupVertices[Group],MATCH(Vertices[[#This Row],[Vertex]],GroupVertices[Vertex],0)),1,1,"")</f>
        <v>2</v>
      </c>
      <c r="AV126" s="49">
        <v>1</v>
      </c>
      <c r="AW126" s="50">
        <v>50</v>
      </c>
      <c r="AX126" s="49">
        <v>0</v>
      </c>
      <c r="AY126" s="50">
        <v>0</v>
      </c>
      <c r="AZ126" s="49">
        <v>0</v>
      </c>
      <c r="BA126" s="50">
        <v>0</v>
      </c>
      <c r="BB126" s="49">
        <v>1</v>
      </c>
      <c r="BC126" s="50">
        <v>50</v>
      </c>
      <c r="BD126" s="49">
        <v>2</v>
      </c>
      <c r="BE126" s="49"/>
      <c r="BF126" s="49"/>
      <c r="BG126" s="49"/>
      <c r="BH126" s="49"/>
      <c r="BI126" s="49"/>
      <c r="BJ126" s="49"/>
      <c r="BK126" s="111" t="s">
        <v>3461</v>
      </c>
      <c r="BL126" s="111" t="s">
        <v>3461</v>
      </c>
      <c r="BM126" s="111" t="s">
        <v>2782</v>
      </c>
      <c r="BN126" s="111" t="s">
        <v>2782</v>
      </c>
      <c r="BO126" s="2"/>
      <c r="BP126" s="3"/>
      <c r="BQ126" s="3"/>
      <c r="BR126" s="3"/>
      <c r="BS126" s="3"/>
    </row>
    <row r="127" spans="1:71" ht="15">
      <c r="A127" s="65" t="s">
        <v>352</v>
      </c>
      <c r="B127" s="66"/>
      <c r="C127" s="66"/>
      <c r="D127" s="67">
        <v>150</v>
      </c>
      <c r="E127" s="69"/>
      <c r="F127" s="103" t="str">
        <f>HYPERLINK("https://yt3.ggpht.com/ytc/AKedOLQXd0M9vcVFNa5yVrCzjjhYrq6RmFE3g6WB0JPl=s88-c-k-c0x00ffffff-no-rj")</f>
        <v>https://yt3.ggpht.com/ytc/AKedOLQXd0M9vcVFNa5yVrCzjjhYrq6RmFE3g6WB0JPl=s88-c-k-c0x00ffffff-no-rj</v>
      </c>
      <c r="G127" s="66"/>
      <c r="H127" s="70" t="s">
        <v>1681</v>
      </c>
      <c r="I127" s="71"/>
      <c r="J127" s="71" t="s">
        <v>159</v>
      </c>
      <c r="K127" s="70" t="s">
        <v>1681</v>
      </c>
      <c r="L127" s="74">
        <v>1</v>
      </c>
      <c r="M127" s="75">
        <v>1211.366455078125</v>
      </c>
      <c r="N127" s="75">
        <v>5030.66748046875</v>
      </c>
      <c r="O127" s="76"/>
      <c r="P127" s="77"/>
      <c r="Q127" s="77"/>
      <c r="R127" s="89"/>
      <c r="S127" s="49">
        <v>0</v>
      </c>
      <c r="T127" s="49">
        <v>1</v>
      </c>
      <c r="U127" s="50">
        <v>0</v>
      </c>
      <c r="V127" s="50">
        <v>0.007143</v>
      </c>
      <c r="W127" s="50">
        <v>0</v>
      </c>
      <c r="X127" s="50">
        <v>0.533027</v>
      </c>
      <c r="Y127" s="50">
        <v>0</v>
      </c>
      <c r="Z127" s="50">
        <v>0</v>
      </c>
      <c r="AA127" s="72">
        <v>127</v>
      </c>
      <c r="AB127" s="72"/>
      <c r="AC127" s="73"/>
      <c r="AD127" s="80" t="s">
        <v>1681</v>
      </c>
      <c r="AE127" s="80"/>
      <c r="AF127" s="80"/>
      <c r="AG127" s="80"/>
      <c r="AH127" s="80"/>
      <c r="AI127" s="80"/>
      <c r="AJ127" s="87">
        <v>44470.91836805556</v>
      </c>
      <c r="AK127" s="85" t="str">
        <f>HYPERLINK("https://yt3.ggpht.com/ytc/AKedOLQXd0M9vcVFNa5yVrCzjjhYrq6RmFE3g6WB0JPl=s88-c-k-c0x00ffffff-no-rj")</f>
        <v>https://yt3.ggpht.com/ytc/AKedOLQXd0M9vcVFNa5yVrCzjjhYrq6RmFE3g6WB0JPl=s88-c-k-c0x00ffffff-no-rj</v>
      </c>
      <c r="AL127" s="80">
        <v>0</v>
      </c>
      <c r="AM127" s="80">
        <v>0</v>
      </c>
      <c r="AN127" s="80">
        <v>0</v>
      </c>
      <c r="AO127" s="80" t="b">
        <v>0</v>
      </c>
      <c r="AP127" s="80">
        <v>0</v>
      </c>
      <c r="AQ127" s="80"/>
      <c r="AR127" s="80"/>
      <c r="AS127" s="80" t="s">
        <v>3412</v>
      </c>
      <c r="AT127" s="85" t="str">
        <f>HYPERLINK("https://www.youtube.com/channel/UCTbFzUA5kbLE-JO7xhNpAbA")</f>
        <v>https://www.youtube.com/channel/UCTbFzUA5kbLE-JO7xhNpAbA</v>
      </c>
      <c r="AU127" s="80" t="str">
        <f>REPLACE(INDEX(GroupVertices[Group],MATCH(Vertices[[#This Row],[Vertex]],GroupVertices[Vertex],0)),1,1,"")</f>
        <v>2</v>
      </c>
      <c r="AV127" s="49">
        <v>1</v>
      </c>
      <c r="AW127" s="50">
        <v>50</v>
      </c>
      <c r="AX127" s="49">
        <v>0</v>
      </c>
      <c r="AY127" s="50">
        <v>0</v>
      </c>
      <c r="AZ127" s="49">
        <v>0</v>
      </c>
      <c r="BA127" s="50">
        <v>0</v>
      </c>
      <c r="BB127" s="49">
        <v>1</v>
      </c>
      <c r="BC127" s="50">
        <v>50</v>
      </c>
      <c r="BD127" s="49">
        <v>2</v>
      </c>
      <c r="BE127" s="49"/>
      <c r="BF127" s="49"/>
      <c r="BG127" s="49"/>
      <c r="BH127" s="49"/>
      <c r="BI127" s="49"/>
      <c r="BJ127" s="49"/>
      <c r="BK127" s="111" t="s">
        <v>4515</v>
      </c>
      <c r="BL127" s="111" t="s">
        <v>4515</v>
      </c>
      <c r="BM127" s="111" t="s">
        <v>4317</v>
      </c>
      <c r="BN127" s="111" t="s">
        <v>4317</v>
      </c>
      <c r="BO127" s="2"/>
      <c r="BP127" s="3"/>
      <c r="BQ127" s="3"/>
      <c r="BR127" s="3"/>
      <c r="BS127" s="3"/>
    </row>
    <row r="128" spans="1:71" ht="15">
      <c r="A128" s="65" t="s">
        <v>353</v>
      </c>
      <c r="B128" s="66"/>
      <c r="C128" s="66"/>
      <c r="D128" s="67">
        <v>150</v>
      </c>
      <c r="E128" s="69"/>
      <c r="F128" s="103" t="str">
        <f>HYPERLINK("https://yt3.ggpht.com/ytc/AKedOLTEIA63yG6RcT0eJoMVrR408JwrBN3OqociDwWu=s88-c-k-c0x00ffffff-no-rj")</f>
        <v>https://yt3.ggpht.com/ytc/AKedOLTEIA63yG6RcT0eJoMVrR408JwrBN3OqociDwWu=s88-c-k-c0x00ffffff-no-rj</v>
      </c>
      <c r="G128" s="66"/>
      <c r="H128" s="70" t="s">
        <v>1682</v>
      </c>
      <c r="I128" s="71"/>
      <c r="J128" s="71" t="s">
        <v>159</v>
      </c>
      <c r="K128" s="70" t="s">
        <v>1682</v>
      </c>
      <c r="L128" s="74">
        <v>1</v>
      </c>
      <c r="M128" s="75">
        <v>1791.71337890625</v>
      </c>
      <c r="N128" s="75">
        <v>4318.77392578125</v>
      </c>
      <c r="O128" s="76"/>
      <c r="P128" s="77"/>
      <c r="Q128" s="77"/>
      <c r="R128" s="89"/>
      <c r="S128" s="49">
        <v>0</v>
      </c>
      <c r="T128" s="49">
        <v>1</v>
      </c>
      <c r="U128" s="50">
        <v>0</v>
      </c>
      <c r="V128" s="50">
        <v>0.007143</v>
      </c>
      <c r="W128" s="50">
        <v>0</v>
      </c>
      <c r="X128" s="50">
        <v>0.533027</v>
      </c>
      <c r="Y128" s="50">
        <v>0</v>
      </c>
      <c r="Z128" s="50">
        <v>0</v>
      </c>
      <c r="AA128" s="72">
        <v>128</v>
      </c>
      <c r="AB128" s="72"/>
      <c r="AC128" s="73"/>
      <c r="AD128" s="80" t="s">
        <v>1682</v>
      </c>
      <c r="AE128" s="80"/>
      <c r="AF128" s="80"/>
      <c r="AG128" s="80"/>
      <c r="AH128" s="80"/>
      <c r="AI128" s="80"/>
      <c r="AJ128" s="87">
        <v>44501.035416666666</v>
      </c>
      <c r="AK128" s="85" t="str">
        <f>HYPERLINK("https://yt3.ggpht.com/ytc/AKedOLTEIA63yG6RcT0eJoMVrR408JwrBN3OqociDwWu=s88-c-k-c0x00ffffff-no-rj")</f>
        <v>https://yt3.ggpht.com/ytc/AKedOLTEIA63yG6RcT0eJoMVrR408JwrBN3OqociDwWu=s88-c-k-c0x00ffffff-no-rj</v>
      </c>
      <c r="AL128" s="80">
        <v>0</v>
      </c>
      <c r="AM128" s="80">
        <v>0</v>
      </c>
      <c r="AN128" s="80">
        <v>0</v>
      </c>
      <c r="AO128" s="80" t="b">
        <v>0</v>
      </c>
      <c r="AP128" s="80">
        <v>0</v>
      </c>
      <c r="AQ128" s="80"/>
      <c r="AR128" s="80"/>
      <c r="AS128" s="80" t="s">
        <v>3412</v>
      </c>
      <c r="AT128" s="85" t="str">
        <f>HYPERLINK("https://www.youtube.com/channel/UCVvZhdlLqApr-IaFZn-PmCw")</f>
        <v>https://www.youtube.com/channel/UCVvZhdlLqApr-IaFZn-PmCw</v>
      </c>
      <c r="AU128" s="80" t="str">
        <f>REPLACE(INDEX(GroupVertices[Group],MATCH(Vertices[[#This Row],[Vertex]],GroupVertices[Vertex],0)),1,1,"")</f>
        <v>2</v>
      </c>
      <c r="AV128" s="49">
        <v>0</v>
      </c>
      <c r="AW128" s="50">
        <v>0</v>
      </c>
      <c r="AX128" s="49">
        <v>0</v>
      </c>
      <c r="AY128" s="50">
        <v>0</v>
      </c>
      <c r="AZ128" s="49">
        <v>0</v>
      </c>
      <c r="BA128" s="50">
        <v>0</v>
      </c>
      <c r="BB128" s="49">
        <v>0</v>
      </c>
      <c r="BC128" s="50">
        <v>0</v>
      </c>
      <c r="BD128" s="49">
        <v>0</v>
      </c>
      <c r="BE128" s="49"/>
      <c r="BF128" s="49"/>
      <c r="BG128" s="49"/>
      <c r="BH128" s="49"/>
      <c r="BI128" s="49"/>
      <c r="BJ128" s="49"/>
      <c r="BK128" s="111" t="s">
        <v>2782</v>
      </c>
      <c r="BL128" s="111" t="s">
        <v>2782</v>
      </c>
      <c r="BM128" s="111" t="s">
        <v>2782</v>
      </c>
      <c r="BN128" s="111" t="s">
        <v>2782</v>
      </c>
      <c r="BO128" s="2"/>
      <c r="BP128" s="3"/>
      <c r="BQ128" s="3"/>
      <c r="BR128" s="3"/>
      <c r="BS128" s="3"/>
    </row>
    <row r="129" spans="1:71" ht="15">
      <c r="A129" s="65" t="s">
        <v>354</v>
      </c>
      <c r="B129" s="66"/>
      <c r="C129" s="66"/>
      <c r="D129" s="67">
        <v>150</v>
      </c>
      <c r="E129" s="69"/>
      <c r="F129" s="103" t="str">
        <f>HYPERLINK("https://yt3.ggpht.com/ytc/AKedOLQnUOnjnscYP8niYpePChl0OfD_vgfUKQB-N-X5=s88-c-k-c0x00ffffff-no-rj")</f>
        <v>https://yt3.ggpht.com/ytc/AKedOLQnUOnjnscYP8niYpePChl0OfD_vgfUKQB-N-X5=s88-c-k-c0x00ffffff-no-rj</v>
      </c>
      <c r="G129" s="66"/>
      <c r="H129" s="70" t="s">
        <v>1683</v>
      </c>
      <c r="I129" s="71"/>
      <c r="J129" s="71" t="s">
        <v>159</v>
      </c>
      <c r="K129" s="70" t="s">
        <v>1683</v>
      </c>
      <c r="L129" s="74">
        <v>1</v>
      </c>
      <c r="M129" s="75">
        <v>2081.183349609375</v>
      </c>
      <c r="N129" s="75">
        <v>4344.0947265625</v>
      </c>
      <c r="O129" s="76"/>
      <c r="P129" s="77"/>
      <c r="Q129" s="77"/>
      <c r="R129" s="89"/>
      <c r="S129" s="49">
        <v>0</v>
      </c>
      <c r="T129" s="49">
        <v>1</v>
      </c>
      <c r="U129" s="50">
        <v>0</v>
      </c>
      <c r="V129" s="50">
        <v>0.007143</v>
      </c>
      <c r="W129" s="50">
        <v>0</v>
      </c>
      <c r="X129" s="50">
        <v>0.533027</v>
      </c>
      <c r="Y129" s="50">
        <v>0</v>
      </c>
      <c r="Z129" s="50">
        <v>0</v>
      </c>
      <c r="AA129" s="72">
        <v>129</v>
      </c>
      <c r="AB129" s="72"/>
      <c r="AC129" s="73"/>
      <c r="AD129" s="80" t="s">
        <v>1683</v>
      </c>
      <c r="AE129" s="80"/>
      <c r="AF129" s="80"/>
      <c r="AG129" s="80"/>
      <c r="AH129" s="80"/>
      <c r="AI129" s="80"/>
      <c r="AJ129" s="87">
        <v>44470.91916666667</v>
      </c>
      <c r="AK129" s="85" t="str">
        <f>HYPERLINK("https://yt3.ggpht.com/ytc/AKedOLQnUOnjnscYP8niYpePChl0OfD_vgfUKQB-N-X5=s88-c-k-c0x00ffffff-no-rj")</f>
        <v>https://yt3.ggpht.com/ytc/AKedOLQnUOnjnscYP8niYpePChl0OfD_vgfUKQB-N-X5=s88-c-k-c0x00ffffff-no-rj</v>
      </c>
      <c r="AL129" s="80">
        <v>0</v>
      </c>
      <c r="AM129" s="80">
        <v>0</v>
      </c>
      <c r="AN129" s="80">
        <v>0</v>
      </c>
      <c r="AO129" s="80" t="b">
        <v>0</v>
      </c>
      <c r="AP129" s="80">
        <v>0</v>
      </c>
      <c r="AQ129" s="80"/>
      <c r="AR129" s="80"/>
      <c r="AS129" s="80" t="s">
        <v>3412</v>
      </c>
      <c r="AT129" s="85" t="str">
        <f>HYPERLINK("https://www.youtube.com/channel/UCRWVRshFnDKbA4qpoFdOGiw")</f>
        <v>https://www.youtube.com/channel/UCRWVRshFnDKbA4qpoFdOGiw</v>
      </c>
      <c r="AU129" s="80" t="str">
        <f>REPLACE(INDEX(GroupVertices[Group],MATCH(Vertices[[#This Row],[Vertex]],GroupVertices[Vertex],0)),1,1,"")</f>
        <v>2</v>
      </c>
      <c r="AV129" s="49">
        <v>0</v>
      </c>
      <c r="AW129" s="50">
        <v>0</v>
      </c>
      <c r="AX129" s="49">
        <v>0</v>
      </c>
      <c r="AY129" s="50">
        <v>0</v>
      </c>
      <c r="AZ129" s="49">
        <v>0</v>
      </c>
      <c r="BA129" s="50">
        <v>0</v>
      </c>
      <c r="BB129" s="49">
        <v>0</v>
      </c>
      <c r="BC129" s="50">
        <v>0</v>
      </c>
      <c r="BD129" s="49">
        <v>0</v>
      </c>
      <c r="BE129" s="49"/>
      <c r="BF129" s="49"/>
      <c r="BG129" s="49"/>
      <c r="BH129" s="49"/>
      <c r="BI129" s="49"/>
      <c r="BJ129" s="49"/>
      <c r="BK129" s="111" t="s">
        <v>2782</v>
      </c>
      <c r="BL129" s="111" t="s">
        <v>2782</v>
      </c>
      <c r="BM129" s="111" t="s">
        <v>2782</v>
      </c>
      <c r="BN129" s="111" t="s">
        <v>2782</v>
      </c>
      <c r="BO129" s="2"/>
      <c r="BP129" s="3"/>
      <c r="BQ129" s="3"/>
      <c r="BR129" s="3"/>
      <c r="BS129" s="3"/>
    </row>
    <row r="130" spans="1:71" ht="15">
      <c r="A130" s="65" t="s">
        <v>355</v>
      </c>
      <c r="B130" s="66"/>
      <c r="C130" s="66"/>
      <c r="D130" s="67">
        <v>150</v>
      </c>
      <c r="E130" s="69"/>
      <c r="F130" s="103" t="str">
        <f>HYPERLINK("https://yt3.ggpht.com/ytc/AKedOLRoeFgxya-_Wwz4gMiXDhLxQAXLJrJKQgZ41IGsow=s88-c-k-c0x00ffffff-no-rj")</f>
        <v>https://yt3.ggpht.com/ytc/AKedOLRoeFgxya-_Wwz4gMiXDhLxQAXLJrJKQgZ41IGsow=s88-c-k-c0x00ffffff-no-rj</v>
      </c>
      <c r="G130" s="66"/>
      <c r="H130" s="70" t="s">
        <v>1684</v>
      </c>
      <c r="I130" s="71"/>
      <c r="J130" s="71" t="s">
        <v>159</v>
      </c>
      <c r="K130" s="70" t="s">
        <v>1684</v>
      </c>
      <c r="L130" s="74">
        <v>1</v>
      </c>
      <c r="M130" s="75">
        <v>973.4916381835938</v>
      </c>
      <c r="N130" s="75">
        <v>4410.18359375</v>
      </c>
      <c r="O130" s="76"/>
      <c r="P130" s="77"/>
      <c r="Q130" s="77"/>
      <c r="R130" s="89"/>
      <c r="S130" s="49">
        <v>0</v>
      </c>
      <c r="T130" s="49">
        <v>1</v>
      </c>
      <c r="U130" s="50">
        <v>0</v>
      </c>
      <c r="V130" s="50">
        <v>0.007143</v>
      </c>
      <c r="W130" s="50">
        <v>0</v>
      </c>
      <c r="X130" s="50">
        <v>0.533027</v>
      </c>
      <c r="Y130" s="50">
        <v>0</v>
      </c>
      <c r="Z130" s="50">
        <v>0</v>
      </c>
      <c r="AA130" s="72">
        <v>130</v>
      </c>
      <c r="AB130" s="72"/>
      <c r="AC130" s="73"/>
      <c r="AD130" s="80" t="s">
        <v>1684</v>
      </c>
      <c r="AE130" s="80" t="s">
        <v>2854</v>
      </c>
      <c r="AF130" s="80"/>
      <c r="AG130" s="80"/>
      <c r="AH130" s="80"/>
      <c r="AI130" s="80"/>
      <c r="AJ130" s="80" t="s">
        <v>3181</v>
      </c>
      <c r="AK130" s="85" t="str">
        <f>HYPERLINK("https://yt3.ggpht.com/ytc/AKedOLRoeFgxya-_Wwz4gMiXDhLxQAXLJrJKQgZ41IGsow=s88-c-k-c0x00ffffff-no-rj")</f>
        <v>https://yt3.ggpht.com/ytc/AKedOLRoeFgxya-_Wwz4gMiXDhLxQAXLJrJKQgZ41IGsow=s88-c-k-c0x00ffffff-no-rj</v>
      </c>
      <c r="AL130" s="80">
        <v>43806</v>
      </c>
      <c r="AM130" s="80">
        <v>0</v>
      </c>
      <c r="AN130" s="80">
        <v>0</v>
      </c>
      <c r="AO130" s="80" t="b">
        <v>1</v>
      </c>
      <c r="AP130" s="80">
        <v>97</v>
      </c>
      <c r="AQ130" s="80"/>
      <c r="AR130" s="80"/>
      <c r="AS130" s="80" t="s">
        <v>3412</v>
      </c>
      <c r="AT130" s="85" t="str">
        <f>HYPERLINK("https://www.youtube.com/channel/UC7bgOwCD0IJGIWpOJCPtAbQ")</f>
        <v>https://www.youtube.com/channel/UC7bgOwCD0IJGIWpOJCPtAbQ</v>
      </c>
      <c r="AU130" s="80" t="str">
        <f>REPLACE(INDEX(GroupVertices[Group],MATCH(Vertices[[#This Row],[Vertex]],GroupVertices[Vertex],0)),1,1,"")</f>
        <v>2</v>
      </c>
      <c r="AV130" s="49">
        <v>1</v>
      </c>
      <c r="AW130" s="50">
        <v>25</v>
      </c>
      <c r="AX130" s="49">
        <v>0</v>
      </c>
      <c r="AY130" s="50">
        <v>0</v>
      </c>
      <c r="AZ130" s="49">
        <v>0</v>
      </c>
      <c r="BA130" s="50">
        <v>0</v>
      </c>
      <c r="BB130" s="49">
        <v>3</v>
      </c>
      <c r="BC130" s="50">
        <v>75</v>
      </c>
      <c r="BD130" s="49">
        <v>4</v>
      </c>
      <c r="BE130" s="49"/>
      <c r="BF130" s="49"/>
      <c r="BG130" s="49"/>
      <c r="BH130" s="49"/>
      <c r="BI130" s="49"/>
      <c r="BJ130" s="49"/>
      <c r="BK130" s="111" t="s">
        <v>4516</v>
      </c>
      <c r="BL130" s="111" t="s">
        <v>4516</v>
      </c>
      <c r="BM130" s="111" t="s">
        <v>4994</v>
      </c>
      <c r="BN130" s="111" t="s">
        <v>4994</v>
      </c>
      <c r="BO130" s="2"/>
      <c r="BP130" s="3"/>
      <c r="BQ130" s="3"/>
      <c r="BR130" s="3"/>
      <c r="BS130" s="3"/>
    </row>
    <row r="131" spans="1:71" ht="15">
      <c r="A131" s="65" t="s">
        <v>356</v>
      </c>
      <c r="B131" s="66"/>
      <c r="C131" s="66"/>
      <c r="D131" s="67">
        <v>150</v>
      </c>
      <c r="E131" s="69"/>
      <c r="F131" s="103" t="str">
        <f>HYPERLINK("https://yt3.ggpht.com/ytc/AKedOLSEVe0z1s73xiCWzCuDaK5Q6vM26_s2e4InL8peYA=s88-c-k-c0x00ffffff-no-rj")</f>
        <v>https://yt3.ggpht.com/ytc/AKedOLSEVe0z1s73xiCWzCuDaK5Q6vM26_s2e4InL8peYA=s88-c-k-c0x00ffffff-no-rj</v>
      </c>
      <c r="G131" s="66"/>
      <c r="H131" s="70" t="s">
        <v>1685</v>
      </c>
      <c r="I131" s="71"/>
      <c r="J131" s="71" t="s">
        <v>159</v>
      </c>
      <c r="K131" s="70" t="s">
        <v>1685</v>
      </c>
      <c r="L131" s="74">
        <v>1</v>
      </c>
      <c r="M131" s="75">
        <v>1681.48828125</v>
      </c>
      <c r="N131" s="75">
        <v>5173.09326171875</v>
      </c>
      <c r="O131" s="76"/>
      <c r="P131" s="77"/>
      <c r="Q131" s="77"/>
      <c r="R131" s="89"/>
      <c r="S131" s="49">
        <v>0</v>
      </c>
      <c r="T131" s="49">
        <v>1</v>
      </c>
      <c r="U131" s="50">
        <v>0</v>
      </c>
      <c r="V131" s="50">
        <v>0.007143</v>
      </c>
      <c r="W131" s="50">
        <v>0</v>
      </c>
      <c r="X131" s="50">
        <v>0.533027</v>
      </c>
      <c r="Y131" s="50">
        <v>0</v>
      </c>
      <c r="Z131" s="50">
        <v>0</v>
      </c>
      <c r="AA131" s="72">
        <v>131</v>
      </c>
      <c r="AB131" s="72"/>
      <c r="AC131" s="73"/>
      <c r="AD131" s="80" t="s">
        <v>1685</v>
      </c>
      <c r="AE131" s="80" t="s">
        <v>2855</v>
      </c>
      <c r="AF131" s="80"/>
      <c r="AG131" s="80"/>
      <c r="AH131" s="80"/>
      <c r="AI131" s="80" t="s">
        <v>3036</v>
      </c>
      <c r="AJ131" s="80" t="s">
        <v>3182</v>
      </c>
      <c r="AK131" s="85" t="str">
        <f>HYPERLINK("https://yt3.ggpht.com/ytc/AKedOLSEVe0z1s73xiCWzCuDaK5Q6vM26_s2e4InL8peYA=s88-c-k-c0x00ffffff-no-rj")</f>
        <v>https://yt3.ggpht.com/ytc/AKedOLSEVe0z1s73xiCWzCuDaK5Q6vM26_s2e4InL8peYA=s88-c-k-c0x00ffffff-no-rj</v>
      </c>
      <c r="AL131" s="80">
        <v>193340</v>
      </c>
      <c r="AM131" s="80">
        <v>0</v>
      </c>
      <c r="AN131" s="80">
        <v>0</v>
      </c>
      <c r="AO131" s="80" t="b">
        <v>1</v>
      </c>
      <c r="AP131" s="80">
        <v>92</v>
      </c>
      <c r="AQ131" s="80"/>
      <c r="AR131" s="80"/>
      <c r="AS131" s="80" t="s">
        <v>3412</v>
      </c>
      <c r="AT131" s="85" t="str">
        <f>HYPERLINK("https://www.youtube.com/channel/UCgZeHhFlTwp92lwf6MMPb3A")</f>
        <v>https://www.youtube.com/channel/UCgZeHhFlTwp92lwf6MMPb3A</v>
      </c>
      <c r="AU131" s="80" t="str">
        <f>REPLACE(INDEX(GroupVertices[Group],MATCH(Vertices[[#This Row],[Vertex]],GroupVertices[Vertex],0)),1,1,"")</f>
        <v>2</v>
      </c>
      <c r="AV131" s="49">
        <v>1</v>
      </c>
      <c r="AW131" s="50">
        <v>33.333333333333336</v>
      </c>
      <c r="AX131" s="49">
        <v>0</v>
      </c>
      <c r="AY131" s="50">
        <v>0</v>
      </c>
      <c r="AZ131" s="49">
        <v>0</v>
      </c>
      <c r="BA131" s="50">
        <v>0</v>
      </c>
      <c r="BB131" s="49">
        <v>2</v>
      </c>
      <c r="BC131" s="50">
        <v>66.66666666666667</v>
      </c>
      <c r="BD131" s="49">
        <v>3</v>
      </c>
      <c r="BE131" s="49"/>
      <c r="BF131" s="49"/>
      <c r="BG131" s="49"/>
      <c r="BH131" s="49"/>
      <c r="BI131" s="49"/>
      <c r="BJ131" s="49"/>
      <c r="BK131" s="111" t="s">
        <v>4517</v>
      </c>
      <c r="BL131" s="111" t="s">
        <v>4517</v>
      </c>
      <c r="BM131" s="111" t="s">
        <v>4995</v>
      </c>
      <c r="BN131" s="111" t="s">
        <v>4995</v>
      </c>
      <c r="BO131" s="2"/>
      <c r="BP131" s="3"/>
      <c r="BQ131" s="3"/>
      <c r="BR131" s="3"/>
      <c r="BS131" s="3"/>
    </row>
    <row r="132" spans="1:71" ht="15">
      <c r="A132" s="65" t="s">
        <v>357</v>
      </c>
      <c r="B132" s="66"/>
      <c r="C132" s="66"/>
      <c r="D132" s="67">
        <v>150</v>
      </c>
      <c r="E132" s="69"/>
      <c r="F132" s="103" t="str">
        <f>HYPERLINK("https://yt3.ggpht.com/ytc/AKedOLSFrgWGdOuSrOwMfeJQ-J0SOiaeTWGBy6oP=s88-c-k-c0x00ffffff-no-rj")</f>
        <v>https://yt3.ggpht.com/ytc/AKedOLSFrgWGdOuSrOwMfeJQ-J0SOiaeTWGBy6oP=s88-c-k-c0x00ffffff-no-rj</v>
      </c>
      <c r="G132" s="66"/>
      <c r="H132" s="70" t="s">
        <v>1686</v>
      </c>
      <c r="I132" s="71"/>
      <c r="J132" s="71" t="s">
        <v>159</v>
      </c>
      <c r="K132" s="70" t="s">
        <v>1686</v>
      </c>
      <c r="L132" s="74">
        <v>1</v>
      </c>
      <c r="M132" s="75">
        <v>1429.2325439453125</v>
      </c>
      <c r="N132" s="75">
        <v>5212.99072265625</v>
      </c>
      <c r="O132" s="76"/>
      <c r="P132" s="77"/>
      <c r="Q132" s="77"/>
      <c r="R132" s="89"/>
      <c r="S132" s="49">
        <v>0</v>
      </c>
      <c r="T132" s="49">
        <v>1</v>
      </c>
      <c r="U132" s="50">
        <v>0</v>
      </c>
      <c r="V132" s="50">
        <v>0.007143</v>
      </c>
      <c r="W132" s="50">
        <v>0</v>
      </c>
      <c r="X132" s="50">
        <v>0.533027</v>
      </c>
      <c r="Y132" s="50">
        <v>0</v>
      </c>
      <c r="Z132" s="50">
        <v>0</v>
      </c>
      <c r="AA132" s="72">
        <v>132</v>
      </c>
      <c r="AB132" s="72"/>
      <c r="AC132" s="73"/>
      <c r="AD132" s="80" t="s">
        <v>1686</v>
      </c>
      <c r="AE132" s="80"/>
      <c r="AF132" s="80"/>
      <c r="AG132" s="80"/>
      <c r="AH132" s="80"/>
      <c r="AI132" s="80"/>
      <c r="AJ132" s="87">
        <v>44115.59087962963</v>
      </c>
      <c r="AK132" s="85" t="str">
        <f>HYPERLINK("https://yt3.ggpht.com/ytc/AKedOLSFrgWGdOuSrOwMfeJQ-J0SOiaeTWGBy6oP=s88-c-k-c0x00ffffff-no-rj")</f>
        <v>https://yt3.ggpht.com/ytc/AKedOLSFrgWGdOuSrOwMfeJQ-J0SOiaeTWGBy6oP=s88-c-k-c0x00ffffff-no-rj</v>
      </c>
      <c r="AL132" s="80">
        <v>0</v>
      </c>
      <c r="AM132" s="80">
        <v>0</v>
      </c>
      <c r="AN132" s="80">
        <v>1</v>
      </c>
      <c r="AO132" s="80" t="b">
        <v>0</v>
      </c>
      <c r="AP132" s="80">
        <v>0</v>
      </c>
      <c r="AQ132" s="80"/>
      <c r="AR132" s="80"/>
      <c r="AS132" s="80" t="s">
        <v>3412</v>
      </c>
      <c r="AT132" s="85" t="str">
        <f>HYPERLINK("https://www.youtube.com/channel/UC7ho2K2f3M4xbOVqSAKPmMQ")</f>
        <v>https://www.youtube.com/channel/UC7ho2K2f3M4xbOVqSAKPmMQ</v>
      </c>
      <c r="AU132" s="80" t="str">
        <f>REPLACE(INDEX(GroupVertices[Group],MATCH(Vertices[[#This Row],[Vertex]],GroupVertices[Vertex],0)),1,1,"")</f>
        <v>2</v>
      </c>
      <c r="AV132" s="49">
        <v>2</v>
      </c>
      <c r="AW132" s="50">
        <v>66.66666666666667</v>
      </c>
      <c r="AX132" s="49">
        <v>0</v>
      </c>
      <c r="AY132" s="50">
        <v>0</v>
      </c>
      <c r="AZ132" s="49">
        <v>0</v>
      </c>
      <c r="BA132" s="50">
        <v>0</v>
      </c>
      <c r="BB132" s="49">
        <v>1</v>
      </c>
      <c r="BC132" s="50">
        <v>33.333333333333336</v>
      </c>
      <c r="BD132" s="49">
        <v>3</v>
      </c>
      <c r="BE132" s="49"/>
      <c r="BF132" s="49"/>
      <c r="BG132" s="49"/>
      <c r="BH132" s="49"/>
      <c r="BI132" s="49"/>
      <c r="BJ132" s="49"/>
      <c r="BK132" s="111" t="s">
        <v>4518</v>
      </c>
      <c r="BL132" s="111" t="s">
        <v>4518</v>
      </c>
      <c r="BM132" s="111" t="s">
        <v>4996</v>
      </c>
      <c r="BN132" s="111" t="s">
        <v>4996</v>
      </c>
      <c r="BO132" s="2"/>
      <c r="BP132" s="3"/>
      <c r="BQ132" s="3"/>
      <c r="BR132" s="3"/>
      <c r="BS132" s="3"/>
    </row>
    <row r="133" spans="1:71" ht="15">
      <c r="A133" s="65" t="s">
        <v>358</v>
      </c>
      <c r="B133" s="66"/>
      <c r="C133" s="66"/>
      <c r="D133" s="67">
        <v>150</v>
      </c>
      <c r="E133" s="69"/>
      <c r="F133" s="103" t="str">
        <f>HYPERLINK("https://yt3.ggpht.com/ytc/AKedOLRFLGku5Nc92RfpPEVkr8SGdtopMTh9GGT6Vw=s88-c-k-c0x00ffffff-no-rj")</f>
        <v>https://yt3.ggpht.com/ytc/AKedOLRFLGku5Nc92RfpPEVkr8SGdtopMTh9GGT6Vw=s88-c-k-c0x00ffffff-no-rj</v>
      </c>
      <c r="G133" s="66"/>
      <c r="H133" s="70" t="s">
        <v>1687</v>
      </c>
      <c r="I133" s="71"/>
      <c r="J133" s="71" t="s">
        <v>159</v>
      </c>
      <c r="K133" s="70" t="s">
        <v>1687</v>
      </c>
      <c r="L133" s="74">
        <v>1</v>
      </c>
      <c r="M133" s="75">
        <v>1377.707275390625</v>
      </c>
      <c r="N133" s="75">
        <v>4653.23779296875</v>
      </c>
      <c r="O133" s="76"/>
      <c r="P133" s="77"/>
      <c r="Q133" s="77"/>
      <c r="R133" s="89"/>
      <c r="S133" s="49">
        <v>0</v>
      </c>
      <c r="T133" s="49">
        <v>1</v>
      </c>
      <c r="U133" s="50">
        <v>0</v>
      </c>
      <c r="V133" s="50">
        <v>0.007143</v>
      </c>
      <c r="W133" s="50">
        <v>0</v>
      </c>
      <c r="X133" s="50">
        <v>0.533027</v>
      </c>
      <c r="Y133" s="50">
        <v>0</v>
      </c>
      <c r="Z133" s="50">
        <v>0</v>
      </c>
      <c r="AA133" s="72">
        <v>133</v>
      </c>
      <c r="AB133" s="72"/>
      <c r="AC133" s="73"/>
      <c r="AD133" s="80" t="s">
        <v>1687</v>
      </c>
      <c r="AE133" s="80"/>
      <c r="AF133" s="80"/>
      <c r="AG133" s="80"/>
      <c r="AH133" s="80"/>
      <c r="AI133" s="80"/>
      <c r="AJ133" s="87">
        <v>43933.96729166667</v>
      </c>
      <c r="AK133" s="85" t="str">
        <f>HYPERLINK("https://yt3.ggpht.com/ytc/AKedOLRFLGku5Nc92RfpPEVkr8SGdtopMTh9GGT6Vw=s88-c-k-c0x00ffffff-no-rj")</f>
        <v>https://yt3.ggpht.com/ytc/AKedOLRFLGku5Nc92RfpPEVkr8SGdtopMTh9GGT6Vw=s88-c-k-c0x00ffffff-no-rj</v>
      </c>
      <c r="AL133" s="80">
        <v>0</v>
      </c>
      <c r="AM133" s="80">
        <v>0</v>
      </c>
      <c r="AN133" s="80">
        <v>0</v>
      </c>
      <c r="AO133" s="80" t="b">
        <v>0</v>
      </c>
      <c r="AP133" s="80">
        <v>0</v>
      </c>
      <c r="AQ133" s="80"/>
      <c r="AR133" s="80"/>
      <c r="AS133" s="80" t="s">
        <v>3412</v>
      </c>
      <c r="AT133" s="85" t="str">
        <f>HYPERLINK("https://www.youtube.com/channel/UCwIzw2Vt5qz1Tz8FgDhSuhw")</f>
        <v>https://www.youtube.com/channel/UCwIzw2Vt5qz1Tz8FgDhSuhw</v>
      </c>
      <c r="AU133" s="80" t="str">
        <f>REPLACE(INDEX(GroupVertices[Group],MATCH(Vertices[[#This Row],[Vertex]],GroupVertices[Vertex],0)),1,1,"")</f>
        <v>2</v>
      </c>
      <c r="AV133" s="49">
        <v>2</v>
      </c>
      <c r="AW133" s="50">
        <v>66.66666666666667</v>
      </c>
      <c r="AX133" s="49">
        <v>0</v>
      </c>
      <c r="AY133" s="50">
        <v>0</v>
      </c>
      <c r="AZ133" s="49">
        <v>0</v>
      </c>
      <c r="BA133" s="50">
        <v>0</v>
      </c>
      <c r="BB133" s="49">
        <v>1</v>
      </c>
      <c r="BC133" s="50">
        <v>33.333333333333336</v>
      </c>
      <c r="BD133" s="49">
        <v>3</v>
      </c>
      <c r="BE133" s="49"/>
      <c r="BF133" s="49"/>
      <c r="BG133" s="49"/>
      <c r="BH133" s="49"/>
      <c r="BI133" s="49"/>
      <c r="BJ133" s="49"/>
      <c r="BK133" s="111" t="s">
        <v>4518</v>
      </c>
      <c r="BL133" s="111" t="s">
        <v>4518</v>
      </c>
      <c r="BM133" s="111" t="s">
        <v>4996</v>
      </c>
      <c r="BN133" s="111" t="s">
        <v>4996</v>
      </c>
      <c r="BO133" s="2"/>
      <c r="BP133" s="3"/>
      <c r="BQ133" s="3"/>
      <c r="BR133" s="3"/>
      <c r="BS133" s="3"/>
    </row>
    <row r="134" spans="1:71" ht="15">
      <c r="A134" s="65" t="s">
        <v>359</v>
      </c>
      <c r="B134" s="66"/>
      <c r="C134" s="66"/>
      <c r="D134" s="67">
        <v>150</v>
      </c>
      <c r="E134" s="69"/>
      <c r="F134" s="103" t="str">
        <f>HYPERLINK("https://yt3.ggpht.com/ytc/AKedOLRv43ju-1_Ka_iB4FhGd5IzKQEF1VR4uuqNYg=s88-c-k-c0x00ffffff-no-rj")</f>
        <v>https://yt3.ggpht.com/ytc/AKedOLRv43ju-1_Ka_iB4FhGd5IzKQEF1VR4uuqNYg=s88-c-k-c0x00ffffff-no-rj</v>
      </c>
      <c r="G134" s="66"/>
      <c r="H134" s="70" t="s">
        <v>1688</v>
      </c>
      <c r="I134" s="71"/>
      <c r="J134" s="71" t="s">
        <v>159</v>
      </c>
      <c r="K134" s="70" t="s">
        <v>1688</v>
      </c>
      <c r="L134" s="74">
        <v>1</v>
      </c>
      <c r="M134" s="75">
        <v>2223.56640625</v>
      </c>
      <c r="N134" s="75">
        <v>5082.12109375</v>
      </c>
      <c r="O134" s="76"/>
      <c r="P134" s="77"/>
      <c r="Q134" s="77"/>
      <c r="R134" s="89"/>
      <c r="S134" s="49">
        <v>0</v>
      </c>
      <c r="T134" s="49">
        <v>1</v>
      </c>
      <c r="U134" s="50">
        <v>0</v>
      </c>
      <c r="V134" s="50">
        <v>0.007143</v>
      </c>
      <c r="W134" s="50">
        <v>0</v>
      </c>
      <c r="X134" s="50">
        <v>0.533027</v>
      </c>
      <c r="Y134" s="50">
        <v>0</v>
      </c>
      <c r="Z134" s="50">
        <v>0</v>
      </c>
      <c r="AA134" s="72">
        <v>134</v>
      </c>
      <c r="AB134" s="72"/>
      <c r="AC134" s="73"/>
      <c r="AD134" s="80" t="s">
        <v>1688</v>
      </c>
      <c r="AE134" s="80"/>
      <c r="AF134" s="80"/>
      <c r="AG134" s="80"/>
      <c r="AH134" s="80"/>
      <c r="AI134" s="80"/>
      <c r="AJ134" s="87">
        <v>43873.979525462964</v>
      </c>
      <c r="AK134" s="85" t="str">
        <f>HYPERLINK("https://yt3.ggpht.com/ytc/AKedOLRv43ju-1_Ka_iB4FhGd5IzKQEF1VR4uuqNYg=s88-c-k-c0x00ffffff-no-rj")</f>
        <v>https://yt3.ggpht.com/ytc/AKedOLRv43ju-1_Ka_iB4FhGd5IzKQEF1VR4uuqNYg=s88-c-k-c0x00ffffff-no-rj</v>
      </c>
      <c r="AL134" s="80">
        <v>0</v>
      </c>
      <c r="AM134" s="80">
        <v>0</v>
      </c>
      <c r="AN134" s="80">
        <v>0</v>
      </c>
      <c r="AO134" s="80" t="b">
        <v>0</v>
      </c>
      <c r="AP134" s="80">
        <v>0</v>
      </c>
      <c r="AQ134" s="80"/>
      <c r="AR134" s="80"/>
      <c r="AS134" s="80" t="s">
        <v>3412</v>
      </c>
      <c r="AT134" s="85" t="str">
        <f>HYPERLINK("https://www.youtube.com/channel/UCrW7iZNB1JWfjaIbHwFcr8w")</f>
        <v>https://www.youtube.com/channel/UCrW7iZNB1JWfjaIbHwFcr8w</v>
      </c>
      <c r="AU134" s="80" t="str">
        <f>REPLACE(INDEX(GroupVertices[Group],MATCH(Vertices[[#This Row],[Vertex]],GroupVertices[Vertex],0)),1,1,"")</f>
        <v>2</v>
      </c>
      <c r="AV134" s="49">
        <v>2</v>
      </c>
      <c r="AW134" s="50">
        <v>66.66666666666667</v>
      </c>
      <c r="AX134" s="49">
        <v>0</v>
      </c>
      <c r="AY134" s="50">
        <v>0</v>
      </c>
      <c r="AZ134" s="49">
        <v>0</v>
      </c>
      <c r="BA134" s="50">
        <v>0</v>
      </c>
      <c r="BB134" s="49">
        <v>1</v>
      </c>
      <c r="BC134" s="50">
        <v>33.333333333333336</v>
      </c>
      <c r="BD134" s="49">
        <v>3</v>
      </c>
      <c r="BE134" s="49"/>
      <c r="BF134" s="49"/>
      <c r="BG134" s="49"/>
      <c r="BH134" s="49"/>
      <c r="BI134" s="49"/>
      <c r="BJ134" s="49"/>
      <c r="BK134" s="111" t="s">
        <v>4519</v>
      </c>
      <c r="BL134" s="111" t="s">
        <v>4519</v>
      </c>
      <c r="BM134" s="111" t="s">
        <v>4997</v>
      </c>
      <c r="BN134" s="111" t="s">
        <v>4997</v>
      </c>
      <c r="BO134" s="2"/>
      <c r="BP134" s="3"/>
      <c r="BQ134" s="3"/>
      <c r="BR134" s="3"/>
      <c r="BS134" s="3"/>
    </row>
    <row r="135" spans="1:71" ht="15">
      <c r="A135" s="65" t="s">
        <v>360</v>
      </c>
      <c r="B135" s="66"/>
      <c r="C135" s="66"/>
      <c r="D135" s="67">
        <v>150</v>
      </c>
      <c r="E135" s="69"/>
      <c r="F135" s="103" t="str">
        <f>HYPERLINK("https://yt3.ggpht.com/ytc/AKedOLQXXm4tMCIgxQa1DdVR9Lpe1b5eK3OyUB5S=s88-c-k-c0x00ffffff-no-rj")</f>
        <v>https://yt3.ggpht.com/ytc/AKedOLQXXm4tMCIgxQa1DdVR9Lpe1b5eK3OyUB5S=s88-c-k-c0x00ffffff-no-rj</v>
      </c>
      <c r="G135" s="66"/>
      <c r="H135" s="70" t="s">
        <v>1689</v>
      </c>
      <c r="I135" s="71"/>
      <c r="J135" s="71" t="s">
        <v>159</v>
      </c>
      <c r="K135" s="70" t="s">
        <v>1689</v>
      </c>
      <c r="L135" s="74">
        <v>1</v>
      </c>
      <c r="M135" s="75">
        <v>1646.7872314453125</v>
      </c>
      <c r="N135" s="75">
        <v>4026.09375</v>
      </c>
      <c r="O135" s="76"/>
      <c r="P135" s="77"/>
      <c r="Q135" s="77"/>
      <c r="R135" s="89"/>
      <c r="S135" s="49">
        <v>0</v>
      </c>
      <c r="T135" s="49">
        <v>1</v>
      </c>
      <c r="U135" s="50">
        <v>0</v>
      </c>
      <c r="V135" s="50">
        <v>0.007143</v>
      </c>
      <c r="W135" s="50">
        <v>0</v>
      </c>
      <c r="X135" s="50">
        <v>0.533027</v>
      </c>
      <c r="Y135" s="50">
        <v>0</v>
      </c>
      <c r="Z135" s="50">
        <v>0</v>
      </c>
      <c r="AA135" s="72">
        <v>135</v>
      </c>
      <c r="AB135" s="72"/>
      <c r="AC135" s="73"/>
      <c r="AD135" s="80" t="s">
        <v>1689</v>
      </c>
      <c r="AE135" s="80"/>
      <c r="AF135" s="80"/>
      <c r="AG135" s="80"/>
      <c r="AH135" s="80"/>
      <c r="AI135" s="80"/>
      <c r="AJ135" s="80" t="s">
        <v>3183</v>
      </c>
      <c r="AK135" s="85" t="str">
        <f>HYPERLINK("https://yt3.ggpht.com/ytc/AKedOLQXXm4tMCIgxQa1DdVR9Lpe1b5eK3OyUB5S=s88-c-k-c0x00ffffff-no-rj")</f>
        <v>https://yt3.ggpht.com/ytc/AKedOLQXXm4tMCIgxQa1DdVR9Lpe1b5eK3OyUB5S=s88-c-k-c0x00ffffff-no-rj</v>
      </c>
      <c r="AL135" s="80">
        <v>0</v>
      </c>
      <c r="AM135" s="80">
        <v>0</v>
      </c>
      <c r="AN135" s="80">
        <v>0</v>
      </c>
      <c r="AO135" s="80" t="b">
        <v>0</v>
      </c>
      <c r="AP135" s="80">
        <v>0</v>
      </c>
      <c r="AQ135" s="80"/>
      <c r="AR135" s="80"/>
      <c r="AS135" s="80" t="s">
        <v>3412</v>
      </c>
      <c r="AT135" s="85" t="str">
        <f>HYPERLINK("https://www.youtube.com/channel/UCWDYHHAXGht21SY23VjkGkA")</f>
        <v>https://www.youtube.com/channel/UCWDYHHAXGht21SY23VjkGkA</v>
      </c>
      <c r="AU135" s="80" t="str">
        <f>REPLACE(INDEX(GroupVertices[Group],MATCH(Vertices[[#This Row],[Vertex]],GroupVertices[Vertex],0)),1,1,"")</f>
        <v>2</v>
      </c>
      <c r="AV135" s="49">
        <v>2</v>
      </c>
      <c r="AW135" s="50">
        <v>50</v>
      </c>
      <c r="AX135" s="49">
        <v>0</v>
      </c>
      <c r="AY135" s="50">
        <v>0</v>
      </c>
      <c r="AZ135" s="49">
        <v>0</v>
      </c>
      <c r="BA135" s="50">
        <v>0</v>
      </c>
      <c r="BB135" s="49">
        <v>2</v>
      </c>
      <c r="BC135" s="50">
        <v>50</v>
      </c>
      <c r="BD135" s="49">
        <v>4</v>
      </c>
      <c r="BE135" s="49"/>
      <c r="BF135" s="49"/>
      <c r="BG135" s="49"/>
      <c r="BH135" s="49"/>
      <c r="BI135" s="49"/>
      <c r="BJ135" s="49"/>
      <c r="BK135" s="111" t="s">
        <v>4518</v>
      </c>
      <c r="BL135" s="111" t="s">
        <v>4518</v>
      </c>
      <c r="BM135" s="111" t="s">
        <v>4996</v>
      </c>
      <c r="BN135" s="111" t="s">
        <v>4996</v>
      </c>
      <c r="BO135" s="2"/>
      <c r="BP135" s="3"/>
      <c r="BQ135" s="3"/>
      <c r="BR135" s="3"/>
      <c r="BS135" s="3"/>
    </row>
    <row r="136" spans="1:71" ht="15">
      <c r="A136" s="65" t="s">
        <v>361</v>
      </c>
      <c r="B136" s="66"/>
      <c r="C136" s="66"/>
      <c r="D136" s="67">
        <v>150</v>
      </c>
      <c r="E136" s="69"/>
      <c r="F136" s="103" t="str">
        <f>HYPERLINK("https://yt3.ggpht.com/ytc/AKedOLQM7ICLuq7iX8rZGGhUhJSG31B8Bbn9UkyZkQ=s88-c-k-c0x00ffffff-no-rj")</f>
        <v>https://yt3.ggpht.com/ytc/AKedOLQM7ICLuq7iX8rZGGhUhJSG31B8Bbn9UkyZkQ=s88-c-k-c0x00ffffff-no-rj</v>
      </c>
      <c r="G136" s="66"/>
      <c r="H136" s="70" t="s">
        <v>1690</v>
      </c>
      <c r="I136" s="71"/>
      <c r="J136" s="71" t="s">
        <v>159</v>
      </c>
      <c r="K136" s="70" t="s">
        <v>1690</v>
      </c>
      <c r="L136" s="74">
        <v>1</v>
      </c>
      <c r="M136" s="75">
        <v>1922.6053466796875</v>
      </c>
      <c r="N136" s="75">
        <v>6271.04931640625</v>
      </c>
      <c r="O136" s="76"/>
      <c r="P136" s="77"/>
      <c r="Q136" s="77"/>
      <c r="R136" s="89"/>
      <c r="S136" s="49">
        <v>0</v>
      </c>
      <c r="T136" s="49">
        <v>1</v>
      </c>
      <c r="U136" s="50">
        <v>0</v>
      </c>
      <c r="V136" s="50">
        <v>0.005236</v>
      </c>
      <c r="W136" s="50">
        <v>0</v>
      </c>
      <c r="X136" s="50">
        <v>0.570176</v>
      </c>
      <c r="Y136" s="50">
        <v>0</v>
      </c>
      <c r="Z136" s="50">
        <v>0</v>
      </c>
      <c r="AA136" s="72">
        <v>136</v>
      </c>
      <c r="AB136" s="72"/>
      <c r="AC136" s="73"/>
      <c r="AD136" s="80" t="s">
        <v>1690</v>
      </c>
      <c r="AE136" s="80"/>
      <c r="AF136" s="80"/>
      <c r="AG136" s="80"/>
      <c r="AH136" s="80"/>
      <c r="AI136" s="80"/>
      <c r="AJ136" s="80" t="s">
        <v>3184</v>
      </c>
      <c r="AK136" s="85" t="str">
        <f>HYPERLINK("https://yt3.ggpht.com/ytc/AKedOLQM7ICLuq7iX8rZGGhUhJSG31B8Bbn9UkyZkQ=s88-c-k-c0x00ffffff-no-rj")</f>
        <v>https://yt3.ggpht.com/ytc/AKedOLQM7ICLuq7iX8rZGGhUhJSG31B8Bbn9UkyZkQ=s88-c-k-c0x00ffffff-no-rj</v>
      </c>
      <c r="AL136" s="80">
        <v>0</v>
      </c>
      <c r="AM136" s="80">
        <v>0</v>
      </c>
      <c r="AN136" s="80">
        <v>0</v>
      </c>
      <c r="AO136" s="80" t="b">
        <v>0</v>
      </c>
      <c r="AP136" s="80">
        <v>0</v>
      </c>
      <c r="AQ136" s="80"/>
      <c r="AR136" s="80"/>
      <c r="AS136" s="80" t="s">
        <v>3412</v>
      </c>
      <c r="AT136" s="85" t="str">
        <f>HYPERLINK("https://www.youtube.com/channel/UCzjAxoGGrW5N2D3L-znZs8g")</f>
        <v>https://www.youtube.com/channel/UCzjAxoGGrW5N2D3L-znZs8g</v>
      </c>
      <c r="AU136" s="80" t="str">
        <f>REPLACE(INDEX(GroupVertices[Group],MATCH(Vertices[[#This Row],[Vertex]],GroupVertices[Vertex],0)),1,1,"")</f>
        <v>2</v>
      </c>
      <c r="AV136" s="49">
        <v>1</v>
      </c>
      <c r="AW136" s="50">
        <v>100</v>
      </c>
      <c r="AX136" s="49">
        <v>0</v>
      </c>
      <c r="AY136" s="50">
        <v>0</v>
      </c>
      <c r="AZ136" s="49">
        <v>0</v>
      </c>
      <c r="BA136" s="50">
        <v>0</v>
      </c>
      <c r="BB136" s="49">
        <v>0</v>
      </c>
      <c r="BC136" s="50">
        <v>0</v>
      </c>
      <c r="BD136" s="49">
        <v>1</v>
      </c>
      <c r="BE136" s="49"/>
      <c r="BF136" s="49"/>
      <c r="BG136" s="49"/>
      <c r="BH136" s="49"/>
      <c r="BI136" s="49"/>
      <c r="BJ136" s="49"/>
      <c r="BK136" s="111" t="s">
        <v>3486</v>
      </c>
      <c r="BL136" s="111" t="s">
        <v>3486</v>
      </c>
      <c r="BM136" s="111" t="s">
        <v>2782</v>
      </c>
      <c r="BN136" s="111" t="s">
        <v>2782</v>
      </c>
      <c r="BO136" s="2"/>
      <c r="BP136" s="3"/>
      <c r="BQ136" s="3"/>
      <c r="BR136" s="3"/>
      <c r="BS136" s="3"/>
    </row>
    <row r="137" spans="1:71" ht="15">
      <c r="A137" s="65" t="s">
        <v>365</v>
      </c>
      <c r="B137" s="66"/>
      <c r="C137" s="66"/>
      <c r="D137" s="67">
        <v>382.73809523809524</v>
      </c>
      <c r="E137" s="69"/>
      <c r="F137" s="103" t="str">
        <f>HYPERLINK("https://yt3.ggpht.com/ytc/AKedOLSI8san0iR3iltojxqKcQUEmrM2HmDCEhSvnSrZrg=s88-c-k-c0x00ffffff-no-rj")</f>
        <v>https://yt3.ggpht.com/ytc/AKedOLSI8san0iR3iltojxqKcQUEmrM2HmDCEhSvnSrZrg=s88-c-k-c0x00ffffff-no-rj</v>
      </c>
      <c r="G137" s="66"/>
      <c r="H137" s="70" t="s">
        <v>1694</v>
      </c>
      <c r="I137" s="71"/>
      <c r="J137" s="71" t="s">
        <v>75</v>
      </c>
      <c r="K137" s="70" t="s">
        <v>1694</v>
      </c>
      <c r="L137" s="74">
        <v>126.46595373199476</v>
      </c>
      <c r="M137" s="75">
        <v>2069.436279296875</v>
      </c>
      <c r="N137" s="75">
        <v>5463.87548828125</v>
      </c>
      <c r="O137" s="76"/>
      <c r="P137" s="77"/>
      <c r="Q137" s="77"/>
      <c r="R137" s="89"/>
      <c r="S137" s="49">
        <v>4</v>
      </c>
      <c r="T137" s="49">
        <v>1</v>
      </c>
      <c r="U137" s="50">
        <v>460</v>
      </c>
      <c r="V137" s="50">
        <v>0.007576</v>
      </c>
      <c r="W137" s="50">
        <v>0</v>
      </c>
      <c r="X137" s="50">
        <v>2.471627</v>
      </c>
      <c r="Y137" s="50">
        <v>0</v>
      </c>
      <c r="Z137" s="50">
        <v>0</v>
      </c>
      <c r="AA137" s="72">
        <v>137</v>
      </c>
      <c r="AB137" s="72"/>
      <c r="AC137" s="73"/>
      <c r="AD137" s="80" t="s">
        <v>1694</v>
      </c>
      <c r="AE137" s="80" t="s">
        <v>2856</v>
      </c>
      <c r="AF137" s="80"/>
      <c r="AG137" s="80"/>
      <c r="AH137" s="80"/>
      <c r="AI137" s="80" t="s">
        <v>3037</v>
      </c>
      <c r="AJ137" s="87">
        <v>44139.55583333333</v>
      </c>
      <c r="AK137" s="85" t="str">
        <f>HYPERLINK("https://yt3.ggpht.com/ytc/AKedOLSI8san0iR3iltojxqKcQUEmrM2HmDCEhSvnSrZrg=s88-c-k-c0x00ffffff-no-rj")</f>
        <v>https://yt3.ggpht.com/ytc/AKedOLSI8san0iR3iltojxqKcQUEmrM2HmDCEhSvnSrZrg=s88-c-k-c0x00ffffff-no-rj</v>
      </c>
      <c r="AL137" s="80">
        <v>17479</v>
      </c>
      <c r="AM137" s="80">
        <v>0</v>
      </c>
      <c r="AN137" s="80">
        <v>0</v>
      </c>
      <c r="AO137" s="80" t="b">
        <v>1</v>
      </c>
      <c r="AP137" s="80">
        <v>65</v>
      </c>
      <c r="AQ137" s="80"/>
      <c r="AR137" s="80"/>
      <c r="AS137" s="80" t="s">
        <v>3412</v>
      </c>
      <c r="AT137" s="85" t="str">
        <f>HYPERLINK("https://www.youtube.com/channel/UCc5qSD99fsedz_bPujJzZMQ")</f>
        <v>https://www.youtube.com/channel/UCc5qSD99fsedz_bPujJzZMQ</v>
      </c>
      <c r="AU137" s="80" t="str">
        <f>REPLACE(INDEX(GroupVertices[Group],MATCH(Vertices[[#This Row],[Vertex]],GroupVertices[Vertex],0)),1,1,"")</f>
        <v>2</v>
      </c>
      <c r="AV137" s="49">
        <v>1</v>
      </c>
      <c r="AW137" s="50">
        <v>20</v>
      </c>
      <c r="AX137" s="49">
        <v>0</v>
      </c>
      <c r="AY137" s="50">
        <v>0</v>
      </c>
      <c r="AZ137" s="49">
        <v>0</v>
      </c>
      <c r="BA137" s="50">
        <v>0</v>
      </c>
      <c r="BB137" s="49">
        <v>4</v>
      </c>
      <c r="BC137" s="50">
        <v>80</v>
      </c>
      <c r="BD137" s="49">
        <v>5</v>
      </c>
      <c r="BE137" s="49"/>
      <c r="BF137" s="49"/>
      <c r="BG137" s="49"/>
      <c r="BH137" s="49"/>
      <c r="BI137" s="49"/>
      <c r="BJ137" s="49"/>
      <c r="BK137" s="111" t="s">
        <v>4520</v>
      </c>
      <c r="BL137" s="111" t="s">
        <v>4520</v>
      </c>
      <c r="BM137" s="111" t="s">
        <v>4998</v>
      </c>
      <c r="BN137" s="111" t="s">
        <v>4998</v>
      </c>
      <c r="BO137" s="2"/>
      <c r="BP137" s="3"/>
      <c r="BQ137" s="3"/>
      <c r="BR137" s="3"/>
      <c r="BS137" s="3"/>
    </row>
    <row r="138" spans="1:71" ht="15">
      <c r="A138" s="65" t="s">
        <v>362</v>
      </c>
      <c r="B138" s="66"/>
      <c r="C138" s="66"/>
      <c r="D138" s="67">
        <v>150</v>
      </c>
      <c r="E138" s="69"/>
      <c r="F138" s="103" t="str">
        <f>HYPERLINK("https://yt3.ggpht.com/ytc/AKedOLSPUnMG0DjcQ90aJOEAtvc2Qep-5NjqgTZEsQ=s88-c-k-c0x00ffffff-no-rj")</f>
        <v>https://yt3.ggpht.com/ytc/AKedOLSPUnMG0DjcQ90aJOEAtvc2Qep-5NjqgTZEsQ=s88-c-k-c0x00ffffff-no-rj</v>
      </c>
      <c r="G138" s="66"/>
      <c r="H138" s="70" t="s">
        <v>1691</v>
      </c>
      <c r="I138" s="71"/>
      <c r="J138" s="71" t="s">
        <v>159</v>
      </c>
      <c r="K138" s="70" t="s">
        <v>1691</v>
      </c>
      <c r="L138" s="74">
        <v>1</v>
      </c>
      <c r="M138" s="75">
        <v>2215.234619140625</v>
      </c>
      <c r="N138" s="75">
        <v>6188.01318359375</v>
      </c>
      <c r="O138" s="76"/>
      <c r="P138" s="77"/>
      <c r="Q138" s="77"/>
      <c r="R138" s="89"/>
      <c r="S138" s="49">
        <v>0</v>
      </c>
      <c r="T138" s="49">
        <v>1</v>
      </c>
      <c r="U138" s="50">
        <v>0</v>
      </c>
      <c r="V138" s="50">
        <v>0.005236</v>
      </c>
      <c r="W138" s="50">
        <v>0</v>
      </c>
      <c r="X138" s="50">
        <v>0.570176</v>
      </c>
      <c r="Y138" s="50">
        <v>0</v>
      </c>
      <c r="Z138" s="50">
        <v>0</v>
      </c>
      <c r="AA138" s="72">
        <v>138</v>
      </c>
      <c r="AB138" s="72"/>
      <c r="AC138" s="73"/>
      <c r="AD138" s="80" t="s">
        <v>1691</v>
      </c>
      <c r="AE138" s="80"/>
      <c r="AF138" s="80"/>
      <c r="AG138" s="80"/>
      <c r="AH138" s="80"/>
      <c r="AI138" s="80"/>
      <c r="AJ138" s="87">
        <v>44143.0440625</v>
      </c>
      <c r="AK138" s="85" t="str">
        <f>HYPERLINK("https://yt3.ggpht.com/ytc/AKedOLSPUnMG0DjcQ90aJOEAtvc2Qep-5NjqgTZEsQ=s88-c-k-c0x00ffffff-no-rj")</f>
        <v>https://yt3.ggpht.com/ytc/AKedOLSPUnMG0DjcQ90aJOEAtvc2Qep-5NjqgTZEsQ=s88-c-k-c0x00ffffff-no-rj</v>
      </c>
      <c r="AL138" s="80">
        <v>0</v>
      </c>
      <c r="AM138" s="80">
        <v>0</v>
      </c>
      <c r="AN138" s="80">
        <v>3</v>
      </c>
      <c r="AO138" s="80" t="b">
        <v>0</v>
      </c>
      <c r="AP138" s="80">
        <v>0</v>
      </c>
      <c r="AQ138" s="80"/>
      <c r="AR138" s="80"/>
      <c r="AS138" s="80" t="s">
        <v>3412</v>
      </c>
      <c r="AT138" s="85" t="str">
        <f>HYPERLINK("https://www.youtube.com/channel/UCp5Kag4sWxCTN_eARh8QKLw")</f>
        <v>https://www.youtube.com/channel/UCp5Kag4sWxCTN_eARh8QKLw</v>
      </c>
      <c r="AU138" s="80" t="str">
        <f>REPLACE(INDEX(GroupVertices[Group],MATCH(Vertices[[#This Row],[Vertex]],GroupVertices[Vertex],0)),1,1,"")</f>
        <v>2</v>
      </c>
      <c r="AV138" s="49">
        <v>1</v>
      </c>
      <c r="AW138" s="50">
        <v>100</v>
      </c>
      <c r="AX138" s="49">
        <v>0</v>
      </c>
      <c r="AY138" s="50">
        <v>0</v>
      </c>
      <c r="AZ138" s="49">
        <v>0</v>
      </c>
      <c r="BA138" s="50">
        <v>0</v>
      </c>
      <c r="BB138" s="49">
        <v>0</v>
      </c>
      <c r="BC138" s="50">
        <v>0</v>
      </c>
      <c r="BD138" s="49">
        <v>1</v>
      </c>
      <c r="BE138" s="49"/>
      <c r="BF138" s="49"/>
      <c r="BG138" s="49"/>
      <c r="BH138" s="49"/>
      <c r="BI138" s="49"/>
      <c r="BJ138" s="49"/>
      <c r="BK138" s="111" t="s">
        <v>3469</v>
      </c>
      <c r="BL138" s="111" t="s">
        <v>3469</v>
      </c>
      <c r="BM138" s="111" t="s">
        <v>2782</v>
      </c>
      <c r="BN138" s="111" t="s">
        <v>2782</v>
      </c>
      <c r="BO138" s="2"/>
      <c r="BP138" s="3"/>
      <c r="BQ138" s="3"/>
      <c r="BR138" s="3"/>
      <c r="BS138" s="3"/>
    </row>
    <row r="139" spans="1:71" ht="15">
      <c r="A139" s="65" t="s">
        <v>363</v>
      </c>
      <c r="B139" s="66"/>
      <c r="C139" s="66"/>
      <c r="D139" s="67">
        <v>150</v>
      </c>
      <c r="E139" s="69"/>
      <c r="F139" s="103" t="str">
        <f>HYPERLINK("https://yt3.ggpht.com/ytc/AKedOLQ8Cljd4FWOnO4anniFe5TPbc5gvKWUJBBInQ=s88-c-k-c0x00ffffff-no-rj")</f>
        <v>https://yt3.ggpht.com/ytc/AKedOLQ8Cljd4FWOnO4anniFe5TPbc5gvKWUJBBInQ=s88-c-k-c0x00ffffff-no-rj</v>
      </c>
      <c r="G139" s="66"/>
      <c r="H139" s="70" t="s">
        <v>1692</v>
      </c>
      <c r="I139" s="71"/>
      <c r="J139" s="71" t="s">
        <v>159</v>
      </c>
      <c r="K139" s="70" t="s">
        <v>1692</v>
      </c>
      <c r="L139" s="74">
        <v>1</v>
      </c>
      <c r="M139" s="75">
        <v>2487.248046875</v>
      </c>
      <c r="N139" s="75">
        <v>6036.62548828125</v>
      </c>
      <c r="O139" s="76"/>
      <c r="P139" s="77"/>
      <c r="Q139" s="77"/>
      <c r="R139" s="89"/>
      <c r="S139" s="49">
        <v>0</v>
      </c>
      <c r="T139" s="49">
        <v>1</v>
      </c>
      <c r="U139" s="50">
        <v>0</v>
      </c>
      <c r="V139" s="50">
        <v>0.005236</v>
      </c>
      <c r="W139" s="50">
        <v>0</v>
      </c>
      <c r="X139" s="50">
        <v>0.570176</v>
      </c>
      <c r="Y139" s="50">
        <v>0</v>
      </c>
      <c r="Z139" s="50">
        <v>0</v>
      </c>
      <c r="AA139" s="72">
        <v>139</v>
      </c>
      <c r="AB139" s="72"/>
      <c r="AC139" s="73"/>
      <c r="AD139" s="80" t="s">
        <v>1692</v>
      </c>
      <c r="AE139" s="80"/>
      <c r="AF139" s="80"/>
      <c r="AG139" s="80"/>
      <c r="AH139" s="80"/>
      <c r="AI139" s="80"/>
      <c r="AJ139" s="80" t="s">
        <v>3185</v>
      </c>
      <c r="AK139" s="85" t="str">
        <f>HYPERLINK("https://yt3.ggpht.com/ytc/AKedOLQ8Cljd4FWOnO4anniFe5TPbc5gvKWUJBBInQ=s88-c-k-c0x00ffffff-no-rj")</f>
        <v>https://yt3.ggpht.com/ytc/AKedOLQ8Cljd4FWOnO4anniFe5TPbc5gvKWUJBBInQ=s88-c-k-c0x00ffffff-no-rj</v>
      </c>
      <c r="AL139" s="80">
        <v>0</v>
      </c>
      <c r="AM139" s="80">
        <v>0</v>
      </c>
      <c r="AN139" s="80">
        <v>0</v>
      </c>
      <c r="AO139" s="80" t="b">
        <v>0</v>
      </c>
      <c r="AP139" s="80">
        <v>0</v>
      </c>
      <c r="AQ139" s="80"/>
      <c r="AR139" s="80"/>
      <c r="AS139" s="80" t="s">
        <v>3412</v>
      </c>
      <c r="AT139" s="85" t="str">
        <f>HYPERLINK("https://www.youtube.com/channel/UC341eEWmNYqF24Gzvlc4fkA")</f>
        <v>https://www.youtube.com/channel/UC341eEWmNYqF24Gzvlc4fkA</v>
      </c>
      <c r="AU139" s="80" t="str">
        <f>REPLACE(INDEX(GroupVertices[Group],MATCH(Vertices[[#This Row],[Vertex]],GroupVertices[Vertex],0)),1,1,"")</f>
        <v>2</v>
      </c>
      <c r="AV139" s="49">
        <v>0</v>
      </c>
      <c r="AW139" s="50">
        <v>0</v>
      </c>
      <c r="AX139" s="49">
        <v>0</v>
      </c>
      <c r="AY139" s="50">
        <v>0</v>
      </c>
      <c r="AZ139" s="49">
        <v>0</v>
      </c>
      <c r="BA139" s="50">
        <v>0</v>
      </c>
      <c r="BB139" s="49">
        <v>0</v>
      </c>
      <c r="BC139" s="50">
        <v>0</v>
      </c>
      <c r="BD139" s="49">
        <v>0</v>
      </c>
      <c r="BE139" s="49"/>
      <c r="BF139" s="49"/>
      <c r="BG139" s="49"/>
      <c r="BH139" s="49"/>
      <c r="BI139" s="49"/>
      <c r="BJ139" s="49"/>
      <c r="BK139" s="111" t="s">
        <v>2782</v>
      </c>
      <c r="BL139" s="111" t="s">
        <v>2782</v>
      </c>
      <c r="BM139" s="111" t="s">
        <v>2782</v>
      </c>
      <c r="BN139" s="111" t="s">
        <v>2782</v>
      </c>
      <c r="BO139" s="2"/>
      <c r="BP139" s="3"/>
      <c r="BQ139" s="3"/>
      <c r="BR139" s="3"/>
      <c r="BS139" s="3"/>
    </row>
    <row r="140" spans="1:71" ht="15">
      <c r="A140" s="65" t="s">
        <v>364</v>
      </c>
      <c r="B140" s="66"/>
      <c r="C140" s="66"/>
      <c r="D140" s="67">
        <v>150</v>
      </c>
      <c r="E140" s="69"/>
      <c r="F140" s="103" t="str">
        <f>HYPERLINK("https://yt3.ggpht.com/ytc/AKedOLSsfI1VwBMuJNIsG9DJ0WlMgLGISPkr1tX8kw=s88-c-k-c0x00ffffff-no-rj")</f>
        <v>https://yt3.ggpht.com/ytc/AKedOLSsfI1VwBMuJNIsG9DJ0WlMgLGISPkr1tX8kw=s88-c-k-c0x00ffffff-no-rj</v>
      </c>
      <c r="G140" s="66"/>
      <c r="H140" s="70" t="s">
        <v>1693</v>
      </c>
      <c r="I140" s="71"/>
      <c r="J140" s="71" t="s">
        <v>159</v>
      </c>
      <c r="K140" s="70" t="s">
        <v>1693</v>
      </c>
      <c r="L140" s="74">
        <v>1</v>
      </c>
      <c r="M140" s="75">
        <v>2719.31591796875</v>
      </c>
      <c r="N140" s="75">
        <v>5828.83740234375</v>
      </c>
      <c r="O140" s="76"/>
      <c r="P140" s="77"/>
      <c r="Q140" s="77"/>
      <c r="R140" s="89"/>
      <c r="S140" s="49">
        <v>0</v>
      </c>
      <c r="T140" s="49">
        <v>1</v>
      </c>
      <c r="U140" s="50">
        <v>0</v>
      </c>
      <c r="V140" s="50">
        <v>0.005236</v>
      </c>
      <c r="W140" s="50">
        <v>0</v>
      </c>
      <c r="X140" s="50">
        <v>0.570176</v>
      </c>
      <c r="Y140" s="50">
        <v>0</v>
      </c>
      <c r="Z140" s="50">
        <v>0</v>
      </c>
      <c r="AA140" s="72">
        <v>140</v>
      </c>
      <c r="AB140" s="72"/>
      <c r="AC140" s="73"/>
      <c r="AD140" s="80" t="s">
        <v>1693</v>
      </c>
      <c r="AE140" s="80"/>
      <c r="AF140" s="80"/>
      <c r="AG140" s="80"/>
      <c r="AH140" s="80"/>
      <c r="AI140" s="80"/>
      <c r="AJ140" s="80" t="s">
        <v>3186</v>
      </c>
      <c r="AK140" s="85" t="str">
        <f>HYPERLINK("https://yt3.ggpht.com/ytc/AKedOLSsfI1VwBMuJNIsG9DJ0WlMgLGISPkr1tX8kw=s88-c-k-c0x00ffffff-no-rj")</f>
        <v>https://yt3.ggpht.com/ytc/AKedOLSsfI1VwBMuJNIsG9DJ0WlMgLGISPkr1tX8kw=s88-c-k-c0x00ffffff-no-rj</v>
      </c>
      <c r="AL140" s="80">
        <v>0</v>
      </c>
      <c r="AM140" s="80">
        <v>0</v>
      </c>
      <c r="AN140" s="80">
        <v>0</v>
      </c>
      <c r="AO140" s="80" t="b">
        <v>0</v>
      </c>
      <c r="AP140" s="80">
        <v>0</v>
      </c>
      <c r="AQ140" s="80"/>
      <c r="AR140" s="80"/>
      <c r="AS140" s="80" t="s">
        <v>3412</v>
      </c>
      <c r="AT140" s="85" t="str">
        <f>HYPERLINK("https://www.youtube.com/channel/UCO0IBwnxH5xOXKwBn-kV5xg")</f>
        <v>https://www.youtube.com/channel/UCO0IBwnxH5xOXKwBn-kV5xg</v>
      </c>
      <c r="AU140" s="80" t="str">
        <f>REPLACE(INDEX(GroupVertices[Group],MATCH(Vertices[[#This Row],[Vertex]],GroupVertices[Vertex],0)),1,1,"")</f>
        <v>2</v>
      </c>
      <c r="AV140" s="49">
        <v>1</v>
      </c>
      <c r="AW140" s="50">
        <v>100</v>
      </c>
      <c r="AX140" s="49">
        <v>0</v>
      </c>
      <c r="AY140" s="50">
        <v>0</v>
      </c>
      <c r="AZ140" s="49">
        <v>0</v>
      </c>
      <c r="BA140" s="50">
        <v>0</v>
      </c>
      <c r="BB140" s="49">
        <v>0</v>
      </c>
      <c r="BC140" s="50">
        <v>0</v>
      </c>
      <c r="BD140" s="49">
        <v>1</v>
      </c>
      <c r="BE140" s="49"/>
      <c r="BF140" s="49"/>
      <c r="BG140" s="49"/>
      <c r="BH140" s="49"/>
      <c r="BI140" s="49"/>
      <c r="BJ140" s="49"/>
      <c r="BK140" s="111" t="s">
        <v>3469</v>
      </c>
      <c r="BL140" s="111" t="s">
        <v>3469</v>
      </c>
      <c r="BM140" s="111" t="s">
        <v>2782</v>
      </c>
      <c r="BN140" s="111" t="s">
        <v>2782</v>
      </c>
      <c r="BO140" s="2"/>
      <c r="BP140" s="3"/>
      <c r="BQ140" s="3"/>
      <c r="BR140" s="3"/>
      <c r="BS140" s="3"/>
    </row>
    <row r="141" spans="1:71" ht="15">
      <c r="A141" s="65" t="s">
        <v>366</v>
      </c>
      <c r="B141" s="66"/>
      <c r="C141" s="66"/>
      <c r="D141" s="67">
        <v>150</v>
      </c>
      <c r="E141" s="69"/>
      <c r="F141" s="103" t="str">
        <f>HYPERLINK("https://yt3.ggpht.com/ytc/AKedOLTrYHkRSxX49Fh7jSTvtV6eL2n2HMbw6eNGTWU=s88-c-k-c0x00ffffff-no-rj")</f>
        <v>https://yt3.ggpht.com/ytc/AKedOLTrYHkRSxX49Fh7jSTvtV6eL2n2HMbw6eNGTWU=s88-c-k-c0x00ffffff-no-rj</v>
      </c>
      <c r="G141" s="66"/>
      <c r="H141" s="70" t="s">
        <v>1695</v>
      </c>
      <c r="I141" s="71"/>
      <c r="J141" s="71" t="s">
        <v>159</v>
      </c>
      <c r="K141" s="70" t="s">
        <v>1695</v>
      </c>
      <c r="L141" s="74">
        <v>1</v>
      </c>
      <c r="M141" s="75">
        <v>2101.80810546875</v>
      </c>
      <c r="N141" s="75">
        <v>4852.3857421875</v>
      </c>
      <c r="O141" s="76"/>
      <c r="P141" s="77"/>
      <c r="Q141" s="77"/>
      <c r="R141" s="89"/>
      <c r="S141" s="49">
        <v>0</v>
      </c>
      <c r="T141" s="49">
        <v>1</v>
      </c>
      <c r="U141" s="50">
        <v>0</v>
      </c>
      <c r="V141" s="50">
        <v>0.007143</v>
      </c>
      <c r="W141" s="50">
        <v>0</v>
      </c>
      <c r="X141" s="50">
        <v>0.533027</v>
      </c>
      <c r="Y141" s="50">
        <v>0</v>
      </c>
      <c r="Z141" s="50">
        <v>0</v>
      </c>
      <c r="AA141" s="72">
        <v>141</v>
      </c>
      <c r="AB141" s="72"/>
      <c r="AC141" s="73"/>
      <c r="AD141" s="80" t="s">
        <v>1695</v>
      </c>
      <c r="AE141" s="80"/>
      <c r="AF141" s="80"/>
      <c r="AG141" s="80"/>
      <c r="AH141" s="80"/>
      <c r="AI141" s="80"/>
      <c r="AJ141" s="87">
        <v>43323.905590277776</v>
      </c>
      <c r="AK141" s="85" t="str">
        <f>HYPERLINK("https://yt3.ggpht.com/ytc/AKedOLTrYHkRSxX49Fh7jSTvtV6eL2n2HMbw6eNGTWU=s88-c-k-c0x00ffffff-no-rj")</f>
        <v>https://yt3.ggpht.com/ytc/AKedOLTrYHkRSxX49Fh7jSTvtV6eL2n2HMbw6eNGTWU=s88-c-k-c0x00ffffff-no-rj</v>
      </c>
      <c r="AL141" s="80">
        <v>0</v>
      </c>
      <c r="AM141" s="80">
        <v>0</v>
      </c>
      <c r="AN141" s="80">
        <v>1</v>
      </c>
      <c r="AO141" s="80" t="b">
        <v>0</v>
      </c>
      <c r="AP141" s="80">
        <v>0</v>
      </c>
      <c r="AQ141" s="80"/>
      <c r="AR141" s="80"/>
      <c r="AS141" s="80" t="s">
        <v>3412</v>
      </c>
      <c r="AT141" s="85" t="str">
        <f>HYPERLINK("https://www.youtube.com/channel/UCtJhSmj-ROvwOTPQWkFAWDA")</f>
        <v>https://www.youtube.com/channel/UCtJhSmj-ROvwOTPQWkFAWDA</v>
      </c>
      <c r="AU141" s="80" t="str">
        <f>REPLACE(INDEX(GroupVertices[Group],MATCH(Vertices[[#This Row],[Vertex]],GroupVertices[Vertex],0)),1,1,"")</f>
        <v>2</v>
      </c>
      <c r="AV141" s="49">
        <v>0</v>
      </c>
      <c r="AW141" s="50">
        <v>0</v>
      </c>
      <c r="AX141" s="49">
        <v>0</v>
      </c>
      <c r="AY141" s="50">
        <v>0</v>
      </c>
      <c r="AZ141" s="49">
        <v>0</v>
      </c>
      <c r="BA141" s="50">
        <v>0</v>
      </c>
      <c r="BB141" s="49">
        <v>2</v>
      </c>
      <c r="BC141" s="50">
        <v>100</v>
      </c>
      <c r="BD141" s="49">
        <v>2</v>
      </c>
      <c r="BE141" s="49"/>
      <c r="BF141" s="49"/>
      <c r="BG141" s="49"/>
      <c r="BH141" s="49"/>
      <c r="BI141" s="49"/>
      <c r="BJ141" s="49"/>
      <c r="BK141" s="111" t="s">
        <v>3640</v>
      </c>
      <c r="BL141" s="111" t="s">
        <v>3640</v>
      </c>
      <c r="BM141" s="111" t="s">
        <v>2782</v>
      </c>
      <c r="BN141" s="111" t="s">
        <v>2782</v>
      </c>
      <c r="BO141" s="2"/>
      <c r="BP141" s="3"/>
      <c r="BQ141" s="3"/>
      <c r="BR141" s="3"/>
      <c r="BS141" s="3"/>
    </row>
    <row r="142" spans="1:71" ht="15">
      <c r="A142" s="65" t="s">
        <v>367</v>
      </c>
      <c r="B142" s="66"/>
      <c r="C142" s="66"/>
      <c r="D142" s="67">
        <v>150</v>
      </c>
      <c r="E142" s="69"/>
      <c r="F142" s="103" t="str">
        <f>HYPERLINK("https://yt3.ggpht.com/ytc/AKedOLRgeXZkeHow57YfV0yXK0E0itt86iX6kb8x3A=s88-c-k-c0x00ffffff-no-rj")</f>
        <v>https://yt3.ggpht.com/ytc/AKedOLRgeXZkeHow57YfV0yXK0E0itt86iX6kb8x3A=s88-c-k-c0x00ffffff-no-rj</v>
      </c>
      <c r="G142" s="66"/>
      <c r="H142" s="70" t="s">
        <v>1696</v>
      </c>
      <c r="I142" s="71"/>
      <c r="J142" s="71" t="s">
        <v>159</v>
      </c>
      <c r="K142" s="70" t="s">
        <v>1696</v>
      </c>
      <c r="L142" s="74">
        <v>1</v>
      </c>
      <c r="M142" s="75">
        <v>982.8855590820312</v>
      </c>
      <c r="N142" s="75">
        <v>4769.83642578125</v>
      </c>
      <c r="O142" s="76"/>
      <c r="P142" s="77"/>
      <c r="Q142" s="77"/>
      <c r="R142" s="89"/>
      <c r="S142" s="49">
        <v>0</v>
      </c>
      <c r="T142" s="49">
        <v>1</v>
      </c>
      <c r="U142" s="50">
        <v>0</v>
      </c>
      <c r="V142" s="50">
        <v>0.007143</v>
      </c>
      <c r="W142" s="50">
        <v>0</v>
      </c>
      <c r="X142" s="50">
        <v>0.533027</v>
      </c>
      <c r="Y142" s="50">
        <v>0</v>
      </c>
      <c r="Z142" s="50">
        <v>0</v>
      </c>
      <c r="AA142" s="72">
        <v>142</v>
      </c>
      <c r="AB142" s="72"/>
      <c r="AC142" s="73"/>
      <c r="AD142" s="80" t="s">
        <v>1696</v>
      </c>
      <c r="AE142" s="80"/>
      <c r="AF142" s="80"/>
      <c r="AG142" s="80"/>
      <c r="AH142" s="80"/>
      <c r="AI142" s="80"/>
      <c r="AJ142" s="80" t="s">
        <v>3187</v>
      </c>
      <c r="AK142" s="85" t="str">
        <f>HYPERLINK("https://yt3.ggpht.com/ytc/AKedOLRgeXZkeHow57YfV0yXK0E0itt86iX6kb8x3A=s88-c-k-c0x00ffffff-no-rj")</f>
        <v>https://yt3.ggpht.com/ytc/AKedOLRgeXZkeHow57YfV0yXK0E0itt86iX6kb8x3A=s88-c-k-c0x00ffffff-no-rj</v>
      </c>
      <c r="AL142" s="80">
        <v>0</v>
      </c>
      <c r="AM142" s="80">
        <v>0</v>
      </c>
      <c r="AN142" s="80">
        <v>0</v>
      </c>
      <c r="AO142" s="80" t="b">
        <v>0</v>
      </c>
      <c r="AP142" s="80">
        <v>0</v>
      </c>
      <c r="AQ142" s="80"/>
      <c r="AR142" s="80"/>
      <c r="AS142" s="80" t="s">
        <v>3412</v>
      </c>
      <c r="AT142" s="85" t="str">
        <f>HYPERLINK("https://www.youtube.com/channel/UCSKt8QeRDca9r-7vuo_DAzA")</f>
        <v>https://www.youtube.com/channel/UCSKt8QeRDca9r-7vuo_DAzA</v>
      </c>
      <c r="AU142" s="80" t="str">
        <f>REPLACE(INDEX(GroupVertices[Group],MATCH(Vertices[[#This Row],[Vertex]],GroupVertices[Vertex],0)),1,1,"")</f>
        <v>2</v>
      </c>
      <c r="AV142" s="49">
        <v>0</v>
      </c>
      <c r="AW142" s="50">
        <v>0</v>
      </c>
      <c r="AX142" s="49">
        <v>0</v>
      </c>
      <c r="AY142" s="50">
        <v>0</v>
      </c>
      <c r="AZ142" s="49">
        <v>0</v>
      </c>
      <c r="BA142" s="50">
        <v>0</v>
      </c>
      <c r="BB142" s="49">
        <v>2</v>
      </c>
      <c r="BC142" s="50">
        <v>100</v>
      </c>
      <c r="BD142" s="49">
        <v>2</v>
      </c>
      <c r="BE142" s="49"/>
      <c r="BF142" s="49"/>
      <c r="BG142" s="49"/>
      <c r="BH142" s="49"/>
      <c r="BI142" s="49"/>
      <c r="BJ142" s="49"/>
      <c r="BK142" s="111" t="s">
        <v>3639</v>
      </c>
      <c r="BL142" s="111" t="s">
        <v>3639</v>
      </c>
      <c r="BM142" s="111" t="s">
        <v>2782</v>
      </c>
      <c r="BN142" s="111" t="s">
        <v>2782</v>
      </c>
      <c r="BO142" s="2"/>
      <c r="BP142" s="3"/>
      <c r="BQ142" s="3"/>
      <c r="BR142" s="3"/>
      <c r="BS142" s="3"/>
    </row>
    <row r="143" spans="1:71" ht="15">
      <c r="A143" s="65" t="s">
        <v>368</v>
      </c>
      <c r="B143" s="66"/>
      <c r="C143" s="66"/>
      <c r="D143" s="67">
        <v>150</v>
      </c>
      <c r="E143" s="69"/>
      <c r="F143" s="103" t="str">
        <f>HYPERLINK("https://yt3.ggpht.com/ytc/AKedOLSRN1ZgufsxxRwubZw5I4m0urHAQPEaqohTVJmS=s88-c-k-c0x00ffffff-no-rj")</f>
        <v>https://yt3.ggpht.com/ytc/AKedOLSRN1ZgufsxxRwubZw5I4m0urHAQPEaqohTVJmS=s88-c-k-c0x00ffffff-no-rj</v>
      </c>
      <c r="G143" s="66"/>
      <c r="H143" s="70" t="s">
        <v>1697</v>
      </c>
      <c r="I143" s="71"/>
      <c r="J143" s="71" t="s">
        <v>159</v>
      </c>
      <c r="K143" s="70" t="s">
        <v>1697</v>
      </c>
      <c r="L143" s="74">
        <v>1</v>
      </c>
      <c r="M143" s="75">
        <v>1538.911865234375</v>
      </c>
      <c r="N143" s="75">
        <v>3833.295166015625</v>
      </c>
      <c r="O143" s="76"/>
      <c r="P143" s="77"/>
      <c r="Q143" s="77"/>
      <c r="R143" s="89"/>
      <c r="S143" s="49">
        <v>0</v>
      </c>
      <c r="T143" s="49">
        <v>1</v>
      </c>
      <c r="U143" s="50">
        <v>0</v>
      </c>
      <c r="V143" s="50">
        <v>0.007143</v>
      </c>
      <c r="W143" s="50">
        <v>0</v>
      </c>
      <c r="X143" s="50">
        <v>0.533027</v>
      </c>
      <c r="Y143" s="50">
        <v>0</v>
      </c>
      <c r="Z143" s="50">
        <v>0</v>
      </c>
      <c r="AA143" s="72">
        <v>143</v>
      </c>
      <c r="AB143" s="72"/>
      <c r="AC143" s="73"/>
      <c r="AD143" s="80" t="s">
        <v>1697</v>
      </c>
      <c r="AE143" s="80"/>
      <c r="AF143" s="80"/>
      <c r="AG143" s="80"/>
      <c r="AH143" s="80"/>
      <c r="AI143" s="80"/>
      <c r="AJ143" s="87">
        <v>43866.6278125</v>
      </c>
      <c r="AK143" s="85" t="str">
        <f>HYPERLINK("https://yt3.ggpht.com/ytc/AKedOLSRN1ZgufsxxRwubZw5I4m0urHAQPEaqohTVJmS=s88-c-k-c0x00ffffff-no-rj")</f>
        <v>https://yt3.ggpht.com/ytc/AKedOLSRN1ZgufsxxRwubZw5I4m0urHAQPEaqohTVJmS=s88-c-k-c0x00ffffff-no-rj</v>
      </c>
      <c r="AL143" s="80">
        <v>183573</v>
      </c>
      <c r="AM143" s="80">
        <v>0</v>
      </c>
      <c r="AN143" s="80">
        <v>4020</v>
      </c>
      <c r="AO143" s="80" t="b">
        <v>0</v>
      </c>
      <c r="AP143" s="80">
        <v>113</v>
      </c>
      <c r="AQ143" s="80"/>
      <c r="AR143" s="80"/>
      <c r="AS143" s="80" t="s">
        <v>3412</v>
      </c>
      <c r="AT143" s="85" t="str">
        <f>HYPERLINK("https://www.youtube.com/channel/UCz2qV_1MldBmv5SjKib7dOQ")</f>
        <v>https://www.youtube.com/channel/UCz2qV_1MldBmv5SjKib7dOQ</v>
      </c>
      <c r="AU143" s="80" t="str">
        <f>REPLACE(INDEX(GroupVertices[Group],MATCH(Vertices[[#This Row],[Vertex]],GroupVertices[Vertex],0)),1,1,"")</f>
        <v>2</v>
      </c>
      <c r="AV143" s="49">
        <v>0</v>
      </c>
      <c r="AW143" s="50">
        <v>0</v>
      </c>
      <c r="AX143" s="49">
        <v>0</v>
      </c>
      <c r="AY143" s="50">
        <v>0</v>
      </c>
      <c r="AZ143" s="49">
        <v>0</v>
      </c>
      <c r="BA143" s="50">
        <v>0</v>
      </c>
      <c r="BB143" s="49">
        <v>1</v>
      </c>
      <c r="BC143" s="50">
        <v>100</v>
      </c>
      <c r="BD143" s="49">
        <v>1</v>
      </c>
      <c r="BE143" s="49"/>
      <c r="BF143" s="49"/>
      <c r="BG143" s="49"/>
      <c r="BH143" s="49"/>
      <c r="BI143" s="49"/>
      <c r="BJ143" s="49"/>
      <c r="BK143" s="111" t="s">
        <v>3639</v>
      </c>
      <c r="BL143" s="111" t="s">
        <v>3639</v>
      </c>
      <c r="BM143" s="111" t="s">
        <v>2782</v>
      </c>
      <c r="BN143" s="111" t="s">
        <v>2782</v>
      </c>
      <c r="BO143" s="2"/>
      <c r="BP143" s="3"/>
      <c r="BQ143" s="3"/>
      <c r="BR143" s="3"/>
      <c r="BS143" s="3"/>
    </row>
    <row r="144" spans="1:71" ht="15">
      <c r="A144" s="65" t="s">
        <v>369</v>
      </c>
      <c r="B144" s="66"/>
      <c r="C144" s="66"/>
      <c r="D144" s="67">
        <v>150</v>
      </c>
      <c r="E144" s="69"/>
      <c r="F144" s="103" t="str">
        <f>HYPERLINK("https://yt3.ggpht.com/ytc/AKedOLQrYtw3fxgAgxZvPVuXD-VIDj9YU2pwNIW9riVU=s88-c-k-c0x00ffffff-no-rj")</f>
        <v>https://yt3.ggpht.com/ytc/AKedOLQrYtw3fxgAgxZvPVuXD-VIDj9YU2pwNIW9riVU=s88-c-k-c0x00ffffff-no-rj</v>
      </c>
      <c r="G144" s="66"/>
      <c r="H144" s="70" t="s">
        <v>1698</v>
      </c>
      <c r="I144" s="71"/>
      <c r="J144" s="71" t="s">
        <v>159</v>
      </c>
      <c r="K144" s="70" t="s">
        <v>1698</v>
      </c>
      <c r="L144" s="74">
        <v>1</v>
      </c>
      <c r="M144" s="75">
        <v>1863.3157958984375</v>
      </c>
      <c r="N144" s="75">
        <v>5291.55419921875</v>
      </c>
      <c r="O144" s="76"/>
      <c r="P144" s="77"/>
      <c r="Q144" s="77"/>
      <c r="R144" s="89"/>
      <c r="S144" s="49">
        <v>0</v>
      </c>
      <c r="T144" s="49">
        <v>1</v>
      </c>
      <c r="U144" s="50">
        <v>0</v>
      </c>
      <c r="V144" s="50">
        <v>0.007143</v>
      </c>
      <c r="W144" s="50">
        <v>0</v>
      </c>
      <c r="X144" s="50">
        <v>0.533027</v>
      </c>
      <c r="Y144" s="50">
        <v>0</v>
      </c>
      <c r="Z144" s="50">
        <v>0</v>
      </c>
      <c r="AA144" s="72">
        <v>144</v>
      </c>
      <c r="AB144" s="72"/>
      <c r="AC144" s="73"/>
      <c r="AD144" s="80" t="s">
        <v>1698</v>
      </c>
      <c r="AE144" s="80" t="s">
        <v>2857</v>
      </c>
      <c r="AF144" s="80"/>
      <c r="AG144" s="80"/>
      <c r="AH144" s="80"/>
      <c r="AI144" s="80"/>
      <c r="AJ144" s="87">
        <v>42435.934166666666</v>
      </c>
      <c r="AK144" s="85" t="str">
        <f>HYPERLINK("https://yt3.ggpht.com/ytc/AKedOLQrYtw3fxgAgxZvPVuXD-VIDj9YU2pwNIW9riVU=s88-c-k-c0x00ffffff-no-rj")</f>
        <v>https://yt3.ggpht.com/ytc/AKedOLQrYtw3fxgAgxZvPVuXD-VIDj9YU2pwNIW9riVU=s88-c-k-c0x00ffffff-no-rj</v>
      </c>
      <c r="AL144" s="80">
        <v>35809</v>
      </c>
      <c r="AM144" s="80">
        <v>0</v>
      </c>
      <c r="AN144" s="80">
        <v>0</v>
      </c>
      <c r="AO144" s="80" t="b">
        <v>1</v>
      </c>
      <c r="AP144" s="80">
        <v>89</v>
      </c>
      <c r="AQ144" s="80"/>
      <c r="AR144" s="80"/>
      <c r="AS144" s="80" t="s">
        <v>3412</v>
      </c>
      <c r="AT144" s="85" t="str">
        <f>HYPERLINK("https://www.youtube.com/channel/UCU2lp9qQZQ_Pc1gxOKmGr3w")</f>
        <v>https://www.youtube.com/channel/UCU2lp9qQZQ_Pc1gxOKmGr3w</v>
      </c>
      <c r="AU144" s="80" t="str">
        <f>REPLACE(INDEX(GroupVertices[Group],MATCH(Vertices[[#This Row],[Vertex]],GroupVertices[Vertex],0)),1,1,"")</f>
        <v>2</v>
      </c>
      <c r="AV144" s="49">
        <v>2</v>
      </c>
      <c r="AW144" s="50">
        <v>100</v>
      </c>
      <c r="AX144" s="49">
        <v>0</v>
      </c>
      <c r="AY144" s="50">
        <v>0</v>
      </c>
      <c r="AZ144" s="49">
        <v>0</v>
      </c>
      <c r="BA144" s="50">
        <v>0</v>
      </c>
      <c r="BB144" s="49">
        <v>0</v>
      </c>
      <c r="BC144" s="50">
        <v>0</v>
      </c>
      <c r="BD144" s="49">
        <v>2</v>
      </c>
      <c r="BE144" s="49"/>
      <c r="BF144" s="49"/>
      <c r="BG144" s="49"/>
      <c r="BH144" s="49"/>
      <c r="BI144" s="49"/>
      <c r="BJ144" s="49"/>
      <c r="BK144" s="111" t="s">
        <v>4521</v>
      </c>
      <c r="BL144" s="111" t="s">
        <v>4521</v>
      </c>
      <c r="BM144" s="111" t="s">
        <v>4999</v>
      </c>
      <c r="BN144" s="111" t="s">
        <v>4999</v>
      </c>
      <c r="BO144" s="2"/>
      <c r="BP144" s="3"/>
      <c r="BQ144" s="3"/>
      <c r="BR144" s="3"/>
      <c r="BS144" s="3"/>
    </row>
    <row r="145" spans="1:71" ht="15">
      <c r="A145" s="65" t="s">
        <v>370</v>
      </c>
      <c r="B145" s="66"/>
      <c r="C145" s="66"/>
      <c r="D145" s="67">
        <v>150</v>
      </c>
      <c r="E145" s="69"/>
      <c r="F145" s="103" t="str">
        <f>HYPERLINK("https://yt3.ggpht.com/ytc/AKedOLTA7nMB83h8eGLRyl5hrUI33pZ72Cz6mkbO4ucm=s88-c-k-c0x00ffffff-no-rj")</f>
        <v>https://yt3.ggpht.com/ytc/AKedOLTA7nMB83h8eGLRyl5hrUI33pZ72Cz6mkbO4ucm=s88-c-k-c0x00ffffff-no-rj</v>
      </c>
      <c r="G145" s="66"/>
      <c r="H145" s="70" t="s">
        <v>1699</v>
      </c>
      <c r="I145" s="71"/>
      <c r="J145" s="71" t="s">
        <v>159</v>
      </c>
      <c r="K145" s="70" t="s">
        <v>1699</v>
      </c>
      <c r="L145" s="74">
        <v>1</v>
      </c>
      <c r="M145" s="75">
        <v>5879.49267578125</v>
      </c>
      <c r="N145" s="75">
        <v>1909.582275390625</v>
      </c>
      <c r="O145" s="76"/>
      <c r="P145" s="77"/>
      <c r="Q145" s="77"/>
      <c r="R145" s="89"/>
      <c r="S145" s="49">
        <v>0</v>
      </c>
      <c r="T145" s="49">
        <v>1</v>
      </c>
      <c r="U145" s="50">
        <v>0</v>
      </c>
      <c r="V145" s="50">
        <v>0.033333</v>
      </c>
      <c r="W145" s="50">
        <v>0</v>
      </c>
      <c r="X145" s="50">
        <v>0.479465</v>
      </c>
      <c r="Y145" s="50">
        <v>0</v>
      </c>
      <c r="Z145" s="50">
        <v>0</v>
      </c>
      <c r="AA145" s="72">
        <v>145</v>
      </c>
      <c r="AB145" s="72"/>
      <c r="AC145" s="73"/>
      <c r="AD145" s="80" t="s">
        <v>1699</v>
      </c>
      <c r="AE145" s="85" t="str">
        <f>HYPERLINK("https://hugoizarra.wordpress.com")</f>
        <v>https://hugoizarra.wordpress.com</v>
      </c>
      <c r="AF145" s="80"/>
      <c r="AG145" s="80"/>
      <c r="AH145" s="80"/>
      <c r="AI145" s="80" t="s">
        <v>3038</v>
      </c>
      <c r="AJ145" s="87">
        <v>38933.41473379629</v>
      </c>
      <c r="AK145" s="85" t="str">
        <f>HYPERLINK("https://yt3.ggpht.com/ytc/AKedOLTA7nMB83h8eGLRyl5hrUI33pZ72Cz6mkbO4ucm=s88-c-k-c0x00ffffff-no-rj")</f>
        <v>https://yt3.ggpht.com/ytc/AKedOLTA7nMB83h8eGLRyl5hrUI33pZ72Cz6mkbO4ucm=s88-c-k-c0x00ffffff-no-rj</v>
      </c>
      <c r="AL145" s="80">
        <v>19804875</v>
      </c>
      <c r="AM145" s="80">
        <v>0</v>
      </c>
      <c r="AN145" s="80">
        <v>2130</v>
      </c>
      <c r="AO145" s="80" t="b">
        <v>0</v>
      </c>
      <c r="AP145" s="80">
        <v>24</v>
      </c>
      <c r="AQ145" s="80"/>
      <c r="AR145" s="80"/>
      <c r="AS145" s="80" t="s">
        <v>3412</v>
      </c>
      <c r="AT145" s="85" t="str">
        <f>HYPERLINK("https://www.youtube.com/channel/UCdQf4jE-n-sNoMO5h4GeEiA")</f>
        <v>https://www.youtube.com/channel/UCdQf4jE-n-sNoMO5h4GeEiA</v>
      </c>
      <c r="AU145" s="80" t="str">
        <f>REPLACE(INDEX(GroupVertices[Group],MATCH(Vertices[[#This Row],[Vertex]],GroupVertices[Vertex],0)),1,1,"")</f>
        <v>10</v>
      </c>
      <c r="AV145" s="49">
        <v>0</v>
      </c>
      <c r="AW145" s="50">
        <v>0</v>
      </c>
      <c r="AX145" s="49">
        <v>0</v>
      </c>
      <c r="AY145" s="50">
        <v>0</v>
      </c>
      <c r="AZ145" s="49">
        <v>0</v>
      </c>
      <c r="BA145" s="50">
        <v>0</v>
      </c>
      <c r="BB145" s="49">
        <v>1</v>
      </c>
      <c r="BC145" s="50">
        <v>100</v>
      </c>
      <c r="BD145" s="49">
        <v>1</v>
      </c>
      <c r="BE145" s="49"/>
      <c r="BF145" s="49"/>
      <c r="BG145" s="49"/>
      <c r="BH145" s="49"/>
      <c r="BI145" s="49"/>
      <c r="BJ145" s="49"/>
      <c r="BK145" s="111" t="s">
        <v>3553</v>
      </c>
      <c r="BL145" s="111" t="s">
        <v>3553</v>
      </c>
      <c r="BM145" s="111" t="s">
        <v>2782</v>
      </c>
      <c r="BN145" s="111" t="s">
        <v>2782</v>
      </c>
      <c r="BO145" s="2"/>
      <c r="BP145" s="3"/>
      <c r="BQ145" s="3"/>
      <c r="BR145" s="3"/>
      <c r="BS145" s="3"/>
    </row>
    <row r="146" spans="1:71" ht="15">
      <c r="A146" s="65" t="s">
        <v>751</v>
      </c>
      <c r="B146" s="66"/>
      <c r="C146" s="66"/>
      <c r="D146" s="67">
        <v>247.48015889880952</v>
      </c>
      <c r="E146" s="69"/>
      <c r="F146" s="103" t="str">
        <f>HYPERLINK("https://yt3.ggpht.com/ytc/AKedOLShk6bJWWLn1B9I1xNKh2U6F4uNn8S9OenU=s88-c-k-c0x00ffffff-no-rj")</f>
        <v>https://yt3.ggpht.com/ytc/AKedOLShk6bJWWLn1B9I1xNKh2U6F4uNn8S9OenU=s88-c-k-c0x00ffffff-no-rj</v>
      </c>
      <c r="G146" s="66"/>
      <c r="H146" s="70" t="s">
        <v>2797</v>
      </c>
      <c r="I146" s="71"/>
      <c r="J146" s="71" t="s">
        <v>75</v>
      </c>
      <c r="K146" s="70" t="s">
        <v>2797</v>
      </c>
      <c r="L146" s="74">
        <v>53.550232885912266</v>
      </c>
      <c r="M146" s="75">
        <v>6328.27294921875</v>
      </c>
      <c r="N146" s="75">
        <v>1917.6148681640625</v>
      </c>
      <c r="O146" s="76"/>
      <c r="P146" s="77"/>
      <c r="Q146" s="77"/>
      <c r="R146" s="89"/>
      <c r="S146" s="49">
        <v>15</v>
      </c>
      <c r="T146" s="49">
        <v>1</v>
      </c>
      <c r="U146" s="50">
        <v>192.666667</v>
      </c>
      <c r="V146" s="50">
        <v>0.0625</v>
      </c>
      <c r="W146" s="50">
        <v>0</v>
      </c>
      <c r="X146" s="50">
        <v>5.814081</v>
      </c>
      <c r="Y146" s="50">
        <v>0.016483516483516484</v>
      </c>
      <c r="Z146" s="50">
        <v>0</v>
      </c>
      <c r="AA146" s="72">
        <v>146</v>
      </c>
      <c r="AB146" s="72"/>
      <c r="AC146" s="73"/>
      <c r="AD146" s="80" t="s">
        <v>2797</v>
      </c>
      <c r="AE146" s="80" t="s">
        <v>2858</v>
      </c>
      <c r="AF146" s="80"/>
      <c r="AG146" s="80"/>
      <c r="AH146" s="80"/>
      <c r="AI146" s="80"/>
      <c r="AJ146" s="87">
        <v>38721.19835648148</v>
      </c>
      <c r="AK146" s="85" t="str">
        <f>HYPERLINK("https://yt3.ggpht.com/ytc/AKedOLShk6bJWWLn1B9I1xNKh2U6F4uNn8S9OenU=s88-c-k-c0x00ffffff-no-rj")</f>
        <v>https://yt3.ggpht.com/ytc/AKedOLShk6bJWWLn1B9I1xNKh2U6F4uNn8S9OenU=s88-c-k-c0x00ffffff-no-rj</v>
      </c>
      <c r="AL146" s="80">
        <v>16377908</v>
      </c>
      <c r="AM146" s="80">
        <v>0</v>
      </c>
      <c r="AN146" s="80">
        <v>4830</v>
      </c>
      <c r="AO146" s="80" t="b">
        <v>0</v>
      </c>
      <c r="AP146" s="80">
        <v>59</v>
      </c>
      <c r="AQ146" s="80"/>
      <c r="AR146" s="80"/>
      <c r="AS146" s="80" t="s">
        <v>3412</v>
      </c>
      <c r="AT146" s="85" t="str">
        <f>HYPERLINK("https://www.youtube.com/channel/UC95j9mAz4GoXln_4lriXTUg")</f>
        <v>https://www.youtube.com/channel/UC95j9mAz4GoXln_4lriXTUg</v>
      </c>
      <c r="AU146" s="80" t="str">
        <f>REPLACE(INDEX(GroupVertices[Group],MATCH(Vertices[[#This Row],[Vertex]],GroupVertices[Vertex],0)),1,1,"")</f>
        <v>10</v>
      </c>
      <c r="AV146" s="49"/>
      <c r="AW146" s="50"/>
      <c r="AX146" s="49"/>
      <c r="AY146" s="50"/>
      <c r="AZ146" s="49"/>
      <c r="BA146" s="50"/>
      <c r="BB146" s="49"/>
      <c r="BC146" s="50"/>
      <c r="BD146" s="49"/>
      <c r="BE146" s="49"/>
      <c r="BF146" s="49"/>
      <c r="BG146" s="49"/>
      <c r="BH146" s="49"/>
      <c r="BI146" s="49"/>
      <c r="BJ146" s="49"/>
      <c r="BK146" s="111" t="s">
        <v>2782</v>
      </c>
      <c r="BL146" s="111" t="s">
        <v>2782</v>
      </c>
      <c r="BM146" s="111" t="s">
        <v>2782</v>
      </c>
      <c r="BN146" s="111" t="s">
        <v>2782</v>
      </c>
      <c r="BO146" s="2"/>
      <c r="BP146" s="3"/>
      <c r="BQ146" s="3"/>
      <c r="BR146" s="3"/>
      <c r="BS146" s="3"/>
    </row>
    <row r="147" spans="1:71" ht="15">
      <c r="A147" s="65" t="s">
        <v>371</v>
      </c>
      <c r="B147" s="66"/>
      <c r="C147" s="66"/>
      <c r="D147" s="67">
        <v>150</v>
      </c>
      <c r="E147" s="69"/>
      <c r="F147" s="103" t="str">
        <f>HYPERLINK("https://yt3.ggpht.com/ytc/AKedOLR46bWUINOfxG3brBLowtTgluPvE6lr5rPCKp96=s88-c-k-c0x00ffffff-no-rj")</f>
        <v>https://yt3.ggpht.com/ytc/AKedOLR46bWUINOfxG3brBLowtTgluPvE6lr5rPCKp96=s88-c-k-c0x00ffffff-no-rj</v>
      </c>
      <c r="G147" s="66"/>
      <c r="H147" s="70" t="s">
        <v>1700</v>
      </c>
      <c r="I147" s="71"/>
      <c r="J147" s="71" t="s">
        <v>159</v>
      </c>
      <c r="K147" s="70" t="s">
        <v>1700</v>
      </c>
      <c r="L147" s="74">
        <v>1</v>
      </c>
      <c r="M147" s="75">
        <v>5538.00634765625</v>
      </c>
      <c r="N147" s="75">
        <v>2111.840576171875</v>
      </c>
      <c r="O147" s="76"/>
      <c r="P147" s="77"/>
      <c r="Q147" s="77"/>
      <c r="R147" s="89"/>
      <c r="S147" s="49">
        <v>0</v>
      </c>
      <c r="T147" s="49">
        <v>1</v>
      </c>
      <c r="U147" s="50">
        <v>0</v>
      </c>
      <c r="V147" s="50">
        <v>0.033333</v>
      </c>
      <c r="W147" s="50">
        <v>0</v>
      </c>
      <c r="X147" s="50">
        <v>0.479465</v>
      </c>
      <c r="Y147" s="50">
        <v>0</v>
      </c>
      <c r="Z147" s="50">
        <v>0</v>
      </c>
      <c r="AA147" s="72">
        <v>147</v>
      </c>
      <c r="AB147" s="72"/>
      <c r="AC147" s="73"/>
      <c r="AD147" s="80" t="s">
        <v>1700</v>
      </c>
      <c r="AE147" s="80" t="s">
        <v>2859</v>
      </c>
      <c r="AF147" s="80"/>
      <c r="AG147" s="80"/>
      <c r="AH147" s="80"/>
      <c r="AI147" s="80" t="s">
        <v>3039</v>
      </c>
      <c r="AJ147" s="87">
        <v>39054.35563657407</v>
      </c>
      <c r="AK147" s="85" t="str">
        <f>HYPERLINK("https://yt3.ggpht.com/ytc/AKedOLR46bWUINOfxG3brBLowtTgluPvE6lr5rPCKp96=s88-c-k-c0x00ffffff-no-rj")</f>
        <v>https://yt3.ggpht.com/ytc/AKedOLR46bWUINOfxG3brBLowtTgluPvE6lr5rPCKp96=s88-c-k-c0x00ffffff-no-rj</v>
      </c>
      <c r="AL147" s="80">
        <v>616</v>
      </c>
      <c r="AM147" s="80">
        <v>0</v>
      </c>
      <c r="AN147" s="80">
        <v>25</v>
      </c>
      <c r="AO147" s="80" t="b">
        <v>0</v>
      </c>
      <c r="AP147" s="80">
        <v>3</v>
      </c>
      <c r="AQ147" s="80"/>
      <c r="AR147" s="80"/>
      <c r="AS147" s="80" t="s">
        <v>3412</v>
      </c>
      <c r="AT147" s="85" t="str">
        <f>HYPERLINK("https://www.youtube.com/channel/UChTbuHXKgkoM-TTUIXk_TUQ")</f>
        <v>https://www.youtube.com/channel/UChTbuHXKgkoM-TTUIXk_TUQ</v>
      </c>
      <c r="AU147" s="80" t="str">
        <f>REPLACE(INDEX(GroupVertices[Group],MATCH(Vertices[[#This Row],[Vertex]],GroupVertices[Vertex],0)),1,1,"")</f>
        <v>10</v>
      </c>
      <c r="AV147" s="49">
        <v>1</v>
      </c>
      <c r="AW147" s="50">
        <v>7.142857142857143</v>
      </c>
      <c r="AX147" s="49">
        <v>1</v>
      </c>
      <c r="AY147" s="50">
        <v>7.142857142857143</v>
      </c>
      <c r="AZ147" s="49">
        <v>0</v>
      </c>
      <c r="BA147" s="50">
        <v>0</v>
      </c>
      <c r="BB147" s="49">
        <v>12</v>
      </c>
      <c r="BC147" s="50">
        <v>85.71428571428571</v>
      </c>
      <c r="BD147" s="49">
        <v>14</v>
      </c>
      <c r="BE147" s="49"/>
      <c r="BF147" s="49"/>
      <c r="BG147" s="49"/>
      <c r="BH147" s="49"/>
      <c r="BI147" s="49"/>
      <c r="BJ147" s="49"/>
      <c r="BK147" s="111" t="s">
        <v>4522</v>
      </c>
      <c r="BL147" s="111" t="s">
        <v>4522</v>
      </c>
      <c r="BM147" s="111" t="s">
        <v>5000</v>
      </c>
      <c r="BN147" s="111" t="s">
        <v>5000</v>
      </c>
      <c r="BO147" s="2"/>
      <c r="BP147" s="3"/>
      <c r="BQ147" s="3"/>
      <c r="BR147" s="3"/>
      <c r="BS147" s="3"/>
    </row>
    <row r="148" spans="1:71" ht="15">
      <c r="A148" s="65" t="s">
        <v>372</v>
      </c>
      <c r="B148" s="66"/>
      <c r="C148" s="66"/>
      <c r="D148" s="67">
        <v>150</v>
      </c>
      <c r="E148" s="69"/>
      <c r="F148" s="103" t="str">
        <f>HYPERLINK("https://yt3.ggpht.com/ytc/AKedOLQSimt7owEvCv2CHhSFufAHHDZ0EpqU6iFYQQ=s88-c-k-c0x00ffffff-no-rj")</f>
        <v>https://yt3.ggpht.com/ytc/AKedOLQSimt7owEvCv2CHhSFufAHHDZ0EpqU6iFYQQ=s88-c-k-c0x00ffffff-no-rj</v>
      </c>
      <c r="G148" s="66"/>
      <c r="H148" s="70" t="s">
        <v>1701</v>
      </c>
      <c r="I148" s="71"/>
      <c r="J148" s="71" t="s">
        <v>159</v>
      </c>
      <c r="K148" s="70" t="s">
        <v>1701</v>
      </c>
      <c r="L148" s="74">
        <v>1</v>
      </c>
      <c r="M148" s="75">
        <v>5771.82763671875</v>
      </c>
      <c r="N148" s="75">
        <v>2360.989990234375</v>
      </c>
      <c r="O148" s="76"/>
      <c r="P148" s="77"/>
      <c r="Q148" s="77"/>
      <c r="R148" s="89"/>
      <c r="S148" s="49">
        <v>0</v>
      </c>
      <c r="T148" s="49">
        <v>1</v>
      </c>
      <c r="U148" s="50">
        <v>0</v>
      </c>
      <c r="V148" s="50">
        <v>0.033333</v>
      </c>
      <c r="W148" s="50">
        <v>0</v>
      </c>
      <c r="X148" s="50">
        <v>0.479465</v>
      </c>
      <c r="Y148" s="50">
        <v>0</v>
      </c>
      <c r="Z148" s="50">
        <v>0</v>
      </c>
      <c r="AA148" s="72">
        <v>148</v>
      </c>
      <c r="AB148" s="72"/>
      <c r="AC148" s="73"/>
      <c r="AD148" s="80" t="s">
        <v>1701</v>
      </c>
      <c r="AE148" s="80"/>
      <c r="AF148" s="80"/>
      <c r="AG148" s="80"/>
      <c r="AH148" s="80"/>
      <c r="AI148" s="80"/>
      <c r="AJ148" s="87">
        <v>39328.17532407407</v>
      </c>
      <c r="AK148" s="85" t="str">
        <f>HYPERLINK("https://yt3.ggpht.com/ytc/AKedOLQSimt7owEvCv2CHhSFufAHHDZ0EpqU6iFYQQ=s88-c-k-c0x00ffffff-no-rj")</f>
        <v>https://yt3.ggpht.com/ytc/AKedOLQSimt7owEvCv2CHhSFufAHHDZ0EpqU6iFYQQ=s88-c-k-c0x00ffffff-no-rj</v>
      </c>
      <c r="AL148" s="80">
        <v>0</v>
      </c>
      <c r="AM148" s="80">
        <v>0</v>
      </c>
      <c r="AN148" s="80">
        <v>1</v>
      </c>
      <c r="AO148" s="80" t="b">
        <v>0</v>
      </c>
      <c r="AP148" s="80">
        <v>0</v>
      </c>
      <c r="AQ148" s="80"/>
      <c r="AR148" s="80"/>
      <c r="AS148" s="80" t="s">
        <v>3412</v>
      </c>
      <c r="AT148" s="85" t="str">
        <f>HYPERLINK("https://www.youtube.com/channel/UCtHjq0NaBsADlvSVS8GhW8g")</f>
        <v>https://www.youtube.com/channel/UCtHjq0NaBsADlvSVS8GhW8g</v>
      </c>
      <c r="AU148" s="80" t="str">
        <f>REPLACE(INDEX(GroupVertices[Group],MATCH(Vertices[[#This Row],[Vertex]],GroupVertices[Vertex],0)),1,1,"")</f>
        <v>10</v>
      </c>
      <c r="AV148" s="49">
        <v>1</v>
      </c>
      <c r="AW148" s="50">
        <v>50</v>
      </c>
      <c r="AX148" s="49">
        <v>0</v>
      </c>
      <c r="AY148" s="50">
        <v>0</v>
      </c>
      <c r="AZ148" s="49">
        <v>0</v>
      </c>
      <c r="BA148" s="50">
        <v>0</v>
      </c>
      <c r="BB148" s="49">
        <v>1</v>
      </c>
      <c r="BC148" s="50">
        <v>50</v>
      </c>
      <c r="BD148" s="49">
        <v>2</v>
      </c>
      <c r="BE148" s="49"/>
      <c r="BF148" s="49"/>
      <c r="BG148" s="49"/>
      <c r="BH148" s="49"/>
      <c r="BI148" s="49"/>
      <c r="BJ148" s="49"/>
      <c r="BK148" s="111" t="s">
        <v>4523</v>
      </c>
      <c r="BL148" s="111" t="s">
        <v>4523</v>
      </c>
      <c r="BM148" s="111" t="s">
        <v>5001</v>
      </c>
      <c r="BN148" s="111" t="s">
        <v>5001</v>
      </c>
      <c r="BO148" s="2"/>
      <c r="BP148" s="3"/>
      <c r="BQ148" s="3"/>
      <c r="BR148" s="3"/>
      <c r="BS148" s="3"/>
    </row>
    <row r="149" spans="1:71" ht="15">
      <c r="A149" s="65" t="s">
        <v>373</v>
      </c>
      <c r="B149" s="66"/>
      <c r="C149" s="66"/>
      <c r="D149" s="67">
        <v>150</v>
      </c>
      <c r="E149" s="69"/>
      <c r="F149" s="103" t="str">
        <f>HYPERLINK("https://yt3.ggpht.com/ytc/AKedOLT8J8_RpiUR84VDxOGWLQi-gLdkgsJRz3K3elam=s88-c-k-c0x00ffffff-no-rj")</f>
        <v>https://yt3.ggpht.com/ytc/AKedOLT8J8_RpiUR84VDxOGWLQi-gLdkgsJRz3K3elam=s88-c-k-c0x00ffffff-no-rj</v>
      </c>
      <c r="G149" s="66"/>
      <c r="H149" s="70" t="s">
        <v>1702</v>
      </c>
      <c r="I149" s="71"/>
      <c r="J149" s="71" t="s">
        <v>159</v>
      </c>
      <c r="K149" s="70" t="s">
        <v>1702</v>
      </c>
      <c r="L149" s="74">
        <v>1</v>
      </c>
      <c r="M149" s="75">
        <v>6127.28271484375</v>
      </c>
      <c r="N149" s="75">
        <v>1353.5396728515625</v>
      </c>
      <c r="O149" s="76"/>
      <c r="P149" s="77"/>
      <c r="Q149" s="77"/>
      <c r="R149" s="89"/>
      <c r="S149" s="49">
        <v>0</v>
      </c>
      <c r="T149" s="49">
        <v>1</v>
      </c>
      <c r="U149" s="50">
        <v>0</v>
      </c>
      <c r="V149" s="50">
        <v>0.033333</v>
      </c>
      <c r="W149" s="50">
        <v>0</v>
      </c>
      <c r="X149" s="50">
        <v>0.479465</v>
      </c>
      <c r="Y149" s="50">
        <v>0</v>
      </c>
      <c r="Z149" s="50">
        <v>0</v>
      </c>
      <c r="AA149" s="72">
        <v>149</v>
      </c>
      <c r="AB149" s="72"/>
      <c r="AC149" s="73"/>
      <c r="AD149" s="80" t="s">
        <v>1702</v>
      </c>
      <c r="AE149" s="80"/>
      <c r="AF149" s="80"/>
      <c r="AG149" s="80"/>
      <c r="AH149" s="80"/>
      <c r="AI149" s="80"/>
      <c r="AJ149" s="87">
        <v>38904.89696759259</v>
      </c>
      <c r="AK149" s="85" t="str">
        <f>HYPERLINK("https://yt3.ggpht.com/ytc/AKedOLT8J8_RpiUR84VDxOGWLQi-gLdkgsJRz3K3elam=s88-c-k-c0x00ffffff-no-rj")</f>
        <v>https://yt3.ggpht.com/ytc/AKedOLT8J8_RpiUR84VDxOGWLQi-gLdkgsJRz3K3elam=s88-c-k-c0x00ffffff-no-rj</v>
      </c>
      <c r="AL149" s="80">
        <v>5020843</v>
      </c>
      <c r="AM149" s="80">
        <v>0</v>
      </c>
      <c r="AN149" s="80">
        <v>703</v>
      </c>
      <c r="AO149" s="80" t="b">
        <v>0</v>
      </c>
      <c r="AP149" s="80">
        <v>12</v>
      </c>
      <c r="AQ149" s="80"/>
      <c r="AR149" s="80"/>
      <c r="AS149" s="80" t="s">
        <v>3412</v>
      </c>
      <c r="AT149" s="85" t="str">
        <f>HYPERLINK("https://www.youtube.com/channel/UC2HVaXfIcE8UnoQ-jRy9TFQ")</f>
        <v>https://www.youtube.com/channel/UC2HVaXfIcE8UnoQ-jRy9TFQ</v>
      </c>
      <c r="AU149" s="80" t="str">
        <f>REPLACE(INDEX(GroupVertices[Group],MATCH(Vertices[[#This Row],[Vertex]],GroupVertices[Vertex],0)),1,1,"")</f>
        <v>10</v>
      </c>
      <c r="AV149" s="49">
        <v>1</v>
      </c>
      <c r="AW149" s="50">
        <v>9.090909090909092</v>
      </c>
      <c r="AX149" s="49">
        <v>0</v>
      </c>
      <c r="AY149" s="50">
        <v>0</v>
      </c>
      <c r="AZ149" s="49">
        <v>0</v>
      </c>
      <c r="BA149" s="50">
        <v>0</v>
      </c>
      <c r="BB149" s="49">
        <v>10</v>
      </c>
      <c r="BC149" s="50">
        <v>90.9090909090909</v>
      </c>
      <c r="BD149" s="49">
        <v>11</v>
      </c>
      <c r="BE149" s="49"/>
      <c r="BF149" s="49"/>
      <c r="BG149" s="49"/>
      <c r="BH149" s="49"/>
      <c r="BI149" s="49"/>
      <c r="BJ149" s="49"/>
      <c r="BK149" s="111" t="s">
        <v>4524</v>
      </c>
      <c r="BL149" s="111" t="s">
        <v>4524</v>
      </c>
      <c r="BM149" s="111" t="s">
        <v>5002</v>
      </c>
      <c r="BN149" s="111" t="s">
        <v>5002</v>
      </c>
      <c r="BO149" s="2"/>
      <c r="BP149" s="3"/>
      <c r="BQ149" s="3"/>
      <c r="BR149" s="3"/>
      <c r="BS149" s="3"/>
    </row>
    <row r="150" spans="1:71" ht="15">
      <c r="A150" s="65" t="s">
        <v>374</v>
      </c>
      <c r="B150" s="66"/>
      <c r="C150" s="66"/>
      <c r="D150" s="67">
        <v>150</v>
      </c>
      <c r="E150" s="69"/>
      <c r="F150" s="103" t="str">
        <f>HYPERLINK("https://yt3.ggpht.com/ytc/AKedOLT7KgEkxOLv_OCRm1FcannFsY643Z8dc7Ah9g=s88-c-k-c0x00ffffff-no-rj")</f>
        <v>https://yt3.ggpht.com/ytc/AKedOLT7KgEkxOLv_OCRm1FcannFsY643Z8dc7Ah9g=s88-c-k-c0x00ffffff-no-rj</v>
      </c>
      <c r="G150" s="66"/>
      <c r="H150" s="70" t="s">
        <v>1703</v>
      </c>
      <c r="I150" s="71"/>
      <c r="J150" s="71" t="s">
        <v>159</v>
      </c>
      <c r="K150" s="70" t="s">
        <v>1703</v>
      </c>
      <c r="L150" s="74">
        <v>1</v>
      </c>
      <c r="M150" s="75">
        <v>6102.4462890625</v>
      </c>
      <c r="N150" s="75">
        <v>2453.809814453125</v>
      </c>
      <c r="O150" s="76"/>
      <c r="P150" s="77"/>
      <c r="Q150" s="77"/>
      <c r="R150" s="89"/>
      <c r="S150" s="49">
        <v>0</v>
      </c>
      <c r="T150" s="49">
        <v>1</v>
      </c>
      <c r="U150" s="50">
        <v>0</v>
      </c>
      <c r="V150" s="50">
        <v>0.033333</v>
      </c>
      <c r="W150" s="50">
        <v>0</v>
      </c>
      <c r="X150" s="50">
        <v>0.479465</v>
      </c>
      <c r="Y150" s="50">
        <v>0</v>
      </c>
      <c r="Z150" s="50">
        <v>0</v>
      </c>
      <c r="AA150" s="72">
        <v>150</v>
      </c>
      <c r="AB150" s="72"/>
      <c r="AC150" s="73"/>
      <c r="AD150" s="80" t="s">
        <v>1703</v>
      </c>
      <c r="AE150" s="80"/>
      <c r="AF150" s="80"/>
      <c r="AG150" s="80"/>
      <c r="AH150" s="80"/>
      <c r="AI150" s="80"/>
      <c r="AJ150" s="87">
        <v>39265.391851851855</v>
      </c>
      <c r="AK150" s="85" t="str">
        <f>HYPERLINK("https://yt3.ggpht.com/ytc/AKedOLT7KgEkxOLv_OCRm1FcannFsY643Z8dc7Ah9g=s88-c-k-c0x00ffffff-no-rj")</f>
        <v>https://yt3.ggpht.com/ytc/AKedOLT7KgEkxOLv_OCRm1FcannFsY643Z8dc7Ah9g=s88-c-k-c0x00ffffff-no-rj</v>
      </c>
      <c r="AL150" s="80">
        <v>110</v>
      </c>
      <c r="AM150" s="80">
        <v>0</v>
      </c>
      <c r="AN150" s="80">
        <v>2</v>
      </c>
      <c r="AO150" s="80" t="b">
        <v>0</v>
      </c>
      <c r="AP150" s="80">
        <v>2</v>
      </c>
      <c r="AQ150" s="80"/>
      <c r="AR150" s="80"/>
      <c r="AS150" s="80" t="s">
        <v>3412</v>
      </c>
      <c r="AT150" s="85" t="str">
        <f>HYPERLINK("https://www.youtube.com/channel/UCFhtQ0tFevJqQEeOuOMAOsw")</f>
        <v>https://www.youtube.com/channel/UCFhtQ0tFevJqQEeOuOMAOsw</v>
      </c>
      <c r="AU150" s="80" t="str">
        <f>REPLACE(INDEX(GroupVertices[Group],MATCH(Vertices[[#This Row],[Vertex]],GroupVertices[Vertex],0)),1,1,"")</f>
        <v>10</v>
      </c>
      <c r="AV150" s="49">
        <v>0</v>
      </c>
      <c r="AW150" s="50">
        <v>0</v>
      </c>
      <c r="AX150" s="49">
        <v>0</v>
      </c>
      <c r="AY150" s="50">
        <v>0</v>
      </c>
      <c r="AZ150" s="49">
        <v>0</v>
      </c>
      <c r="BA150" s="50">
        <v>0</v>
      </c>
      <c r="BB150" s="49">
        <v>17</v>
      </c>
      <c r="BC150" s="50">
        <v>100</v>
      </c>
      <c r="BD150" s="49">
        <v>17</v>
      </c>
      <c r="BE150" s="49"/>
      <c r="BF150" s="49"/>
      <c r="BG150" s="49"/>
      <c r="BH150" s="49"/>
      <c r="BI150" s="49"/>
      <c r="BJ150" s="49"/>
      <c r="BK150" s="111" t="s">
        <v>4525</v>
      </c>
      <c r="BL150" s="111" t="s">
        <v>4525</v>
      </c>
      <c r="BM150" s="111" t="s">
        <v>5003</v>
      </c>
      <c r="BN150" s="111" t="s">
        <v>5003</v>
      </c>
      <c r="BO150" s="2"/>
      <c r="BP150" s="3"/>
      <c r="BQ150" s="3"/>
      <c r="BR150" s="3"/>
      <c r="BS150" s="3"/>
    </row>
    <row r="151" spans="1:71" ht="15">
      <c r="A151" s="65" t="s">
        <v>375</v>
      </c>
      <c r="B151" s="66"/>
      <c r="C151" s="66"/>
      <c r="D151" s="67">
        <v>152.19246014880952</v>
      </c>
      <c r="E151" s="69"/>
      <c r="F151" s="103" t="str">
        <f>HYPERLINK("https://yt3.ggpht.com/ytc/AKedOLQrLs_q2eYLWNajzQsXqQwI0ltmnHsf_b9UPQ=s88-c-k-c0x00ffffff-no-rj")</f>
        <v>https://yt3.ggpht.com/ytc/AKedOLQrLs_q2eYLWNajzQsXqQwI0ltmnHsf_b9UPQ=s88-c-k-c0x00ffffff-no-rj</v>
      </c>
      <c r="G151" s="66"/>
      <c r="H151" s="70" t="s">
        <v>1704</v>
      </c>
      <c r="I151" s="71"/>
      <c r="J151" s="71" t="s">
        <v>75</v>
      </c>
      <c r="K151" s="70" t="s">
        <v>1704</v>
      </c>
      <c r="L151" s="74">
        <v>2.1819255601811434</v>
      </c>
      <c r="M151" s="75">
        <v>6877.814453125</v>
      </c>
      <c r="N151" s="75">
        <v>2052.225341796875</v>
      </c>
      <c r="O151" s="76"/>
      <c r="P151" s="77"/>
      <c r="Q151" s="77"/>
      <c r="R151" s="89"/>
      <c r="S151" s="49">
        <v>0</v>
      </c>
      <c r="T151" s="49">
        <v>4</v>
      </c>
      <c r="U151" s="50">
        <v>4.333333</v>
      </c>
      <c r="V151" s="50">
        <v>0.038462</v>
      </c>
      <c r="W151" s="50">
        <v>0</v>
      </c>
      <c r="X151" s="50">
        <v>1.478657</v>
      </c>
      <c r="Y151" s="50">
        <v>0.25</v>
      </c>
      <c r="Z151" s="50">
        <v>0</v>
      </c>
      <c r="AA151" s="72">
        <v>151</v>
      </c>
      <c r="AB151" s="72"/>
      <c r="AC151" s="73"/>
      <c r="AD151" s="80" t="s">
        <v>1704</v>
      </c>
      <c r="AE151" s="80"/>
      <c r="AF151" s="80"/>
      <c r="AG151" s="80"/>
      <c r="AH151" s="80"/>
      <c r="AI151" s="80"/>
      <c r="AJ151" s="80" t="s">
        <v>3188</v>
      </c>
      <c r="AK151" s="85" t="str">
        <f>HYPERLINK("https://yt3.ggpht.com/ytc/AKedOLQrLs_q2eYLWNajzQsXqQwI0ltmnHsf_b9UPQ=s88-c-k-c0x00ffffff-no-rj")</f>
        <v>https://yt3.ggpht.com/ytc/AKedOLQrLs_q2eYLWNajzQsXqQwI0ltmnHsf_b9UPQ=s88-c-k-c0x00ffffff-no-rj</v>
      </c>
      <c r="AL151" s="80">
        <v>0</v>
      </c>
      <c r="AM151" s="80">
        <v>0</v>
      </c>
      <c r="AN151" s="80">
        <v>3</v>
      </c>
      <c r="AO151" s="80" t="b">
        <v>0</v>
      </c>
      <c r="AP151" s="80">
        <v>0</v>
      </c>
      <c r="AQ151" s="80"/>
      <c r="AR151" s="80"/>
      <c r="AS151" s="80" t="s">
        <v>3412</v>
      </c>
      <c r="AT151" s="85" t="str">
        <f>HYPERLINK("https://www.youtube.com/channel/UCVn2V_pYYlCd6CqJkqyaaLQ")</f>
        <v>https://www.youtube.com/channel/UCVn2V_pYYlCd6CqJkqyaaLQ</v>
      </c>
      <c r="AU151" s="80" t="str">
        <f>REPLACE(INDEX(GroupVertices[Group],MATCH(Vertices[[#This Row],[Vertex]],GroupVertices[Vertex],0)),1,1,"")</f>
        <v>10</v>
      </c>
      <c r="AV151" s="49">
        <v>2</v>
      </c>
      <c r="AW151" s="50">
        <v>5.555555555555555</v>
      </c>
      <c r="AX151" s="49">
        <v>0</v>
      </c>
      <c r="AY151" s="50">
        <v>0</v>
      </c>
      <c r="AZ151" s="49">
        <v>0</v>
      </c>
      <c r="BA151" s="50">
        <v>0</v>
      </c>
      <c r="BB151" s="49">
        <v>34</v>
      </c>
      <c r="BC151" s="50">
        <v>94.44444444444444</v>
      </c>
      <c r="BD151" s="49">
        <v>36</v>
      </c>
      <c r="BE151" s="49"/>
      <c r="BF151" s="49"/>
      <c r="BG151" s="49"/>
      <c r="BH151" s="49"/>
      <c r="BI151" s="49"/>
      <c r="BJ151" s="49"/>
      <c r="BK151" s="111" t="s">
        <v>4526</v>
      </c>
      <c r="BL151" s="111" t="s">
        <v>4526</v>
      </c>
      <c r="BM151" s="111" t="s">
        <v>5004</v>
      </c>
      <c r="BN151" s="111" t="s">
        <v>5004</v>
      </c>
      <c r="BO151" s="2"/>
      <c r="BP151" s="3"/>
      <c r="BQ151" s="3"/>
      <c r="BR151" s="3"/>
      <c r="BS151" s="3"/>
    </row>
    <row r="152" spans="1:71" ht="15">
      <c r="A152" s="65" t="s">
        <v>376</v>
      </c>
      <c r="B152" s="66"/>
      <c r="C152" s="66"/>
      <c r="D152" s="67">
        <v>150</v>
      </c>
      <c r="E152" s="69"/>
      <c r="F152" s="103" t="str">
        <f>HYPERLINK("https://yt3.ggpht.com/ytc/AKedOLTLnk6L1sGWZ6GkfGzVnb0T0pmMrmkBsIH7Zg=s88-c-k-c0x00ffffff-no-rj")</f>
        <v>https://yt3.ggpht.com/ytc/AKedOLTLnk6L1sGWZ6GkfGzVnb0T0pmMrmkBsIH7Zg=s88-c-k-c0x00ffffff-no-rj</v>
      </c>
      <c r="G152" s="66"/>
      <c r="H152" s="70" t="s">
        <v>1705</v>
      </c>
      <c r="I152" s="71"/>
      <c r="J152" s="71" t="s">
        <v>159</v>
      </c>
      <c r="K152" s="70" t="s">
        <v>1705</v>
      </c>
      <c r="L152" s="74">
        <v>1</v>
      </c>
      <c r="M152" s="75">
        <v>6789.2802734375</v>
      </c>
      <c r="N152" s="75">
        <v>1732.713623046875</v>
      </c>
      <c r="O152" s="76"/>
      <c r="P152" s="77"/>
      <c r="Q152" s="77"/>
      <c r="R152" s="89"/>
      <c r="S152" s="49">
        <v>1</v>
      </c>
      <c r="T152" s="49">
        <v>1</v>
      </c>
      <c r="U152" s="50">
        <v>0</v>
      </c>
      <c r="V152" s="50">
        <v>0.034483</v>
      </c>
      <c r="W152" s="50">
        <v>0</v>
      </c>
      <c r="X152" s="50">
        <v>0.793679</v>
      </c>
      <c r="Y152" s="50">
        <v>0.5</v>
      </c>
      <c r="Z152" s="50">
        <v>0</v>
      </c>
      <c r="AA152" s="72">
        <v>152</v>
      </c>
      <c r="AB152" s="72"/>
      <c r="AC152" s="73"/>
      <c r="AD152" s="80" t="s">
        <v>1705</v>
      </c>
      <c r="AE152" s="80"/>
      <c r="AF152" s="80"/>
      <c r="AG152" s="80"/>
      <c r="AH152" s="80"/>
      <c r="AI152" s="80"/>
      <c r="AJ152" s="80" t="s">
        <v>3189</v>
      </c>
      <c r="AK152" s="85" t="str">
        <f>HYPERLINK("https://yt3.ggpht.com/ytc/AKedOLTLnk6L1sGWZ6GkfGzVnb0T0pmMrmkBsIH7Zg=s88-c-k-c0x00ffffff-no-rj")</f>
        <v>https://yt3.ggpht.com/ytc/AKedOLTLnk6L1sGWZ6GkfGzVnb0T0pmMrmkBsIH7Zg=s88-c-k-c0x00ffffff-no-rj</v>
      </c>
      <c r="AL152" s="80">
        <v>61</v>
      </c>
      <c r="AM152" s="80">
        <v>0</v>
      </c>
      <c r="AN152" s="80">
        <v>1</v>
      </c>
      <c r="AO152" s="80" t="b">
        <v>0</v>
      </c>
      <c r="AP152" s="80">
        <v>1</v>
      </c>
      <c r="AQ152" s="80"/>
      <c r="AR152" s="80"/>
      <c r="AS152" s="80" t="s">
        <v>3412</v>
      </c>
      <c r="AT152" s="85" t="str">
        <f>HYPERLINK("https://www.youtube.com/channel/UC_oviaw9ahW727hLmffGXlQ")</f>
        <v>https://www.youtube.com/channel/UC_oviaw9ahW727hLmffGXlQ</v>
      </c>
      <c r="AU152" s="80" t="str">
        <f>REPLACE(INDEX(GroupVertices[Group],MATCH(Vertices[[#This Row],[Vertex]],GroupVertices[Vertex],0)),1,1,"")</f>
        <v>10</v>
      </c>
      <c r="AV152" s="49">
        <v>2</v>
      </c>
      <c r="AW152" s="50">
        <v>12.5</v>
      </c>
      <c r="AX152" s="49">
        <v>0</v>
      </c>
      <c r="AY152" s="50">
        <v>0</v>
      </c>
      <c r="AZ152" s="49">
        <v>0</v>
      </c>
      <c r="BA152" s="50">
        <v>0</v>
      </c>
      <c r="BB152" s="49">
        <v>14</v>
      </c>
      <c r="BC152" s="50">
        <v>87.5</v>
      </c>
      <c r="BD152" s="49">
        <v>16</v>
      </c>
      <c r="BE152" s="49"/>
      <c r="BF152" s="49"/>
      <c r="BG152" s="49"/>
      <c r="BH152" s="49"/>
      <c r="BI152" s="49"/>
      <c r="BJ152" s="49"/>
      <c r="BK152" s="111" t="s">
        <v>4527</v>
      </c>
      <c r="BL152" s="111" t="s">
        <v>4527</v>
      </c>
      <c r="BM152" s="111" t="s">
        <v>5005</v>
      </c>
      <c r="BN152" s="111" t="s">
        <v>5005</v>
      </c>
      <c r="BO152" s="2"/>
      <c r="BP152" s="3"/>
      <c r="BQ152" s="3"/>
      <c r="BR152" s="3"/>
      <c r="BS152" s="3"/>
    </row>
    <row r="153" spans="1:71" ht="15">
      <c r="A153" s="65" t="s">
        <v>377</v>
      </c>
      <c r="B153" s="66"/>
      <c r="C153" s="66"/>
      <c r="D153" s="67">
        <v>150</v>
      </c>
      <c r="E153" s="69"/>
      <c r="F153" s="103" t="str">
        <f>HYPERLINK("https://yt3.ggpht.com/ytc/AKedOLRufiRwUD3LO8wJMUXyGAo-tZfQEynn8QHgcn46=s88-c-k-c0x00ffffff-no-rj")</f>
        <v>https://yt3.ggpht.com/ytc/AKedOLRufiRwUD3LO8wJMUXyGAo-tZfQEynn8QHgcn46=s88-c-k-c0x00ffffff-no-rj</v>
      </c>
      <c r="G153" s="66"/>
      <c r="H153" s="70" t="s">
        <v>1706</v>
      </c>
      <c r="I153" s="71"/>
      <c r="J153" s="71" t="s">
        <v>159</v>
      </c>
      <c r="K153" s="70" t="s">
        <v>1706</v>
      </c>
      <c r="L153" s="74">
        <v>1</v>
      </c>
      <c r="M153" s="75">
        <v>6890.43408203125</v>
      </c>
      <c r="N153" s="75">
        <v>1424.7681884765625</v>
      </c>
      <c r="O153" s="76"/>
      <c r="P153" s="77"/>
      <c r="Q153" s="77"/>
      <c r="R153" s="89"/>
      <c r="S153" s="49">
        <v>0</v>
      </c>
      <c r="T153" s="49">
        <v>1</v>
      </c>
      <c r="U153" s="50">
        <v>0</v>
      </c>
      <c r="V153" s="50">
        <v>0.033333</v>
      </c>
      <c r="W153" s="50">
        <v>0</v>
      </c>
      <c r="X153" s="50">
        <v>0.479465</v>
      </c>
      <c r="Y153" s="50">
        <v>0</v>
      </c>
      <c r="Z153" s="50">
        <v>0</v>
      </c>
      <c r="AA153" s="72">
        <v>153</v>
      </c>
      <c r="AB153" s="72"/>
      <c r="AC153" s="73"/>
      <c r="AD153" s="80" t="s">
        <v>1706</v>
      </c>
      <c r="AE153" s="80"/>
      <c r="AF153" s="80"/>
      <c r="AG153" s="80"/>
      <c r="AH153" s="80"/>
      <c r="AI153" s="80"/>
      <c r="AJ153" s="87">
        <v>38999.847349537034</v>
      </c>
      <c r="AK153" s="85" t="str">
        <f>HYPERLINK("https://yt3.ggpht.com/ytc/AKedOLRufiRwUD3LO8wJMUXyGAo-tZfQEynn8QHgcn46=s88-c-k-c0x00ffffff-no-rj")</f>
        <v>https://yt3.ggpht.com/ytc/AKedOLRufiRwUD3LO8wJMUXyGAo-tZfQEynn8QHgcn46=s88-c-k-c0x00ffffff-no-rj</v>
      </c>
      <c r="AL153" s="80">
        <v>1280814</v>
      </c>
      <c r="AM153" s="80">
        <v>0</v>
      </c>
      <c r="AN153" s="80">
        <v>396</v>
      </c>
      <c r="AO153" s="80" t="b">
        <v>0</v>
      </c>
      <c r="AP153" s="80">
        <v>10</v>
      </c>
      <c r="AQ153" s="80"/>
      <c r="AR153" s="80"/>
      <c r="AS153" s="80" t="s">
        <v>3412</v>
      </c>
      <c r="AT153" s="85" t="str">
        <f>HYPERLINK("https://www.youtube.com/channel/UC3kfqm6Vm5uMvY0VHBIKEfA")</f>
        <v>https://www.youtube.com/channel/UC3kfqm6Vm5uMvY0VHBIKEfA</v>
      </c>
      <c r="AU153" s="80" t="str">
        <f>REPLACE(INDEX(GroupVertices[Group],MATCH(Vertices[[#This Row],[Vertex]],GroupVertices[Vertex],0)),1,1,"")</f>
        <v>10</v>
      </c>
      <c r="AV153" s="49">
        <v>0</v>
      </c>
      <c r="AW153" s="50">
        <v>0</v>
      </c>
      <c r="AX153" s="49">
        <v>0</v>
      </c>
      <c r="AY153" s="50">
        <v>0</v>
      </c>
      <c r="AZ153" s="49">
        <v>0</v>
      </c>
      <c r="BA153" s="50">
        <v>0</v>
      </c>
      <c r="BB153" s="49">
        <v>3</v>
      </c>
      <c r="BC153" s="50">
        <v>100</v>
      </c>
      <c r="BD153" s="49">
        <v>3</v>
      </c>
      <c r="BE153" s="49"/>
      <c r="BF153" s="49"/>
      <c r="BG153" s="49"/>
      <c r="BH153" s="49"/>
      <c r="BI153" s="49"/>
      <c r="BJ153" s="49"/>
      <c r="BK153" s="111" t="s">
        <v>4528</v>
      </c>
      <c r="BL153" s="111" t="s">
        <v>4528</v>
      </c>
      <c r="BM153" s="111" t="s">
        <v>5006</v>
      </c>
      <c r="BN153" s="111" t="s">
        <v>5006</v>
      </c>
      <c r="BO153" s="2"/>
      <c r="BP153" s="3"/>
      <c r="BQ153" s="3"/>
      <c r="BR153" s="3"/>
      <c r="BS153" s="3"/>
    </row>
    <row r="154" spans="1:71" ht="15">
      <c r="A154" s="65" t="s">
        <v>378</v>
      </c>
      <c r="B154" s="66"/>
      <c r="C154" s="66"/>
      <c r="D154" s="67">
        <v>150</v>
      </c>
      <c r="E154" s="69"/>
      <c r="F154" s="103" t="str">
        <f>HYPERLINK("https://yt3.ggpht.com/ytc/AKedOLQItjZM6nrRezWRy_YH92NJXaScuekTwaxbyhLbIQ=s88-c-k-c0x00ffffff-no-rj")</f>
        <v>https://yt3.ggpht.com/ytc/AKedOLQItjZM6nrRezWRy_YH92NJXaScuekTwaxbyhLbIQ=s88-c-k-c0x00ffffff-no-rj</v>
      </c>
      <c r="G154" s="66"/>
      <c r="H154" s="70" t="s">
        <v>1707</v>
      </c>
      <c r="I154" s="71"/>
      <c r="J154" s="71" t="s">
        <v>159</v>
      </c>
      <c r="K154" s="70" t="s">
        <v>1707</v>
      </c>
      <c r="L154" s="74">
        <v>1</v>
      </c>
      <c r="M154" s="75">
        <v>6488.787109375</v>
      </c>
      <c r="N154" s="75">
        <v>1343.7962646484375</v>
      </c>
      <c r="O154" s="76"/>
      <c r="P154" s="77"/>
      <c r="Q154" s="77"/>
      <c r="R154" s="89"/>
      <c r="S154" s="49">
        <v>0</v>
      </c>
      <c r="T154" s="49">
        <v>1</v>
      </c>
      <c r="U154" s="50">
        <v>0</v>
      </c>
      <c r="V154" s="50">
        <v>0.033333</v>
      </c>
      <c r="W154" s="50">
        <v>0</v>
      </c>
      <c r="X154" s="50">
        <v>0.479465</v>
      </c>
      <c r="Y154" s="50">
        <v>0</v>
      </c>
      <c r="Z154" s="50">
        <v>0</v>
      </c>
      <c r="AA154" s="72">
        <v>154</v>
      </c>
      <c r="AB154" s="72"/>
      <c r="AC154" s="73"/>
      <c r="AD154" s="80" t="s">
        <v>1707</v>
      </c>
      <c r="AE154" s="80"/>
      <c r="AF154" s="80"/>
      <c r="AG154" s="80"/>
      <c r="AH154" s="80"/>
      <c r="AI154" s="80"/>
      <c r="AJ154" s="87">
        <v>40215.8653587963</v>
      </c>
      <c r="AK154" s="85" t="str">
        <f>HYPERLINK("https://yt3.ggpht.com/ytc/AKedOLQItjZM6nrRezWRy_YH92NJXaScuekTwaxbyhLbIQ=s88-c-k-c0x00ffffff-no-rj")</f>
        <v>https://yt3.ggpht.com/ytc/AKedOLQItjZM6nrRezWRy_YH92NJXaScuekTwaxbyhLbIQ=s88-c-k-c0x00ffffff-no-rj</v>
      </c>
      <c r="AL154" s="80">
        <v>0</v>
      </c>
      <c r="AM154" s="80">
        <v>0</v>
      </c>
      <c r="AN154" s="80">
        <v>179</v>
      </c>
      <c r="AO154" s="80" t="b">
        <v>0</v>
      </c>
      <c r="AP154" s="80">
        <v>0</v>
      </c>
      <c r="AQ154" s="80"/>
      <c r="AR154" s="80"/>
      <c r="AS154" s="80" t="s">
        <v>3412</v>
      </c>
      <c r="AT154" s="85" t="str">
        <f>HYPERLINK("https://www.youtube.com/channel/UCLJytBq-KA6g_dX8bdxIlXg")</f>
        <v>https://www.youtube.com/channel/UCLJytBq-KA6g_dX8bdxIlXg</v>
      </c>
      <c r="AU154" s="80" t="str">
        <f>REPLACE(INDEX(GroupVertices[Group],MATCH(Vertices[[#This Row],[Vertex]],GroupVertices[Vertex],0)),1,1,"")</f>
        <v>10</v>
      </c>
      <c r="AV154" s="49">
        <v>1</v>
      </c>
      <c r="AW154" s="50">
        <v>9.090909090909092</v>
      </c>
      <c r="AX154" s="49">
        <v>0</v>
      </c>
      <c r="AY154" s="50">
        <v>0</v>
      </c>
      <c r="AZ154" s="49">
        <v>0</v>
      </c>
      <c r="BA154" s="50">
        <v>0</v>
      </c>
      <c r="BB154" s="49">
        <v>10</v>
      </c>
      <c r="BC154" s="50">
        <v>90.9090909090909</v>
      </c>
      <c r="BD154" s="49">
        <v>11</v>
      </c>
      <c r="BE154" s="49"/>
      <c r="BF154" s="49"/>
      <c r="BG154" s="49"/>
      <c r="BH154" s="49"/>
      <c r="BI154" s="49"/>
      <c r="BJ154" s="49"/>
      <c r="BK154" s="111" t="s">
        <v>4529</v>
      </c>
      <c r="BL154" s="111" t="s">
        <v>4529</v>
      </c>
      <c r="BM154" s="111" t="s">
        <v>5007</v>
      </c>
      <c r="BN154" s="111" t="s">
        <v>5007</v>
      </c>
      <c r="BO154" s="2"/>
      <c r="BP154" s="3"/>
      <c r="BQ154" s="3"/>
      <c r="BR154" s="3"/>
      <c r="BS154" s="3"/>
    </row>
    <row r="155" spans="1:71" ht="15">
      <c r="A155" s="65" t="s">
        <v>380</v>
      </c>
      <c r="B155" s="66"/>
      <c r="C155" s="66"/>
      <c r="D155" s="67">
        <v>157.42063508928572</v>
      </c>
      <c r="E155" s="69"/>
      <c r="F155" s="103" t="str">
        <f>HYPERLINK("https://yt3.ggpht.com/ytc/AKedOLQ2rQoG-mzZu-1UYmi-y55NsCLdi2EeSOZqwIU1Nw=s88-c-k-c0x00ffffff-no-rj")</f>
        <v>https://yt3.ggpht.com/ytc/AKedOLQ2rQoG-mzZu-1UYmi-y55NsCLdi2EeSOZqwIU1Nw=s88-c-k-c0x00ffffff-no-rj</v>
      </c>
      <c r="G155" s="66"/>
      <c r="H155" s="70" t="s">
        <v>1709</v>
      </c>
      <c r="I155" s="71"/>
      <c r="J155" s="71" t="s">
        <v>75</v>
      </c>
      <c r="K155" s="70" t="s">
        <v>1709</v>
      </c>
      <c r="L155" s="74">
        <v>5.000363833096901</v>
      </c>
      <c r="M155" s="75">
        <v>6596.6982421875</v>
      </c>
      <c r="N155" s="75">
        <v>2416.607666015625</v>
      </c>
      <c r="O155" s="76"/>
      <c r="P155" s="77"/>
      <c r="Q155" s="77"/>
      <c r="R155" s="89"/>
      <c r="S155" s="49">
        <v>2</v>
      </c>
      <c r="T155" s="49">
        <v>1</v>
      </c>
      <c r="U155" s="50">
        <v>14.666667</v>
      </c>
      <c r="V155" s="50">
        <v>0.037037</v>
      </c>
      <c r="W155" s="50">
        <v>0</v>
      </c>
      <c r="X155" s="50">
        <v>1.145525</v>
      </c>
      <c r="Y155" s="50">
        <v>0.16666666666666666</v>
      </c>
      <c r="Z155" s="50">
        <v>0</v>
      </c>
      <c r="AA155" s="72">
        <v>155</v>
      </c>
      <c r="AB155" s="72"/>
      <c r="AC155" s="73"/>
      <c r="AD155" s="80" t="s">
        <v>1709</v>
      </c>
      <c r="AE155" s="80"/>
      <c r="AF155" s="80"/>
      <c r="AG155" s="80"/>
      <c r="AH155" s="80"/>
      <c r="AI155" s="80"/>
      <c r="AJ155" s="87">
        <v>39759.84107638889</v>
      </c>
      <c r="AK155" s="85" t="str">
        <f>HYPERLINK("https://yt3.ggpht.com/ytc/AKedOLQ2rQoG-mzZu-1UYmi-y55NsCLdi2EeSOZqwIU1Nw=s88-c-k-c0x00ffffff-no-rj")</f>
        <v>https://yt3.ggpht.com/ytc/AKedOLQ2rQoG-mzZu-1UYmi-y55NsCLdi2EeSOZqwIU1Nw=s88-c-k-c0x00ffffff-no-rj</v>
      </c>
      <c r="AL155" s="80">
        <v>5543174</v>
      </c>
      <c r="AM155" s="80">
        <v>0</v>
      </c>
      <c r="AN155" s="80">
        <v>3890</v>
      </c>
      <c r="AO155" s="80" t="b">
        <v>0</v>
      </c>
      <c r="AP155" s="80">
        <v>131</v>
      </c>
      <c r="AQ155" s="80"/>
      <c r="AR155" s="80"/>
      <c r="AS155" s="80" t="s">
        <v>3412</v>
      </c>
      <c r="AT155" s="85" t="str">
        <f>HYPERLINK("https://www.youtube.com/channel/UCV-utTCw1S6-VHQP8lmyk2A")</f>
        <v>https://www.youtube.com/channel/UCV-utTCw1S6-VHQP8lmyk2A</v>
      </c>
      <c r="AU155" s="80" t="str">
        <f>REPLACE(INDEX(GroupVertices[Group],MATCH(Vertices[[#This Row],[Vertex]],GroupVertices[Vertex],0)),1,1,"")</f>
        <v>10</v>
      </c>
      <c r="AV155" s="49">
        <v>0</v>
      </c>
      <c r="AW155" s="50">
        <v>0</v>
      </c>
      <c r="AX155" s="49">
        <v>0</v>
      </c>
      <c r="AY155" s="50">
        <v>0</v>
      </c>
      <c r="AZ155" s="49">
        <v>0</v>
      </c>
      <c r="BA155" s="50">
        <v>0</v>
      </c>
      <c r="BB155" s="49">
        <v>8</v>
      </c>
      <c r="BC155" s="50">
        <v>100</v>
      </c>
      <c r="BD155" s="49">
        <v>8</v>
      </c>
      <c r="BE155" s="49"/>
      <c r="BF155" s="49"/>
      <c r="BG155" s="49"/>
      <c r="BH155" s="49"/>
      <c r="BI155" s="49"/>
      <c r="BJ155" s="49"/>
      <c r="BK155" s="111" t="s">
        <v>4530</v>
      </c>
      <c r="BL155" s="111" t="s">
        <v>4530</v>
      </c>
      <c r="BM155" s="111" t="s">
        <v>5008</v>
      </c>
      <c r="BN155" s="111" t="s">
        <v>5008</v>
      </c>
      <c r="BO155" s="2"/>
      <c r="BP155" s="3"/>
      <c r="BQ155" s="3"/>
      <c r="BR155" s="3"/>
      <c r="BS155" s="3"/>
    </row>
    <row r="156" spans="1:71" ht="15">
      <c r="A156" s="65" t="s">
        <v>379</v>
      </c>
      <c r="B156" s="66"/>
      <c r="C156" s="66"/>
      <c r="D156" s="67">
        <v>150.50595238095238</v>
      </c>
      <c r="E156" s="69"/>
      <c r="F156" s="103" t="str">
        <f>HYPERLINK("https://yt3.ggpht.com/ytc/AKedOLSkTS1e_SqvQIT3v3QDj5O2tvM6IUeW_H26Sg=s88-c-k-c0x00ffffff-no-rj")</f>
        <v>https://yt3.ggpht.com/ytc/AKedOLSkTS1e_SqvQIT3v3QDj5O2tvM6IUeW_H26Sg=s88-c-k-c0x00ffffff-no-rj</v>
      </c>
      <c r="G156" s="66"/>
      <c r="H156" s="70" t="s">
        <v>1708</v>
      </c>
      <c r="I156" s="71"/>
      <c r="J156" s="71" t="s">
        <v>75</v>
      </c>
      <c r="K156" s="70" t="s">
        <v>1708</v>
      </c>
      <c r="L156" s="74">
        <v>1.2727520733304234</v>
      </c>
      <c r="M156" s="75">
        <v>7127.388671875</v>
      </c>
      <c r="N156" s="75">
        <v>2817.63720703125</v>
      </c>
      <c r="O156" s="76"/>
      <c r="P156" s="77"/>
      <c r="Q156" s="77"/>
      <c r="R156" s="89"/>
      <c r="S156" s="49">
        <v>0</v>
      </c>
      <c r="T156" s="49">
        <v>2</v>
      </c>
      <c r="U156" s="50">
        <v>1</v>
      </c>
      <c r="V156" s="50">
        <v>0.025641</v>
      </c>
      <c r="W156" s="50">
        <v>0</v>
      </c>
      <c r="X156" s="50">
        <v>0.827872</v>
      </c>
      <c r="Y156" s="50">
        <v>0</v>
      </c>
      <c r="Z156" s="50">
        <v>0</v>
      </c>
      <c r="AA156" s="72">
        <v>156</v>
      </c>
      <c r="AB156" s="72"/>
      <c r="AC156" s="73"/>
      <c r="AD156" s="80" t="s">
        <v>1708</v>
      </c>
      <c r="AE156" s="80" t="s">
        <v>2860</v>
      </c>
      <c r="AF156" s="80"/>
      <c r="AG156" s="80"/>
      <c r="AH156" s="80"/>
      <c r="AI156" s="80"/>
      <c r="AJ156" s="87">
        <v>40882.72037037037</v>
      </c>
      <c r="AK156" s="85" t="str">
        <f>HYPERLINK("https://yt3.ggpht.com/ytc/AKedOLSkTS1e_SqvQIT3v3QDj5O2tvM6IUeW_H26Sg=s88-c-k-c0x00ffffff-no-rj")</f>
        <v>https://yt3.ggpht.com/ytc/AKedOLSkTS1e_SqvQIT3v3QDj5O2tvM6IUeW_H26Sg=s88-c-k-c0x00ffffff-no-rj</v>
      </c>
      <c r="AL156" s="80">
        <v>23979</v>
      </c>
      <c r="AM156" s="80">
        <v>0</v>
      </c>
      <c r="AN156" s="80">
        <v>76</v>
      </c>
      <c r="AO156" s="80" t="b">
        <v>0</v>
      </c>
      <c r="AP156" s="80">
        <v>32</v>
      </c>
      <c r="AQ156" s="80"/>
      <c r="AR156" s="80"/>
      <c r="AS156" s="80" t="s">
        <v>3412</v>
      </c>
      <c r="AT156" s="85" t="str">
        <f>HYPERLINK("https://www.youtube.com/channel/UCdNIJJdRr6E2v3AB4Q2bWug")</f>
        <v>https://www.youtube.com/channel/UCdNIJJdRr6E2v3AB4Q2bWug</v>
      </c>
      <c r="AU156" s="80" t="str">
        <f>REPLACE(INDEX(GroupVertices[Group],MATCH(Vertices[[#This Row],[Vertex]],GroupVertices[Vertex],0)),1,1,"")</f>
        <v>10</v>
      </c>
      <c r="AV156" s="49">
        <v>1</v>
      </c>
      <c r="AW156" s="50">
        <v>4.166666666666667</v>
      </c>
      <c r="AX156" s="49">
        <v>0</v>
      </c>
      <c r="AY156" s="50">
        <v>0</v>
      </c>
      <c r="AZ156" s="49">
        <v>0</v>
      </c>
      <c r="BA156" s="50">
        <v>0</v>
      </c>
      <c r="BB156" s="49">
        <v>23</v>
      </c>
      <c r="BC156" s="50">
        <v>95.83333333333333</v>
      </c>
      <c r="BD156" s="49">
        <v>24</v>
      </c>
      <c r="BE156" s="49"/>
      <c r="BF156" s="49"/>
      <c r="BG156" s="49"/>
      <c r="BH156" s="49"/>
      <c r="BI156" s="49"/>
      <c r="BJ156" s="49"/>
      <c r="BK156" s="111" t="s">
        <v>4531</v>
      </c>
      <c r="BL156" s="111" t="s">
        <v>4531</v>
      </c>
      <c r="BM156" s="111" t="s">
        <v>5009</v>
      </c>
      <c r="BN156" s="111" t="s">
        <v>5009</v>
      </c>
      <c r="BO156" s="2"/>
      <c r="BP156" s="3"/>
      <c r="BQ156" s="3"/>
      <c r="BR156" s="3"/>
      <c r="BS156" s="3"/>
    </row>
    <row r="157" spans="1:71" ht="15">
      <c r="A157" s="65" t="s">
        <v>381</v>
      </c>
      <c r="B157" s="66"/>
      <c r="C157" s="66"/>
      <c r="D157" s="67">
        <v>150</v>
      </c>
      <c r="E157" s="69"/>
      <c r="F157" s="103" t="str">
        <f>HYPERLINK("https://yt3.ggpht.com/ytc/AKedOLSA0bmOLGxlf7ea2WpSiWfmWrSHeSKP-J5013xT=s88-c-k-c0x00ffffff-no-rj")</f>
        <v>https://yt3.ggpht.com/ytc/AKedOLSA0bmOLGxlf7ea2WpSiWfmWrSHeSKP-J5013xT=s88-c-k-c0x00ffffff-no-rj</v>
      </c>
      <c r="G157" s="66"/>
      <c r="H157" s="70" t="s">
        <v>1710</v>
      </c>
      <c r="I157" s="71"/>
      <c r="J157" s="71" t="s">
        <v>159</v>
      </c>
      <c r="K157" s="70" t="s">
        <v>1710</v>
      </c>
      <c r="L157" s="74">
        <v>1</v>
      </c>
      <c r="M157" s="75">
        <v>7159.998046875</v>
      </c>
      <c r="N157" s="75">
        <v>1837.2972412109375</v>
      </c>
      <c r="O157" s="76"/>
      <c r="P157" s="77"/>
      <c r="Q157" s="77"/>
      <c r="R157" s="89"/>
      <c r="S157" s="49">
        <v>1</v>
      </c>
      <c r="T157" s="49">
        <v>1</v>
      </c>
      <c r="U157" s="50">
        <v>0</v>
      </c>
      <c r="V157" s="50">
        <v>0.034483</v>
      </c>
      <c r="W157" s="50">
        <v>0</v>
      </c>
      <c r="X157" s="50">
        <v>0.793679</v>
      </c>
      <c r="Y157" s="50">
        <v>0.5</v>
      </c>
      <c r="Z157" s="50">
        <v>0</v>
      </c>
      <c r="AA157" s="72">
        <v>157</v>
      </c>
      <c r="AB157" s="72"/>
      <c r="AC157" s="73"/>
      <c r="AD157" s="80" t="s">
        <v>1710</v>
      </c>
      <c r="AE157" s="80"/>
      <c r="AF157" s="80"/>
      <c r="AG157" s="80"/>
      <c r="AH157" s="80"/>
      <c r="AI157" s="80"/>
      <c r="AJ157" s="80" t="s">
        <v>3190</v>
      </c>
      <c r="AK157" s="85" t="str">
        <f>HYPERLINK("https://yt3.ggpht.com/ytc/AKedOLSA0bmOLGxlf7ea2WpSiWfmWrSHeSKP-J5013xT=s88-c-k-c0x00ffffff-no-rj")</f>
        <v>https://yt3.ggpht.com/ytc/AKedOLSA0bmOLGxlf7ea2WpSiWfmWrSHeSKP-J5013xT=s88-c-k-c0x00ffffff-no-rj</v>
      </c>
      <c r="AL157" s="80">
        <v>4852</v>
      </c>
      <c r="AM157" s="80">
        <v>0</v>
      </c>
      <c r="AN157" s="80">
        <v>12</v>
      </c>
      <c r="AO157" s="80" t="b">
        <v>0</v>
      </c>
      <c r="AP157" s="80">
        <v>3</v>
      </c>
      <c r="AQ157" s="80"/>
      <c r="AR157" s="80"/>
      <c r="AS157" s="80" t="s">
        <v>3412</v>
      </c>
      <c r="AT157" s="85" t="str">
        <f>HYPERLINK("https://www.youtube.com/channel/UCEYHBM1qWwP5Pi-r1dWyQWw")</f>
        <v>https://www.youtube.com/channel/UCEYHBM1qWwP5Pi-r1dWyQWw</v>
      </c>
      <c r="AU157" s="80" t="str">
        <f>REPLACE(INDEX(GroupVertices[Group],MATCH(Vertices[[#This Row],[Vertex]],GroupVertices[Vertex],0)),1,1,"")</f>
        <v>10</v>
      </c>
      <c r="AV157" s="49">
        <v>1</v>
      </c>
      <c r="AW157" s="50">
        <v>10</v>
      </c>
      <c r="AX157" s="49">
        <v>0</v>
      </c>
      <c r="AY157" s="50">
        <v>0</v>
      </c>
      <c r="AZ157" s="49">
        <v>0</v>
      </c>
      <c r="BA157" s="50">
        <v>0</v>
      </c>
      <c r="BB157" s="49">
        <v>9</v>
      </c>
      <c r="BC157" s="50">
        <v>90</v>
      </c>
      <c r="BD157" s="49">
        <v>10</v>
      </c>
      <c r="BE157" s="49"/>
      <c r="BF157" s="49"/>
      <c r="BG157" s="49"/>
      <c r="BH157" s="49"/>
      <c r="BI157" s="49"/>
      <c r="BJ157" s="49"/>
      <c r="BK157" s="111" t="s">
        <v>4532</v>
      </c>
      <c r="BL157" s="111" t="s">
        <v>4532</v>
      </c>
      <c r="BM157" s="111" t="s">
        <v>5010</v>
      </c>
      <c r="BN157" s="111" t="s">
        <v>5010</v>
      </c>
      <c r="BO157" s="2"/>
      <c r="BP157" s="3"/>
      <c r="BQ157" s="3"/>
      <c r="BR157" s="3"/>
      <c r="BS157" s="3"/>
    </row>
    <row r="158" spans="1:71" ht="15">
      <c r="A158" s="65" t="s">
        <v>382</v>
      </c>
      <c r="B158" s="66"/>
      <c r="C158" s="66"/>
      <c r="D158" s="67">
        <v>150</v>
      </c>
      <c r="E158" s="69"/>
      <c r="F158" s="103" t="str">
        <f>HYPERLINK("https://yt3.ggpht.com/ytc/AKedOLQzYH55f-Eb4pi4ru9cDRmuRUExnX_EIXp-ug=s88-c-k-c0x00ffffff-no-rj")</f>
        <v>https://yt3.ggpht.com/ytc/AKedOLQzYH55f-Eb4pi4ru9cDRmuRUExnX_EIXp-ug=s88-c-k-c0x00ffffff-no-rj</v>
      </c>
      <c r="G158" s="66"/>
      <c r="H158" s="70" t="s">
        <v>1711</v>
      </c>
      <c r="I158" s="71"/>
      <c r="J158" s="71" t="s">
        <v>159</v>
      </c>
      <c r="K158" s="70" t="s">
        <v>1711</v>
      </c>
      <c r="L158" s="74">
        <v>1</v>
      </c>
      <c r="M158" s="75">
        <v>5535.16064453125</v>
      </c>
      <c r="N158" s="75">
        <v>1733.40673828125</v>
      </c>
      <c r="O158" s="76"/>
      <c r="P158" s="77"/>
      <c r="Q158" s="77"/>
      <c r="R158" s="89"/>
      <c r="S158" s="49">
        <v>0</v>
      </c>
      <c r="T158" s="49">
        <v>1</v>
      </c>
      <c r="U158" s="50">
        <v>0</v>
      </c>
      <c r="V158" s="50">
        <v>0.033333</v>
      </c>
      <c r="W158" s="50">
        <v>0</v>
      </c>
      <c r="X158" s="50">
        <v>0.479465</v>
      </c>
      <c r="Y158" s="50">
        <v>0</v>
      </c>
      <c r="Z158" s="50">
        <v>0</v>
      </c>
      <c r="AA158" s="72">
        <v>158</v>
      </c>
      <c r="AB158" s="72"/>
      <c r="AC158" s="73"/>
      <c r="AD158" s="80" t="s">
        <v>1711</v>
      </c>
      <c r="AE158" s="80"/>
      <c r="AF158" s="80"/>
      <c r="AG158" s="80"/>
      <c r="AH158" s="80"/>
      <c r="AI158" s="80"/>
      <c r="AJ158" s="87">
        <v>39033.96019675926</v>
      </c>
      <c r="AK158" s="85" t="str">
        <f>HYPERLINK("https://yt3.ggpht.com/ytc/AKedOLQzYH55f-Eb4pi4ru9cDRmuRUExnX_EIXp-ug=s88-c-k-c0x00ffffff-no-rj")</f>
        <v>https://yt3.ggpht.com/ytc/AKedOLQzYH55f-Eb4pi4ru9cDRmuRUExnX_EIXp-ug=s88-c-k-c0x00ffffff-no-rj</v>
      </c>
      <c r="AL158" s="80">
        <v>555</v>
      </c>
      <c r="AM158" s="80">
        <v>0</v>
      </c>
      <c r="AN158" s="80">
        <v>13</v>
      </c>
      <c r="AO158" s="80" t="b">
        <v>0</v>
      </c>
      <c r="AP158" s="80">
        <v>1</v>
      </c>
      <c r="AQ158" s="80"/>
      <c r="AR158" s="80"/>
      <c r="AS158" s="80" t="s">
        <v>3412</v>
      </c>
      <c r="AT158" s="85" t="str">
        <f>HYPERLINK("https://www.youtube.com/channel/UCKumGTtkau9hmTf2VZDD6Iw")</f>
        <v>https://www.youtube.com/channel/UCKumGTtkau9hmTf2VZDD6Iw</v>
      </c>
      <c r="AU158" s="80" t="str">
        <f>REPLACE(INDEX(GroupVertices[Group],MATCH(Vertices[[#This Row],[Vertex]],GroupVertices[Vertex],0)),1,1,"")</f>
        <v>10</v>
      </c>
      <c r="AV158" s="49">
        <v>0</v>
      </c>
      <c r="AW158" s="50">
        <v>0</v>
      </c>
      <c r="AX158" s="49">
        <v>0</v>
      </c>
      <c r="AY158" s="50">
        <v>0</v>
      </c>
      <c r="AZ158" s="49">
        <v>0</v>
      </c>
      <c r="BA158" s="50">
        <v>0</v>
      </c>
      <c r="BB158" s="49">
        <v>6</v>
      </c>
      <c r="BC158" s="50">
        <v>100</v>
      </c>
      <c r="BD158" s="49">
        <v>6</v>
      </c>
      <c r="BE158" s="49"/>
      <c r="BF158" s="49"/>
      <c r="BG158" s="49"/>
      <c r="BH158" s="49"/>
      <c r="BI158" s="49"/>
      <c r="BJ158" s="49"/>
      <c r="BK158" s="111" t="s">
        <v>4533</v>
      </c>
      <c r="BL158" s="111" t="s">
        <v>4533</v>
      </c>
      <c r="BM158" s="111" t="s">
        <v>5011</v>
      </c>
      <c r="BN158" s="111" t="s">
        <v>5011</v>
      </c>
      <c r="BO158" s="2"/>
      <c r="BP158" s="3"/>
      <c r="BQ158" s="3"/>
      <c r="BR158" s="3"/>
      <c r="BS158" s="3"/>
    </row>
    <row r="159" spans="1:71" ht="15">
      <c r="A159" s="65" t="s">
        <v>383</v>
      </c>
      <c r="B159" s="66"/>
      <c r="C159" s="66"/>
      <c r="D159" s="67">
        <v>155.7341268154762</v>
      </c>
      <c r="E159" s="69"/>
      <c r="F159" s="103" t="str">
        <f>HYPERLINK("https://yt3.ggpht.com/ytc/AKedOLSXsjlpx6k8OMTdPvPIju33weDG1h4-gGrbGZGY=s88-c-k-c0x00ffffff-no-rj")</f>
        <v>https://yt3.ggpht.com/ytc/AKedOLSXsjlpx6k8OMTdPvPIju33weDG1h4-gGrbGZGY=s88-c-k-c0x00ffffff-no-rj</v>
      </c>
      <c r="G159" s="66"/>
      <c r="H159" s="70" t="s">
        <v>1712</v>
      </c>
      <c r="I159" s="71"/>
      <c r="J159" s="71" t="s">
        <v>75</v>
      </c>
      <c r="K159" s="70" t="s">
        <v>1712</v>
      </c>
      <c r="L159" s="74">
        <v>4.091190073494107</v>
      </c>
      <c r="M159" s="75">
        <v>6920.345703125</v>
      </c>
      <c r="N159" s="75">
        <v>2374.108642578125</v>
      </c>
      <c r="O159" s="76"/>
      <c r="P159" s="77"/>
      <c r="Q159" s="77"/>
      <c r="R159" s="89"/>
      <c r="S159" s="49">
        <v>1</v>
      </c>
      <c r="T159" s="49">
        <v>1</v>
      </c>
      <c r="U159" s="50">
        <v>11.333333</v>
      </c>
      <c r="V159" s="50">
        <v>0.035714</v>
      </c>
      <c r="W159" s="50">
        <v>0</v>
      </c>
      <c r="X159" s="50">
        <v>0.83131</v>
      </c>
      <c r="Y159" s="50">
        <v>0</v>
      </c>
      <c r="Z159" s="50">
        <v>0</v>
      </c>
      <c r="AA159" s="72">
        <v>159</v>
      </c>
      <c r="AB159" s="72"/>
      <c r="AC159" s="73"/>
      <c r="AD159" s="80" t="s">
        <v>1712</v>
      </c>
      <c r="AE159" s="80"/>
      <c r="AF159" s="80"/>
      <c r="AG159" s="80"/>
      <c r="AH159" s="80"/>
      <c r="AI159" s="80"/>
      <c r="AJ159" s="87">
        <v>42895.89511574074</v>
      </c>
      <c r="AK159" s="85" t="str">
        <f>HYPERLINK("https://yt3.ggpht.com/ytc/AKedOLSXsjlpx6k8OMTdPvPIju33weDG1h4-gGrbGZGY=s88-c-k-c0x00ffffff-no-rj")</f>
        <v>https://yt3.ggpht.com/ytc/AKedOLSXsjlpx6k8OMTdPvPIju33weDG1h4-gGrbGZGY=s88-c-k-c0x00ffffff-no-rj</v>
      </c>
      <c r="AL159" s="80">
        <v>0</v>
      </c>
      <c r="AM159" s="80">
        <v>0</v>
      </c>
      <c r="AN159" s="80">
        <v>0</v>
      </c>
      <c r="AO159" s="80" t="b">
        <v>0</v>
      </c>
      <c r="AP159" s="80">
        <v>0</v>
      </c>
      <c r="AQ159" s="80"/>
      <c r="AR159" s="80"/>
      <c r="AS159" s="80" t="s">
        <v>3412</v>
      </c>
      <c r="AT159" s="85" t="str">
        <f>HYPERLINK("https://www.youtube.com/channel/UCobpsc_hSlCbNJr4FCBfuRw")</f>
        <v>https://www.youtube.com/channel/UCobpsc_hSlCbNJr4FCBfuRw</v>
      </c>
      <c r="AU159" s="80" t="str">
        <f>REPLACE(INDEX(GroupVertices[Group],MATCH(Vertices[[#This Row],[Vertex]],GroupVertices[Vertex],0)),1,1,"")</f>
        <v>10</v>
      </c>
      <c r="AV159" s="49">
        <v>0</v>
      </c>
      <c r="AW159" s="50">
        <v>0</v>
      </c>
      <c r="AX159" s="49">
        <v>1</v>
      </c>
      <c r="AY159" s="50">
        <v>100</v>
      </c>
      <c r="AZ159" s="49">
        <v>0</v>
      </c>
      <c r="BA159" s="50">
        <v>0</v>
      </c>
      <c r="BB159" s="49">
        <v>0</v>
      </c>
      <c r="BC159" s="50">
        <v>0</v>
      </c>
      <c r="BD159" s="49">
        <v>1</v>
      </c>
      <c r="BE159" s="49"/>
      <c r="BF159" s="49"/>
      <c r="BG159" s="49"/>
      <c r="BH159" s="49"/>
      <c r="BI159" s="49"/>
      <c r="BJ159" s="49"/>
      <c r="BK159" s="111" t="s">
        <v>4534</v>
      </c>
      <c r="BL159" s="111" t="s">
        <v>4534</v>
      </c>
      <c r="BM159" s="111" t="s">
        <v>2782</v>
      </c>
      <c r="BN159" s="111" t="s">
        <v>2782</v>
      </c>
      <c r="BO159" s="2"/>
      <c r="BP159" s="3"/>
      <c r="BQ159" s="3"/>
      <c r="BR159" s="3"/>
      <c r="BS159" s="3"/>
    </row>
    <row r="160" spans="1:71" ht="15">
      <c r="A160" s="65" t="s">
        <v>384</v>
      </c>
      <c r="B160" s="66"/>
      <c r="C160" s="66"/>
      <c r="D160" s="67">
        <v>150</v>
      </c>
      <c r="E160" s="69"/>
      <c r="F160" s="103" t="str">
        <f>HYPERLINK("https://yt3.ggpht.com/ytc/AKedOLTtPXj98zH6tZ8kpdumByaO18pW8Ld2DDIQb84nbg=s88-c-k-c0x00ffffff-no-rj")</f>
        <v>https://yt3.ggpht.com/ytc/AKedOLTtPXj98zH6tZ8kpdumByaO18pW8Ld2DDIQb84nbg=s88-c-k-c0x00ffffff-no-rj</v>
      </c>
      <c r="G160" s="66"/>
      <c r="H160" s="70" t="s">
        <v>1713</v>
      </c>
      <c r="I160" s="71"/>
      <c r="J160" s="71" t="s">
        <v>159</v>
      </c>
      <c r="K160" s="70" t="s">
        <v>1713</v>
      </c>
      <c r="L160" s="74">
        <v>1</v>
      </c>
      <c r="M160" s="75">
        <v>5808.9091796875</v>
      </c>
      <c r="N160" s="75">
        <v>1483.6038818359375</v>
      </c>
      <c r="O160" s="76"/>
      <c r="P160" s="77"/>
      <c r="Q160" s="77"/>
      <c r="R160" s="89"/>
      <c r="S160" s="49">
        <v>0</v>
      </c>
      <c r="T160" s="49">
        <v>1</v>
      </c>
      <c r="U160" s="50">
        <v>0</v>
      </c>
      <c r="V160" s="50">
        <v>0.033333</v>
      </c>
      <c r="W160" s="50">
        <v>0</v>
      </c>
      <c r="X160" s="50">
        <v>0.479465</v>
      </c>
      <c r="Y160" s="50">
        <v>0</v>
      </c>
      <c r="Z160" s="50">
        <v>0</v>
      </c>
      <c r="AA160" s="72">
        <v>160</v>
      </c>
      <c r="AB160" s="72"/>
      <c r="AC160" s="73"/>
      <c r="AD160" s="80" t="s">
        <v>1713</v>
      </c>
      <c r="AE160" s="80"/>
      <c r="AF160" s="80"/>
      <c r="AG160" s="80"/>
      <c r="AH160" s="80"/>
      <c r="AI160" s="80"/>
      <c r="AJ160" s="80" t="s">
        <v>3191</v>
      </c>
      <c r="AK160" s="85" t="str">
        <f>HYPERLINK("https://yt3.ggpht.com/ytc/AKedOLTtPXj98zH6tZ8kpdumByaO18pW8Ld2DDIQb84nbg=s88-c-k-c0x00ffffff-no-rj")</f>
        <v>https://yt3.ggpht.com/ytc/AKedOLTtPXj98zH6tZ8kpdumByaO18pW8Ld2DDIQb84nbg=s88-c-k-c0x00ffffff-no-rj</v>
      </c>
      <c r="AL160" s="80">
        <v>524</v>
      </c>
      <c r="AM160" s="80">
        <v>0</v>
      </c>
      <c r="AN160" s="80">
        <v>60</v>
      </c>
      <c r="AO160" s="80" t="b">
        <v>0</v>
      </c>
      <c r="AP160" s="80">
        <v>2</v>
      </c>
      <c r="AQ160" s="80"/>
      <c r="AR160" s="80"/>
      <c r="AS160" s="80" t="s">
        <v>3412</v>
      </c>
      <c r="AT160" s="85" t="str">
        <f>HYPERLINK("https://www.youtube.com/channel/UCtET7CbkrvUSjYF5jAzXZFg")</f>
        <v>https://www.youtube.com/channel/UCtET7CbkrvUSjYF5jAzXZFg</v>
      </c>
      <c r="AU160" s="80" t="str">
        <f>REPLACE(INDEX(GroupVertices[Group],MATCH(Vertices[[#This Row],[Vertex]],GroupVertices[Vertex],0)),1,1,"")</f>
        <v>10</v>
      </c>
      <c r="AV160" s="49">
        <v>0</v>
      </c>
      <c r="AW160" s="50">
        <v>0</v>
      </c>
      <c r="AX160" s="49">
        <v>0</v>
      </c>
      <c r="AY160" s="50">
        <v>0</v>
      </c>
      <c r="AZ160" s="49">
        <v>0</v>
      </c>
      <c r="BA160" s="50">
        <v>0</v>
      </c>
      <c r="BB160" s="49">
        <v>4</v>
      </c>
      <c r="BC160" s="50">
        <v>100</v>
      </c>
      <c r="BD160" s="49">
        <v>4</v>
      </c>
      <c r="BE160" s="49"/>
      <c r="BF160" s="49"/>
      <c r="BG160" s="49"/>
      <c r="BH160" s="49"/>
      <c r="BI160" s="49"/>
      <c r="BJ160" s="49"/>
      <c r="BK160" s="111" t="s">
        <v>4535</v>
      </c>
      <c r="BL160" s="111" t="s">
        <v>4535</v>
      </c>
      <c r="BM160" s="111" t="s">
        <v>5012</v>
      </c>
      <c r="BN160" s="111" t="s">
        <v>5012</v>
      </c>
      <c r="BO160" s="2"/>
      <c r="BP160" s="3"/>
      <c r="BQ160" s="3"/>
      <c r="BR160" s="3"/>
      <c r="BS160" s="3"/>
    </row>
    <row r="161" spans="1:71" ht="15">
      <c r="A161" s="65" t="s">
        <v>385</v>
      </c>
      <c r="B161" s="66"/>
      <c r="C161" s="66"/>
      <c r="D161" s="67">
        <v>150</v>
      </c>
      <c r="E161" s="69"/>
      <c r="F161" s="103" t="str">
        <f>HYPERLINK("https://yt3.ggpht.com/ytc/AKedOLTry8Ioq9m8kx9i1q1Vh8YUV1Qqjks_7bv1vQ=s88-c-k-c0x00ffffff-no-rj")</f>
        <v>https://yt3.ggpht.com/ytc/AKedOLTry8Ioq9m8kx9i1q1Vh8YUV1Qqjks_7bv1vQ=s88-c-k-c0x00ffffff-no-rj</v>
      </c>
      <c r="G161" s="66"/>
      <c r="H161" s="70" t="s">
        <v>1714</v>
      </c>
      <c r="I161" s="71"/>
      <c r="J161" s="71" t="s">
        <v>159</v>
      </c>
      <c r="K161" s="70" t="s">
        <v>1714</v>
      </c>
      <c r="L161" s="74">
        <v>1</v>
      </c>
      <c r="M161" s="75">
        <v>7917.1142578125</v>
      </c>
      <c r="N161" s="75">
        <v>8178.84814453125</v>
      </c>
      <c r="O161" s="76"/>
      <c r="P161" s="77"/>
      <c r="Q161" s="77"/>
      <c r="R161" s="89"/>
      <c r="S161" s="49">
        <v>1</v>
      </c>
      <c r="T161" s="49">
        <v>1</v>
      </c>
      <c r="U161" s="50">
        <v>0</v>
      </c>
      <c r="V161" s="50">
        <v>0.002597</v>
      </c>
      <c r="W161" s="50">
        <v>0.00486</v>
      </c>
      <c r="X161" s="50">
        <v>0.526148</v>
      </c>
      <c r="Y161" s="50">
        <v>0</v>
      </c>
      <c r="Z161" s="50">
        <v>1</v>
      </c>
      <c r="AA161" s="72">
        <v>161</v>
      </c>
      <c r="AB161" s="72"/>
      <c r="AC161" s="73"/>
      <c r="AD161" s="80" t="s">
        <v>1714</v>
      </c>
      <c r="AE161" s="80"/>
      <c r="AF161" s="80"/>
      <c r="AG161" s="80"/>
      <c r="AH161" s="80"/>
      <c r="AI161" s="80"/>
      <c r="AJ161" s="87">
        <v>42100.431539351855</v>
      </c>
      <c r="AK161" s="85" t="str">
        <f>HYPERLINK("https://yt3.ggpht.com/ytc/AKedOLTry8Ioq9m8kx9i1q1Vh8YUV1Qqjks_7bv1vQ=s88-c-k-c0x00ffffff-no-rj")</f>
        <v>https://yt3.ggpht.com/ytc/AKedOLTry8Ioq9m8kx9i1q1Vh8YUV1Qqjks_7bv1vQ=s88-c-k-c0x00ffffff-no-rj</v>
      </c>
      <c r="AL161" s="80">
        <v>0</v>
      </c>
      <c r="AM161" s="80">
        <v>0</v>
      </c>
      <c r="AN161" s="80">
        <v>0</v>
      </c>
      <c r="AO161" s="80" t="b">
        <v>0</v>
      </c>
      <c r="AP161" s="80">
        <v>0</v>
      </c>
      <c r="AQ161" s="80"/>
      <c r="AR161" s="80"/>
      <c r="AS161" s="80" t="s">
        <v>3412</v>
      </c>
      <c r="AT161" s="85" t="str">
        <f>HYPERLINK("https://www.youtube.com/channel/UC-QTPk_pUbp__wG6aw-Z40g")</f>
        <v>https://www.youtube.com/channel/UC-QTPk_pUbp__wG6aw-Z40g</v>
      </c>
      <c r="AU161" s="80" t="str">
        <f>REPLACE(INDEX(GroupVertices[Group],MATCH(Vertices[[#This Row],[Vertex]],GroupVertices[Vertex],0)),1,1,"")</f>
        <v>1</v>
      </c>
      <c r="AV161" s="49">
        <v>1</v>
      </c>
      <c r="AW161" s="50">
        <v>9.090909090909092</v>
      </c>
      <c r="AX161" s="49">
        <v>0</v>
      </c>
      <c r="AY161" s="50">
        <v>0</v>
      </c>
      <c r="AZ161" s="49">
        <v>0</v>
      </c>
      <c r="BA161" s="50">
        <v>0</v>
      </c>
      <c r="BB161" s="49">
        <v>10</v>
      </c>
      <c r="BC161" s="50">
        <v>90.9090909090909</v>
      </c>
      <c r="BD161" s="49">
        <v>11</v>
      </c>
      <c r="BE161" s="49"/>
      <c r="BF161" s="49"/>
      <c r="BG161" s="49"/>
      <c r="BH161" s="49"/>
      <c r="BI161" s="49"/>
      <c r="BJ161" s="49"/>
      <c r="BK161" s="111" t="s">
        <v>4536</v>
      </c>
      <c r="BL161" s="111" t="s">
        <v>4536</v>
      </c>
      <c r="BM161" s="111" t="s">
        <v>5013</v>
      </c>
      <c r="BN161" s="111" t="s">
        <v>5013</v>
      </c>
      <c r="BO161" s="2"/>
      <c r="BP161" s="3"/>
      <c r="BQ161" s="3"/>
      <c r="BR161" s="3"/>
      <c r="BS161" s="3"/>
    </row>
    <row r="162" spans="1:71" ht="15">
      <c r="A162" s="65" t="s">
        <v>387</v>
      </c>
      <c r="B162" s="66"/>
      <c r="C162" s="66"/>
      <c r="D162" s="67">
        <v>150</v>
      </c>
      <c r="E162" s="69"/>
      <c r="F162" s="103" t="str">
        <f>HYPERLINK("https://yt3.ggpht.com/ytc/AKedOLTXAf77GrIJDFPuUBjNjs8xR2iOiqnRxv_B_13gFg=s88-c-k-c0x00ffffff-no-rj")</f>
        <v>https://yt3.ggpht.com/ytc/AKedOLTXAf77GrIJDFPuUBjNjs8xR2iOiqnRxv_B_13gFg=s88-c-k-c0x00ffffff-no-rj</v>
      </c>
      <c r="G162" s="66"/>
      <c r="H162" s="70" t="s">
        <v>1716</v>
      </c>
      <c r="I162" s="71"/>
      <c r="J162" s="71" t="s">
        <v>159</v>
      </c>
      <c r="K162" s="70" t="s">
        <v>1716</v>
      </c>
      <c r="L162" s="74">
        <v>1</v>
      </c>
      <c r="M162" s="75">
        <v>8362.71484375</v>
      </c>
      <c r="N162" s="75">
        <v>9058.595703125</v>
      </c>
      <c r="O162" s="76"/>
      <c r="P162" s="77"/>
      <c r="Q162" s="77"/>
      <c r="R162" s="89"/>
      <c r="S162" s="49">
        <v>2</v>
      </c>
      <c r="T162" s="49">
        <v>1</v>
      </c>
      <c r="U162" s="50">
        <v>0</v>
      </c>
      <c r="V162" s="50">
        <v>0.002604</v>
      </c>
      <c r="W162" s="50">
        <v>0.005224</v>
      </c>
      <c r="X162" s="50">
        <v>0.915039</v>
      </c>
      <c r="Y162" s="50">
        <v>1</v>
      </c>
      <c r="Z162" s="50">
        <v>0.5</v>
      </c>
      <c r="AA162" s="72">
        <v>162</v>
      </c>
      <c r="AB162" s="72"/>
      <c r="AC162" s="73"/>
      <c r="AD162" s="80" t="s">
        <v>1716</v>
      </c>
      <c r="AE162" s="80"/>
      <c r="AF162" s="80"/>
      <c r="AG162" s="80"/>
      <c r="AH162" s="80"/>
      <c r="AI162" s="80"/>
      <c r="AJ162" s="87">
        <v>41707.81476851852</v>
      </c>
      <c r="AK162" s="85" t="str">
        <f>HYPERLINK("https://yt3.ggpht.com/ytc/AKedOLTXAf77GrIJDFPuUBjNjs8xR2iOiqnRxv_B_13gFg=s88-c-k-c0x00ffffff-no-rj")</f>
        <v>https://yt3.ggpht.com/ytc/AKedOLTXAf77GrIJDFPuUBjNjs8xR2iOiqnRxv_B_13gFg=s88-c-k-c0x00ffffff-no-rj</v>
      </c>
      <c r="AL162" s="80">
        <v>0</v>
      </c>
      <c r="AM162" s="80">
        <v>0</v>
      </c>
      <c r="AN162" s="80">
        <v>7</v>
      </c>
      <c r="AO162" s="80" t="b">
        <v>0</v>
      </c>
      <c r="AP162" s="80">
        <v>0</v>
      </c>
      <c r="AQ162" s="80"/>
      <c r="AR162" s="80"/>
      <c r="AS162" s="80" t="s">
        <v>3412</v>
      </c>
      <c r="AT162" s="85" t="str">
        <f>HYPERLINK("https://www.youtube.com/channel/UCyaAYT6sffU8Z4o4ADkSadA")</f>
        <v>https://www.youtube.com/channel/UCyaAYT6sffU8Z4o4ADkSadA</v>
      </c>
      <c r="AU162" s="80" t="str">
        <f>REPLACE(INDEX(GroupVertices[Group],MATCH(Vertices[[#This Row],[Vertex]],GroupVertices[Vertex],0)),1,1,"")</f>
        <v>1</v>
      </c>
      <c r="AV162" s="49">
        <v>2</v>
      </c>
      <c r="AW162" s="50">
        <v>10.526315789473685</v>
      </c>
      <c r="AX162" s="49">
        <v>0</v>
      </c>
      <c r="AY162" s="50">
        <v>0</v>
      </c>
      <c r="AZ162" s="49">
        <v>0</v>
      </c>
      <c r="BA162" s="50">
        <v>0</v>
      </c>
      <c r="BB162" s="49">
        <v>17</v>
      </c>
      <c r="BC162" s="50">
        <v>89.47368421052632</v>
      </c>
      <c r="BD162" s="49">
        <v>19</v>
      </c>
      <c r="BE162" s="49"/>
      <c r="BF162" s="49"/>
      <c r="BG162" s="49"/>
      <c r="BH162" s="49"/>
      <c r="BI162" s="49"/>
      <c r="BJ162" s="49"/>
      <c r="BK162" s="111" t="s">
        <v>4537</v>
      </c>
      <c r="BL162" s="111" t="s">
        <v>4537</v>
      </c>
      <c r="BM162" s="111" t="s">
        <v>5014</v>
      </c>
      <c r="BN162" s="111" t="s">
        <v>5014</v>
      </c>
      <c r="BO162" s="2"/>
      <c r="BP162" s="3"/>
      <c r="BQ162" s="3"/>
      <c r="BR162" s="3"/>
      <c r="BS162" s="3"/>
    </row>
    <row r="163" spans="1:71" ht="15">
      <c r="A163" s="65" t="s">
        <v>386</v>
      </c>
      <c r="B163" s="66"/>
      <c r="C163" s="66"/>
      <c r="D163" s="67">
        <v>150</v>
      </c>
      <c r="E163" s="69"/>
      <c r="F163" s="103" t="str">
        <f>HYPERLINK("https://yt3.ggpht.com/ox9y3jIVdJSdJoulddgCucWYYelW5fzPPPRISotmawY61PVoGkX8ss2MNTMe3aNJ0Y7gnOTN=s88-c-k-c0x00ffffff-no-rj")</f>
        <v>https://yt3.ggpht.com/ox9y3jIVdJSdJoulddgCucWYYelW5fzPPPRISotmawY61PVoGkX8ss2MNTMe3aNJ0Y7gnOTN=s88-c-k-c0x00ffffff-no-rj</v>
      </c>
      <c r="G163" s="66"/>
      <c r="H163" s="70" t="s">
        <v>1715</v>
      </c>
      <c r="I163" s="71"/>
      <c r="J163" s="71" t="s">
        <v>159</v>
      </c>
      <c r="K163" s="70" t="s">
        <v>1715</v>
      </c>
      <c r="L163" s="74">
        <v>1</v>
      </c>
      <c r="M163" s="75">
        <v>8418.0283203125</v>
      </c>
      <c r="N163" s="75">
        <v>8282.9951171875</v>
      </c>
      <c r="O163" s="76"/>
      <c r="P163" s="77"/>
      <c r="Q163" s="77"/>
      <c r="R163" s="89"/>
      <c r="S163" s="49">
        <v>1</v>
      </c>
      <c r="T163" s="49">
        <v>2</v>
      </c>
      <c r="U163" s="50">
        <v>0</v>
      </c>
      <c r="V163" s="50">
        <v>0.002604</v>
      </c>
      <c r="W163" s="50">
        <v>0.005224</v>
      </c>
      <c r="X163" s="50">
        <v>0.915039</v>
      </c>
      <c r="Y163" s="50">
        <v>1</v>
      </c>
      <c r="Z163" s="50">
        <v>0.5</v>
      </c>
      <c r="AA163" s="72">
        <v>163</v>
      </c>
      <c r="AB163" s="72"/>
      <c r="AC163" s="73"/>
      <c r="AD163" s="80" t="s">
        <v>1715</v>
      </c>
      <c r="AE163" s="80"/>
      <c r="AF163" s="80"/>
      <c r="AG163" s="80"/>
      <c r="AH163" s="80"/>
      <c r="AI163" s="80"/>
      <c r="AJ163" s="80" t="s">
        <v>3192</v>
      </c>
      <c r="AK163" s="85" t="str">
        <f>HYPERLINK("https://yt3.ggpht.com/ox9y3jIVdJSdJoulddgCucWYYelW5fzPPPRISotmawY61PVoGkX8ss2MNTMe3aNJ0Y7gnOTN=s88-c-k-c0x00ffffff-no-rj")</f>
        <v>https://yt3.ggpht.com/ox9y3jIVdJSdJoulddgCucWYYelW5fzPPPRISotmawY61PVoGkX8ss2MNTMe3aNJ0Y7gnOTN=s88-c-k-c0x00ffffff-no-rj</v>
      </c>
      <c r="AL163" s="80">
        <v>25</v>
      </c>
      <c r="AM163" s="80">
        <v>0</v>
      </c>
      <c r="AN163" s="80">
        <v>26</v>
      </c>
      <c r="AO163" s="80" t="b">
        <v>0</v>
      </c>
      <c r="AP163" s="80">
        <v>1</v>
      </c>
      <c r="AQ163" s="80"/>
      <c r="AR163" s="80"/>
      <c r="AS163" s="80" t="s">
        <v>3412</v>
      </c>
      <c r="AT163" s="85" t="str">
        <f>HYPERLINK("https://www.youtube.com/channel/UCEig_3HhFVw-cFgABX1AP8Q")</f>
        <v>https://www.youtube.com/channel/UCEig_3HhFVw-cFgABX1AP8Q</v>
      </c>
      <c r="AU163" s="80" t="str">
        <f>REPLACE(INDEX(GroupVertices[Group],MATCH(Vertices[[#This Row],[Vertex]],GroupVertices[Vertex],0)),1,1,"")</f>
        <v>1</v>
      </c>
      <c r="AV163" s="49">
        <v>2</v>
      </c>
      <c r="AW163" s="50">
        <v>25</v>
      </c>
      <c r="AX163" s="49">
        <v>0</v>
      </c>
      <c r="AY163" s="50">
        <v>0</v>
      </c>
      <c r="AZ163" s="49">
        <v>0</v>
      </c>
      <c r="BA163" s="50">
        <v>0</v>
      </c>
      <c r="BB163" s="49">
        <v>6</v>
      </c>
      <c r="BC163" s="50">
        <v>75</v>
      </c>
      <c r="BD163" s="49">
        <v>8</v>
      </c>
      <c r="BE163" s="49"/>
      <c r="BF163" s="49"/>
      <c r="BG163" s="49"/>
      <c r="BH163" s="49"/>
      <c r="BI163" s="49"/>
      <c r="BJ163" s="49"/>
      <c r="BK163" s="111" t="s">
        <v>4538</v>
      </c>
      <c r="BL163" s="111" t="s">
        <v>4538</v>
      </c>
      <c r="BM163" s="111" t="s">
        <v>5015</v>
      </c>
      <c r="BN163" s="111" t="s">
        <v>5015</v>
      </c>
      <c r="BO163" s="2"/>
      <c r="BP163" s="3"/>
      <c r="BQ163" s="3"/>
      <c r="BR163" s="3"/>
      <c r="BS163" s="3"/>
    </row>
    <row r="164" spans="1:71" ht="15">
      <c r="A164" s="65" t="s">
        <v>388</v>
      </c>
      <c r="B164" s="66"/>
      <c r="C164" s="66"/>
      <c r="D164" s="67">
        <v>150</v>
      </c>
      <c r="E164" s="69"/>
      <c r="F164" s="103" t="str">
        <f>HYPERLINK("https://yt3.ggpht.com/ytc/AKedOLQ_bO7VtRDefhO0xrSk-LyJw4A_2wwpqviUY6U5=s88-c-k-c0x00ffffff-no-rj")</f>
        <v>https://yt3.ggpht.com/ytc/AKedOLQ_bO7VtRDefhO0xrSk-LyJw4A_2wwpqviUY6U5=s88-c-k-c0x00ffffff-no-rj</v>
      </c>
      <c r="G164" s="66"/>
      <c r="H164" s="70" t="s">
        <v>1717</v>
      </c>
      <c r="I164" s="71"/>
      <c r="J164" s="71" t="s">
        <v>159</v>
      </c>
      <c r="K164" s="70" t="s">
        <v>1717</v>
      </c>
      <c r="L164" s="74">
        <v>1</v>
      </c>
      <c r="M164" s="75">
        <v>7176.03515625</v>
      </c>
      <c r="N164" s="75">
        <v>7524.40576171875</v>
      </c>
      <c r="O164" s="76"/>
      <c r="P164" s="77"/>
      <c r="Q164" s="77"/>
      <c r="R164" s="89"/>
      <c r="S164" s="49">
        <v>1</v>
      </c>
      <c r="T164" s="49">
        <v>1</v>
      </c>
      <c r="U164" s="50">
        <v>0</v>
      </c>
      <c r="V164" s="50">
        <v>0.002597</v>
      </c>
      <c r="W164" s="50">
        <v>0.00486</v>
      </c>
      <c r="X164" s="50">
        <v>0.526148</v>
      </c>
      <c r="Y164" s="50">
        <v>0</v>
      </c>
      <c r="Z164" s="50">
        <v>1</v>
      </c>
      <c r="AA164" s="72">
        <v>164</v>
      </c>
      <c r="AB164" s="72"/>
      <c r="AC164" s="73"/>
      <c r="AD164" s="80" t="s">
        <v>1717</v>
      </c>
      <c r="AE164" s="80"/>
      <c r="AF164" s="80"/>
      <c r="AG164" s="80"/>
      <c r="AH164" s="80"/>
      <c r="AI164" s="80"/>
      <c r="AJ164" s="80" t="s">
        <v>3193</v>
      </c>
      <c r="AK164" s="85" t="str">
        <f>HYPERLINK("https://yt3.ggpht.com/ytc/AKedOLQ_bO7VtRDefhO0xrSk-LyJw4A_2wwpqviUY6U5=s88-c-k-c0x00ffffff-no-rj")</f>
        <v>https://yt3.ggpht.com/ytc/AKedOLQ_bO7VtRDefhO0xrSk-LyJw4A_2wwpqviUY6U5=s88-c-k-c0x00ffffff-no-rj</v>
      </c>
      <c r="AL164" s="80">
        <v>0</v>
      </c>
      <c r="AM164" s="80">
        <v>0</v>
      </c>
      <c r="AN164" s="80">
        <v>51</v>
      </c>
      <c r="AO164" s="80" t="b">
        <v>0</v>
      </c>
      <c r="AP164" s="80">
        <v>0</v>
      </c>
      <c r="AQ164" s="80"/>
      <c r="AR164" s="80"/>
      <c r="AS164" s="80" t="s">
        <v>3412</v>
      </c>
      <c r="AT164" s="85" t="str">
        <f>HYPERLINK("https://www.youtube.com/channel/UCF6USIs0g35mtnmdSlfeBgw")</f>
        <v>https://www.youtube.com/channel/UCF6USIs0g35mtnmdSlfeBgw</v>
      </c>
      <c r="AU164" s="80" t="str">
        <f>REPLACE(INDEX(GroupVertices[Group],MATCH(Vertices[[#This Row],[Vertex]],GroupVertices[Vertex],0)),1,1,"")</f>
        <v>1</v>
      </c>
      <c r="AV164" s="49">
        <v>2</v>
      </c>
      <c r="AW164" s="50">
        <v>9.090909090909092</v>
      </c>
      <c r="AX164" s="49">
        <v>0</v>
      </c>
      <c r="AY164" s="50">
        <v>0</v>
      </c>
      <c r="AZ164" s="49">
        <v>0</v>
      </c>
      <c r="BA164" s="50">
        <v>0</v>
      </c>
      <c r="BB164" s="49">
        <v>20</v>
      </c>
      <c r="BC164" s="50">
        <v>90.9090909090909</v>
      </c>
      <c r="BD164" s="49">
        <v>22</v>
      </c>
      <c r="BE164" s="49"/>
      <c r="BF164" s="49"/>
      <c r="BG164" s="49"/>
      <c r="BH164" s="49"/>
      <c r="BI164" s="49"/>
      <c r="BJ164" s="49"/>
      <c r="BK164" s="111" t="s">
        <v>4539</v>
      </c>
      <c r="BL164" s="111" t="s">
        <v>4539</v>
      </c>
      <c r="BM164" s="111" t="s">
        <v>5016</v>
      </c>
      <c r="BN164" s="111" t="s">
        <v>5016</v>
      </c>
      <c r="BO164" s="2"/>
      <c r="BP164" s="3"/>
      <c r="BQ164" s="3"/>
      <c r="BR164" s="3"/>
      <c r="BS164" s="3"/>
    </row>
    <row r="165" spans="1:71" ht="15">
      <c r="A165" s="65" t="s">
        <v>389</v>
      </c>
      <c r="B165" s="66"/>
      <c r="C165" s="66"/>
      <c r="D165" s="67">
        <v>150</v>
      </c>
      <c r="E165" s="69"/>
      <c r="F165" s="103" t="str">
        <f>HYPERLINK("https://yt3.ggpht.com/ytc/AKedOLSrTmsf0xWdpgWp0Zck-WZ0_YYtwAdBoSbCR7uvr7Y=s88-c-k-c0x00ffffff-no-rj")</f>
        <v>https://yt3.ggpht.com/ytc/AKedOLSrTmsf0xWdpgWp0Zck-WZ0_YYtwAdBoSbCR7uvr7Y=s88-c-k-c0x00ffffff-no-rj</v>
      </c>
      <c r="G165" s="66"/>
      <c r="H165" s="70" t="s">
        <v>1718</v>
      </c>
      <c r="I165" s="71"/>
      <c r="J165" s="71" t="s">
        <v>159</v>
      </c>
      <c r="K165" s="70" t="s">
        <v>1718</v>
      </c>
      <c r="L165" s="74">
        <v>1</v>
      </c>
      <c r="M165" s="75">
        <v>9123.0029296875</v>
      </c>
      <c r="N165" s="75">
        <v>8289.2802734375</v>
      </c>
      <c r="O165" s="76"/>
      <c r="P165" s="77"/>
      <c r="Q165" s="77"/>
      <c r="R165" s="89"/>
      <c r="S165" s="49">
        <v>1</v>
      </c>
      <c r="T165" s="49">
        <v>1</v>
      </c>
      <c r="U165" s="50">
        <v>0</v>
      </c>
      <c r="V165" s="50">
        <v>0.002597</v>
      </c>
      <c r="W165" s="50">
        <v>0.00486</v>
      </c>
      <c r="X165" s="50">
        <v>0.526148</v>
      </c>
      <c r="Y165" s="50">
        <v>0</v>
      </c>
      <c r="Z165" s="50">
        <v>1</v>
      </c>
      <c r="AA165" s="72">
        <v>165</v>
      </c>
      <c r="AB165" s="72"/>
      <c r="AC165" s="73"/>
      <c r="AD165" s="80" t="s">
        <v>1718</v>
      </c>
      <c r="AE165" s="80"/>
      <c r="AF165" s="80"/>
      <c r="AG165" s="80"/>
      <c r="AH165" s="80"/>
      <c r="AI165" s="80"/>
      <c r="AJ165" s="87">
        <v>41701.6775</v>
      </c>
      <c r="AK165" s="85" t="str">
        <f>HYPERLINK("https://yt3.ggpht.com/ytc/AKedOLSrTmsf0xWdpgWp0Zck-WZ0_YYtwAdBoSbCR7uvr7Y=s88-c-k-c0x00ffffff-no-rj")</f>
        <v>https://yt3.ggpht.com/ytc/AKedOLSrTmsf0xWdpgWp0Zck-WZ0_YYtwAdBoSbCR7uvr7Y=s88-c-k-c0x00ffffff-no-rj</v>
      </c>
      <c r="AL165" s="80">
        <v>0</v>
      </c>
      <c r="AM165" s="80">
        <v>0</v>
      </c>
      <c r="AN165" s="80">
        <v>0</v>
      </c>
      <c r="AO165" s="80" t="b">
        <v>0</v>
      </c>
      <c r="AP165" s="80">
        <v>0</v>
      </c>
      <c r="AQ165" s="80"/>
      <c r="AR165" s="80"/>
      <c r="AS165" s="80" t="s">
        <v>3412</v>
      </c>
      <c r="AT165" s="85" t="str">
        <f>HYPERLINK("https://www.youtube.com/channel/UCcFd9I2HYUSYVnquX0vG_ew")</f>
        <v>https://www.youtube.com/channel/UCcFd9I2HYUSYVnquX0vG_ew</v>
      </c>
      <c r="AU165" s="80" t="str">
        <f>REPLACE(INDEX(GroupVertices[Group],MATCH(Vertices[[#This Row],[Vertex]],GroupVertices[Vertex],0)),1,1,"")</f>
        <v>1</v>
      </c>
      <c r="AV165" s="49">
        <v>2</v>
      </c>
      <c r="AW165" s="50">
        <v>25</v>
      </c>
      <c r="AX165" s="49">
        <v>0</v>
      </c>
      <c r="AY165" s="50">
        <v>0</v>
      </c>
      <c r="AZ165" s="49">
        <v>0</v>
      </c>
      <c r="BA165" s="50">
        <v>0</v>
      </c>
      <c r="BB165" s="49">
        <v>6</v>
      </c>
      <c r="BC165" s="50">
        <v>75</v>
      </c>
      <c r="BD165" s="49">
        <v>8</v>
      </c>
      <c r="BE165" s="49"/>
      <c r="BF165" s="49"/>
      <c r="BG165" s="49"/>
      <c r="BH165" s="49"/>
      <c r="BI165" s="49"/>
      <c r="BJ165" s="49"/>
      <c r="BK165" s="111" t="s">
        <v>4540</v>
      </c>
      <c r="BL165" s="111" t="s">
        <v>4540</v>
      </c>
      <c r="BM165" s="111" t="s">
        <v>5017</v>
      </c>
      <c r="BN165" s="111" t="s">
        <v>5017</v>
      </c>
      <c r="BO165" s="2"/>
      <c r="BP165" s="3"/>
      <c r="BQ165" s="3"/>
      <c r="BR165" s="3"/>
      <c r="BS165" s="3"/>
    </row>
    <row r="166" spans="1:71" ht="15">
      <c r="A166" s="65" t="s">
        <v>390</v>
      </c>
      <c r="B166" s="66"/>
      <c r="C166" s="66"/>
      <c r="D166" s="67">
        <v>150</v>
      </c>
      <c r="E166" s="69"/>
      <c r="F166" s="103" t="str">
        <f>HYPERLINK("https://yt3.ggpht.com/ytc/AKedOLSC0L0bWq6qrl-BpdlZKdX-nK1DqNRZrweHAJQSsw=s88-c-k-c0x00ffffff-no-rj")</f>
        <v>https://yt3.ggpht.com/ytc/AKedOLSC0L0bWq6qrl-BpdlZKdX-nK1DqNRZrweHAJQSsw=s88-c-k-c0x00ffffff-no-rj</v>
      </c>
      <c r="G166" s="66"/>
      <c r="H166" s="70" t="s">
        <v>1719</v>
      </c>
      <c r="I166" s="71"/>
      <c r="J166" s="71" t="s">
        <v>159</v>
      </c>
      <c r="K166" s="70" t="s">
        <v>1719</v>
      </c>
      <c r="L166" s="74">
        <v>1</v>
      </c>
      <c r="M166" s="75">
        <v>9055.5703125</v>
      </c>
      <c r="N166" s="75">
        <v>7723.90234375</v>
      </c>
      <c r="O166" s="76"/>
      <c r="P166" s="77"/>
      <c r="Q166" s="77"/>
      <c r="R166" s="89"/>
      <c r="S166" s="49">
        <v>1</v>
      </c>
      <c r="T166" s="49">
        <v>1</v>
      </c>
      <c r="U166" s="50">
        <v>0</v>
      </c>
      <c r="V166" s="50">
        <v>0.002597</v>
      </c>
      <c r="W166" s="50">
        <v>0.00486</v>
      </c>
      <c r="X166" s="50">
        <v>0.526148</v>
      </c>
      <c r="Y166" s="50">
        <v>0</v>
      </c>
      <c r="Z166" s="50">
        <v>1</v>
      </c>
      <c r="AA166" s="72">
        <v>166</v>
      </c>
      <c r="AB166" s="72"/>
      <c r="AC166" s="73"/>
      <c r="AD166" s="80" t="s">
        <v>1719</v>
      </c>
      <c r="AE166" s="80"/>
      <c r="AF166" s="80"/>
      <c r="AG166" s="80"/>
      <c r="AH166" s="80"/>
      <c r="AI166" s="80"/>
      <c r="AJ166" s="80" t="s">
        <v>3194</v>
      </c>
      <c r="AK166" s="85" t="str">
        <f>HYPERLINK("https://yt3.ggpht.com/ytc/AKedOLSC0L0bWq6qrl-BpdlZKdX-nK1DqNRZrweHAJQSsw=s88-c-k-c0x00ffffff-no-rj")</f>
        <v>https://yt3.ggpht.com/ytc/AKedOLSC0L0bWq6qrl-BpdlZKdX-nK1DqNRZrweHAJQSsw=s88-c-k-c0x00ffffff-no-rj</v>
      </c>
      <c r="AL166" s="80">
        <v>0</v>
      </c>
      <c r="AM166" s="80">
        <v>0</v>
      </c>
      <c r="AN166" s="80">
        <v>1</v>
      </c>
      <c r="AO166" s="80" t="b">
        <v>0</v>
      </c>
      <c r="AP166" s="80">
        <v>0</v>
      </c>
      <c r="AQ166" s="80"/>
      <c r="AR166" s="80"/>
      <c r="AS166" s="80" t="s">
        <v>3412</v>
      </c>
      <c r="AT166" s="85" t="str">
        <f>HYPERLINK("https://www.youtube.com/channel/UCk2jTZx_6EYAq9RqZuwe-8g")</f>
        <v>https://www.youtube.com/channel/UCk2jTZx_6EYAq9RqZuwe-8g</v>
      </c>
      <c r="AU166" s="80" t="str">
        <f>REPLACE(INDEX(GroupVertices[Group],MATCH(Vertices[[#This Row],[Vertex]],GroupVertices[Vertex],0)),1,1,"")</f>
        <v>1</v>
      </c>
      <c r="AV166" s="49">
        <v>2</v>
      </c>
      <c r="AW166" s="50">
        <v>8.333333333333334</v>
      </c>
      <c r="AX166" s="49">
        <v>0</v>
      </c>
      <c r="AY166" s="50">
        <v>0</v>
      </c>
      <c r="AZ166" s="49">
        <v>0</v>
      </c>
      <c r="BA166" s="50">
        <v>0</v>
      </c>
      <c r="BB166" s="49">
        <v>22</v>
      </c>
      <c r="BC166" s="50">
        <v>91.66666666666667</v>
      </c>
      <c r="BD166" s="49">
        <v>24</v>
      </c>
      <c r="BE166" s="49"/>
      <c r="BF166" s="49"/>
      <c r="BG166" s="49"/>
      <c r="BH166" s="49"/>
      <c r="BI166" s="49"/>
      <c r="BJ166" s="49"/>
      <c r="BK166" s="111" t="s">
        <v>4541</v>
      </c>
      <c r="BL166" s="111" t="s">
        <v>4541</v>
      </c>
      <c r="BM166" s="111" t="s">
        <v>5018</v>
      </c>
      <c r="BN166" s="111" t="s">
        <v>5018</v>
      </c>
      <c r="BO166" s="2"/>
      <c r="BP166" s="3"/>
      <c r="BQ166" s="3"/>
      <c r="BR166" s="3"/>
      <c r="BS166" s="3"/>
    </row>
    <row r="167" spans="1:71" ht="15">
      <c r="A167" s="65" t="s">
        <v>391</v>
      </c>
      <c r="B167" s="66"/>
      <c r="C167" s="66"/>
      <c r="D167" s="67">
        <v>150</v>
      </c>
      <c r="E167" s="69"/>
      <c r="F167" s="103" t="str">
        <f>HYPERLINK("https://yt3.ggpht.com/ytc/AKedOLSTQI_27EcnUVkJQxfH-lR9gpfm1SxtewnzCQ=s88-c-k-c0x00ffffff-no-rj")</f>
        <v>https://yt3.ggpht.com/ytc/AKedOLSTQI_27EcnUVkJQxfH-lR9gpfm1SxtewnzCQ=s88-c-k-c0x00ffffff-no-rj</v>
      </c>
      <c r="G167" s="66"/>
      <c r="H167" s="70" t="s">
        <v>1720</v>
      </c>
      <c r="I167" s="71"/>
      <c r="J167" s="71" t="s">
        <v>159</v>
      </c>
      <c r="K167" s="70" t="s">
        <v>1720</v>
      </c>
      <c r="L167" s="74">
        <v>1</v>
      </c>
      <c r="M167" s="75">
        <v>6639.10009765625</v>
      </c>
      <c r="N167" s="75">
        <v>9282.720703125</v>
      </c>
      <c r="O167" s="76"/>
      <c r="P167" s="77"/>
      <c r="Q167" s="77"/>
      <c r="R167" s="89"/>
      <c r="S167" s="49">
        <v>2</v>
      </c>
      <c r="T167" s="49">
        <v>2</v>
      </c>
      <c r="U167" s="50">
        <v>0</v>
      </c>
      <c r="V167" s="50">
        <v>0.002597</v>
      </c>
      <c r="W167" s="50">
        <v>0.005224</v>
      </c>
      <c r="X167" s="50">
        <v>0.915039</v>
      </c>
      <c r="Y167" s="50">
        <v>0</v>
      </c>
      <c r="Z167" s="50">
        <v>1</v>
      </c>
      <c r="AA167" s="72">
        <v>167</v>
      </c>
      <c r="AB167" s="72"/>
      <c r="AC167" s="73"/>
      <c r="AD167" s="80" t="s">
        <v>1720</v>
      </c>
      <c r="AE167" s="80"/>
      <c r="AF167" s="80"/>
      <c r="AG167" s="80"/>
      <c r="AH167" s="80"/>
      <c r="AI167" s="80"/>
      <c r="AJ167" s="80" t="s">
        <v>3195</v>
      </c>
      <c r="AK167" s="85" t="str">
        <f>HYPERLINK("https://yt3.ggpht.com/ytc/AKedOLSTQI_27EcnUVkJQxfH-lR9gpfm1SxtewnzCQ=s88-c-k-c0x00ffffff-no-rj")</f>
        <v>https://yt3.ggpht.com/ytc/AKedOLSTQI_27EcnUVkJQxfH-lR9gpfm1SxtewnzCQ=s88-c-k-c0x00ffffff-no-rj</v>
      </c>
      <c r="AL167" s="80">
        <v>0</v>
      </c>
      <c r="AM167" s="80">
        <v>0</v>
      </c>
      <c r="AN167" s="80">
        <v>1</v>
      </c>
      <c r="AO167" s="80" t="b">
        <v>0</v>
      </c>
      <c r="AP167" s="80">
        <v>0</v>
      </c>
      <c r="AQ167" s="80"/>
      <c r="AR167" s="80"/>
      <c r="AS167" s="80" t="s">
        <v>3412</v>
      </c>
      <c r="AT167" s="85" t="str">
        <f>HYPERLINK("https://www.youtube.com/channel/UC2x7dMM9VJRnK8Raixibi-g")</f>
        <v>https://www.youtube.com/channel/UC2x7dMM9VJRnK8Raixibi-g</v>
      </c>
      <c r="AU167" s="80" t="str">
        <f>REPLACE(INDEX(GroupVertices[Group],MATCH(Vertices[[#This Row],[Vertex]],GroupVertices[Vertex],0)),1,1,"")</f>
        <v>1</v>
      </c>
      <c r="AV167" s="49">
        <v>5</v>
      </c>
      <c r="AW167" s="50">
        <v>7.246376811594203</v>
      </c>
      <c r="AX167" s="49">
        <v>1</v>
      </c>
      <c r="AY167" s="50">
        <v>1.4492753623188406</v>
      </c>
      <c r="AZ167" s="49">
        <v>0</v>
      </c>
      <c r="BA167" s="50">
        <v>0</v>
      </c>
      <c r="BB167" s="49">
        <v>63</v>
      </c>
      <c r="BC167" s="50">
        <v>91.30434782608695</v>
      </c>
      <c r="BD167" s="49">
        <v>69</v>
      </c>
      <c r="BE167" s="49"/>
      <c r="BF167" s="49"/>
      <c r="BG167" s="49"/>
      <c r="BH167" s="49"/>
      <c r="BI167" s="49"/>
      <c r="BJ167" s="49"/>
      <c r="BK167" s="111" t="s">
        <v>4542</v>
      </c>
      <c r="BL167" s="111" t="s">
        <v>4542</v>
      </c>
      <c r="BM167" s="111" t="s">
        <v>5019</v>
      </c>
      <c r="BN167" s="111" t="s">
        <v>5019</v>
      </c>
      <c r="BO167" s="2"/>
      <c r="BP167" s="3"/>
      <c r="BQ167" s="3"/>
      <c r="BR167" s="3"/>
      <c r="BS167" s="3"/>
    </row>
    <row r="168" spans="1:71" ht="15">
      <c r="A168" s="65" t="s">
        <v>392</v>
      </c>
      <c r="B168" s="66"/>
      <c r="C168" s="66"/>
      <c r="D168" s="67">
        <v>150</v>
      </c>
      <c r="E168" s="69"/>
      <c r="F168" s="103" t="str">
        <f>HYPERLINK("https://yt3.ggpht.com/ytc/AKedOLSI4HEGoqm6wY77F6T8Zx2P2GaakTaoU-EnJzD-IA=s88-c-k-c0x00ffffff-no-rj")</f>
        <v>https://yt3.ggpht.com/ytc/AKedOLSI4HEGoqm6wY77F6T8Zx2P2GaakTaoU-EnJzD-IA=s88-c-k-c0x00ffffff-no-rj</v>
      </c>
      <c r="G168" s="66"/>
      <c r="H168" s="70" t="s">
        <v>1721</v>
      </c>
      <c r="I168" s="71"/>
      <c r="J168" s="71" t="s">
        <v>159</v>
      </c>
      <c r="K168" s="70" t="s">
        <v>1721</v>
      </c>
      <c r="L168" s="74">
        <v>1</v>
      </c>
      <c r="M168" s="75">
        <v>8506.9716796875</v>
      </c>
      <c r="N168" s="75">
        <v>9215.7822265625</v>
      </c>
      <c r="O168" s="76"/>
      <c r="P168" s="77"/>
      <c r="Q168" s="77"/>
      <c r="R168" s="89"/>
      <c r="S168" s="49">
        <v>1</v>
      </c>
      <c r="T168" s="49">
        <v>1</v>
      </c>
      <c r="U168" s="50">
        <v>0</v>
      </c>
      <c r="V168" s="50">
        <v>0.002597</v>
      </c>
      <c r="W168" s="50">
        <v>0.00486</v>
      </c>
      <c r="X168" s="50">
        <v>0.526148</v>
      </c>
      <c r="Y168" s="50">
        <v>0</v>
      </c>
      <c r="Z168" s="50">
        <v>1</v>
      </c>
      <c r="AA168" s="72">
        <v>168</v>
      </c>
      <c r="AB168" s="72"/>
      <c r="AC168" s="73"/>
      <c r="AD168" s="80" t="s">
        <v>1721</v>
      </c>
      <c r="AE168" s="80" t="s">
        <v>2861</v>
      </c>
      <c r="AF168" s="80"/>
      <c r="AG168" s="80"/>
      <c r="AH168" s="80"/>
      <c r="AI168" s="80" t="s">
        <v>3040</v>
      </c>
      <c r="AJ168" s="80" t="s">
        <v>3196</v>
      </c>
      <c r="AK168" s="85" t="str">
        <f>HYPERLINK("https://yt3.ggpht.com/ytc/AKedOLSI4HEGoqm6wY77F6T8Zx2P2GaakTaoU-EnJzD-IA=s88-c-k-c0x00ffffff-no-rj")</f>
        <v>https://yt3.ggpht.com/ytc/AKedOLSI4HEGoqm6wY77F6T8Zx2P2GaakTaoU-EnJzD-IA=s88-c-k-c0x00ffffff-no-rj</v>
      </c>
      <c r="AL168" s="80">
        <v>1317727</v>
      </c>
      <c r="AM168" s="80">
        <v>0</v>
      </c>
      <c r="AN168" s="80">
        <v>11200</v>
      </c>
      <c r="AO168" s="80" t="b">
        <v>0</v>
      </c>
      <c r="AP168" s="80">
        <v>504</v>
      </c>
      <c r="AQ168" s="80"/>
      <c r="AR168" s="80"/>
      <c r="AS168" s="80" t="s">
        <v>3412</v>
      </c>
      <c r="AT168" s="85" t="str">
        <f>HYPERLINK("https://www.youtube.com/channel/UCOGV31ex45w5pPqimC19FRQ")</f>
        <v>https://www.youtube.com/channel/UCOGV31ex45w5pPqimC19FRQ</v>
      </c>
      <c r="AU168" s="80" t="str">
        <f>REPLACE(INDEX(GroupVertices[Group],MATCH(Vertices[[#This Row],[Vertex]],GroupVertices[Vertex],0)),1,1,"")</f>
        <v>1</v>
      </c>
      <c r="AV168" s="49">
        <v>1</v>
      </c>
      <c r="AW168" s="50">
        <v>10</v>
      </c>
      <c r="AX168" s="49">
        <v>0</v>
      </c>
      <c r="AY168" s="50">
        <v>0</v>
      </c>
      <c r="AZ168" s="49">
        <v>0</v>
      </c>
      <c r="BA168" s="50">
        <v>0</v>
      </c>
      <c r="BB168" s="49">
        <v>9</v>
      </c>
      <c r="BC168" s="50">
        <v>90</v>
      </c>
      <c r="BD168" s="49">
        <v>10</v>
      </c>
      <c r="BE168" s="49"/>
      <c r="BF168" s="49"/>
      <c r="BG168" s="49"/>
      <c r="BH168" s="49"/>
      <c r="BI168" s="49"/>
      <c r="BJ168" s="49"/>
      <c r="BK168" s="111" t="s">
        <v>4543</v>
      </c>
      <c r="BL168" s="111" t="s">
        <v>4543</v>
      </c>
      <c r="BM168" s="111" t="s">
        <v>5020</v>
      </c>
      <c r="BN168" s="111" t="s">
        <v>5020</v>
      </c>
      <c r="BO168" s="2"/>
      <c r="BP168" s="3"/>
      <c r="BQ168" s="3"/>
      <c r="BR168" s="3"/>
      <c r="BS168" s="3"/>
    </row>
    <row r="169" spans="1:71" ht="15">
      <c r="A169" s="65" t="s">
        <v>393</v>
      </c>
      <c r="B169" s="66"/>
      <c r="C169" s="66"/>
      <c r="D169" s="67">
        <v>150</v>
      </c>
      <c r="E169" s="69"/>
      <c r="F169" s="103" t="str">
        <f>HYPERLINK("https://yt3.ggpht.com/ytc/AKedOLR5lQAX7s2v4R3Oc2SjCpzovNmCsEGiEOzji0rmyQ=s88-c-k-c0x00ffffff-no-rj")</f>
        <v>https://yt3.ggpht.com/ytc/AKedOLR5lQAX7s2v4R3Oc2SjCpzovNmCsEGiEOzji0rmyQ=s88-c-k-c0x00ffffff-no-rj</v>
      </c>
      <c r="G169" s="66"/>
      <c r="H169" s="70" t="s">
        <v>1722</v>
      </c>
      <c r="I169" s="71"/>
      <c r="J169" s="71" t="s">
        <v>159</v>
      </c>
      <c r="K169" s="70" t="s">
        <v>1722</v>
      </c>
      <c r="L169" s="74">
        <v>1</v>
      </c>
      <c r="M169" s="75">
        <v>6324.32080078125</v>
      </c>
      <c r="N169" s="75">
        <v>8159.5439453125</v>
      </c>
      <c r="O169" s="76"/>
      <c r="P169" s="77"/>
      <c r="Q169" s="77"/>
      <c r="R169" s="89"/>
      <c r="S169" s="49">
        <v>1</v>
      </c>
      <c r="T169" s="49">
        <v>1</v>
      </c>
      <c r="U169" s="50">
        <v>0</v>
      </c>
      <c r="V169" s="50">
        <v>0.002597</v>
      </c>
      <c r="W169" s="50">
        <v>0.00486</v>
      </c>
      <c r="X169" s="50">
        <v>0.526148</v>
      </c>
      <c r="Y169" s="50">
        <v>0</v>
      </c>
      <c r="Z169" s="50">
        <v>1</v>
      </c>
      <c r="AA169" s="72">
        <v>169</v>
      </c>
      <c r="AB169" s="72"/>
      <c r="AC169" s="73"/>
      <c r="AD169" s="80" t="s">
        <v>1722</v>
      </c>
      <c r="AE169" s="80" t="s">
        <v>2862</v>
      </c>
      <c r="AF169" s="80"/>
      <c r="AG169" s="80"/>
      <c r="AH169" s="80"/>
      <c r="AI169" s="80" t="s">
        <v>3041</v>
      </c>
      <c r="AJ169" s="80" t="s">
        <v>3197</v>
      </c>
      <c r="AK169" s="85" t="str">
        <f>HYPERLINK("https://yt3.ggpht.com/ytc/AKedOLR5lQAX7s2v4R3Oc2SjCpzovNmCsEGiEOzji0rmyQ=s88-c-k-c0x00ffffff-no-rj")</f>
        <v>https://yt3.ggpht.com/ytc/AKedOLR5lQAX7s2v4R3Oc2SjCpzovNmCsEGiEOzji0rmyQ=s88-c-k-c0x00ffffff-no-rj</v>
      </c>
      <c r="AL169" s="80">
        <v>222923</v>
      </c>
      <c r="AM169" s="80">
        <v>0</v>
      </c>
      <c r="AN169" s="80">
        <v>544</v>
      </c>
      <c r="AO169" s="80" t="b">
        <v>0</v>
      </c>
      <c r="AP169" s="80">
        <v>234</v>
      </c>
      <c r="AQ169" s="80"/>
      <c r="AR169" s="80"/>
      <c r="AS169" s="80" t="s">
        <v>3412</v>
      </c>
      <c r="AT169" s="85" t="str">
        <f>HYPERLINK("https://www.youtube.com/channel/UCuvdLbHHa8fkjnGnNskRR-g")</f>
        <v>https://www.youtube.com/channel/UCuvdLbHHa8fkjnGnNskRR-g</v>
      </c>
      <c r="AU169" s="80" t="str">
        <f>REPLACE(INDEX(GroupVertices[Group],MATCH(Vertices[[#This Row],[Vertex]],GroupVertices[Vertex],0)),1,1,"")</f>
        <v>1</v>
      </c>
      <c r="AV169" s="49">
        <v>2</v>
      </c>
      <c r="AW169" s="50">
        <v>11.764705882352942</v>
      </c>
      <c r="AX169" s="49">
        <v>0</v>
      </c>
      <c r="AY169" s="50">
        <v>0</v>
      </c>
      <c r="AZ169" s="49">
        <v>0</v>
      </c>
      <c r="BA169" s="50">
        <v>0</v>
      </c>
      <c r="BB169" s="49">
        <v>15</v>
      </c>
      <c r="BC169" s="50">
        <v>88.23529411764706</v>
      </c>
      <c r="BD169" s="49">
        <v>17</v>
      </c>
      <c r="BE169" s="49"/>
      <c r="BF169" s="49"/>
      <c r="BG169" s="49"/>
      <c r="BH169" s="49"/>
      <c r="BI169" s="49"/>
      <c r="BJ169" s="49"/>
      <c r="BK169" s="111" t="s">
        <v>4544</v>
      </c>
      <c r="BL169" s="111" t="s">
        <v>4544</v>
      </c>
      <c r="BM169" s="111" t="s">
        <v>5021</v>
      </c>
      <c r="BN169" s="111" t="s">
        <v>5021</v>
      </c>
      <c r="BO169" s="2"/>
      <c r="BP169" s="3"/>
      <c r="BQ169" s="3"/>
      <c r="BR169" s="3"/>
      <c r="BS169" s="3"/>
    </row>
    <row r="170" spans="1:71" ht="15">
      <c r="A170" s="65" t="s">
        <v>394</v>
      </c>
      <c r="B170" s="66"/>
      <c r="C170" s="66"/>
      <c r="D170" s="67">
        <v>150</v>
      </c>
      <c r="E170" s="69"/>
      <c r="F170" s="103" t="str">
        <f>HYPERLINK("https://yt3.ggpht.com/ytc/AKedOLQC7rSjaIzAeOfIdR7IOZUSgDkuIEP41_cdllDxww=s88-c-k-c0x00ffffff-no-rj")</f>
        <v>https://yt3.ggpht.com/ytc/AKedOLQC7rSjaIzAeOfIdR7IOZUSgDkuIEP41_cdllDxww=s88-c-k-c0x00ffffff-no-rj</v>
      </c>
      <c r="G170" s="66"/>
      <c r="H170" s="70" t="s">
        <v>1723</v>
      </c>
      <c r="I170" s="71"/>
      <c r="J170" s="71" t="s">
        <v>159</v>
      </c>
      <c r="K170" s="70" t="s">
        <v>1723</v>
      </c>
      <c r="L170" s="74">
        <v>1</v>
      </c>
      <c r="M170" s="75">
        <v>4512.08447265625</v>
      </c>
      <c r="N170" s="75">
        <v>9453.3759765625</v>
      </c>
      <c r="O170" s="76"/>
      <c r="P170" s="77"/>
      <c r="Q170" s="77"/>
      <c r="R170" s="89"/>
      <c r="S170" s="49">
        <v>1</v>
      </c>
      <c r="T170" s="49">
        <v>1</v>
      </c>
      <c r="U170" s="50">
        <v>0</v>
      </c>
      <c r="V170" s="50">
        <v>0.002597</v>
      </c>
      <c r="W170" s="50">
        <v>0.00486</v>
      </c>
      <c r="X170" s="50">
        <v>0.526148</v>
      </c>
      <c r="Y170" s="50">
        <v>0</v>
      </c>
      <c r="Z170" s="50">
        <v>1</v>
      </c>
      <c r="AA170" s="72">
        <v>170</v>
      </c>
      <c r="AB170" s="72"/>
      <c r="AC170" s="73"/>
      <c r="AD170" s="80" t="s">
        <v>1723</v>
      </c>
      <c r="AE170" s="80"/>
      <c r="AF170" s="80"/>
      <c r="AG170" s="80"/>
      <c r="AH170" s="80"/>
      <c r="AI170" s="80"/>
      <c r="AJ170" s="80" t="s">
        <v>3198</v>
      </c>
      <c r="AK170" s="85" t="str">
        <f>HYPERLINK("https://yt3.ggpht.com/ytc/AKedOLQC7rSjaIzAeOfIdR7IOZUSgDkuIEP41_cdllDxww=s88-c-k-c0x00ffffff-no-rj")</f>
        <v>https://yt3.ggpht.com/ytc/AKedOLQC7rSjaIzAeOfIdR7IOZUSgDkuIEP41_cdllDxww=s88-c-k-c0x00ffffff-no-rj</v>
      </c>
      <c r="AL170" s="80">
        <v>0</v>
      </c>
      <c r="AM170" s="80">
        <v>0</v>
      </c>
      <c r="AN170" s="80">
        <v>8</v>
      </c>
      <c r="AO170" s="80" t="b">
        <v>0</v>
      </c>
      <c r="AP170" s="80">
        <v>0</v>
      </c>
      <c r="AQ170" s="80"/>
      <c r="AR170" s="80"/>
      <c r="AS170" s="80" t="s">
        <v>3412</v>
      </c>
      <c r="AT170" s="85" t="str">
        <f>HYPERLINK("https://www.youtube.com/channel/UC0FGMT9-z6z5VpnolP6Iu4A")</f>
        <v>https://www.youtube.com/channel/UC0FGMT9-z6z5VpnolP6Iu4A</v>
      </c>
      <c r="AU170" s="80" t="str">
        <f>REPLACE(INDEX(GroupVertices[Group],MATCH(Vertices[[#This Row],[Vertex]],GroupVertices[Vertex],0)),1,1,"")</f>
        <v>1</v>
      </c>
      <c r="AV170" s="49">
        <v>0</v>
      </c>
      <c r="AW170" s="50">
        <v>0</v>
      </c>
      <c r="AX170" s="49">
        <v>0</v>
      </c>
      <c r="AY170" s="50">
        <v>0</v>
      </c>
      <c r="AZ170" s="49">
        <v>0</v>
      </c>
      <c r="BA170" s="50">
        <v>0</v>
      </c>
      <c r="BB170" s="49">
        <v>9</v>
      </c>
      <c r="BC170" s="50">
        <v>100</v>
      </c>
      <c r="BD170" s="49">
        <v>9</v>
      </c>
      <c r="BE170" s="49"/>
      <c r="BF170" s="49"/>
      <c r="BG170" s="49"/>
      <c r="BH170" s="49"/>
      <c r="BI170" s="49"/>
      <c r="BJ170" s="49"/>
      <c r="BK170" s="111" t="s">
        <v>4545</v>
      </c>
      <c r="BL170" s="111" t="s">
        <v>4545</v>
      </c>
      <c r="BM170" s="111" t="s">
        <v>5022</v>
      </c>
      <c r="BN170" s="111" t="s">
        <v>5022</v>
      </c>
      <c r="BO170" s="2"/>
      <c r="BP170" s="3"/>
      <c r="BQ170" s="3"/>
      <c r="BR170" s="3"/>
      <c r="BS170" s="3"/>
    </row>
    <row r="171" spans="1:71" ht="15">
      <c r="A171" s="65" t="s">
        <v>395</v>
      </c>
      <c r="B171" s="66"/>
      <c r="C171" s="66"/>
      <c r="D171" s="67">
        <v>150</v>
      </c>
      <c r="E171" s="69"/>
      <c r="F171" s="103" t="str">
        <f>HYPERLINK("https://yt3.ggpht.com/ytc/AKedOLTCXnziH2fDVTxI4tjBcBX3ty9JmLaQ6jRDfQ=s88-c-k-c0x00ffffff-no-rj")</f>
        <v>https://yt3.ggpht.com/ytc/AKedOLTCXnziH2fDVTxI4tjBcBX3ty9JmLaQ6jRDfQ=s88-c-k-c0x00ffffff-no-rj</v>
      </c>
      <c r="G171" s="66"/>
      <c r="H171" s="70" t="s">
        <v>1724</v>
      </c>
      <c r="I171" s="71"/>
      <c r="J171" s="71" t="s">
        <v>159</v>
      </c>
      <c r="K171" s="70" t="s">
        <v>1724</v>
      </c>
      <c r="L171" s="74">
        <v>1</v>
      </c>
      <c r="M171" s="75">
        <v>3028.742919921875</v>
      </c>
      <c r="N171" s="75">
        <v>8035.1123046875</v>
      </c>
      <c r="O171" s="76"/>
      <c r="P171" s="77"/>
      <c r="Q171" s="77"/>
      <c r="R171" s="89"/>
      <c r="S171" s="49">
        <v>1</v>
      </c>
      <c r="T171" s="49">
        <v>1</v>
      </c>
      <c r="U171" s="50">
        <v>0</v>
      </c>
      <c r="V171" s="50">
        <v>0.002597</v>
      </c>
      <c r="W171" s="50">
        <v>0.00486</v>
      </c>
      <c r="X171" s="50">
        <v>0.526148</v>
      </c>
      <c r="Y171" s="50">
        <v>0</v>
      </c>
      <c r="Z171" s="50">
        <v>1</v>
      </c>
      <c r="AA171" s="72">
        <v>171</v>
      </c>
      <c r="AB171" s="72"/>
      <c r="AC171" s="73"/>
      <c r="AD171" s="80" t="s">
        <v>1724</v>
      </c>
      <c r="AE171" s="80"/>
      <c r="AF171" s="80"/>
      <c r="AG171" s="80"/>
      <c r="AH171" s="80"/>
      <c r="AI171" s="80"/>
      <c r="AJ171" s="87">
        <v>41375.04005787037</v>
      </c>
      <c r="AK171" s="85" t="str">
        <f>HYPERLINK("https://yt3.ggpht.com/ytc/AKedOLTCXnziH2fDVTxI4tjBcBX3ty9JmLaQ6jRDfQ=s88-c-k-c0x00ffffff-no-rj")</f>
        <v>https://yt3.ggpht.com/ytc/AKedOLTCXnziH2fDVTxI4tjBcBX3ty9JmLaQ6jRDfQ=s88-c-k-c0x00ffffff-no-rj</v>
      </c>
      <c r="AL171" s="80">
        <v>0</v>
      </c>
      <c r="AM171" s="80">
        <v>0</v>
      </c>
      <c r="AN171" s="80">
        <v>0</v>
      </c>
      <c r="AO171" s="80" t="b">
        <v>0</v>
      </c>
      <c r="AP171" s="80">
        <v>0</v>
      </c>
      <c r="AQ171" s="80"/>
      <c r="AR171" s="80"/>
      <c r="AS171" s="80" t="s">
        <v>3412</v>
      </c>
      <c r="AT171" s="85" t="str">
        <f>HYPERLINK("https://www.youtube.com/channel/UCh0VGauCghebPXCxT2p8HYw")</f>
        <v>https://www.youtube.com/channel/UCh0VGauCghebPXCxT2p8HYw</v>
      </c>
      <c r="AU171" s="80" t="str">
        <f>REPLACE(INDEX(GroupVertices[Group],MATCH(Vertices[[#This Row],[Vertex]],GroupVertices[Vertex],0)),1,1,"")</f>
        <v>1</v>
      </c>
      <c r="AV171" s="49">
        <v>1</v>
      </c>
      <c r="AW171" s="50">
        <v>8.333333333333334</v>
      </c>
      <c r="AX171" s="49">
        <v>0</v>
      </c>
      <c r="AY171" s="50">
        <v>0</v>
      </c>
      <c r="AZ171" s="49">
        <v>0</v>
      </c>
      <c r="BA171" s="50">
        <v>0</v>
      </c>
      <c r="BB171" s="49">
        <v>11</v>
      </c>
      <c r="BC171" s="50">
        <v>91.66666666666667</v>
      </c>
      <c r="BD171" s="49">
        <v>12</v>
      </c>
      <c r="BE171" s="49"/>
      <c r="BF171" s="49"/>
      <c r="BG171" s="49"/>
      <c r="BH171" s="49"/>
      <c r="BI171" s="49"/>
      <c r="BJ171" s="49"/>
      <c r="BK171" s="111" t="s">
        <v>4546</v>
      </c>
      <c r="BL171" s="111" t="s">
        <v>4546</v>
      </c>
      <c r="BM171" s="111" t="s">
        <v>5023</v>
      </c>
      <c r="BN171" s="111" t="s">
        <v>5023</v>
      </c>
      <c r="BO171" s="2"/>
      <c r="BP171" s="3"/>
      <c r="BQ171" s="3"/>
      <c r="BR171" s="3"/>
      <c r="BS171" s="3"/>
    </row>
    <row r="172" spans="1:71" ht="15">
      <c r="A172" s="65" t="s">
        <v>396</v>
      </c>
      <c r="B172" s="66"/>
      <c r="C172" s="66"/>
      <c r="D172" s="67">
        <v>150</v>
      </c>
      <c r="E172" s="69"/>
      <c r="F172" s="103" t="str">
        <f>HYPERLINK("https://yt3.ggpht.com/ytc/AKedOLQCuW_4ypigcAtkfMPRNOS9q8o0Vg-G40l9CQpmKQ=s88-c-k-c0x00ffffff-no-rj")</f>
        <v>https://yt3.ggpht.com/ytc/AKedOLQCuW_4ypigcAtkfMPRNOS9q8o0Vg-G40l9CQpmKQ=s88-c-k-c0x00ffffff-no-rj</v>
      </c>
      <c r="G172" s="66"/>
      <c r="H172" s="70" t="s">
        <v>1725</v>
      </c>
      <c r="I172" s="71"/>
      <c r="J172" s="71" t="s">
        <v>159</v>
      </c>
      <c r="K172" s="70" t="s">
        <v>1725</v>
      </c>
      <c r="L172" s="74">
        <v>1</v>
      </c>
      <c r="M172" s="75">
        <v>6912.68359375</v>
      </c>
      <c r="N172" s="75">
        <v>7702.81298828125</v>
      </c>
      <c r="O172" s="76"/>
      <c r="P172" s="77"/>
      <c r="Q172" s="77"/>
      <c r="R172" s="89"/>
      <c r="S172" s="49">
        <v>1</v>
      </c>
      <c r="T172" s="49">
        <v>1</v>
      </c>
      <c r="U172" s="50">
        <v>0</v>
      </c>
      <c r="V172" s="50">
        <v>0.002597</v>
      </c>
      <c r="W172" s="50">
        <v>0.00486</v>
      </c>
      <c r="X172" s="50">
        <v>0.526148</v>
      </c>
      <c r="Y172" s="50">
        <v>0</v>
      </c>
      <c r="Z172" s="50">
        <v>1</v>
      </c>
      <c r="AA172" s="72">
        <v>172</v>
      </c>
      <c r="AB172" s="72"/>
      <c r="AC172" s="73"/>
      <c r="AD172" s="80" t="s">
        <v>1725</v>
      </c>
      <c r="AE172" s="80"/>
      <c r="AF172" s="80"/>
      <c r="AG172" s="80"/>
      <c r="AH172" s="80"/>
      <c r="AI172" s="80"/>
      <c r="AJ172" s="80" t="s">
        <v>3199</v>
      </c>
      <c r="AK172" s="85" t="str">
        <f>HYPERLINK("https://yt3.ggpht.com/ytc/AKedOLQCuW_4ypigcAtkfMPRNOS9q8o0Vg-G40l9CQpmKQ=s88-c-k-c0x00ffffff-no-rj")</f>
        <v>https://yt3.ggpht.com/ytc/AKedOLQCuW_4ypigcAtkfMPRNOS9q8o0Vg-G40l9CQpmKQ=s88-c-k-c0x00ffffff-no-rj</v>
      </c>
      <c r="AL172" s="80">
        <v>0</v>
      </c>
      <c r="AM172" s="80">
        <v>0</v>
      </c>
      <c r="AN172" s="80">
        <v>6</v>
      </c>
      <c r="AO172" s="80" t="b">
        <v>0</v>
      </c>
      <c r="AP172" s="80">
        <v>0</v>
      </c>
      <c r="AQ172" s="80"/>
      <c r="AR172" s="80"/>
      <c r="AS172" s="80" t="s">
        <v>3412</v>
      </c>
      <c r="AT172" s="85" t="str">
        <f>HYPERLINK("https://www.youtube.com/channel/UCe4qQgOK8eDYeJC4xSfKocg")</f>
        <v>https://www.youtube.com/channel/UCe4qQgOK8eDYeJC4xSfKocg</v>
      </c>
      <c r="AU172" s="80" t="str">
        <f>REPLACE(INDEX(GroupVertices[Group],MATCH(Vertices[[#This Row],[Vertex]],GroupVertices[Vertex],0)),1,1,"")</f>
        <v>1</v>
      </c>
      <c r="AV172" s="49">
        <v>5</v>
      </c>
      <c r="AW172" s="50">
        <v>17.24137931034483</v>
      </c>
      <c r="AX172" s="49">
        <v>1</v>
      </c>
      <c r="AY172" s="50">
        <v>3.4482758620689653</v>
      </c>
      <c r="AZ172" s="49">
        <v>0</v>
      </c>
      <c r="BA172" s="50">
        <v>0</v>
      </c>
      <c r="BB172" s="49">
        <v>23</v>
      </c>
      <c r="BC172" s="50">
        <v>79.3103448275862</v>
      </c>
      <c r="BD172" s="49">
        <v>29</v>
      </c>
      <c r="BE172" s="49"/>
      <c r="BF172" s="49"/>
      <c r="BG172" s="49"/>
      <c r="BH172" s="49"/>
      <c r="BI172" s="49"/>
      <c r="BJ172" s="49"/>
      <c r="BK172" s="111" t="s">
        <v>4547</v>
      </c>
      <c r="BL172" s="111" t="s">
        <v>4547</v>
      </c>
      <c r="BM172" s="111" t="s">
        <v>5024</v>
      </c>
      <c r="BN172" s="111" t="s">
        <v>5024</v>
      </c>
      <c r="BO172" s="2"/>
      <c r="BP172" s="3"/>
      <c r="BQ172" s="3"/>
      <c r="BR172" s="3"/>
      <c r="BS172" s="3"/>
    </row>
    <row r="173" spans="1:71" ht="15">
      <c r="A173" s="65" t="s">
        <v>397</v>
      </c>
      <c r="B173" s="66"/>
      <c r="C173" s="66"/>
      <c r="D173" s="67">
        <v>150</v>
      </c>
      <c r="E173" s="69"/>
      <c r="F173" s="103" t="str">
        <f>HYPERLINK("https://yt3.ggpht.com/ytc/AKedOLTdLlLrBRYg0-aAmvScb4RtJJe6lWC3tJa2oH12=s88-c-k-c0x00ffffff-no-rj")</f>
        <v>https://yt3.ggpht.com/ytc/AKedOLTdLlLrBRYg0-aAmvScb4RtJJe6lWC3tJa2oH12=s88-c-k-c0x00ffffff-no-rj</v>
      </c>
      <c r="G173" s="66"/>
      <c r="H173" s="70" t="s">
        <v>1726</v>
      </c>
      <c r="I173" s="71"/>
      <c r="J173" s="71" t="s">
        <v>159</v>
      </c>
      <c r="K173" s="70" t="s">
        <v>1726</v>
      </c>
      <c r="L173" s="74">
        <v>1</v>
      </c>
      <c r="M173" s="75">
        <v>6792.35205078125</v>
      </c>
      <c r="N173" s="75">
        <v>9613.7099609375</v>
      </c>
      <c r="O173" s="76"/>
      <c r="P173" s="77"/>
      <c r="Q173" s="77"/>
      <c r="R173" s="89"/>
      <c r="S173" s="49">
        <v>1</v>
      </c>
      <c r="T173" s="49">
        <v>1</v>
      </c>
      <c r="U173" s="50">
        <v>0</v>
      </c>
      <c r="V173" s="50">
        <v>0.002597</v>
      </c>
      <c r="W173" s="50">
        <v>0.00486</v>
      </c>
      <c r="X173" s="50">
        <v>0.526148</v>
      </c>
      <c r="Y173" s="50">
        <v>0</v>
      </c>
      <c r="Z173" s="50">
        <v>1</v>
      </c>
      <c r="AA173" s="72">
        <v>173</v>
      </c>
      <c r="AB173" s="72"/>
      <c r="AC173" s="73"/>
      <c r="AD173" s="80" t="s">
        <v>1726</v>
      </c>
      <c r="AE173" s="80"/>
      <c r="AF173" s="80"/>
      <c r="AG173" s="80"/>
      <c r="AH173" s="80"/>
      <c r="AI173" s="80"/>
      <c r="AJ173" s="80" t="s">
        <v>3200</v>
      </c>
      <c r="AK173" s="85" t="str">
        <f>HYPERLINK("https://yt3.ggpht.com/ytc/AKedOLTdLlLrBRYg0-aAmvScb4RtJJe6lWC3tJa2oH12=s88-c-k-c0x00ffffff-no-rj")</f>
        <v>https://yt3.ggpht.com/ytc/AKedOLTdLlLrBRYg0-aAmvScb4RtJJe6lWC3tJa2oH12=s88-c-k-c0x00ffffff-no-rj</v>
      </c>
      <c r="AL173" s="80">
        <v>0</v>
      </c>
      <c r="AM173" s="80">
        <v>0</v>
      </c>
      <c r="AN173" s="80">
        <v>0</v>
      </c>
      <c r="AO173" s="80" t="b">
        <v>0</v>
      </c>
      <c r="AP173" s="80">
        <v>0</v>
      </c>
      <c r="AQ173" s="80"/>
      <c r="AR173" s="80"/>
      <c r="AS173" s="80" t="s">
        <v>3412</v>
      </c>
      <c r="AT173" s="85" t="str">
        <f>HYPERLINK("https://www.youtube.com/channel/UChLhOc-pRi5xxIT9Nt2pA3Q")</f>
        <v>https://www.youtube.com/channel/UChLhOc-pRi5xxIT9Nt2pA3Q</v>
      </c>
      <c r="AU173" s="80" t="str">
        <f>REPLACE(INDEX(GroupVertices[Group],MATCH(Vertices[[#This Row],[Vertex]],GroupVertices[Vertex],0)),1,1,"")</f>
        <v>1</v>
      </c>
      <c r="AV173" s="49">
        <v>0</v>
      </c>
      <c r="AW173" s="50">
        <v>0</v>
      </c>
      <c r="AX173" s="49">
        <v>0</v>
      </c>
      <c r="AY173" s="50">
        <v>0</v>
      </c>
      <c r="AZ173" s="49">
        <v>0</v>
      </c>
      <c r="BA173" s="50">
        <v>0</v>
      </c>
      <c r="BB173" s="49">
        <v>18</v>
      </c>
      <c r="BC173" s="50">
        <v>100</v>
      </c>
      <c r="BD173" s="49">
        <v>18</v>
      </c>
      <c r="BE173" s="49"/>
      <c r="BF173" s="49"/>
      <c r="BG173" s="49"/>
      <c r="BH173" s="49"/>
      <c r="BI173" s="49"/>
      <c r="BJ173" s="49"/>
      <c r="BK173" s="111" t="s">
        <v>4548</v>
      </c>
      <c r="BL173" s="111" t="s">
        <v>4548</v>
      </c>
      <c r="BM173" s="111" t="s">
        <v>5025</v>
      </c>
      <c r="BN173" s="111" t="s">
        <v>5025</v>
      </c>
      <c r="BO173" s="2"/>
      <c r="BP173" s="3"/>
      <c r="BQ173" s="3"/>
      <c r="BR173" s="3"/>
      <c r="BS173" s="3"/>
    </row>
    <row r="174" spans="1:71" ht="15">
      <c r="A174" s="65" t="s">
        <v>398</v>
      </c>
      <c r="B174" s="66"/>
      <c r="C174" s="66"/>
      <c r="D174" s="67">
        <v>150</v>
      </c>
      <c r="E174" s="69"/>
      <c r="F174" s="103" t="str">
        <f>HYPERLINK("https://yt3.ggpht.com/ytc/AKedOLRPBLuZVjA3ry-pvaepM5E_LzrT6FqWvYVDtg=s88-c-k-c0x00ffffff-no-rj")</f>
        <v>https://yt3.ggpht.com/ytc/AKedOLRPBLuZVjA3ry-pvaepM5E_LzrT6FqWvYVDtg=s88-c-k-c0x00ffffff-no-rj</v>
      </c>
      <c r="G174" s="66"/>
      <c r="H174" s="70" t="s">
        <v>1727</v>
      </c>
      <c r="I174" s="71"/>
      <c r="J174" s="71" t="s">
        <v>159</v>
      </c>
      <c r="K174" s="70" t="s">
        <v>1727</v>
      </c>
      <c r="L174" s="74">
        <v>1</v>
      </c>
      <c r="M174" s="75">
        <v>2756.069580078125</v>
      </c>
      <c r="N174" s="75">
        <v>8475.244140625</v>
      </c>
      <c r="O174" s="76"/>
      <c r="P174" s="77"/>
      <c r="Q174" s="77"/>
      <c r="R174" s="89"/>
      <c r="S174" s="49">
        <v>1</v>
      </c>
      <c r="T174" s="49">
        <v>1</v>
      </c>
      <c r="U174" s="50">
        <v>0</v>
      </c>
      <c r="V174" s="50">
        <v>0.002597</v>
      </c>
      <c r="W174" s="50">
        <v>0.00486</v>
      </c>
      <c r="X174" s="50">
        <v>0.526148</v>
      </c>
      <c r="Y174" s="50">
        <v>0</v>
      </c>
      <c r="Z174" s="50">
        <v>1</v>
      </c>
      <c r="AA174" s="72">
        <v>174</v>
      </c>
      <c r="AB174" s="72"/>
      <c r="AC174" s="73"/>
      <c r="AD174" s="80" t="s">
        <v>1727</v>
      </c>
      <c r="AE174" s="80"/>
      <c r="AF174" s="80"/>
      <c r="AG174" s="80"/>
      <c r="AH174" s="80"/>
      <c r="AI174" s="80"/>
      <c r="AJ174" s="87">
        <v>42710.54657407408</v>
      </c>
      <c r="AK174" s="85" t="str">
        <f>HYPERLINK("https://yt3.ggpht.com/ytc/AKedOLRPBLuZVjA3ry-pvaepM5E_LzrT6FqWvYVDtg=s88-c-k-c0x00ffffff-no-rj")</f>
        <v>https://yt3.ggpht.com/ytc/AKedOLRPBLuZVjA3ry-pvaepM5E_LzrT6FqWvYVDtg=s88-c-k-c0x00ffffff-no-rj</v>
      </c>
      <c r="AL174" s="80">
        <v>0</v>
      </c>
      <c r="AM174" s="80">
        <v>0</v>
      </c>
      <c r="AN174" s="80">
        <v>19</v>
      </c>
      <c r="AO174" s="80" t="b">
        <v>0</v>
      </c>
      <c r="AP174" s="80">
        <v>0</v>
      </c>
      <c r="AQ174" s="80"/>
      <c r="AR174" s="80"/>
      <c r="AS174" s="80" t="s">
        <v>3412</v>
      </c>
      <c r="AT174" s="85" t="str">
        <f>HYPERLINK("https://www.youtube.com/channel/UCbdgG3KDHsSRSDbI-4zR-eQ")</f>
        <v>https://www.youtube.com/channel/UCbdgG3KDHsSRSDbI-4zR-eQ</v>
      </c>
      <c r="AU174" s="80" t="str">
        <f>REPLACE(INDEX(GroupVertices[Group],MATCH(Vertices[[#This Row],[Vertex]],GroupVertices[Vertex],0)),1,1,"")</f>
        <v>1</v>
      </c>
      <c r="AV174" s="49">
        <v>0</v>
      </c>
      <c r="AW174" s="50">
        <v>0</v>
      </c>
      <c r="AX174" s="49">
        <v>0</v>
      </c>
      <c r="AY174" s="50">
        <v>0</v>
      </c>
      <c r="AZ174" s="49">
        <v>0</v>
      </c>
      <c r="BA174" s="50">
        <v>0</v>
      </c>
      <c r="BB174" s="49">
        <v>2</v>
      </c>
      <c r="BC174" s="50">
        <v>100</v>
      </c>
      <c r="BD174" s="49">
        <v>2</v>
      </c>
      <c r="BE174" s="49"/>
      <c r="BF174" s="49"/>
      <c r="BG174" s="49"/>
      <c r="BH174" s="49"/>
      <c r="BI174" s="49"/>
      <c r="BJ174" s="49"/>
      <c r="BK174" s="111" t="s">
        <v>4549</v>
      </c>
      <c r="BL174" s="111" t="s">
        <v>4549</v>
      </c>
      <c r="BM174" s="111" t="s">
        <v>2782</v>
      </c>
      <c r="BN174" s="111" t="s">
        <v>2782</v>
      </c>
      <c r="BO174" s="2"/>
      <c r="BP174" s="3"/>
      <c r="BQ174" s="3"/>
      <c r="BR174" s="3"/>
      <c r="BS174" s="3"/>
    </row>
    <row r="175" spans="1:71" ht="15">
      <c r="A175" s="65" t="s">
        <v>399</v>
      </c>
      <c r="B175" s="66"/>
      <c r="C175" s="66"/>
      <c r="D175" s="67">
        <v>150</v>
      </c>
      <c r="E175" s="69"/>
      <c r="F175" s="103" t="str">
        <f>HYPERLINK("https://yt3.ggpht.com/ytc/AKedOLQrnq4MdwhTGNOxIDw5mhzFdu6KQujFXtQBEXIS0A=s88-c-k-c0x00ffffff-no-rj")</f>
        <v>https://yt3.ggpht.com/ytc/AKedOLQrnq4MdwhTGNOxIDw5mhzFdu6KQujFXtQBEXIS0A=s88-c-k-c0x00ffffff-no-rj</v>
      </c>
      <c r="G175" s="66"/>
      <c r="H175" s="70" t="s">
        <v>1728</v>
      </c>
      <c r="I175" s="71"/>
      <c r="J175" s="71" t="s">
        <v>159</v>
      </c>
      <c r="K175" s="70" t="s">
        <v>1728</v>
      </c>
      <c r="L175" s="74">
        <v>1</v>
      </c>
      <c r="M175" s="75">
        <v>9548.9443359375</v>
      </c>
      <c r="N175" s="75">
        <v>8327.2607421875</v>
      </c>
      <c r="O175" s="76"/>
      <c r="P175" s="77"/>
      <c r="Q175" s="77"/>
      <c r="R175" s="89"/>
      <c r="S175" s="49">
        <v>1</v>
      </c>
      <c r="T175" s="49">
        <v>1</v>
      </c>
      <c r="U175" s="50">
        <v>0</v>
      </c>
      <c r="V175" s="50">
        <v>0.002597</v>
      </c>
      <c r="W175" s="50">
        <v>0.00486</v>
      </c>
      <c r="X175" s="50">
        <v>0.526148</v>
      </c>
      <c r="Y175" s="50">
        <v>0</v>
      </c>
      <c r="Z175" s="50">
        <v>1</v>
      </c>
      <c r="AA175" s="72">
        <v>175</v>
      </c>
      <c r="AB175" s="72"/>
      <c r="AC175" s="73"/>
      <c r="AD175" s="80" t="s">
        <v>1728</v>
      </c>
      <c r="AE175" s="80"/>
      <c r="AF175" s="80"/>
      <c r="AG175" s="80"/>
      <c r="AH175" s="80"/>
      <c r="AI175" s="80"/>
      <c r="AJ175" s="80" t="s">
        <v>3201</v>
      </c>
      <c r="AK175" s="85" t="str">
        <f>HYPERLINK("https://yt3.ggpht.com/ytc/AKedOLQrnq4MdwhTGNOxIDw5mhzFdu6KQujFXtQBEXIS0A=s88-c-k-c0x00ffffff-no-rj")</f>
        <v>https://yt3.ggpht.com/ytc/AKedOLQrnq4MdwhTGNOxIDw5mhzFdu6KQujFXtQBEXIS0A=s88-c-k-c0x00ffffff-no-rj</v>
      </c>
      <c r="AL175" s="80">
        <v>339</v>
      </c>
      <c r="AM175" s="80">
        <v>0</v>
      </c>
      <c r="AN175" s="80">
        <v>8</v>
      </c>
      <c r="AO175" s="80" t="b">
        <v>0</v>
      </c>
      <c r="AP175" s="80">
        <v>4</v>
      </c>
      <c r="AQ175" s="80"/>
      <c r="AR175" s="80"/>
      <c r="AS175" s="80" t="s">
        <v>3412</v>
      </c>
      <c r="AT175" s="85" t="str">
        <f>HYPERLINK("https://www.youtube.com/channel/UCpC_rJRy9KIHkIqB-KuOIHA")</f>
        <v>https://www.youtube.com/channel/UCpC_rJRy9KIHkIqB-KuOIHA</v>
      </c>
      <c r="AU175" s="80" t="str">
        <f>REPLACE(INDEX(GroupVertices[Group],MATCH(Vertices[[#This Row],[Vertex]],GroupVertices[Vertex],0)),1,1,"")</f>
        <v>1</v>
      </c>
      <c r="AV175" s="49">
        <v>2</v>
      </c>
      <c r="AW175" s="50">
        <v>8.695652173913043</v>
      </c>
      <c r="AX175" s="49">
        <v>0</v>
      </c>
      <c r="AY175" s="50">
        <v>0</v>
      </c>
      <c r="AZ175" s="49">
        <v>0</v>
      </c>
      <c r="BA175" s="50">
        <v>0</v>
      </c>
      <c r="BB175" s="49">
        <v>21</v>
      </c>
      <c r="BC175" s="50">
        <v>91.30434782608695</v>
      </c>
      <c r="BD175" s="49">
        <v>23</v>
      </c>
      <c r="BE175" s="49"/>
      <c r="BF175" s="49"/>
      <c r="BG175" s="49"/>
      <c r="BH175" s="49"/>
      <c r="BI175" s="49"/>
      <c r="BJ175" s="49"/>
      <c r="BK175" s="111" t="s">
        <v>4550</v>
      </c>
      <c r="BL175" s="111" t="s">
        <v>4550</v>
      </c>
      <c r="BM175" s="111" t="s">
        <v>5026</v>
      </c>
      <c r="BN175" s="111" t="s">
        <v>5026</v>
      </c>
      <c r="BO175" s="2"/>
      <c r="BP175" s="3"/>
      <c r="BQ175" s="3"/>
      <c r="BR175" s="3"/>
      <c r="BS175" s="3"/>
    </row>
    <row r="176" spans="1:71" ht="15">
      <c r="A176" s="65" t="s">
        <v>400</v>
      </c>
      <c r="B176" s="66"/>
      <c r="C176" s="66"/>
      <c r="D176" s="67">
        <v>150</v>
      </c>
      <c r="E176" s="69"/>
      <c r="F176" s="103" t="str">
        <f>HYPERLINK("https://yt3.ggpht.com/ytc/AKedOLT-EGCdJrLSsGkFdQDrfzTEblz67QvhnssPXA=s88-c-k-c0x00ffffff-no-rj")</f>
        <v>https://yt3.ggpht.com/ytc/AKedOLT-EGCdJrLSsGkFdQDrfzTEblz67QvhnssPXA=s88-c-k-c0x00ffffff-no-rj</v>
      </c>
      <c r="G176" s="66"/>
      <c r="H176" s="70" t="s">
        <v>1729</v>
      </c>
      <c r="I176" s="71"/>
      <c r="J176" s="71" t="s">
        <v>159</v>
      </c>
      <c r="K176" s="70" t="s">
        <v>1729</v>
      </c>
      <c r="L176" s="74">
        <v>1</v>
      </c>
      <c r="M176" s="75">
        <v>7134.85791015625</v>
      </c>
      <c r="N176" s="75">
        <v>9387.4990234375</v>
      </c>
      <c r="O176" s="76"/>
      <c r="P176" s="77"/>
      <c r="Q176" s="77"/>
      <c r="R176" s="89"/>
      <c r="S176" s="49">
        <v>1</v>
      </c>
      <c r="T176" s="49">
        <v>1</v>
      </c>
      <c r="U176" s="50">
        <v>0</v>
      </c>
      <c r="V176" s="50">
        <v>0.002597</v>
      </c>
      <c r="W176" s="50">
        <v>0.00486</v>
      </c>
      <c r="X176" s="50">
        <v>0.526148</v>
      </c>
      <c r="Y176" s="50">
        <v>0</v>
      </c>
      <c r="Z176" s="50">
        <v>1</v>
      </c>
      <c r="AA176" s="72">
        <v>176</v>
      </c>
      <c r="AB176" s="72"/>
      <c r="AC176" s="73"/>
      <c r="AD176" s="80" t="s">
        <v>1729</v>
      </c>
      <c r="AE176" s="80"/>
      <c r="AF176" s="80"/>
      <c r="AG176" s="80"/>
      <c r="AH176" s="80"/>
      <c r="AI176" s="80"/>
      <c r="AJ176" s="80" t="s">
        <v>3202</v>
      </c>
      <c r="AK176" s="85" t="str">
        <f>HYPERLINK("https://yt3.ggpht.com/ytc/AKedOLT-EGCdJrLSsGkFdQDrfzTEblz67QvhnssPXA=s88-c-k-c0x00ffffff-no-rj")</f>
        <v>https://yt3.ggpht.com/ytc/AKedOLT-EGCdJrLSsGkFdQDrfzTEblz67QvhnssPXA=s88-c-k-c0x00ffffff-no-rj</v>
      </c>
      <c r="AL176" s="80">
        <v>0</v>
      </c>
      <c r="AM176" s="80">
        <v>0</v>
      </c>
      <c r="AN176" s="80">
        <v>2</v>
      </c>
      <c r="AO176" s="80" t="b">
        <v>0</v>
      </c>
      <c r="AP176" s="80">
        <v>0</v>
      </c>
      <c r="AQ176" s="80"/>
      <c r="AR176" s="80"/>
      <c r="AS176" s="80" t="s">
        <v>3412</v>
      </c>
      <c r="AT176" s="85" t="str">
        <f>HYPERLINK("https://www.youtube.com/channel/UC3novV_JXrsNhBjA8lF8rlQ")</f>
        <v>https://www.youtube.com/channel/UC3novV_JXrsNhBjA8lF8rlQ</v>
      </c>
      <c r="AU176" s="80" t="str">
        <f>REPLACE(INDEX(GroupVertices[Group],MATCH(Vertices[[#This Row],[Vertex]],GroupVertices[Vertex],0)),1,1,"")</f>
        <v>1</v>
      </c>
      <c r="AV176" s="49">
        <v>2</v>
      </c>
      <c r="AW176" s="50">
        <v>8.333333333333334</v>
      </c>
      <c r="AX176" s="49">
        <v>0</v>
      </c>
      <c r="AY176" s="50">
        <v>0</v>
      </c>
      <c r="AZ176" s="49">
        <v>0</v>
      </c>
      <c r="BA176" s="50">
        <v>0</v>
      </c>
      <c r="BB176" s="49">
        <v>22</v>
      </c>
      <c r="BC176" s="50">
        <v>91.66666666666667</v>
      </c>
      <c r="BD176" s="49">
        <v>24</v>
      </c>
      <c r="BE176" s="49"/>
      <c r="BF176" s="49"/>
      <c r="BG176" s="49"/>
      <c r="BH176" s="49"/>
      <c r="BI176" s="49"/>
      <c r="BJ176" s="49"/>
      <c r="BK176" s="111" t="s">
        <v>4551</v>
      </c>
      <c r="BL176" s="111" t="s">
        <v>4551</v>
      </c>
      <c r="BM176" s="111" t="s">
        <v>5027</v>
      </c>
      <c r="BN176" s="111" t="s">
        <v>5027</v>
      </c>
      <c r="BO176" s="2"/>
      <c r="BP176" s="3"/>
      <c r="BQ176" s="3"/>
      <c r="BR176" s="3"/>
      <c r="BS176" s="3"/>
    </row>
    <row r="177" spans="1:71" ht="15">
      <c r="A177" s="65" t="s">
        <v>401</v>
      </c>
      <c r="B177" s="66"/>
      <c r="C177" s="66"/>
      <c r="D177" s="67">
        <v>150</v>
      </c>
      <c r="E177" s="69"/>
      <c r="F177" s="103" t="str">
        <f>HYPERLINK("https://yt3.ggpht.com/ytc/AKedOLRE1PoYfsOApc8rFAJk9K11FTfWgV1IoyQ8zuXwBHE=s88-c-k-c0x00ffffff-no-rj")</f>
        <v>https://yt3.ggpht.com/ytc/AKedOLRE1PoYfsOApc8rFAJk9K11FTfWgV1IoyQ8zuXwBHE=s88-c-k-c0x00ffffff-no-rj</v>
      </c>
      <c r="G177" s="66"/>
      <c r="H177" s="70" t="s">
        <v>1730</v>
      </c>
      <c r="I177" s="71"/>
      <c r="J177" s="71" t="s">
        <v>159</v>
      </c>
      <c r="K177" s="70" t="s">
        <v>1730</v>
      </c>
      <c r="L177" s="74">
        <v>1</v>
      </c>
      <c r="M177" s="75">
        <v>4382.96826171875</v>
      </c>
      <c r="N177" s="75">
        <v>7837.8935546875</v>
      </c>
      <c r="O177" s="76"/>
      <c r="P177" s="77"/>
      <c r="Q177" s="77"/>
      <c r="R177" s="89"/>
      <c r="S177" s="49">
        <v>1</v>
      </c>
      <c r="T177" s="49">
        <v>1</v>
      </c>
      <c r="U177" s="50">
        <v>0</v>
      </c>
      <c r="V177" s="50">
        <v>0.002597</v>
      </c>
      <c r="W177" s="50">
        <v>0.00486</v>
      </c>
      <c r="X177" s="50">
        <v>0.526148</v>
      </c>
      <c r="Y177" s="50">
        <v>0</v>
      </c>
      <c r="Z177" s="50">
        <v>1</v>
      </c>
      <c r="AA177" s="72">
        <v>177</v>
      </c>
      <c r="AB177" s="72"/>
      <c r="AC177" s="73"/>
      <c r="AD177" s="80" t="s">
        <v>1730</v>
      </c>
      <c r="AE177" s="80" t="s">
        <v>2863</v>
      </c>
      <c r="AF177" s="80"/>
      <c r="AG177" s="80"/>
      <c r="AH177" s="80"/>
      <c r="AI177" s="80"/>
      <c r="AJ177" s="87">
        <v>41193.05784722222</v>
      </c>
      <c r="AK177" s="85" t="str">
        <f>HYPERLINK("https://yt3.ggpht.com/ytc/AKedOLRE1PoYfsOApc8rFAJk9K11FTfWgV1IoyQ8zuXwBHE=s88-c-k-c0x00ffffff-no-rj")</f>
        <v>https://yt3.ggpht.com/ytc/AKedOLRE1PoYfsOApc8rFAJk9K11FTfWgV1IoyQ8zuXwBHE=s88-c-k-c0x00ffffff-no-rj</v>
      </c>
      <c r="AL177" s="80">
        <v>106116</v>
      </c>
      <c r="AM177" s="80">
        <v>0</v>
      </c>
      <c r="AN177" s="80">
        <v>1090</v>
      </c>
      <c r="AO177" s="80" t="b">
        <v>0</v>
      </c>
      <c r="AP177" s="80">
        <v>52</v>
      </c>
      <c r="AQ177" s="80"/>
      <c r="AR177" s="80"/>
      <c r="AS177" s="80" t="s">
        <v>3412</v>
      </c>
      <c r="AT177" s="85" t="str">
        <f>HYPERLINK("https://www.youtube.com/channel/UCw7KE_bnWCU7Ax0rglxmTYw")</f>
        <v>https://www.youtube.com/channel/UCw7KE_bnWCU7Ax0rglxmTYw</v>
      </c>
      <c r="AU177" s="80" t="str">
        <f>REPLACE(INDEX(GroupVertices[Group],MATCH(Vertices[[#This Row],[Vertex]],GroupVertices[Vertex],0)),1,1,"")</f>
        <v>1</v>
      </c>
      <c r="AV177" s="49">
        <v>3</v>
      </c>
      <c r="AW177" s="50">
        <v>75</v>
      </c>
      <c r="AX177" s="49">
        <v>0</v>
      </c>
      <c r="AY177" s="50">
        <v>0</v>
      </c>
      <c r="AZ177" s="49">
        <v>0</v>
      </c>
      <c r="BA177" s="50">
        <v>0</v>
      </c>
      <c r="BB177" s="49">
        <v>1</v>
      </c>
      <c r="BC177" s="50">
        <v>25</v>
      </c>
      <c r="BD177" s="49">
        <v>4</v>
      </c>
      <c r="BE177" s="49"/>
      <c r="BF177" s="49"/>
      <c r="BG177" s="49"/>
      <c r="BH177" s="49"/>
      <c r="BI177" s="49"/>
      <c r="BJ177" s="49"/>
      <c r="BK177" s="111" t="s">
        <v>4552</v>
      </c>
      <c r="BL177" s="111" t="s">
        <v>4552</v>
      </c>
      <c r="BM177" s="111" t="s">
        <v>5028</v>
      </c>
      <c r="BN177" s="111" t="s">
        <v>5028</v>
      </c>
      <c r="BO177" s="2"/>
      <c r="BP177" s="3"/>
      <c r="BQ177" s="3"/>
      <c r="BR177" s="3"/>
      <c r="BS177" s="3"/>
    </row>
    <row r="178" spans="1:71" ht="15">
      <c r="A178" s="65" t="s">
        <v>402</v>
      </c>
      <c r="B178" s="66"/>
      <c r="C178" s="66"/>
      <c r="D178" s="67">
        <v>150</v>
      </c>
      <c r="E178" s="69"/>
      <c r="F178" s="103" t="str">
        <f>HYPERLINK("https://yt3.ggpht.com/ytc/AKedOLTCSETG3cq_HQcrA_McDhJKJGrBZjcOr7FNa9UQRg=s88-c-k-c0x00ffffff-no-rj")</f>
        <v>https://yt3.ggpht.com/ytc/AKedOLTCSETG3cq_HQcrA_McDhJKJGrBZjcOr7FNa9UQRg=s88-c-k-c0x00ffffff-no-rj</v>
      </c>
      <c r="G178" s="66"/>
      <c r="H178" s="70" t="s">
        <v>1731</v>
      </c>
      <c r="I178" s="71"/>
      <c r="J178" s="71" t="s">
        <v>159</v>
      </c>
      <c r="K178" s="70" t="s">
        <v>1731</v>
      </c>
      <c r="L178" s="74">
        <v>1</v>
      </c>
      <c r="M178" s="75">
        <v>8585.685546875</v>
      </c>
      <c r="N178" s="75">
        <v>7551.03466796875</v>
      </c>
      <c r="O178" s="76"/>
      <c r="P178" s="77"/>
      <c r="Q178" s="77"/>
      <c r="R178" s="89"/>
      <c r="S178" s="49">
        <v>2</v>
      </c>
      <c r="T178" s="49">
        <v>2</v>
      </c>
      <c r="U178" s="50">
        <v>0</v>
      </c>
      <c r="V178" s="50">
        <v>0.002597</v>
      </c>
      <c r="W178" s="50">
        <v>0.005224</v>
      </c>
      <c r="X178" s="50">
        <v>0.915039</v>
      </c>
      <c r="Y178" s="50">
        <v>0</v>
      </c>
      <c r="Z178" s="50">
        <v>1</v>
      </c>
      <c r="AA178" s="72">
        <v>178</v>
      </c>
      <c r="AB178" s="72"/>
      <c r="AC178" s="73"/>
      <c r="AD178" s="80" t="s">
        <v>1731</v>
      </c>
      <c r="AE178" s="80"/>
      <c r="AF178" s="80"/>
      <c r="AG178" s="80"/>
      <c r="AH178" s="80"/>
      <c r="AI178" s="80"/>
      <c r="AJ178" s="87">
        <v>41314.891597222224</v>
      </c>
      <c r="AK178" s="85" t="str">
        <f>HYPERLINK("https://yt3.ggpht.com/ytc/AKedOLTCSETG3cq_HQcrA_McDhJKJGrBZjcOr7FNa9UQRg=s88-c-k-c0x00ffffff-no-rj")</f>
        <v>https://yt3.ggpht.com/ytc/AKedOLTCSETG3cq_HQcrA_McDhJKJGrBZjcOr7FNa9UQRg=s88-c-k-c0x00ffffff-no-rj</v>
      </c>
      <c r="AL178" s="80">
        <v>0</v>
      </c>
      <c r="AM178" s="80">
        <v>0</v>
      </c>
      <c r="AN178" s="80">
        <v>0</v>
      </c>
      <c r="AO178" s="80" t="b">
        <v>1</v>
      </c>
      <c r="AP178" s="80">
        <v>0</v>
      </c>
      <c r="AQ178" s="80"/>
      <c r="AR178" s="80"/>
      <c r="AS178" s="80" t="s">
        <v>3412</v>
      </c>
      <c r="AT178" s="85" t="str">
        <f>HYPERLINK("https://www.youtube.com/channel/UCuEDulggvlV91U-c0w9pCzg")</f>
        <v>https://www.youtube.com/channel/UCuEDulggvlV91U-c0w9pCzg</v>
      </c>
      <c r="AU178" s="80" t="str">
        <f>REPLACE(INDEX(GroupVertices[Group],MATCH(Vertices[[#This Row],[Vertex]],GroupVertices[Vertex],0)),1,1,"")</f>
        <v>1</v>
      </c>
      <c r="AV178" s="49">
        <v>2</v>
      </c>
      <c r="AW178" s="50">
        <v>10.526315789473685</v>
      </c>
      <c r="AX178" s="49">
        <v>0</v>
      </c>
      <c r="AY178" s="50">
        <v>0</v>
      </c>
      <c r="AZ178" s="49">
        <v>0</v>
      </c>
      <c r="BA178" s="50">
        <v>0</v>
      </c>
      <c r="BB178" s="49">
        <v>17</v>
      </c>
      <c r="BC178" s="50">
        <v>89.47368421052632</v>
      </c>
      <c r="BD178" s="49">
        <v>19</v>
      </c>
      <c r="BE178" s="49"/>
      <c r="BF178" s="49"/>
      <c r="BG178" s="49"/>
      <c r="BH178" s="49"/>
      <c r="BI178" s="49"/>
      <c r="BJ178" s="49"/>
      <c r="BK178" s="111" t="s">
        <v>4553</v>
      </c>
      <c r="BL178" s="111" t="s">
        <v>4553</v>
      </c>
      <c r="BM178" s="111" t="s">
        <v>5029</v>
      </c>
      <c r="BN178" s="111" t="s">
        <v>5029</v>
      </c>
      <c r="BO178" s="2"/>
      <c r="BP178" s="3"/>
      <c r="BQ178" s="3"/>
      <c r="BR178" s="3"/>
      <c r="BS178" s="3"/>
    </row>
    <row r="179" spans="1:71" ht="15">
      <c r="A179" s="65" t="s">
        <v>403</v>
      </c>
      <c r="B179" s="66"/>
      <c r="C179" s="66"/>
      <c r="D179" s="67">
        <v>150</v>
      </c>
      <c r="E179" s="69"/>
      <c r="F179" s="103" t="str">
        <f>HYPERLINK("https://yt3.ggpht.com/ytc/AKedOLQ7yqRY63QASSQBOozyKrf24iGBXVdYp765nw=s88-c-k-c0x00ffffff-no-rj")</f>
        <v>https://yt3.ggpht.com/ytc/AKedOLQ7yqRY63QASSQBOozyKrf24iGBXVdYp765nw=s88-c-k-c0x00ffffff-no-rj</v>
      </c>
      <c r="G179" s="66"/>
      <c r="H179" s="70" t="s">
        <v>1732</v>
      </c>
      <c r="I179" s="71"/>
      <c r="J179" s="71" t="s">
        <v>159</v>
      </c>
      <c r="K179" s="70" t="s">
        <v>1732</v>
      </c>
      <c r="L179" s="74">
        <v>1</v>
      </c>
      <c r="M179" s="75">
        <v>4939.78466796875</v>
      </c>
      <c r="N179" s="75">
        <v>9209.3525390625</v>
      </c>
      <c r="O179" s="76"/>
      <c r="P179" s="77"/>
      <c r="Q179" s="77"/>
      <c r="R179" s="89"/>
      <c r="S179" s="49">
        <v>1</v>
      </c>
      <c r="T179" s="49">
        <v>1</v>
      </c>
      <c r="U179" s="50">
        <v>0</v>
      </c>
      <c r="V179" s="50">
        <v>0.002597</v>
      </c>
      <c r="W179" s="50">
        <v>0.00486</v>
      </c>
      <c r="X179" s="50">
        <v>0.526148</v>
      </c>
      <c r="Y179" s="50">
        <v>0</v>
      </c>
      <c r="Z179" s="50">
        <v>1</v>
      </c>
      <c r="AA179" s="72">
        <v>179</v>
      </c>
      <c r="AB179" s="72"/>
      <c r="AC179" s="73"/>
      <c r="AD179" s="80" t="s">
        <v>1732</v>
      </c>
      <c r="AE179" s="80"/>
      <c r="AF179" s="80"/>
      <c r="AG179" s="80"/>
      <c r="AH179" s="80"/>
      <c r="AI179" s="80"/>
      <c r="AJ179" s="87">
        <v>40188.9383912037</v>
      </c>
      <c r="AK179" s="85" t="str">
        <f>HYPERLINK("https://yt3.ggpht.com/ytc/AKedOLQ7yqRY63QASSQBOozyKrf24iGBXVdYp765nw=s88-c-k-c0x00ffffff-no-rj")</f>
        <v>https://yt3.ggpht.com/ytc/AKedOLQ7yqRY63QASSQBOozyKrf24iGBXVdYp765nw=s88-c-k-c0x00ffffff-no-rj</v>
      </c>
      <c r="AL179" s="80">
        <v>0</v>
      </c>
      <c r="AM179" s="80">
        <v>0</v>
      </c>
      <c r="AN179" s="80">
        <v>1</v>
      </c>
      <c r="AO179" s="80" t="b">
        <v>0</v>
      </c>
      <c r="AP179" s="80">
        <v>0</v>
      </c>
      <c r="AQ179" s="80"/>
      <c r="AR179" s="80"/>
      <c r="AS179" s="80" t="s">
        <v>3412</v>
      </c>
      <c r="AT179" s="85" t="str">
        <f>HYPERLINK("https://www.youtube.com/channel/UCQE1mw-rq5UI9dyIB6klLtg")</f>
        <v>https://www.youtube.com/channel/UCQE1mw-rq5UI9dyIB6klLtg</v>
      </c>
      <c r="AU179" s="80" t="str">
        <f>REPLACE(INDEX(GroupVertices[Group],MATCH(Vertices[[#This Row],[Vertex]],GroupVertices[Vertex],0)),1,1,"")</f>
        <v>1</v>
      </c>
      <c r="AV179" s="49">
        <v>0</v>
      </c>
      <c r="AW179" s="50">
        <v>0</v>
      </c>
      <c r="AX179" s="49">
        <v>0</v>
      </c>
      <c r="AY179" s="50">
        <v>0</v>
      </c>
      <c r="AZ179" s="49">
        <v>0</v>
      </c>
      <c r="BA179" s="50">
        <v>0</v>
      </c>
      <c r="BB179" s="49">
        <v>8</v>
      </c>
      <c r="BC179" s="50">
        <v>100</v>
      </c>
      <c r="BD179" s="49">
        <v>8</v>
      </c>
      <c r="BE179" s="49"/>
      <c r="BF179" s="49"/>
      <c r="BG179" s="49"/>
      <c r="BH179" s="49"/>
      <c r="BI179" s="49"/>
      <c r="BJ179" s="49"/>
      <c r="BK179" s="111" t="s">
        <v>4554</v>
      </c>
      <c r="BL179" s="111" t="s">
        <v>4554</v>
      </c>
      <c r="BM179" s="111" t="s">
        <v>5030</v>
      </c>
      <c r="BN179" s="111" t="s">
        <v>5030</v>
      </c>
      <c r="BO179" s="2"/>
      <c r="BP179" s="3"/>
      <c r="BQ179" s="3"/>
      <c r="BR179" s="3"/>
      <c r="BS179" s="3"/>
    </row>
    <row r="180" spans="1:71" ht="15">
      <c r="A180" s="65" t="s">
        <v>404</v>
      </c>
      <c r="B180" s="66"/>
      <c r="C180" s="66"/>
      <c r="D180" s="67">
        <v>150</v>
      </c>
      <c r="E180" s="69"/>
      <c r="F180" s="103" t="str">
        <f>HYPERLINK("https://yt3.ggpht.com/ytc/AKedOLRWVxmiNZOcLs2cUVLe4rngpwcwXe8vAn5krfc9Tg=s88-c-k-c0x00ffffff-no-rj")</f>
        <v>https://yt3.ggpht.com/ytc/AKedOLRWVxmiNZOcLs2cUVLe4rngpwcwXe8vAn5krfc9Tg=s88-c-k-c0x00ffffff-no-rj</v>
      </c>
      <c r="G180" s="66"/>
      <c r="H180" s="70" t="s">
        <v>1733</v>
      </c>
      <c r="I180" s="71"/>
      <c r="J180" s="71" t="s">
        <v>159</v>
      </c>
      <c r="K180" s="70" t="s">
        <v>1733</v>
      </c>
      <c r="L180" s="74">
        <v>1</v>
      </c>
      <c r="M180" s="75">
        <v>6951.0185546875</v>
      </c>
      <c r="N180" s="75">
        <v>8570.734375</v>
      </c>
      <c r="O180" s="76"/>
      <c r="P180" s="77"/>
      <c r="Q180" s="77"/>
      <c r="R180" s="89"/>
      <c r="S180" s="49">
        <v>1</v>
      </c>
      <c r="T180" s="49">
        <v>1</v>
      </c>
      <c r="U180" s="50">
        <v>0</v>
      </c>
      <c r="V180" s="50">
        <v>0.002597</v>
      </c>
      <c r="W180" s="50">
        <v>0.00486</v>
      </c>
      <c r="X180" s="50">
        <v>0.526148</v>
      </c>
      <c r="Y180" s="50">
        <v>0</v>
      </c>
      <c r="Z180" s="50">
        <v>1</v>
      </c>
      <c r="AA180" s="72">
        <v>180</v>
      </c>
      <c r="AB180" s="72"/>
      <c r="AC180" s="73"/>
      <c r="AD180" s="80" t="s">
        <v>1733</v>
      </c>
      <c r="AE180" s="80"/>
      <c r="AF180" s="80"/>
      <c r="AG180" s="80"/>
      <c r="AH180" s="80"/>
      <c r="AI180" s="80"/>
      <c r="AJ180" s="87">
        <v>42192.485925925925</v>
      </c>
      <c r="AK180" s="85" t="str">
        <f>HYPERLINK("https://yt3.ggpht.com/ytc/AKedOLRWVxmiNZOcLs2cUVLe4rngpwcwXe8vAn5krfc9Tg=s88-c-k-c0x00ffffff-no-rj")</f>
        <v>https://yt3.ggpht.com/ytc/AKedOLRWVxmiNZOcLs2cUVLe4rngpwcwXe8vAn5krfc9Tg=s88-c-k-c0x00ffffff-no-rj</v>
      </c>
      <c r="AL180" s="80">
        <v>0</v>
      </c>
      <c r="AM180" s="80">
        <v>0</v>
      </c>
      <c r="AN180" s="80">
        <v>17</v>
      </c>
      <c r="AO180" s="80" t="b">
        <v>0</v>
      </c>
      <c r="AP180" s="80">
        <v>0</v>
      </c>
      <c r="AQ180" s="80"/>
      <c r="AR180" s="80"/>
      <c r="AS180" s="80" t="s">
        <v>3412</v>
      </c>
      <c r="AT180" s="85" t="str">
        <f>HYPERLINK("https://www.youtube.com/channel/UC6KdutTO5KbpvRWwbYKg7Ag")</f>
        <v>https://www.youtube.com/channel/UC6KdutTO5KbpvRWwbYKg7Ag</v>
      </c>
      <c r="AU180" s="80" t="str">
        <f>REPLACE(INDEX(GroupVertices[Group],MATCH(Vertices[[#This Row],[Vertex]],GroupVertices[Vertex],0)),1,1,"")</f>
        <v>1</v>
      </c>
      <c r="AV180" s="49">
        <v>1</v>
      </c>
      <c r="AW180" s="50">
        <v>11.11111111111111</v>
      </c>
      <c r="AX180" s="49">
        <v>0</v>
      </c>
      <c r="AY180" s="50">
        <v>0</v>
      </c>
      <c r="AZ180" s="49">
        <v>0</v>
      </c>
      <c r="BA180" s="50">
        <v>0</v>
      </c>
      <c r="BB180" s="49">
        <v>8</v>
      </c>
      <c r="BC180" s="50">
        <v>88.88888888888889</v>
      </c>
      <c r="BD180" s="49">
        <v>9</v>
      </c>
      <c r="BE180" s="49"/>
      <c r="BF180" s="49"/>
      <c r="BG180" s="49"/>
      <c r="BH180" s="49"/>
      <c r="BI180" s="49"/>
      <c r="BJ180" s="49"/>
      <c r="BK180" s="111" t="s">
        <v>4555</v>
      </c>
      <c r="BL180" s="111" t="s">
        <v>4555</v>
      </c>
      <c r="BM180" s="111" t="s">
        <v>5031</v>
      </c>
      <c r="BN180" s="111" t="s">
        <v>5031</v>
      </c>
      <c r="BO180" s="2"/>
      <c r="BP180" s="3"/>
      <c r="BQ180" s="3"/>
      <c r="BR180" s="3"/>
      <c r="BS180" s="3"/>
    </row>
    <row r="181" spans="1:71" ht="15">
      <c r="A181" s="65" t="s">
        <v>405</v>
      </c>
      <c r="B181" s="66"/>
      <c r="C181" s="66"/>
      <c r="D181" s="67">
        <v>150</v>
      </c>
      <c r="E181" s="69"/>
      <c r="F181" s="103" t="str">
        <f>HYPERLINK("https://yt3.ggpht.com/ytc/AKedOLTul1uJaX_DOG_W4Gc3gsVj5FCJZdinsOf7yG91cdo=s88-c-k-c0x00ffffff-no-rj")</f>
        <v>https://yt3.ggpht.com/ytc/AKedOLTul1uJaX_DOG_W4Gc3gsVj5FCJZdinsOf7yG91cdo=s88-c-k-c0x00ffffff-no-rj</v>
      </c>
      <c r="G181" s="66"/>
      <c r="H181" s="70" t="s">
        <v>1734</v>
      </c>
      <c r="I181" s="71"/>
      <c r="J181" s="71" t="s">
        <v>159</v>
      </c>
      <c r="K181" s="70" t="s">
        <v>1734</v>
      </c>
      <c r="L181" s="74">
        <v>1</v>
      </c>
      <c r="M181" s="75">
        <v>4644.1669921875</v>
      </c>
      <c r="N181" s="75">
        <v>9047.173828125</v>
      </c>
      <c r="O181" s="76"/>
      <c r="P181" s="77"/>
      <c r="Q181" s="77"/>
      <c r="R181" s="89"/>
      <c r="S181" s="49">
        <v>1</v>
      </c>
      <c r="T181" s="49">
        <v>1</v>
      </c>
      <c r="U181" s="50">
        <v>0</v>
      </c>
      <c r="V181" s="50">
        <v>0.002597</v>
      </c>
      <c r="W181" s="50">
        <v>0.00486</v>
      </c>
      <c r="X181" s="50">
        <v>0.526148</v>
      </c>
      <c r="Y181" s="50">
        <v>0</v>
      </c>
      <c r="Z181" s="50">
        <v>1</v>
      </c>
      <c r="AA181" s="72">
        <v>181</v>
      </c>
      <c r="AB181" s="72"/>
      <c r="AC181" s="73"/>
      <c r="AD181" s="80" t="s">
        <v>1734</v>
      </c>
      <c r="AE181" s="80"/>
      <c r="AF181" s="80"/>
      <c r="AG181" s="80"/>
      <c r="AH181" s="80"/>
      <c r="AI181" s="80"/>
      <c r="AJ181" s="80" t="s">
        <v>3203</v>
      </c>
      <c r="AK181" s="85" t="str">
        <f>HYPERLINK("https://yt3.ggpht.com/ytc/AKedOLTul1uJaX_DOG_W4Gc3gsVj5FCJZdinsOf7yG91cdo=s88-c-k-c0x00ffffff-no-rj")</f>
        <v>https://yt3.ggpht.com/ytc/AKedOLTul1uJaX_DOG_W4Gc3gsVj5FCJZdinsOf7yG91cdo=s88-c-k-c0x00ffffff-no-rj</v>
      </c>
      <c r="AL181" s="80">
        <v>0</v>
      </c>
      <c r="AM181" s="80">
        <v>0</v>
      </c>
      <c r="AN181" s="80">
        <v>0</v>
      </c>
      <c r="AO181" s="80" t="b">
        <v>1</v>
      </c>
      <c r="AP181" s="80">
        <v>0</v>
      </c>
      <c r="AQ181" s="80"/>
      <c r="AR181" s="80"/>
      <c r="AS181" s="80" t="s">
        <v>3412</v>
      </c>
      <c r="AT181" s="85" t="str">
        <f>HYPERLINK("https://www.youtube.com/channel/UCYjfdF0L_mjxIK_zIQdurhA")</f>
        <v>https://www.youtube.com/channel/UCYjfdF0L_mjxIK_zIQdurhA</v>
      </c>
      <c r="AU181" s="80" t="str">
        <f>REPLACE(INDEX(GroupVertices[Group],MATCH(Vertices[[#This Row],[Vertex]],GroupVertices[Vertex],0)),1,1,"")</f>
        <v>1</v>
      </c>
      <c r="AV181" s="49">
        <v>1</v>
      </c>
      <c r="AW181" s="50">
        <v>25</v>
      </c>
      <c r="AX181" s="49">
        <v>0</v>
      </c>
      <c r="AY181" s="50">
        <v>0</v>
      </c>
      <c r="AZ181" s="49">
        <v>0</v>
      </c>
      <c r="BA181" s="50">
        <v>0</v>
      </c>
      <c r="BB181" s="49">
        <v>3</v>
      </c>
      <c r="BC181" s="50">
        <v>75</v>
      </c>
      <c r="BD181" s="49">
        <v>4</v>
      </c>
      <c r="BE181" s="49"/>
      <c r="BF181" s="49"/>
      <c r="BG181" s="49"/>
      <c r="BH181" s="49"/>
      <c r="BI181" s="49"/>
      <c r="BJ181" s="49"/>
      <c r="BK181" s="111" t="s">
        <v>3465</v>
      </c>
      <c r="BL181" s="111" t="s">
        <v>3465</v>
      </c>
      <c r="BM181" s="111" t="s">
        <v>2782</v>
      </c>
      <c r="BN181" s="111" t="s">
        <v>2782</v>
      </c>
      <c r="BO181" s="2"/>
      <c r="BP181" s="3"/>
      <c r="BQ181" s="3"/>
      <c r="BR181" s="3"/>
      <c r="BS181" s="3"/>
    </row>
    <row r="182" spans="1:71" ht="15">
      <c r="A182" s="65" t="s">
        <v>406</v>
      </c>
      <c r="B182" s="66"/>
      <c r="C182" s="66"/>
      <c r="D182" s="67">
        <v>150</v>
      </c>
      <c r="E182" s="69"/>
      <c r="F182" s="103" t="str">
        <f>HYPERLINK("https://yt3.ggpht.com/ytc/AKedOLSwevwhF1QFKasznAQbd25C02JZm4dlgnCGgXX5=s88-c-k-c0x00ffffff-no-rj")</f>
        <v>https://yt3.ggpht.com/ytc/AKedOLSwevwhF1QFKasznAQbd25C02JZm4dlgnCGgXX5=s88-c-k-c0x00ffffff-no-rj</v>
      </c>
      <c r="G182" s="66"/>
      <c r="H182" s="70" t="s">
        <v>1735</v>
      </c>
      <c r="I182" s="71"/>
      <c r="J182" s="71" t="s">
        <v>159</v>
      </c>
      <c r="K182" s="70" t="s">
        <v>1735</v>
      </c>
      <c r="L182" s="74">
        <v>1</v>
      </c>
      <c r="M182" s="75">
        <v>6764.10400390625</v>
      </c>
      <c r="N182" s="75">
        <v>7950.63037109375</v>
      </c>
      <c r="O182" s="76"/>
      <c r="P182" s="77"/>
      <c r="Q182" s="77"/>
      <c r="R182" s="89"/>
      <c r="S182" s="49">
        <v>1</v>
      </c>
      <c r="T182" s="49">
        <v>1</v>
      </c>
      <c r="U182" s="50">
        <v>0</v>
      </c>
      <c r="V182" s="50">
        <v>0.002597</v>
      </c>
      <c r="W182" s="50">
        <v>0.00486</v>
      </c>
      <c r="X182" s="50">
        <v>0.526148</v>
      </c>
      <c r="Y182" s="50">
        <v>0</v>
      </c>
      <c r="Z182" s="50">
        <v>1</v>
      </c>
      <c r="AA182" s="72">
        <v>182</v>
      </c>
      <c r="AB182" s="72"/>
      <c r="AC182" s="73"/>
      <c r="AD182" s="80" t="s">
        <v>1735</v>
      </c>
      <c r="AE182" s="80"/>
      <c r="AF182" s="80"/>
      <c r="AG182" s="80"/>
      <c r="AH182" s="80"/>
      <c r="AI182" s="80"/>
      <c r="AJ182" s="80" t="s">
        <v>3204</v>
      </c>
      <c r="AK182" s="85" t="str">
        <f>HYPERLINK("https://yt3.ggpht.com/ytc/AKedOLSwevwhF1QFKasznAQbd25C02JZm4dlgnCGgXX5=s88-c-k-c0x00ffffff-no-rj")</f>
        <v>https://yt3.ggpht.com/ytc/AKedOLSwevwhF1QFKasznAQbd25C02JZm4dlgnCGgXX5=s88-c-k-c0x00ffffff-no-rj</v>
      </c>
      <c r="AL182" s="80">
        <v>0</v>
      </c>
      <c r="AM182" s="80">
        <v>0</v>
      </c>
      <c r="AN182" s="80">
        <v>0</v>
      </c>
      <c r="AO182" s="80" t="b">
        <v>0</v>
      </c>
      <c r="AP182" s="80">
        <v>0</v>
      </c>
      <c r="AQ182" s="80"/>
      <c r="AR182" s="80"/>
      <c r="AS182" s="80" t="s">
        <v>3412</v>
      </c>
      <c r="AT182" s="85" t="str">
        <f>HYPERLINK("https://www.youtube.com/channel/UCuBQNGcpjZ71xJP-0E5Sx0g")</f>
        <v>https://www.youtube.com/channel/UCuBQNGcpjZ71xJP-0E5Sx0g</v>
      </c>
      <c r="AU182" s="80" t="str">
        <f>REPLACE(INDEX(GroupVertices[Group],MATCH(Vertices[[#This Row],[Vertex]],GroupVertices[Vertex],0)),1,1,"")</f>
        <v>1</v>
      </c>
      <c r="AV182" s="49">
        <v>2</v>
      </c>
      <c r="AW182" s="50">
        <v>33.333333333333336</v>
      </c>
      <c r="AX182" s="49">
        <v>0</v>
      </c>
      <c r="AY182" s="50">
        <v>0</v>
      </c>
      <c r="AZ182" s="49">
        <v>0</v>
      </c>
      <c r="BA182" s="50">
        <v>0</v>
      </c>
      <c r="BB182" s="49">
        <v>4</v>
      </c>
      <c r="BC182" s="50">
        <v>66.66666666666667</v>
      </c>
      <c r="BD182" s="49">
        <v>6</v>
      </c>
      <c r="BE182" s="49"/>
      <c r="BF182" s="49"/>
      <c r="BG182" s="49"/>
      <c r="BH182" s="49"/>
      <c r="BI182" s="49"/>
      <c r="BJ182" s="49"/>
      <c r="BK182" s="111" t="s">
        <v>4556</v>
      </c>
      <c r="BL182" s="111" t="s">
        <v>4556</v>
      </c>
      <c r="BM182" s="111" t="s">
        <v>5032</v>
      </c>
      <c r="BN182" s="111" t="s">
        <v>5032</v>
      </c>
      <c r="BO182" s="2"/>
      <c r="BP182" s="3"/>
      <c r="BQ182" s="3"/>
      <c r="BR182" s="3"/>
      <c r="BS182" s="3"/>
    </row>
    <row r="183" spans="1:71" ht="15">
      <c r="A183" s="65" t="s">
        <v>407</v>
      </c>
      <c r="B183" s="66"/>
      <c r="C183" s="66"/>
      <c r="D183" s="67">
        <v>150</v>
      </c>
      <c r="E183" s="69"/>
      <c r="F183" s="103" t="str">
        <f>HYPERLINK("https://yt3.ggpht.com/ytc/AKedOLSBuyhAK3HkcDIfrsbrLoAfXV6RFJ5GHXQqKwzJiw=s88-c-k-c0x00ffffff-no-rj")</f>
        <v>https://yt3.ggpht.com/ytc/AKedOLSBuyhAK3HkcDIfrsbrLoAfXV6RFJ5GHXQqKwzJiw=s88-c-k-c0x00ffffff-no-rj</v>
      </c>
      <c r="G183" s="66"/>
      <c r="H183" s="70" t="s">
        <v>1736</v>
      </c>
      <c r="I183" s="71"/>
      <c r="J183" s="71" t="s">
        <v>159</v>
      </c>
      <c r="K183" s="70" t="s">
        <v>1736</v>
      </c>
      <c r="L183" s="74">
        <v>1</v>
      </c>
      <c r="M183" s="75">
        <v>5810.02197265625</v>
      </c>
      <c r="N183" s="75">
        <v>9399.3515625</v>
      </c>
      <c r="O183" s="76"/>
      <c r="P183" s="77"/>
      <c r="Q183" s="77"/>
      <c r="R183" s="89"/>
      <c r="S183" s="49">
        <v>0</v>
      </c>
      <c r="T183" s="49">
        <v>1</v>
      </c>
      <c r="U183" s="50">
        <v>0</v>
      </c>
      <c r="V183" s="50">
        <v>0.002597</v>
      </c>
      <c r="W183" s="50">
        <v>0.00486</v>
      </c>
      <c r="X183" s="50">
        <v>0.526148</v>
      </c>
      <c r="Y183" s="50">
        <v>0</v>
      </c>
      <c r="Z183" s="50">
        <v>0</v>
      </c>
      <c r="AA183" s="72">
        <v>183</v>
      </c>
      <c r="AB183" s="72"/>
      <c r="AC183" s="73"/>
      <c r="AD183" s="80" t="s">
        <v>1736</v>
      </c>
      <c r="AE183" s="80" t="s">
        <v>2864</v>
      </c>
      <c r="AF183" s="80"/>
      <c r="AG183" s="80"/>
      <c r="AH183" s="80"/>
      <c r="AI183" s="80"/>
      <c r="AJ183" s="87">
        <v>40705.546585648146</v>
      </c>
      <c r="AK183" s="85" t="str">
        <f>HYPERLINK("https://yt3.ggpht.com/ytc/AKedOLSBuyhAK3HkcDIfrsbrLoAfXV6RFJ5GHXQqKwzJiw=s88-c-k-c0x00ffffff-no-rj")</f>
        <v>https://yt3.ggpht.com/ytc/AKedOLSBuyhAK3HkcDIfrsbrLoAfXV6RFJ5GHXQqKwzJiw=s88-c-k-c0x00ffffff-no-rj</v>
      </c>
      <c r="AL183" s="80">
        <v>1947</v>
      </c>
      <c r="AM183" s="80">
        <v>0</v>
      </c>
      <c r="AN183" s="80">
        <v>3</v>
      </c>
      <c r="AO183" s="80" t="b">
        <v>0</v>
      </c>
      <c r="AP183" s="80">
        <v>11</v>
      </c>
      <c r="AQ183" s="80"/>
      <c r="AR183" s="80"/>
      <c r="AS183" s="80" t="s">
        <v>3412</v>
      </c>
      <c r="AT183" s="85" t="str">
        <f>HYPERLINK("https://www.youtube.com/channel/UCXEkJLv-N3HPqDf7IRuD2Bw")</f>
        <v>https://www.youtube.com/channel/UCXEkJLv-N3HPqDf7IRuD2Bw</v>
      </c>
      <c r="AU183" s="80" t="str">
        <f>REPLACE(INDEX(GroupVertices[Group],MATCH(Vertices[[#This Row],[Vertex]],GroupVertices[Vertex],0)),1,1,"")</f>
        <v>1</v>
      </c>
      <c r="AV183" s="49">
        <v>5</v>
      </c>
      <c r="AW183" s="50">
        <v>11.904761904761905</v>
      </c>
      <c r="AX183" s="49">
        <v>0</v>
      </c>
      <c r="AY183" s="50">
        <v>0</v>
      </c>
      <c r="AZ183" s="49">
        <v>0</v>
      </c>
      <c r="BA183" s="50">
        <v>0</v>
      </c>
      <c r="BB183" s="49">
        <v>37</v>
      </c>
      <c r="BC183" s="50">
        <v>88.0952380952381</v>
      </c>
      <c r="BD183" s="49">
        <v>42</v>
      </c>
      <c r="BE183" s="49"/>
      <c r="BF183" s="49"/>
      <c r="BG183" s="49"/>
      <c r="BH183" s="49"/>
      <c r="BI183" s="49"/>
      <c r="BJ183" s="49"/>
      <c r="BK183" s="111" t="s">
        <v>4557</v>
      </c>
      <c r="BL183" s="111" t="s">
        <v>4557</v>
      </c>
      <c r="BM183" s="111" t="s">
        <v>5033</v>
      </c>
      <c r="BN183" s="111" t="s">
        <v>5033</v>
      </c>
      <c r="BO183" s="2"/>
      <c r="BP183" s="3"/>
      <c r="BQ183" s="3"/>
      <c r="BR183" s="3"/>
      <c r="BS183" s="3"/>
    </row>
    <row r="184" spans="1:71" ht="15">
      <c r="A184" s="65" t="s">
        <v>408</v>
      </c>
      <c r="B184" s="66"/>
      <c r="C184" s="66"/>
      <c r="D184" s="67">
        <v>150</v>
      </c>
      <c r="E184" s="69"/>
      <c r="F184" s="103" t="str">
        <f>HYPERLINK("https://yt3.ggpht.com/ytc/AKedOLS3E4W9BL2N59bvVWqBgmuVs_RyeAOjCIauBhzM=s88-c-k-c0x00ffffff-no-rj")</f>
        <v>https://yt3.ggpht.com/ytc/AKedOLS3E4W9BL2N59bvVWqBgmuVs_RyeAOjCIauBhzM=s88-c-k-c0x00ffffff-no-rj</v>
      </c>
      <c r="G184" s="66"/>
      <c r="H184" s="70" t="s">
        <v>1737</v>
      </c>
      <c r="I184" s="71"/>
      <c r="J184" s="71" t="s">
        <v>159</v>
      </c>
      <c r="K184" s="70" t="s">
        <v>1737</v>
      </c>
      <c r="L184" s="74">
        <v>1</v>
      </c>
      <c r="M184" s="75">
        <v>3692.58349609375</v>
      </c>
      <c r="N184" s="75">
        <v>7628.23388671875</v>
      </c>
      <c r="O184" s="76"/>
      <c r="P184" s="77"/>
      <c r="Q184" s="77"/>
      <c r="R184" s="89"/>
      <c r="S184" s="49">
        <v>1</v>
      </c>
      <c r="T184" s="49">
        <v>1</v>
      </c>
      <c r="U184" s="50">
        <v>0</v>
      </c>
      <c r="V184" s="50">
        <v>0.002597</v>
      </c>
      <c r="W184" s="50">
        <v>0.00486</v>
      </c>
      <c r="X184" s="50">
        <v>0.526148</v>
      </c>
      <c r="Y184" s="50">
        <v>0</v>
      </c>
      <c r="Z184" s="50">
        <v>1</v>
      </c>
      <c r="AA184" s="72">
        <v>184</v>
      </c>
      <c r="AB184" s="72"/>
      <c r="AC184" s="73"/>
      <c r="AD184" s="80" t="s">
        <v>1737</v>
      </c>
      <c r="AE184" s="80" t="s">
        <v>2865</v>
      </c>
      <c r="AF184" s="80"/>
      <c r="AG184" s="80"/>
      <c r="AH184" s="80"/>
      <c r="AI184" s="80"/>
      <c r="AJ184" s="87">
        <v>42462.04672453704</v>
      </c>
      <c r="AK184" s="85" t="str">
        <f>HYPERLINK("https://yt3.ggpht.com/ytc/AKedOLS3E4W9BL2N59bvVWqBgmuVs_RyeAOjCIauBhzM=s88-c-k-c0x00ffffff-no-rj")</f>
        <v>https://yt3.ggpht.com/ytc/AKedOLS3E4W9BL2N59bvVWqBgmuVs_RyeAOjCIauBhzM=s88-c-k-c0x00ffffff-no-rj</v>
      </c>
      <c r="AL184" s="80">
        <v>0</v>
      </c>
      <c r="AM184" s="80">
        <v>0</v>
      </c>
      <c r="AN184" s="80">
        <v>1</v>
      </c>
      <c r="AO184" s="80" t="b">
        <v>0</v>
      </c>
      <c r="AP184" s="80">
        <v>0</v>
      </c>
      <c r="AQ184" s="80"/>
      <c r="AR184" s="80"/>
      <c r="AS184" s="80" t="s">
        <v>3412</v>
      </c>
      <c r="AT184" s="85" t="str">
        <f>HYPERLINK("https://www.youtube.com/channel/UC6_Uo8QjKzEpLF_JYX_vtQA")</f>
        <v>https://www.youtube.com/channel/UC6_Uo8QjKzEpLF_JYX_vtQA</v>
      </c>
      <c r="AU184" s="80" t="str">
        <f>REPLACE(INDEX(GroupVertices[Group],MATCH(Vertices[[#This Row],[Vertex]],GroupVertices[Vertex],0)),1,1,"")</f>
        <v>1</v>
      </c>
      <c r="AV184" s="49">
        <v>0</v>
      </c>
      <c r="AW184" s="50">
        <v>0</v>
      </c>
      <c r="AX184" s="49">
        <v>0</v>
      </c>
      <c r="AY184" s="50">
        <v>0</v>
      </c>
      <c r="AZ184" s="49">
        <v>0</v>
      </c>
      <c r="BA184" s="50">
        <v>0</v>
      </c>
      <c r="BB184" s="49">
        <v>9</v>
      </c>
      <c r="BC184" s="50">
        <v>100</v>
      </c>
      <c r="BD184" s="49">
        <v>9</v>
      </c>
      <c r="BE184" s="49"/>
      <c r="BF184" s="49"/>
      <c r="BG184" s="49"/>
      <c r="BH184" s="49"/>
      <c r="BI184" s="49"/>
      <c r="BJ184" s="49"/>
      <c r="BK184" s="111" t="s">
        <v>4558</v>
      </c>
      <c r="BL184" s="111" t="s">
        <v>4558</v>
      </c>
      <c r="BM184" s="111" t="s">
        <v>5034</v>
      </c>
      <c r="BN184" s="111" t="s">
        <v>5034</v>
      </c>
      <c r="BO184" s="2"/>
      <c r="BP184" s="3"/>
      <c r="BQ184" s="3"/>
      <c r="BR184" s="3"/>
      <c r="BS184" s="3"/>
    </row>
    <row r="185" spans="1:71" ht="15">
      <c r="A185" s="65" t="s">
        <v>409</v>
      </c>
      <c r="B185" s="66"/>
      <c r="C185" s="66"/>
      <c r="D185" s="67">
        <v>150</v>
      </c>
      <c r="E185" s="69"/>
      <c r="F185" s="103" t="str">
        <f>HYPERLINK("https://yt3.ggpht.com/ytc/AKedOLSIAOmm9iEFpn0mx_bIU0_UsuGvA2csVZWu72Jtdg=s88-c-k-c0x00ffffff-no-rj")</f>
        <v>https://yt3.ggpht.com/ytc/AKedOLSIAOmm9iEFpn0mx_bIU0_UsuGvA2csVZWu72Jtdg=s88-c-k-c0x00ffffff-no-rj</v>
      </c>
      <c r="G185" s="66"/>
      <c r="H185" s="70" t="s">
        <v>1738</v>
      </c>
      <c r="I185" s="71"/>
      <c r="J185" s="71" t="s">
        <v>159</v>
      </c>
      <c r="K185" s="70" t="s">
        <v>1738</v>
      </c>
      <c r="L185" s="74">
        <v>1</v>
      </c>
      <c r="M185" s="75">
        <v>3140.729248046875</v>
      </c>
      <c r="N185" s="75">
        <v>7789.158203125</v>
      </c>
      <c r="O185" s="76"/>
      <c r="P185" s="77"/>
      <c r="Q185" s="77"/>
      <c r="R185" s="89"/>
      <c r="S185" s="49">
        <v>0</v>
      </c>
      <c r="T185" s="49">
        <v>1</v>
      </c>
      <c r="U185" s="50">
        <v>0</v>
      </c>
      <c r="V185" s="50">
        <v>0.002597</v>
      </c>
      <c r="W185" s="50">
        <v>0.00486</v>
      </c>
      <c r="X185" s="50">
        <v>0.526148</v>
      </c>
      <c r="Y185" s="50">
        <v>0</v>
      </c>
      <c r="Z185" s="50">
        <v>0</v>
      </c>
      <c r="AA185" s="72">
        <v>185</v>
      </c>
      <c r="AB185" s="72"/>
      <c r="AC185" s="73"/>
      <c r="AD185" s="80" t="s">
        <v>1738</v>
      </c>
      <c r="AE185" s="80"/>
      <c r="AF185" s="80"/>
      <c r="AG185" s="80"/>
      <c r="AH185" s="80"/>
      <c r="AI185" s="80"/>
      <c r="AJ185" s="87">
        <v>41466.89256944445</v>
      </c>
      <c r="AK185" s="85" t="str">
        <f>HYPERLINK("https://yt3.ggpht.com/ytc/AKedOLSIAOmm9iEFpn0mx_bIU0_UsuGvA2csVZWu72Jtdg=s88-c-k-c0x00ffffff-no-rj")</f>
        <v>https://yt3.ggpht.com/ytc/AKedOLSIAOmm9iEFpn0mx_bIU0_UsuGvA2csVZWu72Jtdg=s88-c-k-c0x00ffffff-no-rj</v>
      </c>
      <c r="AL185" s="80">
        <v>0</v>
      </c>
      <c r="AM185" s="80">
        <v>0</v>
      </c>
      <c r="AN185" s="80">
        <v>0</v>
      </c>
      <c r="AO185" s="80" t="b">
        <v>0</v>
      </c>
      <c r="AP185" s="80">
        <v>0</v>
      </c>
      <c r="AQ185" s="80"/>
      <c r="AR185" s="80"/>
      <c r="AS185" s="80" t="s">
        <v>3412</v>
      </c>
      <c r="AT185" s="85" t="str">
        <f>HYPERLINK("https://www.youtube.com/channel/UC_jZHGrm8gs-ZyUKcEG4o-w")</f>
        <v>https://www.youtube.com/channel/UC_jZHGrm8gs-ZyUKcEG4o-w</v>
      </c>
      <c r="AU185" s="80" t="str">
        <f>REPLACE(INDEX(GroupVertices[Group],MATCH(Vertices[[#This Row],[Vertex]],GroupVertices[Vertex],0)),1,1,"")</f>
        <v>1</v>
      </c>
      <c r="AV185" s="49">
        <v>5</v>
      </c>
      <c r="AW185" s="50">
        <v>17.24137931034483</v>
      </c>
      <c r="AX185" s="49">
        <v>1</v>
      </c>
      <c r="AY185" s="50">
        <v>3.4482758620689653</v>
      </c>
      <c r="AZ185" s="49">
        <v>0</v>
      </c>
      <c r="BA185" s="50">
        <v>0</v>
      </c>
      <c r="BB185" s="49">
        <v>23</v>
      </c>
      <c r="BC185" s="50">
        <v>79.3103448275862</v>
      </c>
      <c r="BD185" s="49">
        <v>29</v>
      </c>
      <c r="BE185" s="49"/>
      <c r="BF185" s="49"/>
      <c r="BG185" s="49"/>
      <c r="BH185" s="49"/>
      <c r="BI185" s="49"/>
      <c r="BJ185" s="49"/>
      <c r="BK185" s="111" t="s">
        <v>4559</v>
      </c>
      <c r="BL185" s="111" t="s">
        <v>4559</v>
      </c>
      <c r="BM185" s="111" t="s">
        <v>5035</v>
      </c>
      <c r="BN185" s="111" t="s">
        <v>5035</v>
      </c>
      <c r="BO185" s="2"/>
      <c r="BP185" s="3"/>
      <c r="BQ185" s="3"/>
      <c r="BR185" s="3"/>
      <c r="BS185" s="3"/>
    </row>
    <row r="186" spans="1:71" ht="15">
      <c r="A186" s="65" t="s">
        <v>410</v>
      </c>
      <c r="B186" s="66"/>
      <c r="C186" s="66"/>
      <c r="D186" s="67">
        <v>150</v>
      </c>
      <c r="E186" s="69"/>
      <c r="F186" s="103" t="str">
        <f>HYPERLINK("https://yt3.ggpht.com/ytc/AKedOLTicHCBM6aGRsLAnHIqClIpl1J1jUQV1cN4KSeLBg=s88-c-k-c0x00ffffff-no-rj")</f>
        <v>https://yt3.ggpht.com/ytc/AKedOLTicHCBM6aGRsLAnHIqClIpl1J1jUQV1cN4KSeLBg=s88-c-k-c0x00ffffff-no-rj</v>
      </c>
      <c r="G186" s="66"/>
      <c r="H186" s="70" t="s">
        <v>1739</v>
      </c>
      <c r="I186" s="71"/>
      <c r="J186" s="71" t="s">
        <v>159</v>
      </c>
      <c r="K186" s="70" t="s">
        <v>1739</v>
      </c>
      <c r="L186" s="74">
        <v>1</v>
      </c>
      <c r="M186" s="75">
        <v>8562.37890625</v>
      </c>
      <c r="N186" s="75">
        <v>9209.251953125</v>
      </c>
      <c r="O186" s="76"/>
      <c r="P186" s="77"/>
      <c r="Q186" s="77"/>
      <c r="R186" s="89"/>
      <c r="S186" s="49">
        <v>1</v>
      </c>
      <c r="T186" s="49">
        <v>1</v>
      </c>
      <c r="U186" s="50">
        <v>0</v>
      </c>
      <c r="V186" s="50">
        <v>0.002597</v>
      </c>
      <c r="W186" s="50">
        <v>0.00486</v>
      </c>
      <c r="X186" s="50">
        <v>0.526148</v>
      </c>
      <c r="Y186" s="50">
        <v>0</v>
      </c>
      <c r="Z186" s="50">
        <v>1</v>
      </c>
      <c r="AA186" s="72">
        <v>186</v>
      </c>
      <c r="AB186" s="72"/>
      <c r="AC186" s="73"/>
      <c r="AD186" s="80" t="s">
        <v>1739</v>
      </c>
      <c r="AE186" s="80"/>
      <c r="AF186" s="80"/>
      <c r="AG186" s="80"/>
      <c r="AH186" s="80"/>
      <c r="AI186" s="80"/>
      <c r="AJ186" s="87">
        <v>40946.574166666665</v>
      </c>
      <c r="AK186" s="85" t="str">
        <f>HYPERLINK("https://yt3.ggpht.com/ytc/AKedOLTicHCBM6aGRsLAnHIqClIpl1J1jUQV1cN4KSeLBg=s88-c-k-c0x00ffffff-no-rj")</f>
        <v>https://yt3.ggpht.com/ytc/AKedOLTicHCBM6aGRsLAnHIqClIpl1J1jUQV1cN4KSeLBg=s88-c-k-c0x00ffffff-no-rj</v>
      </c>
      <c r="AL186" s="80">
        <v>0</v>
      </c>
      <c r="AM186" s="80">
        <v>0</v>
      </c>
      <c r="AN186" s="80">
        <v>3</v>
      </c>
      <c r="AO186" s="80" t="b">
        <v>0</v>
      </c>
      <c r="AP186" s="80">
        <v>0</v>
      </c>
      <c r="AQ186" s="80"/>
      <c r="AR186" s="80"/>
      <c r="AS186" s="80" t="s">
        <v>3412</v>
      </c>
      <c r="AT186" s="85" t="str">
        <f>HYPERLINK("https://www.youtube.com/channel/UCeYgGyfOAbHNFRlWAvI6SWg")</f>
        <v>https://www.youtube.com/channel/UCeYgGyfOAbHNFRlWAvI6SWg</v>
      </c>
      <c r="AU186" s="80" t="str">
        <f>REPLACE(INDEX(GroupVertices[Group],MATCH(Vertices[[#This Row],[Vertex]],GroupVertices[Vertex],0)),1,1,"")</f>
        <v>1</v>
      </c>
      <c r="AV186" s="49">
        <v>1</v>
      </c>
      <c r="AW186" s="50">
        <v>3.7037037037037037</v>
      </c>
      <c r="AX186" s="49">
        <v>0</v>
      </c>
      <c r="AY186" s="50">
        <v>0</v>
      </c>
      <c r="AZ186" s="49">
        <v>0</v>
      </c>
      <c r="BA186" s="50">
        <v>0</v>
      </c>
      <c r="BB186" s="49">
        <v>26</v>
      </c>
      <c r="BC186" s="50">
        <v>96.29629629629629</v>
      </c>
      <c r="BD186" s="49">
        <v>27</v>
      </c>
      <c r="BE186" s="49"/>
      <c r="BF186" s="49"/>
      <c r="BG186" s="49"/>
      <c r="BH186" s="49"/>
      <c r="BI186" s="49"/>
      <c r="BJ186" s="49"/>
      <c r="BK186" s="111" t="s">
        <v>4560</v>
      </c>
      <c r="BL186" s="111" t="s">
        <v>4560</v>
      </c>
      <c r="BM186" s="111" t="s">
        <v>5036</v>
      </c>
      <c r="BN186" s="111" t="s">
        <v>5036</v>
      </c>
      <c r="BO186" s="2"/>
      <c r="BP186" s="3"/>
      <c r="BQ186" s="3"/>
      <c r="BR186" s="3"/>
      <c r="BS186" s="3"/>
    </row>
    <row r="187" spans="1:71" ht="15">
      <c r="A187" s="65" t="s">
        <v>411</v>
      </c>
      <c r="B187" s="66"/>
      <c r="C187" s="66"/>
      <c r="D187" s="67">
        <v>150</v>
      </c>
      <c r="E187" s="69"/>
      <c r="F187" s="103" t="str">
        <f>HYPERLINK("https://yt3.ggpht.com/ytc/AKedOLRy2wr6Yly8Q8FUPKdhzQInSnj9gWHRL0C17SiX=s88-c-k-c0x00ffffff-no-rj")</f>
        <v>https://yt3.ggpht.com/ytc/AKedOLRy2wr6Yly8Q8FUPKdhzQInSnj9gWHRL0C17SiX=s88-c-k-c0x00ffffff-no-rj</v>
      </c>
      <c r="G187" s="66"/>
      <c r="H187" s="70" t="s">
        <v>1740</v>
      </c>
      <c r="I187" s="71"/>
      <c r="J187" s="71" t="s">
        <v>159</v>
      </c>
      <c r="K187" s="70" t="s">
        <v>1740</v>
      </c>
      <c r="L187" s="74">
        <v>1</v>
      </c>
      <c r="M187" s="75">
        <v>8105.08740234375</v>
      </c>
      <c r="N187" s="75">
        <v>8351.462890625</v>
      </c>
      <c r="O187" s="76"/>
      <c r="P187" s="77"/>
      <c r="Q187" s="77"/>
      <c r="R187" s="89"/>
      <c r="S187" s="49">
        <v>0</v>
      </c>
      <c r="T187" s="49">
        <v>1</v>
      </c>
      <c r="U187" s="50">
        <v>0</v>
      </c>
      <c r="V187" s="50">
        <v>0.002597</v>
      </c>
      <c r="W187" s="50">
        <v>0.00486</v>
      </c>
      <c r="X187" s="50">
        <v>0.526148</v>
      </c>
      <c r="Y187" s="50">
        <v>0</v>
      </c>
      <c r="Z187" s="50">
        <v>0</v>
      </c>
      <c r="AA187" s="72">
        <v>187</v>
      </c>
      <c r="AB187" s="72"/>
      <c r="AC187" s="73"/>
      <c r="AD187" s="80" t="s">
        <v>1740</v>
      </c>
      <c r="AE187" s="80"/>
      <c r="AF187" s="80"/>
      <c r="AG187" s="80"/>
      <c r="AH187" s="80"/>
      <c r="AI187" s="80"/>
      <c r="AJ187" s="80" t="s">
        <v>3205</v>
      </c>
      <c r="AK187" s="85" t="str">
        <f>HYPERLINK("https://yt3.ggpht.com/ytc/AKedOLRy2wr6Yly8Q8FUPKdhzQInSnj9gWHRL0C17SiX=s88-c-k-c0x00ffffff-no-rj")</f>
        <v>https://yt3.ggpht.com/ytc/AKedOLRy2wr6Yly8Q8FUPKdhzQInSnj9gWHRL0C17SiX=s88-c-k-c0x00ffffff-no-rj</v>
      </c>
      <c r="AL187" s="80">
        <v>0</v>
      </c>
      <c r="AM187" s="80">
        <v>0</v>
      </c>
      <c r="AN187" s="80">
        <v>11</v>
      </c>
      <c r="AO187" s="80" t="b">
        <v>0</v>
      </c>
      <c r="AP187" s="80">
        <v>0</v>
      </c>
      <c r="AQ187" s="80"/>
      <c r="AR187" s="80"/>
      <c r="AS187" s="80" t="s">
        <v>3412</v>
      </c>
      <c r="AT187" s="85" t="str">
        <f>HYPERLINK("https://www.youtube.com/channel/UC3hqX3Q46tFKo5aQX3JhBDw")</f>
        <v>https://www.youtube.com/channel/UC3hqX3Q46tFKo5aQX3JhBDw</v>
      </c>
      <c r="AU187" s="80" t="str">
        <f>REPLACE(INDEX(GroupVertices[Group],MATCH(Vertices[[#This Row],[Vertex]],GroupVertices[Vertex],0)),1,1,"")</f>
        <v>1</v>
      </c>
      <c r="AV187" s="49">
        <v>0</v>
      </c>
      <c r="AW187" s="50">
        <v>0</v>
      </c>
      <c r="AX187" s="49">
        <v>0</v>
      </c>
      <c r="AY187" s="50">
        <v>0</v>
      </c>
      <c r="AZ187" s="49">
        <v>0</v>
      </c>
      <c r="BA187" s="50">
        <v>0</v>
      </c>
      <c r="BB187" s="49">
        <v>26</v>
      </c>
      <c r="BC187" s="50">
        <v>100</v>
      </c>
      <c r="BD187" s="49">
        <v>26</v>
      </c>
      <c r="BE187" s="49"/>
      <c r="BF187" s="49"/>
      <c r="BG187" s="49"/>
      <c r="BH187" s="49"/>
      <c r="BI187" s="49"/>
      <c r="BJ187" s="49"/>
      <c r="BK187" s="111" t="s">
        <v>4561</v>
      </c>
      <c r="BL187" s="111" t="s">
        <v>4561</v>
      </c>
      <c r="BM187" s="111" t="s">
        <v>5037</v>
      </c>
      <c r="BN187" s="111" t="s">
        <v>5037</v>
      </c>
      <c r="BO187" s="2"/>
      <c r="BP187" s="3"/>
      <c r="BQ187" s="3"/>
      <c r="BR187" s="3"/>
      <c r="BS187" s="3"/>
    </row>
    <row r="188" spans="1:71" ht="15">
      <c r="A188" s="65" t="s">
        <v>412</v>
      </c>
      <c r="B188" s="66"/>
      <c r="C188" s="66"/>
      <c r="D188" s="67">
        <v>150</v>
      </c>
      <c r="E188" s="69"/>
      <c r="F188" s="103" t="str">
        <f>HYPERLINK("https://yt3.ggpht.com/ytc/AKedOLTNytVI1Uevei5xE6BkTn4VYlhEtlw7khzjuO0sFg=s88-c-k-c0x00ffffff-no-rj")</f>
        <v>https://yt3.ggpht.com/ytc/AKedOLTNytVI1Uevei5xE6BkTn4VYlhEtlw7khzjuO0sFg=s88-c-k-c0x00ffffff-no-rj</v>
      </c>
      <c r="G188" s="66"/>
      <c r="H188" s="70" t="s">
        <v>1741</v>
      </c>
      <c r="I188" s="71"/>
      <c r="J188" s="71" t="s">
        <v>159</v>
      </c>
      <c r="K188" s="70" t="s">
        <v>1741</v>
      </c>
      <c r="L188" s="74">
        <v>1</v>
      </c>
      <c r="M188" s="75">
        <v>7993.13037109375</v>
      </c>
      <c r="N188" s="75">
        <v>9491.91796875</v>
      </c>
      <c r="O188" s="76"/>
      <c r="P188" s="77"/>
      <c r="Q188" s="77"/>
      <c r="R188" s="89"/>
      <c r="S188" s="49">
        <v>0</v>
      </c>
      <c r="T188" s="49">
        <v>1</v>
      </c>
      <c r="U188" s="50">
        <v>0</v>
      </c>
      <c r="V188" s="50">
        <v>0.002597</v>
      </c>
      <c r="W188" s="50">
        <v>0.00486</v>
      </c>
      <c r="X188" s="50">
        <v>0.526148</v>
      </c>
      <c r="Y188" s="50">
        <v>0</v>
      </c>
      <c r="Z188" s="50">
        <v>0</v>
      </c>
      <c r="AA188" s="72">
        <v>188</v>
      </c>
      <c r="AB188" s="72"/>
      <c r="AC188" s="73"/>
      <c r="AD188" s="80" t="s">
        <v>1741</v>
      </c>
      <c r="AE188" s="80" t="s">
        <v>2866</v>
      </c>
      <c r="AF188" s="80"/>
      <c r="AG188" s="80"/>
      <c r="AH188" s="80"/>
      <c r="AI188" s="80"/>
      <c r="AJ188" s="80" t="s">
        <v>3206</v>
      </c>
      <c r="AK188" s="85" t="str">
        <f>HYPERLINK("https://yt3.ggpht.com/ytc/AKedOLTNytVI1Uevei5xE6BkTn4VYlhEtlw7khzjuO0sFg=s88-c-k-c0x00ffffff-no-rj")</f>
        <v>https://yt3.ggpht.com/ytc/AKedOLTNytVI1Uevei5xE6BkTn4VYlhEtlw7khzjuO0sFg=s88-c-k-c0x00ffffff-no-rj</v>
      </c>
      <c r="AL188" s="80">
        <v>1319</v>
      </c>
      <c r="AM188" s="80">
        <v>0</v>
      </c>
      <c r="AN188" s="80">
        <v>70</v>
      </c>
      <c r="AO188" s="80" t="b">
        <v>0</v>
      </c>
      <c r="AP188" s="80">
        <v>6</v>
      </c>
      <c r="AQ188" s="80"/>
      <c r="AR188" s="80"/>
      <c r="AS188" s="80" t="s">
        <v>3412</v>
      </c>
      <c r="AT188" s="85" t="str">
        <f>HYPERLINK("https://www.youtube.com/channel/UCw0MJZLkswfPRPeJAQzt7Wg")</f>
        <v>https://www.youtube.com/channel/UCw0MJZLkswfPRPeJAQzt7Wg</v>
      </c>
      <c r="AU188" s="80" t="str">
        <f>REPLACE(INDEX(GroupVertices[Group],MATCH(Vertices[[#This Row],[Vertex]],GroupVertices[Vertex],0)),1,1,"")</f>
        <v>1</v>
      </c>
      <c r="AV188" s="49">
        <v>3</v>
      </c>
      <c r="AW188" s="50">
        <v>2.608695652173913</v>
      </c>
      <c r="AX188" s="49">
        <v>1</v>
      </c>
      <c r="AY188" s="50">
        <v>0.8695652173913043</v>
      </c>
      <c r="AZ188" s="49">
        <v>0</v>
      </c>
      <c r="BA188" s="50">
        <v>0</v>
      </c>
      <c r="BB188" s="49">
        <v>111</v>
      </c>
      <c r="BC188" s="50">
        <v>96.52173913043478</v>
      </c>
      <c r="BD188" s="49">
        <v>115</v>
      </c>
      <c r="BE188" s="49"/>
      <c r="BF188" s="49"/>
      <c r="BG188" s="49"/>
      <c r="BH188" s="49"/>
      <c r="BI188" s="49"/>
      <c r="BJ188" s="49"/>
      <c r="BK188" s="111" t="s">
        <v>4562</v>
      </c>
      <c r="BL188" s="111" t="s">
        <v>4562</v>
      </c>
      <c r="BM188" s="111" t="s">
        <v>5038</v>
      </c>
      <c r="BN188" s="111" t="s">
        <v>5038</v>
      </c>
      <c r="BO188" s="2"/>
      <c r="BP188" s="3"/>
      <c r="BQ188" s="3"/>
      <c r="BR188" s="3"/>
      <c r="BS188" s="3"/>
    </row>
    <row r="189" spans="1:71" ht="15">
      <c r="A189" s="65" t="s">
        <v>413</v>
      </c>
      <c r="B189" s="66"/>
      <c r="C189" s="66"/>
      <c r="D189" s="67">
        <v>150</v>
      </c>
      <c r="E189" s="69"/>
      <c r="F189" s="103" t="str">
        <f>HYPERLINK("https://yt3.ggpht.com/ytc/AKedOLTOfWhL-6PINeAj6DA14ImtndAU8jOOjY9stQ=s88-c-k-c0x00ffffff-no-rj")</f>
        <v>https://yt3.ggpht.com/ytc/AKedOLTOfWhL-6PINeAj6DA14ImtndAU8jOOjY9stQ=s88-c-k-c0x00ffffff-no-rj</v>
      </c>
      <c r="G189" s="66"/>
      <c r="H189" s="70" t="s">
        <v>1742</v>
      </c>
      <c r="I189" s="71"/>
      <c r="J189" s="71" t="s">
        <v>159</v>
      </c>
      <c r="K189" s="70" t="s">
        <v>1742</v>
      </c>
      <c r="L189" s="74">
        <v>1</v>
      </c>
      <c r="M189" s="75">
        <v>3922.877197265625</v>
      </c>
      <c r="N189" s="75">
        <v>9025.251953125</v>
      </c>
      <c r="O189" s="76"/>
      <c r="P189" s="77"/>
      <c r="Q189" s="77"/>
      <c r="R189" s="89"/>
      <c r="S189" s="49">
        <v>0</v>
      </c>
      <c r="T189" s="49">
        <v>1</v>
      </c>
      <c r="U189" s="50">
        <v>0</v>
      </c>
      <c r="V189" s="50">
        <v>0.002597</v>
      </c>
      <c r="W189" s="50">
        <v>0.00486</v>
      </c>
      <c r="X189" s="50">
        <v>0.526148</v>
      </c>
      <c r="Y189" s="50">
        <v>0</v>
      </c>
      <c r="Z189" s="50">
        <v>0</v>
      </c>
      <c r="AA189" s="72">
        <v>189</v>
      </c>
      <c r="AB189" s="72"/>
      <c r="AC189" s="73"/>
      <c r="AD189" s="80" t="s">
        <v>1742</v>
      </c>
      <c r="AE189" s="80"/>
      <c r="AF189" s="80"/>
      <c r="AG189" s="80"/>
      <c r="AH189" s="80"/>
      <c r="AI189" s="80"/>
      <c r="AJ189" s="87">
        <v>42987.86440972222</v>
      </c>
      <c r="AK189" s="85" t="str">
        <f>HYPERLINK("https://yt3.ggpht.com/ytc/AKedOLTOfWhL-6PINeAj6DA14ImtndAU8jOOjY9stQ=s88-c-k-c0x00ffffff-no-rj")</f>
        <v>https://yt3.ggpht.com/ytc/AKedOLTOfWhL-6PINeAj6DA14ImtndAU8jOOjY9stQ=s88-c-k-c0x00ffffff-no-rj</v>
      </c>
      <c r="AL189" s="80">
        <v>0</v>
      </c>
      <c r="AM189" s="80">
        <v>0</v>
      </c>
      <c r="AN189" s="80">
        <v>7</v>
      </c>
      <c r="AO189" s="80" t="b">
        <v>0</v>
      </c>
      <c r="AP189" s="80">
        <v>0</v>
      </c>
      <c r="AQ189" s="80"/>
      <c r="AR189" s="80"/>
      <c r="AS189" s="80" t="s">
        <v>3412</v>
      </c>
      <c r="AT189" s="85" t="str">
        <f>HYPERLINK("https://www.youtube.com/channel/UChib_9Y23CKeur7sLMZxQgA")</f>
        <v>https://www.youtube.com/channel/UChib_9Y23CKeur7sLMZxQgA</v>
      </c>
      <c r="AU189" s="80" t="str">
        <f>REPLACE(INDEX(GroupVertices[Group],MATCH(Vertices[[#This Row],[Vertex]],GroupVertices[Vertex],0)),1,1,"")</f>
        <v>1</v>
      </c>
      <c r="AV189" s="49">
        <v>4</v>
      </c>
      <c r="AW189" s="50">
        <v>11.428571428571429</v>
      </c>
      <c r="AX189" s="49">
        <v>0</v>
      </c>
      <c r="AY189" s="50">
        <v>0</v>
      </c>
      <c r="AZ189" s="49">
        <v>0</v>
      </c>
      <c r="BA189" s="50">
        <v>0</v>
      </c>
      <c r="BB189" s="49">
        <v>31</v>
      </c>
      <c r="BC189" s="50">
        <v>88.57142857142857</v>
      </c>
      <c r="BD189" s="49">
        <v>35</v>
      </c>
      <c r="BE189" s="49"/>
      <c r="BF189" s="49"/>
      <c r="BG189" s="49"/>
      <c r="BH189" s="49"/>
      <c r="BI189" s="49"/>
      <c r="BJ189" s="49"/>
      <c r="BK189" s="111" t="s">
        <v>4563</v>
      </c>
      <c r="BL189" s="111" t="s">
        <v>4563</v>
      </c>
      <c r="BM189" s="111" t="s">
        <v>5039</v>
      </c>
      <c r="BN189" s="111" t="s">
        <v>5039</v>
      </c>
      <c r="BO189" s="2"/>
      <c r="BP189" s="3"/>
      <c r="BQ189" s="3"/>
      <c r="BR189" s="3"/>
      <c r="BS189" s="3"/>
    </row>
    <row r="190" spans="1:71" ht="15">
      <c r="A190" s="65" t="s">
        <v>414</v>
      </c>
      <c r="B190" s="66"/>
      <c r="C190" s="66"/>
      <c r="D190" s="67">
        <v>150</v>
      </c>
      <c r="E190" s="69"/>
      <c r="F190" s="103" t="str">
        <f>HYPERLINK("https://yt3.ggpht.com/ytc/AKedOLSiktKqCGZDaNeirkQQ9RfP14zegyPv7WntLBTh=s88-c-k-c0x00ffffff-no-rj")</f>
        <v>https://yt3.ggpht.com/ytc/AKedOLSiktKqCGZDaNeirkQQ9RfP14zegyPv7WntLBTh=s88-c-k-c0x00ffffff-no-rj</v>
      </c>
      <c r="G190" s="66"/>
      <c r="H190" s="70" t="s">
        <v>1743</v>
      </c>
      <c r="I190" s="71"/>
      <c r="J190" s="71" t="s">
        <v>159</v>
      </c>
      <c r="K190" s="70" t="s">
        <v>1743</v>
      </c>
      <c r="L190" s="74">
        <v>1</v>
      </c>
      <c r="M190" s="75">
        <v>8750.6982421875</v>
      </c>
      <c r="N190" s="75">
        <v>9238.48046875</v>
      </c>
      <c r="O190" s="76"/>
      <c r="P190" s="77"/>
      <c r="Q190" s="77"/>
      <c r="R190" s="89"/>
      <c r="S190" s="49">
        <v>1</v>
      </c>
      <c r="T190" s="49">
        <v>1</v>
      </c>
      <c r="U190" s="50">
        <v>0</v>
      </c>
      <c r="V190" s="50">
        <v>0.002597</v>
      </c>
      <c r="W190" s="50">
        <v>0.00486</v>
      </c>
      <c r="X190" s="50">
        <v>0.526148</v>
      </c>
      <c r="Y190" s="50">
        <v>0</v>
      </c>
      <c r="Z190" s="50">
        <v>1</v>
      </c>
      <c r="AA190" s="72">
        <v>190</v>
      </c>
      <c r="AB190" s="72"/>
      <c r="AC190" s="73"/>
      <c r="AD190" s="80" t="s">
        <v>1743</v>
      </c>
      <c r="AE190" s="80"/>
      <c r="AF190" s="80"/>
      <c r="AG190" s="80"/>
      <c r="AH190" s="80"/>
      <c r="AI190" s="80"/>
      <c r="AJ190" s="80" t="s">
        <v>3207</v>
      </c>
      <c r="AK190" s="85" t="str">
        <f>HYPERLINK("https://yt3.ggpht.com/ytc/AKedOLSiktKqCGZDaNeirkQQ9RfP14zegyPv7WntLBTh=s88-c-k-c0x00ffffff-no-rj")</f>
        <v>https://yt3.ggpht.com/ytc/AKedOLSiktKqCGZDaNeirkQQ9RfP14zegyPv7WntLBTh=s88-c-k-c0x00ffffff-no-rj</v>
      </c>
      <c r="AL190" s="80">
        <v>0</v>
      </c>
      <c r="AM190" s="80">
        <v>0</v>
      </c>
      <c r="AN190" s="80">
        <v>1</v>
      </c>
      <c r="AO190" s="80" t="b">
        <v>0</v>
      </c>
      <c r="AP190" s="80">
        <v>0</v>
      </c>
      <c r="AQ190" s="80"/>
      <c r="AR190" s="80"/>
      <c r="AS190" s="80" t="s">
        <v>3412</v>
      </c>
      <c r="AT190" s="85" t="str">
        <f>HYPERLINK("https://www.youtube.com/channel/UCY5Jm-GIiyVMQCnZqMaB6Hw")</f>
        <v>https://www.youtube.com/channel/UCY5Jm-GIiyVMQCnZqMaB6Hw</v>
      </c>
      <c r="AU190" s="80" t="str">
        <f>REPLACE(INDEX(GroupVertices[Group],MATCH(Vertices[[#This Row],[Vertex]],GroupVertices[Vertex],0)),1,1,"")</f>
        <v>1</v>
      </c>
      <c r="AV190" s="49">
        <v>1</v>
      </c>
      <c r="AW190" s="50">
        <v>6.666666666666667</v>
      </c>
      <c r="AX190" s="49">
        <v>0</v>
      </c>
      <c r="AY190" s="50">
        <v>0</v>
      </c>
      <c r="AZ190" s="49">
        <v>0</v>
      </c>
      <c r="BA190" s="50">
        <v>0</v>
      </c>
      <c r="BB190" s="49">
        <v>14</v>
      </c>
      <c r="BC190" s="50">
        <v>93.33333333333333</v>
      </c>
      <c r="BD190" s="49">
        <v>15</v>
      </c>
      <c r="BE190" s="49"/>
      <c r="BF190" s="49"/>
      <c r="BG190" s="49"/>
      <c r="BH190" s="49"/>
      <c r="BI190" s="49"/>
      <c r="BJ190" s="49"/>
      <c r="BK190" s="111" t="s">
        <v>4564</v>
      </c>
      <c r="BL190" s="111" t="s">
        <v>4564</v>
      </c>
      <c r="BM190" s="111" t="s">
        <v>5040</v>
      </c>
      <c r="BN190" s="111" t="s">
        <v>5040</v>
      </c>
      <c r="BO190" s="2"/>
      <c r="BP190" s="3"/>
      <c r="BQ190" s="3"/>
      <c r="BR190" s="3"/>
      <c r="BS190" s="3"/>
    </row>
    <row r="191" spans="1:71" ht="15">
      <c r="A191" s="65" t="s">
        <v>415</v>
      </c>
      <c r="B191" s="66"/>
      <c r="C191" s="66"/>
      <c r="D191" s="67">
        <v>150</v>
      </c>
      <c r="E191" s="69"/>
      <c r="F191" s="103" t="str">
        <f>HYPERLINK("https://yt3.ggpht.com/ytc/AKedOLTH39RAnPmXgtt0AOpvTCnmqEqg6c2YX22O1g=s88-c-k-c0x00ffffff-no-rj")</f>
        <v>https://yt3.ggpht.com/ytc/AKedOLTH39RAnPmXgtt0AOpvTCnmqEqg6c2YX22O1g=s88-c-k-c0x00ffffff-no-rj</v>
      </c>
      <c r="G191" s="66"/>
      <c r="H191" s="70" t="s">
        <v>1744</v>
      </c>
      <c r="I191" s="71"/>
      <c r="J191" s="71" t="s">
        <v>159</v>
      </c>
      <c r="K191" s="70" t="s">
        <v>1744</v>
      </c>
      <c r="L191" s="74">
        <v>1</v>
      </c>
      <c r="M191" s="75">
        <v>8135.65185546875</v>
      </c>
      <c r="N191" s="75">
        <v>9081.044921875</v>
      </c>
      <c r="O191" s="76"/>
      <c r="P191" s="77"/>
      <c r="Q191" s="77"/>
      <c r="R191" s="89"/>
      <c r="S191" s="49">
        <v>0</v>
      </c>
      <c r="T191" s="49">
        <v>1</v>
      </c>
      <c r="U191" s="50">
        <v>0</v>
      </c>
      <c r="V191" s="50">
        <v>0.002597</v>
      </c>
      <c r="W191" s="50">
        <v>0.00486</v>
      </c>
      <c r="X191" s="50">
        <v>0.526148</v>
      </c>
      <c r="Y191" s="50">
        <v>0</v>
      </c>
      <c r="Z191" s="50">
        <v>0</v>
      </c>
      <c r="AA191" s="72">
        <v>191</v>
      </c>
      <c r="AB191" s="72"/>
      <c r="AC191" s="73"/>
      <c r="AD191" s="80" t="s">
        <v>1744</v>
      </c>
      <c r="AE191" s="80"/>
      <c r="AF191" s="80"/>
      <c r="AG191" s="80"/>
      <c r="AH191" s="80"/>
      <c r="AI191" s="80"/>
      <c r="AJ191" s="87">
        <v>38938.787511574075</v>
      </c>
      <c r="AK191" s="85" t="str">
        <f>HYPERLINK("https://yt3.ggpht.com/ytc/AKedOLTH39RAnPmXgtt0AOpvTCnmqEqg6c2YX22O1g=s88-c-k-c0x00ffffff-no-rj")</f>
        <v>https://yt3.ggpht.com/ytc/AKedOLTH39RAnPmXgtt0AOpvTCnmqEqg6c2YX22O1g=s88-c-k-c0x00ffffff-no-rj</v>
      </c>
      <c r="AL191" s="80">
        <v>0</v>
      </c>
      <c r="AM191" s="80">
        <v>0</v>
      </c>
      <c r="AN191" s="80">
        <v>0</v>
      </c>
      <c r="AO191" s="80" t="b">
        <v>0</v>
      </c>
      <c r="AP191" s="80">
        <v>0</v>
      </c>
      <c r="AQ191" s="80"/>
      <c r="AR191" s="80"/>
      <c r="AS191" s="80" t="s">
        <v>3412</v>
      </c>
      <c r="AT191" s="85" t="str">
        <f>HYPERLINK("https://www.youtube.com/channel/UCGpYX63VUgJswqgDiB1QDGw")</f>
        <v>https://www.youtube.com/channel/UCGpYX63VUgJswqgDiB1QDGw</v>
      </c>
      <c r="AU191" s="80" t="str">
        <f>REPLACE(INDEX(GroupVertices[Group],MATCH(Vertices[[#This Row],[Vertex]],GroupVertices[Vertex],0)),1,1,"")</f>
        <v>1</v>
      </c>
      <c r="AV191" s="49">
        <v>1</v>
      </c>
      <c r="AW191" s="50">
        <v>6.666666666666667</v>
      </c>
      <c r="AX191" s="49">
        <v>0</v>
      </c>
      <c r="AY191" s="50">
        <v>0</v>
      </c>
      <c r="AZ191" s="49">
        <v>0</v>
      </c>
      <c r="BA191" s="50">
        <v>0</v>
      </c>
      <c r="BB191" s="49">
        <v>14</v>
      </c>
      <c r="BC191" s="50">
        <v>93.33333333333333</v>
      </c>
      <c r="BD191" s="49">
        <v>15</v>
      </c>
      <c r="BE191" s="49"/>
      <c r="BF191" s="49"/>
      <c r="BG191" s="49"/>
      <c r="BH191" s="49"/>
      <c r="BI191" s="49"/>
      <c r="BJ191" s="49"/>
      <c r="BK191" s="111" t="s">
        <v>4565</v>
      </c>
      <c r="BL191" s="111" t="s">
        <v>4565</v>
      </c>
      <c r="BM191" s="111" t="s">
        <v>5041</v>
      </c>
      <c r="BN191" s="111" t="s">
        <v>5041</v>
      </c>
      <c r="BO191" s="2"/>
      <c r="BP191" s="3"/>
      <c r="BQ191" s="3"/>
      <c r="BR191" s="3"/>
      <c r="BS191" s="3"/>
    </row>
    <row r="192" spans="1:71" ht="15">
      <c r="A192" s="65" t="s">
        <v>416</v>
      </c>
      <c r="B192" s="66"/>
      <c r="C192" s="66"/>
      <c r="D192" s="67">
        <v>150</v>
      </c>
      <c r="E192" s="69"/>
      <c r="F192" s="103" t="str">
        <f>HYPERLINK("https://yt3.ggpht.com/ytc/AKedOLQopVMWM4wdB8sv2qM5NV4bD1UUtNQCNzlABw=s88-c-k-c0x00ffffff-no-rj")</f>
        <v>https://yt3.ggpht.com/ytc/AKedOLQopVMWM4wdB8sv2qM5NV4bD1UUtNQCNzlABw=s88-c-k-c0x00ffffff-no-rj</v>
      </c>
      <c r="G192" s="66"/>
      <c r="H192" s="70" t="s">
        <v>1745</v>
      </c>
      <c r="I192" s="71"/>
      <c r="J192" s="71" t="s">
        <v>159</v>
      </c>
      <c r="K192" s="70" t="s">
        <v>1745</v>
      </c>
      <c r="L192" s="74">
        <v>1</v>
      </c>
      <c r="M192" s="75">
        <v>4386.4716796875</v>
      </c>
      <c r="N192" s="75">
        <v>7526.50341796875</v>
      </c>
      <c r="O192" s="76"/>
      <c r="P192" s="77"/>
      <c r="Q192" s="77"/>
      <c r="R192" s="89"/>
      <c r="S192" s="49">
        <v>0</v>
      </c>
      <c r="T192" s="49">
        <v>1</v>
      </c>
      <c r="U192" s="50">
        <v>0</v>
      </c>
      <c r="V192" s="50">
        <v>0.002597</v>
      </c>
      <c r="W192" s="50">
        <v>0.00486</v>
      </c>
      <c r="X192" s="50">
        <v>0.526148</v>
      </c>
      <c r="Y192" s="50">
        <v>0</v>
      </c>
      <c r="Z192" s="50">
        <v>0</v>
      </c>
      <c r="AA192" s="72">
        <v>192</v>
      </c>
      <c r="AB192" s="72"/>
      <c r="AC192" s="73"/>
      <c r="AD192" s="80" t="s">
        <v>1745</v>
      </c>
      <c r="AE192" s="80"/>
      <c r="AF192" s="80"/>
      <c r="AG192" s="80"/>
      <c r="AH192" s="80"/>
      <c r="AI192" s="80"/>
      <c r="AJ192" s="87">
        <v>40246.4209375</v>
      </c>
      <c r="AK192" s="85" t="str">
        <f>HYPERLINK("https://yt3.ggpht.com/ytc/AKedOLQopVMWM4wdB8sv2qM5NV4bD1UUtNQCNzlABw=s88-c-k-c0x00ffffff-no-rj")</f>
        <v>https://yt3.ggpht.com/ytc/AKedOLQopVMWM4wdB8sv2qM5NV4bD1UUtNQCNzlABw=s88-c-k-c0x00ffffff-no-rj</v>
      </c>
      <c r="AL192" s="80">
        <v>0</v>
      </c>
      <c r="AM192" s="80">
        <v>0</v>
      </c>
      <c r="AN192" s="80">
        <v>0</v>
      </c>
      <c r="AO192" s="80" t="b">
        <v>0</v>
      </c>
      <c r="AP192" s="80">
        <v>0</v>
      </c>
      <c r="AQ192" s="80"/>
      <c r="AR192" s="80"/>
      <c r="AS192" s="80" t="s">
        <v>3412</v>
      </c>
      <c r="AT192" s="85" t="str">
        <f>HYPERLINK("https://www.youtube.com/channel/UC6XBJ-9A_b-3_zxuX17sbIQ")</f>
        <v>https://www.youtube.com/channel/UC6XBJ-9A_b-3_zxuX17sbIQ</v>
      </c>
      <c r="AU192" s="80" t="str">
        <f>REPLACE(INDEX(GroupVertices[Group],MATCH(Vertices[[#This Row],[Vertex]],GroupVertices[Vertex],0)),1,1,"")</f>
        <v>1</v>
      </c>
      <c r="AV192" s="49">
        <v>1</v>
      </c>
      <c r="AW192" s="50">
        <v>10</v>
      </c>
      <c r="AX192" s="49">
        <v>0</v>
      </c>
      <c r="AY192" s="50">
        <v>0</v>
      </c>
      <c r="AZ192" s="49">
        <v>0</v>
      </c>
      <c r="BA192" s="50">
        <v>0</v>
      </c>
      <c r="BB192" s="49">
        <v>9</v>
      </c>
      <c r="BC192" s="50">
        <v>90</v>
      </c>
      <c r="BD192" s="49">
        <v>10</v>
      </c>
      <c r="BE192" s="49"/>
      <c r="BF192" s="49"/>
      <c r="BG192" s="49"/>
      <c r="BH192" s="49"/>
      <c r="BI192" s="49"/>
      <c r="BJ192" s="49"/>
      <c r="BK192" s="111" t="s">
        <v>4566</v>
      </c>
      <c r="BL192" s="111" t="s">
        <v>4566</v>
      </c>
      <c r="BM192" s="111" t="s">
        <v>5042</v>
      </c>
      <c r="BN192" s="111" t="s">
        <v>5042</v>
      </c>
      <c r="BO192" s="2"/>
      <c r="BP192" s="3"/>
      <c r="BQ192" s="3"/>
      <c r="BR192" s="3"/>
      <c r="BS192" s="3"/>
    </row>
    <row r="193" spans="1:71" ht="15">
      <c r="A193" s="65" t="s">
        <v>417</v>
      </c>
      <c r="B193" s="66"/>
      <c r="C193" s="66"/>
      <c r="D193" s="67">
        <v>223.86904761904762</v>
      </c>
      <c r="E193" s="69"/>
      <c r="F193" s="103" t="str">
        <f>HYPERLINK("https://yt3.ggpht.com/ytc/AKedOLQzsSWT3nJ7yF4ikdvKPGRa8PdXfh_rBlte5bc7sw=s88-c-k-c0x00ffffff-no-rj")</f>
        <v>https://yt3.ggpht.com/ytc/AKedOLQzsSWT3nJ7yF4ikdvKPGRa8PdXfh_rBlte5bc7sw=s88-c-k-c0x00ffffff-no-rj</v>
      </c>
      <c r="G193" s="66"/>
      <c r="H193" s="70" t="s">
        <v>1746</v>
      </c>
      <c r="I193" s="71"/>
      <c r="J193" s="71" t="s">
        <v>75</v>
      </c>
      <c r="K193" s="70" t="s">
        <v>1746</v>
      </c>
      <c r="L193" s="74">
        <v>40.82180270624182</v>
      </c>
      <c r="M193" s="75">
        <v>6116.8125</v>
      </c>
      <c r="N193" s="75">
        <v>3789.153564453125</v>
      </c>
      <c r="O193" s="76"/>
      <c r="P193" s="77"/>
      <c r="Q193" s="77"/>
      <c r="R193" s="89"/>
      <c r="S193" s="49">
        <v>5</v>
      </c>
      <c r="T193" s="49">
        <v>4</v>
      </c>
      <c r="U193" s="50">
        <v>146</v>
      </c>
      <c r="V193" s="50">
        <v>0.018868</v>
      </c>
      <c r="W193" s="50">
        <v>0</v>
      </c>
      <c r="X193" s="50">
        <v>2.295327</v>
      </c>
      <c r="Y193" s="50">
        <v>0</v>
      </c>
      <c r="Z193" s="50">
        <v>0.75</v>
      </c>
      <c r="AA193" s="72">
        <v>193</v>
      </c>
      <c r="AB193" s="72"/>
      <c r="AC193" s="73"/>
      <c r="AD193" s="80" t="s">
        <v>1746</v>
      </c>
      <c r="AE193" s="80" t="s">
        <v>2867</v>
      </c>
      <c r="AF193" s="80"/>
      <c r="AG193" s="80"/>
      <c r="AH193" s="80"/>
      <c r="AI193" s="80" t="s">
        <v>3042</v>
      </c>
      <c r="AJ193" s="87">
        <v>43324.517905092594</v>
      </c>
      <c r="AK193" s="85" t="str">
        <f>HYPERLINK("https://yt3.ggpht.com/ytc/AKedOLQzsSWT3nJ7yF4ikdvKPGRa8PdXfh_rBlte5bc7sw=s88-c-k-c0x00ffffff-no-rj")</f>
        <v>https://yt3.ggpht.com/ytc/AKedOLQzsSWT3nJ7yF4ikdvKPGRa8PdXfh_rBlte5bc7sw=s88-c-k-c0x00ffffff-no-rj</v>
      </c>
      <c r="AL193" s="80">
        <v>2518192</v>
      </c>
      <c r="AM193" s="80">
        <v>0</v>
      </c>
      <c r="AN193" s="80">
        <v>20700</v>
      </c>
      <c r="AO193" s="80" t="b">
        <v>0</v>
      </c>
      <c r="AP193" s="80">
        <v>162</v>
      </c>
      <c r="AQ193" s="80"/>
      <c r="AR193" s="80"/>
      <c r="AS193" s="80" t="s">
        <v>3412</v>
      </c>
      <c r="AT193" s="85" t="str">
        <f>HYPERLINK("https://www.youtube.com/channel/UChI-cTok8fJePnryAd0mTvQ")</f>
        <v>https://www.youtube.com/channel/UChI-cTok8fJePnryAd0mTvQ</v>
      </c>
      <c r="AU193" s="80" t="str">
        <f>REPLACE(INDEX(GroupVertices[Group],MATCH(Vertices[[#This Row],[Vertex]],GroupVertices[Vertex],0)),1,1,"")</f>
        <v>8</v>
      </c>
      <c r="AV193" s="49">
        <v>3</v>
      </c>
      <c r="AW193" s="50">
        <v>4.285714285714286</v>
      </c>
      <c r="AX193" s="49">
        <v>2</v>
      </c>
      <c r="AY193" s="50">
        <v>2.857142857142857</v>
      </c>
      <c r="AZ193" s="49">
        <v>0</v>
      </c>
      <c r="BA193" s="50">
        <v>0</v>
      </c>
      <c r="BB193" s="49">
        <v>65</v>
      </c>
      <c r="BC193" s="50">
        <v>92.85714285714286</v>
      </c>
      <c r="BD193" s="49">
        <v>70</v>
      </c>
      <c r="BE193" s="49"/>
      <c r="BF193" s="49"/>
      <c r="BG193" s="49"/>
      <c r="BH193" s="49"/>
      <c r="BI193" s="49"/>
      <c r="BJ193" s="49"/>
      <c r="BK193" s="111" t="s">
        <v>4567</v>
      </c>
      <c r="BL193" s="111" t="s">
        <v>4567</v>
      </c>
      <c r="BM193" s="111" t="s">
        <v>5043</v>
      </c>
      <c r="BN193" s="111" t="s">
        <v>5043</v>
      </c>
      <c r="BO193" s="2"/>
      <c r="BP193" s="3"/>
      <c r="BQ193" s="3"/>
      <c r="BR193" s="3"/>
      <c r="BS193" s="3"/>
    </row>
    <row r="194" spans="1:71" ht="15">
      <c r="A194" s="65" t="s">
        <v>418</v>
      </c>
      <c r="B194" s="66"/>
      <c r="C194" s="66"/>
      <c r="D194" s="67">
        <v>150</v>
      </c>
      <c r="E194" s="69"/>
      <c r="F194" s="103" t="str">
        <f>HYPERLINK("https://yt3.ggpht.com/ytc/AKedOLTTjtYy_B6KGkTR-PpVmNQkYbpuYlrp47UN22LOARg=s88-c-k-c0x00ffffff-no-rj")</f>
        <v>https://yt3.ggpht.com/ytc/AKedOLTTjtYy_B6KGkTR-PpVmNQkYbpuYlrp47UN22LOARg=s88-c-k-c0x00ffffff-no-rj</v>
      </c>
      <c r="G194" s="66"/>
      <c r="H194" s="70" t="s">
        <v>1747</v>
      </c>
      <c r="I194" s="71"/>
      <c r="J194" s="71" t="s">
        <v>159</v>
      </c>
      <c r="K194" s="70" t="s">
        <v>1747</v>
      </c>
      <c r="L194" s="74">
        <v>1</v>
      </c>
      <c r="M194" s="75">
        <v>5535.16064453125</v>
      </c>
      <c r="N194" s="75">
        <v>3603.479736328125</v>
      </c>
      <c r="O194" s="76"/>
      <c r="P194" s="77"/>
      <c r="Q194" s="77"/>
      <c r="R194" s="89"/>
      <c r="S194" s="49">
        <v>1</v>
      </c>
      <c r="T194" s="49">
        <v>1</v>
      </c>
      <c r="U194" s="50">
        <v>0</v>
      </c>
      <c r="V194" s="50">
        <v>0.013699</v>
      </c>
      <c r="W194" s="50">
        <v>0</v>
      </c>
      <c r="X194" s="50">
        <v>0.540206</v>
      </c>
      <c r="Y194" s="50">
        <v>0</v>
      </c>
      <c r="Z194" s="50">
        <v>1</v>
      </c>
      <c r="AA194" s="72">
        <v>194</v>
      </c>
      <c r="AB194" s="72"/>
      <c r="AC194" s="73"/>
      <c r="AD194" s="80" t="s">
        <v>1747</v>
      </c>
      <c r="AE194" s="80" t="s">
        <v>2868</v>
      </c>
      <c r="AF194" s="80"/>
      <c r="AG194" s="80"/>
      <c r="AH194" s="80"/>
      <c r="AI194" s="80"/>
      <c r="AJ194" s="80" t="s">
        <v>3208</v>
      </c>
      <c r="AK194" s="85" t="str">
        <f>HYPERLINK("https://yt3.ggpht.com/ytc/AKedOLTTjtYy_B6KGkTR-PpVmNQkYbpuYlrp47UN22LOARg=s88-c-k-c0x00ffffff-no-rj")</f>
        <v>https://yt3.ggpht.com/ytc/AKedOLTTjtYy_B6KGkTR-PpVmNQkYbpuYlrp47UN22LOARg=s88-c-k-c0x00ffffff-no-rj</v>
      </c>
      <c r="AL194" s="80">
        <v>16438</v>
      </c>
      <c r="AM194" s="80">
        <v>0</v>
      </c>
      <c r="AN194" s="80">
        <v>0</v>
      </c>
      <c r="AO194" s="80" t="b">
        <v>1</v>
      </c>
      <c r="AP194" s="80">
        <v>50</v>
      </c>
      <c r="AQ194" s="80"/>
      <c r="AR194" s="80"/>
      <c r="AS194" s="80" t="s">
        <v>3412</v>
      </c>
      <c r="AT194" s="85" t="str">
        <f>HYPERLINK("https://www.youtube.com/channel/UC0GVapQzfTeJ67hf2-y1_0g")</f>
        <v>https://www.youtube.com/channel/UC0GVapQzfTeJ67hf2-y1_0g</v>
      </c>
      <c r="AU194" s="80" t="str">
        <f>REPLACE(INDEX(GroupVertices[Group],MATCH(Vertices[[#This Row],[Vertex]],GroupVertices[Vertex],0)),1,1,"")</f>
        <v>8</v>
      </c>
      <c r="AV194" s="49">
        <v>2</v>
      </c>
      <c r="AW194" s="50">
        <v>18.181818181818183</v>
      </c>
      <c r="AX194" s="49">
        <v>0</v>
      </c>
      <c r="AY194" s="50">
        <v>0</v>
      </c>
      <c r="AZ194" s="49">
        <v>0</v>
      </c>
      <c r="BA194" s="50">
        <v>0</v>
      </c>
      <c r="BB194" s="49">
        <v>9</v>
      </c>
      <c r="BC194" s="50">
        <v>81.81818181818181</v>
      </c>
      <c r="BD194" s="49">
        <v>11</v>
      </c>
      <c r="BE194" s="49"/>
      <c r="BF194" s="49"/>
      <c r="BG194" s="49"/>
      <c r="BH194" s="49"/>
      <c r="BI194" s="49"/>
      <c r="BJ194" s="49"/>
      <c r="BK194" s="111" t="s">
        <v>4568</v>
      </c>
      <c r="BL194" s="111" t="s">
        <v>4568</v>
      </c>
      <c r="BM194" s="111" t="s">
        <v>5044</v>
      </c>
      <c r="BN194" s="111" t="s">
        <v>5044</v>
      </c>
      <c r="BO194" s="2"/>
      <c r="BP194" s="3"/>
      <c r="BQ194" s="3"/>
      <c r="BR194" s="3"/>
      <c r="BS194" s="3"/>
    </row>
    <row r="195" spans="1:71" ht="15">
      <c r="A195" s="65" t="s">
        <v>419</v>
      </c>
      <c r="B195" s="66"/>
      <c r="C195" s="66"/>
      <c r="D195" s="67">
        <v>150</v>
      </c>
      <c r="E195" s="69"/>
      <c r="F195" s="103" t="str">
        <f>HYPERLINK("https://yt3.ggpht.com/ytc/AKedOLTTtOioua-7YdB6xmCqRIEdLFaqEg7GQUR_0ZQcPQ=s88-c-k-c0x00ffffff-no-rj")</f>
        <v>https://yt3.ggpht.com/ytc/AKedOLTTtOioua-7YdB6xmCqRIEdLFaqEg7GQUR_0ZQcPQ=s88-c-k-c0x00ffffff-no-rj</v>
      </c>
      <c r="G195" s="66"/>
      <c r="H195" s="70" t="s">
        <v>1748</v>
      </c>
      <c r="I195" s="71"/>
      <c r="J195" s="71" t="s">
        <v>159</v>
      </c>
      <c r="K195" s="70" t="s">
        <v>1748</v>
      </c>
      <c r="L195" s="74">
        <v>1</v>
      </c>
      <c r="M195" s="75">
        <v>5890.63330078125</v>
      </c>
      <c r="N195" s="75">
        <v>4479.32080078125</v>
      </c>
      <c r="O195" s="76"/>
      <c r="P195" s="77"/>
      <c r="Q195" s="77"/>
      <c r="R195" s="89"/>
      <c r="S195" s="49">
        <v>0</v>
      </c>
      <c r="T195" s="49">
        <v>1</v>
      </c>
      <c r="U195" s="50">
        <v>0</v>
      </c>
      <c r="V195" s="50">
        <v>0.010989</v>
      </c>
      <c r="W195" s="50">
        <v>0</v>
      </c>
      <c r="X195" s="50">
        <v>0.594266</v>
      </c>
      <c r="Y195" s="50">
        <v>0</v>
      </c>
      <c r="Z195" s="50">
        <v>0</v>
      </c>
      <c r="AA195" s="72">
        <v>195</v>
      </c>
      <c r="AB195" s="72"/>
      <c r="AC195" s="73"/>
      <c r="AD195" s="80" t="s">
        <v>1748</v>
      </c>
      <c r="AE195" s="80" t="s">
        <v>2869</v>
      </c>
      <c r="AF195" s="80"/>
      <c r="AG195" s="80"/>
      <c r="AH195" s="80"/>
      <c r="AI195" s="80"/>
      <c r="AJ195" s="87">
        <v>41767.67680555556</v>
      </c>
      <c r="AK195" s="85" t="str">
        <f>HYPERLINK("https://yt3.ggpht.com/ytc/AKedOLTTtOioua-7YdB6xmCqRIEdLFaqEg7GQUR_0ZQcPQ=s88-c-k-c0x00ffffff-no-rj")</f>
        <v>https://yt3.ggpht.com/ytc/AKedOLTTtOioua-7YdB6xmCqRIEdLFaqEg7GQUR_0ZQcPQ=s88-c-k-c0x00ffffff-no-rj</v>
      </c>
      <c r="AL195" s="80">
        <v>0</v>
      </c>
      <c r="AM195" s="80">
        <v>0</v>
      </c>
      <c r="AN195" s="80">
        <v>3</v>
      </c>
      <c r="AO195" s="80" t="b">
        <v>0</v>
      </c>
      <c r="AP195" s="80">
        <v>0</v>
      </c>
      <c r="AQ195" s="80"/>
      <c r="AR195" s="80"/>
      <c r="AS195" s="80" t="s">
        <v>3412</v>
      </c>
      <c r="AT195" s="85" t="str">
        <f>HYPERLINK("https://www.youtube.com/channel/UC-V27PAFkljYNHVsWz4a8Mw")</f>
        <v>https://www.youtube.com/channel/UC-V27PAFkljYNHVsWz4a8Mw</v>
      </c>
      <c r="AU195" s="80" t="str">
        <f>REPLACE(INDEX(GroupVertices[Group],MATCH(Vertices[[#This Row],[Vertex]],GroupVertices[Vertex],0)),1,1,"")</f>
        <v>8</v>
      </c>
      <c r="AV195" s="49">
        <v>2</v>
      </c>
      <c r="AW195" s="50">
        <v>8</v>
      </c>
      <c r="AX195" s="49">
        <v>1</v>
      </c>
      <c r="AY195" s="50">
        <v>4</v>
      </c>
      <c r="AZ195" s="49">
        <v>0</v>
      </c>
      <c r="BA195" s="50">
        <v>0</v>
      </c>
      <c r="BB195" s="49">
        <v>22</v>
      </c>
      <c r="BC195" s="50">
        <v>88</v>
      </c>
      <c r="BD195" s="49">
        <v>25</v>
      </c>
      <c r="BE195" s="49"/>
      <c r="BF195" s="49"/>
      <c r="BG195" s="49"/>
      <c r="BH195" s="49"/>
      <c r="BI195" s="49"/>
      <c r="BJ195" s="49"/>
      <c r="BK195" s="111" t="s">
        <v>4569</v>
      </c>
      <c r="BL195" s="111" t="s">
        <v>4870</v>
      </c>
      <c r="BM195" s="111" t="s">
        <v>5045</v>
      </c>
      <c r="BN195" s="111" t="s">
        <v>5335</v>
      </c>
      <c r="BO195" s="2"/>
      <c r="BP195" s="3"/>
      <c r="BQ195" s="3"/>
      <c r="BR195" s="3"/>
      <c r="BS195" s="3"/>
    </row>
    <row r="196" spans="1:71" ht="15">
      <c r="A196" s="65" t="s">
        <v>420</v>
      </c>
      <c r="B196" s="66"/>
      <c r="C196" s="66"/>
      <c r="D196" s="67">
        <v>170.23809523809524</v>
      </c>
      <c r="E196" s="69"/>
      <c r="F196" s="103" t="str">
        <f>HYPERLINK("https://yt3.ggpht.com/ytc/AKedOLTfu7MAYDeGnJjUwsMlEcTVwq7cbRZt_uGXVw=s88-c-k-c0x00ffffff-no-rj")</f>
        <v>https://yt3.ggpht.com/ytc/AKedOLTfu7MAYDeGnJjUwsMlEcTVwq7cbRZt_uGXVw=s88-c-k-c0x00ffffff-no-rj</v>
      </c>
      <c r="G196" s="66"/>
      <c r="H196" s="70" t="s">
        <v>1749</v>
      </c>
      <c r="I196" s="71"/>
      <c r="J196" s="71" t="s">
        <v>75</v>
      </c>
      <c r="K196" s="70" t="s">
        <v>1749</v>
      </c>
      <c r="L196" s="74">
        <v>11.910082933216936</v>
      </c>
      <c r="M196" s="75">
        <v>6048.232421875</v>
      </c>
      <c r="N196" s="75">
        <v>4165.07080078125</v>
      </c>
      <c r="O196" s="76"/>
      <c r="P196" s="77"/>
      <c r="Q196" s="77"/>
      <c r="R196" s="89"/>
      <c r="S196" s="49">
        <v>2</v>
      </c>
      <c r="T196" s="49">
        <v>1</v>
      </c>
      <c r="U196" s="50">
        <v>40</v>
      </c>
      <c r="V196" s="50">
        <v>0.014085</v>
      </c>
      <c r="W196" s="50">
        <v>0</v>
      </c>
      <c r="X196" s="50">
        <v>1.045331</v>
      </c>
      <c r="Y196" s="50">
        <v>0</v>
      </c>
      <c r="Z196" s="50">
        <v>0.5</v>
      </c>
      <c r="AA196" s="72">
        <v>196</v>
      </c>
      <c r="AB196" s="72"/>
      <c r="AC196" s="73"/>
      <c r="AD196" s="80" t="s">
        <v>1749</v>
      </c>
      <c r="AE196" s="80"/>
      <c r="AF196" s="80"/>
      <c r="AG196" s="80"/>
      <c r="AH196" s="80"/>
      <c r="AI196" s="80"/>
      <c r="AJ196" s="87">
        <v>39694.02663194444</v>
      </c>
      <c r="AK196" s="85" t="str">
        <f>HYPERLINK("https://yt3.ggpht.com/ytc/AKedOLTfu7MAYDeGnJjUwsMlEcTVwq7cbRZt_uGXVw=s88-c-k-c0x00ffffff-no-rj")</f>
        <v>https://yt3.ggpht.com/ytc/AKedOLTfu7MAYDeGnJjUwsMlEcTVwq7cbRZt_uGXVw=s88-c-k-c0x00ffffff-no-rj</v>
      </c>
      <c r="AL196" s="80">
        <v>45</v>
      </c>
      <c r="AM196" s="80">
        <v>0</v>
      </c>
      <c r="AN196" s="80">
        <v>2</v>
      </c>
      <c r="AO196" s="80" t="b">
        <v>0</v>
      </c>
      <c r="AP196" s="80">
        <v>6</v>
      </c>
      <c r="AQ196" s="80"/>
      <c r="AR196" s="80"/>
      <c r="AS196" s="80" t="s">
        <v>3412</v>
      </c>
      <c r="AT196" s="85" t="str">
        <f>HYPERLINK("https://www.youtube.com/channel/UCGZQ0gB3nM3CLYiDahlMKjA")</f>
        <v>https://www.youtube.com/channel/UCGZQ0gB3nM3CLYiDahlMKjA</v>
      </c>
      <c r="AU196" s="80" t="str">
        <f>REPLACE(INDEX(GroupVertices[Group],MATCH(Vertices[[#This Row],[Vertex]],GroupVertices[Vertex],0)),1,1,"")</f>
        <v>8</v>
      </c>
      <c r="AV196" s="49">
        <v>0</v>
      </c>
      <c r="AW196" s="50">
        <v>0</v>
      </c>
      <c r="AX196" s="49">
        <v>0</v>
      </c>
      <c r="AY196" s="50">
        <v>0</v>
      </c>
      <c r="AZ196" s="49">
        <v>0</v>
      </c>
      <c r="BA196" s="50">
        <v>0</v>
      </c>
      <c r="BB196" s="49">
        <v>19</v>
      </c>
      <c r="BC196" s="50">
        <v>100</v>
      </c>
      <c r="BD196" s="49">
        <v>19</v>
      </c>
      <c r="BE196" s="49"/>
      <c r="BF196" s="49"/>
      <c r="BG196" s="49"/>
      <c r="BH196" s="49"/>
      <c r="BI196" s="49"/>
      <c r="BJ196" s="49"/>
      <c r="BK196" s="111" t="s">
        <v>4570</v>
      </c>
      <c r="BL196" s="111" t="s">
        <v>4570</v>
      </c>
      <c r="BM196" s="111" t="s">
        <v>5046</v>
      </c>
      <c r="BN196" s="111" t="s">
        <v>5046</v>
      </c>
      <c r="BO196" s="2"/>
      <c r="BP196" s="3"/>
      <c r="BQ196" s="3"/>
      <c r="BR196" s="3"/>
      <c r="BS196" s="3"/>
    </row>
    <row r="197" spans="1:71" ht="15">
      <c r="A197" s="65" t="s">
        <v>421</v>
      </c>
      <c r="B197" s="66"/>
      <c r="C197" s="66"/>
      <c r="D197" s="67">
        <v>150</v>
      </c>
      <c r="E197" s="69"/>
      <c r="F197" s="103" t="str">
        <f>HYPERLINK("https://yt3.ggpht.com/ytc/AKedOLRsVCXxvhDpkRaI1egbSxUJfwRNNZ_zYNHwKaou=s88-c-k-c0x00ffffff-no-rj")</f>
        <v>https://yt3.ggpht.com/ytc/AKedOLRsVCXxvhDpkRaI1egbSxUJfwRNNZ_zYNHwKaou=s88-c-k-c0x00ffffff-no-rj</v>
      </c>
      <c r="G197" s="66"/>
      <c r="H197" s="70" t="s">
        <v>1750</v>
      </c>
      <c r="I197" s="71"/>
      <c r="J197" s="71" t="s">
        <v>159</v>
      </c>
      <c r="K197" s="70" t="s">
        <v>1750</v>
      </c>
      <c r="L197" s="74">
        <v>1</v>
      </c>
      <c r="M197" s="75">
        <v>5644.4794921875</v>
      </c>
      <c r="N197" s="75">
        <v>3862.96044921875</v>
      </c>
      <c r="O197" s="76"/>
      <c r="P197" s="77"/>
      <c r="Q197" s="77"/>
      <c r="R197" s="89"/>
      <c r="S197" s="49">
        <v>0</v>
      </c>
      <c r="T197" s="49">
        <v>1</v>
      </c>
      <c r="U197" s="50">
        <v>0</v>
      </c>
      <c r="V197" s="50">
        <v>0.013699</v>
      </c>
      <c r="W197" s="50">
        <v>0</v>
      </c>
      <c r="X197" s="50">
        <v>0.540206</v>
      </c>
      <c r="Y197" s="50">
        <v>0</v>
      </c>
      <c r="Z197" s="50">
        <v>0</v>
      </c>
      <c r="AA197" s="72">
        <v>197</v>
      </c>
      <c r="AB197" s="72"/>
      <c r="AC197" s="73"/>
      <c r="AD197" s="80" t="s">
        <v>1750</v>
      </c>
      <c r="AE197" s="80" t="s">
        <v>2870</v>
      </c>
      <c r="AF197" s="80"/>
      <c r="AG197" s="80"/>
      <c r="AH197" s="80"/>
      <c r="AI197" s="80" t="s">
        <v>3043</v>
      </c>
      <c r="AJ197" s="80" t="s">
        <v>3209</v>
      </c>
      <c r="AK197" s="85" t="str">
        <f>HYPERLINK("https://yt3.ggpht.com/ytc/AKedOLRsVCXxvhDpkRaI1egbSxUJfwRNNZ_zYNHwKaou=s88-c-k-c0x00ffffff-no-rj")</f>
        <v>https://yt3.ggpht.com/ytc/AKedOLRsVCXxvhDpkRaI1egbSxUJfwRNNZ_zYNHwKaou=s88-c-k-c0x00ffffff-no-rj</v>
      </c>
      <c r="AL197" s="80">
        <v>17730</v>
      </c>
      <c r="AM197" s="80">
        <v>0</v>
      </c>
      <c r="AN197" s="80">
        <v>577</v>
      </c>
      <c r="AO197" s="80" t="b">
        <v>0</v>
      </c>
      <c r="AP197" s="80">
        <v>22</v>
      </c>
      <c r="AQ197" s="80"/>
      <c r="AR197" s="80"/>
      <c r="AS197" s="80" t="s">
        <v>3412</v>
      </c>
      <c r="AT197" s="85" t="str">
        <f>HYPERLINK("https://www.youtube.com/channel/UCW4JMrzXnCzdNw2B37IcOFA")</f>
        <v>https://www.youtube.com/channel/UCW4JMrzXnCzdNw2B37IcOFA</v>
      </c>
      <c r="AU197" s="80" t="str">
        <f>REPLACE(INDEX(GroupVertices[Group],MATCH(Vertices[[#This Row],[Vertex]],GroupVertices[Vertex],0)),1,1,"")</f>
        <v>8</v>
      </c>
      <c r="AV197" s="49">
        <v>1</v>
      </c>
      <c r="AW197" s="50">
        <v>20</v>
      </c>
      <c r="AX197" s="49">
        <v>0</v>
      </c>
      <c r="AY197" s="50">
        <v>0</v>
      </c>
      <c r="AZ197" s="49">
        <v>0</v>
      </c>
      <c r="BA197" s="50">
        <v>0</v>
      </c>
      <c r="BB197" s="49">
        <v>4</v>
      </c>
      <c r="BC197" s="50">
        <v>80</v>
      </c>
      <c r="BD197" s="49">
        <v>5</v>
      </c>
      <c r="BE197" s="49"/>
      <c r="BF197" s="49"/>
      <c r="BG197" s="49"/>
      <c r="BH197" s="49"/>
      <c r="BI197" s="49"/>
      <c r="BJ197" s="49"/>
      <c r="BK197" s="111" t="s">
        <v>4571</v>
      </c>
      <c r="BL197" s="111" t="s">
        <v>4571</v>
      </c>
      <c r="BM197" s="111" t="s">
        <v>5047</v>
      </c>
      <c r="BN197" s="111" t="s">
        <v>5047</v>
      </c>
      <c r="BO197" s="2"/>
      <c r="BP197" s="3"/>
      <c r="BQ197" s="3"/>
      <c r="BR197" s="3"/>
      <c r="BS197" s="3"/>
    </row>
    <row r="198" spans="1:71" ht="15">
      <c r="A198" s="65" t="s">
        <v>422</v>
      </c>
      <c r="B198" s="66"/>
      <c r="C198" s="66"/>
      <c r="D198" s="67">
        <v>150</v>
      </c>
      <c r="E198" s="69"/>
      <c r="F198" s="103" t="str">
        <f>HYPERLINK("https://yt3.ggpht.com/K-qPXMNI9paN5qwofw9Sozd_PcrK9yP5vjywxBubYqc1TReb7aoJSJdCy-JJYoqgNj0pyb4w=s88-c-k-c0x00ffffff-no-rj")</f>
        <v>https://yt3.ggpht.com/K-qPXMNI9paN5qwofw9Sozd_PcrK9yP5vjywxBubYqc1TReb7aoJSJdCy-JJYoqgNj0pyb4w=s88-c-k-c0x00ffffff-no-rj</v>
      </c>
      <c r="G198" s="66"/>
      <c r="H198" s="70" t="s">
        <v>1751</v>
      </c>
      <c r="I198" s="71"/>
      <c r="J198" s="71" t="s">
        <v>159</v>
      </c>
      <c r="K198" s="70" t="s">
        <v>1751</v>
      </c>
      <c r="L198" s="74">
        <v>1</v>
      </c>
      <c r="M198" s="75">
        <v>3801.340576171875</v>
      </c>
      <c r="N198" s="75">
        <v>7739.30224609375</v>
      </c>
      <c r="O198" s="76"/>
      <c r="P198" s="77"/>
      <c r="Q198" s="77"/>
      <c r="R198" s="89"/>
      <c r="S198" s="49">
        <v>1</v>
      </c>
      <c r="T198" s="49">
        <v>1</v>
      </c>
      <c r="U198" s="50">
        <v>0</v>
      </c>
      <c r="V198" s="50">
        <v>0.002597</v>
      </c>
      <c r="W198" s="50">
        <v>0.00486</v>
      </c>
      <c r="X198" s="50">
        <v>0.526148</v>
      </c>
      <c r="Y198" s="50">
        <v>0</v>
      </c>
      <c r="Z198" s="50">
        <v>1</v>
      </c>
      <c r="AA198" s="72">
        <v>198</v>
      </c>
      <c r="AB198" s="72"/>
      <c r="AC198" s="73"/>
      <c r="AD198" s="80" t="s">
        <v>1751</v>
      </c>
      <c r="AE198" s="80" t="s">
        <v>2871</v>
      </c>
      <c r="AF198" s="80"/>
      <c r="AG198" s="80"/>
      <c r="AH198" s="80"/>
      <c r="AI198" s="80"/>
      <c r="AJ198" s="87">
        <v>41458.71539351852</v>
      </c>
      <c r="AK198" s="85" t="str">
        <f>HYPERLINK("https://yt3.ggpht.com/K-qPXMNI9paN5qwofw9Sozd_PcrK9yP5vjywxBubYqc1TReb7aoJSJdCy-JJYoqgNj0pyb4w=s88-c-k-c0x00ffffff-no-rj")</f>
        <v>https://yt3.ggpht.com/K-qPXMNI9paN5qwofw9Sozd_PcrK9yP5vjywxBubYqc1TReb7aoJSJdCy-JJYoqgNj0pyb4w=s88-c-k-c0x00ffffff-no-rj</v>
      </c>
      <c r="AL198" s="80">
        <v>0</v>
      </c>
      <c r="AM198" s="80">
        <v>0</v>
      </c>
      <c r="AN198" s="80">
        <v>0</v>
      </c>
      <c r="AO198" s="80" t="b">
        <v>0</v>
      </c>
      <c r="AP198" s="80">
        <v>0</v>
      </c>
      <c r="AQ198" s="80"/>
      <c r="AR198" s="80"/>
      <c r="AS198" s="80" t="s">
        <v>3412</v>
      </c>
      <c r="AT198" s="85" t="str">
        <f>HYPERLINK("https://www.youtube.com/channel/UC4TTpP-AWKZAFdkVT1_bPgw")</f>
        <v>https://www.youtube.com/channel/UC4TTpP-AWKZAFdkVT1_bPgw</v>
      </c>
      <c r="AU198" s="80" t="str">
        <f>REPLACE(INDEX(GroupVertices[Group],MATCH(Vertices[[#This Row],[Vertex]],GroupVertices[Vertex],0)),1,1,"")</f>
        <v>1</v>
      </c>
      <c r="AV198" s="49">
        <v>1</v>
      </c>
      <c r="AW198" s="50">
        <v>50</v>
      </c>
      <c r="AX198" s="49">
        <v>0</v>
      </c>
      <c r="AY198" s="50">
        <v>0</v>
      </c>
      <c r="AZ198" s="49">
        <v>0</v>
      </c>
      <c r="BA198" s="50">
        <v>0</v>
      </c>
      <c r="BB198" s="49">
        <v>1</v>
      </c>
      <c r="BC198" s="50">
        <v>50</v>
      </c>
      <c r="BD198" s="49">
        <v>2</v>
      </c>
      <c r="BE198" s="49"/>
      <c r="BF198" s="49"/>
      <c r="BG198" s="49"/>
      <c r="BH198" s="49"/>
      <c r="BI198" s="49"/>
      <c r="BJ198" s="49"/>
      <c r="BK198" s="111" t="s">
        <v>4572</v>
      </c>
      <c r="BL198" s="111" t="s">
        <v>4572</v>
      </c>
      <c r="BM198" s="111" t="s">
        <v>4326</v>
      </c>
      <c r="BN198" s="111" t="s">
        <v>4326</v>
      </c>
      <c r="BO198" s="2"/>
      <c r="BP198" s="3"/>
      <c r="BQ198" s="3"/>
      <c r="BR198" s="3"/>
      <c r="BS198" s="3"/>
    </row>
    <row r="199" spans="1:71" ht="15">
      <c r="A199" s="65" t="s">
        <v>423</v>
      </c>
      <c r="B199" s="66"/>
      <c r="C199" s="66"/>
      <c r="D199" s="67">
        <v>150</v>
      </c>
      <c r="E199" s="69"/>
      <c r="F199" s="103" t="str">
        <f>HYPERLINK("https://yt3.ggpht.com/ytc/AKedOLTl8MwYNFIjtneTqsK7yK40yFEd-N6AH9DkgTHH=s88-c-k-c0x00ffffff-no-rj")</f>
        <v>https://yt3.ggpht.com/ytc/AKedOLTl8MwYNFIjtneTqsK7yK40yFEd-N6AH9DkgTHH=s88-c-k-c0x00ffffff-no-rj</v>
      </c>
      <c r="G199" s="66"/>
      <c r="H199" s="70" t="s">
        <v>1752</v>
      </c>
      <c r="I199" s="71"/>
      <c r="J199" s="71" t="s">
        <v>159</v>
      </c>
      <c r="K199" s="70" t="s">
        <v>1752</v>
      </c>
      <c r="L199" s="74">
        <v>1</v>
      </c>
      <c r="M199" s="75">
        <v>8771.5849609375</v>
      </c>
      <c r="N199" s="75">
        <v>7653.40673828125</v>
      </c>
      <c r="O199" s="76"/>
      <c r="P199" s="77"/>
      <c r="Q199" s="77"/>
      <c r="R199" s="89"/>
      <c r="S199" s="49">
        <v>0</v>
      </c>
      <c r="T199" s="49">
        <v>1</v>
      </c>
      <c r="U199" s="50">
        <v>0</v>
      </c>
      <c r="V199" s="50">
        <v>0.002597</v>
      </c>
      <c r="W199" s="50">
        <v>0.00486</v>
      </c>
      <c r="X199" s="50">
        <v>0.526148</v>
      </c>
      <c r="Y199" s="50">
        <v>0</v>
      </c>
      <c r="Z199" s="50">
        <v>0</v>
      </c>
      <c r="AA199" s="72">
        <v>199</v>
      </c>
      <c r="AB199" s="72"/>
      <c r="AC199" s="73"/>
      <c r="AD199" s="80" t="s">
        <v>1752</v>
      </c>
      <c r="AE199" s="80" t="s">
        <v>2872</v>
      </c>
      <c r="AF199" s="80"/>
      <c r="AG199" s="80"/>
      <c r="AH199" s="80"/>
      <c r="AI199" s="80"/>
      <c r="AJ199" s="80" t="s">
        <v>3210</v>
      </c>
      <c r="AK199" s="85" t="str">
        <f>HYPERLINK("https://yt3.ggpht.com/ytc/AKedOLTl8MwYNFIjtneTqsK7yK40yFEd-N6AH9DkgTHH=s88-c-k-c0x00ffffff-no-rj")</f>
        <v>https://yt3.ggpht.com/ytc/AKedOLTl8MwYNFIjtneTqsK7yK40yFEd-N6AH9DkgTHH=s88-c-k-c0x00ffffff-no-rj</v>
      </c>
      <c r="AL199" s="80">
        <v>0</v>
      </c>
      <c r="AM199" s="80">
        <v>0</v>
      </c>
      <c r="AN199" s="80">
        <v>3</v>
      </c>
      <c r="AO199" s="80" t="b">
        <v>0</v>
      </c>
      <c r="AP199" s="80">
        <v>0</v>
      </c>
      <c r="AQ199" s="80"/>
      <c r="AR199" s="80"/>
      <c r="AS199" s="80" t="s">
        <v>3412</v>
      </c>
      <c r="AT199" s="85" t="str">
        <f>HYPERLINK("https://www.youtube.com/channel/UCdAAVvZcpM_6oW16Eh2Jpgg")</f>
        <v>https://www.youtube.com/channel/UCdAAVvZcpM_6oW16Eh2Jpgg</v>
      </c>
      <c r="AU199" s="80" t="str">
        <f>REPLACE(INDEX(GroupVertices[Group],MATCH(Vertices[[#This Row],[Vertex]],GroupVertices[Vertex],0)),1,1,"")</f>
        <v>1</v>
      </c>
      <c r="AV199" s="49">
        <v>1</v>
      </c>
      <c r="AW199" s="50">
        <v>14.285714285714286</v>
      </c>
      <c r="AX199" s="49">
        <v>0</v>
      </c>
      <c r="AY199" s="50">
        <v>0</v>
      </c>
      <c r="AZ199" s="49">
        <v>0</v>
      </c>
      <c r="BA199" s="50">
        <v>0</v>
      </c>
      <c r="BB199" s="49">
        <v>6</v>
      </c>
      <c r="BC199" s="50">
        <v>85.71428571428571</v>
      </c>
      <c r="BD199" s="49">
        <v>7</v>
      </c>
      <c r="BE199" s="49"/>
      <c r="BF199" s="49"/>
      <c r="BG199" s="49"/>
      <c r="BH199" s="49"/>
      <c r="BI199" s="49"/>
      <c r="BJ199" s="49"/>
      <c r="BK199" s="111" t="s">
        <v>4573</v>
      </c>
      <c r="BL199" s="111" t="s">
        <v>4573</v>
      </c>
      <c r="BM199" s="111" t="s">
        <v>5048</v>
      </c>
      <c r="BN199" s="111" t="s">
        <v>5048</v>
      </c>
      <c r="BO199" s="2"/>
      <c r="BP199" s="3"/>
      <c r="BQ199" s="3"/>
      <c r="BR199" s="3"/>
      <c r="BS199" s="3"/>
    </row>
    <row r="200" spans="1:71" ht="15">
      <c r="A200" s="65" t="s">
        <v>424</v>
      </c>
      <c r="B200" s="66"/>
      <c r="C200" s="66"/>
      <c r="D200" s="67">
        <v>150</v>
      </c>
      <c r="E200" s="69"/>
      <c r="F200" s="103" t="str">
        <f>HYPERLINK("https://yt3.ggpht.com/ytc/AKedOLSChQPf8kfC0SaWvIdLx3x0BM2JdR-iQX1ZLxuDKw=s88-c-k-c0x00ffffff-no-rj")</f>
        <v>https://yt3.ggpht.com/ytc/AKedOLSChQPf8kfC0SaWvIdLx3x0BM2JdR-iQX1ZLxuDKw=s88-c-k-c0x00ffffff-no-rj</v>
      </c>
      <c r="G200" s="66"/>
      <c r="H200" s="70" t="s">
        <v>1753</v>
      </c>
      <c r="I200" s="71"/>
      <c r="J200" s="71" t="s">
        <v>159</v>
      </c>
      <c r="K200" s="70" t="s">
        <v>1753</v>
      </c>
      <c r="L200" s="74">
        <v>1</v>
      </c>
      <c r="M200" s="75">
        <v>3005.920654296875</v>
      </c>
      <c r="N200" s="75">
        <v>8876.0302734375</v>
      </c>
      <c r="O200" s="76"/>
      <c r="P200" s="77"/>
      <c r="Q200" s="77"/>
      <c r="R200" s="89"/>
      <c r="S200" s="49">
        <v>0</v>
      </c>
      <c r="T200" s="49">
        <v>1</v>
      </c>
      <c r="U200" s="50">
        <v>0</v>
      </c>
      <c r="V200" s="50">
        <v>0.002597</v>
      </c>
      <c r="W200" s="50">
        <v>0.00486</v>
      </c>
      <c r="X200" s="50">
        <v>0.526148</v>
      </c>
      <c r="Y200" s="50">
        <v>0</v>
      </c>
      <c r="Z200" s="50">
        <v>0</v>
      </c>
      <c r="AA200" s="72">
        <v>200</v>
      </c>
      <c r="AB200" s="72"/>
      <c r="AC200" s="73"/>
      <c r="AD200" s="80" t="s">
        <v>1753</v>
      </c>
      <c r="AE200" s="80" t="s">
        <v>2873</v>
      </c>
      <c r="AF200" s="80"/>
      <c r="AG200" s="80"/>
      <c r="AH200" s="80"/>
      <c r="AI200" s="80"/>
      <c r="AJ200" s="87">
        <v>39334.80716435185</v>
      </c>
      <c r="AK200" s="85" t="str">
        <f>HYPERLINK("https://yt3.ggpht.com/ytc/AKedOLSChQPf8kfC0SaWvIdLx3x0BM2JdR-iQX1ZLxuDKw=s88-c-k-c0x00ffffff-no-rj")</f>
        <v>https://yt3.ggpht.com/ytc/AKedOLSChQPf8kfC0SaWvIdLx3x0BM2JdR-iQX1ZLxuDKw=s88-c-k-c0x00ffffff-no-rj</v>
      </c>
      <c r="AL200" s="80">
        <v>17086</v>
      </c>
      <c r="AM200" s="80">
        <v>0</v>
      </c>
      <c r="AN200" s="80">
        <v>158</v>
      </c>
      <c r="AO200" s="80" t="b">
        <v>0</v>
      </c>
      <c r="AP200" s="80">
        <v>38</v>
      </c>
      <c r="AQ200" s="80"/>
      <c r="AR200" s="80"/>
      <c r="AS200" s="80" t="s">
        <v>3412</v>
      </c>
      <c r="AT200" s="85" t="str">
        <f>HYPERLINK("https://www.youtube.com/channel/UC9zezKVUM8gUGYQNJZQz4PQ")</f>
        <v>https://www.youtube.com/channel/UC9zezKVUM8gUGYQNJZQz4PQ</v>
      </c>
      <c r="AU200" s="80" t="str">
        <f>REPLACE(INDEX(GroupVertices[Group],MATCH(Vertices[[#This Row],[Vertex]],GroupVertices[Vertex],0)),1,1,"")</f>
        <v>1</v>
      </c>
      <c r="AV200" s="49">
        <v>1</v>
      </c>
      <c r="AW200" s="50">
        <v>50</v>
      </c>
      <c r="AX200" s="49">
        <v>0</v>
      </c>
      <c r="AY200" s="50">
        <v>0</v>
      </c>
      <c r="AZ200" s="49">
        <v>0</v>
      </c>
      <c r="BA200" s="50">
        <v>0</v>
      </c>
      <c r="BB200" s="49">
        <v>1</v>
      </c>
      <c r="BC200" s="50">
        <v>50</v>
      </c>
      <c r="BD200" s="49">
        <v>2</v>
      </c>
      <c r="BE200" s="49"/>
      <c r="BF200" s="49"/>
      <c r="BG200" s="49"/>
      <c r="BH200" s="49"/>
      <c r="BI200" s="49"/>
      <c r="BJ200" s="49"/>
      <c r="BK200" s="111" t="s">
        <v>3457</v>
      </c>
      <c r="BL200" s="111" t="s">
        <v>3457</v>
      </c>
      <c r="BM200" s="111" t="s">
        <v>2782</v>
      </c>
      <c r="BN200" s="111" t="s">
        <v>2782</v>
      </c>
      <c r="BO200" s="2"/>
      <c r="BP200" s="3"/>
      <c r="BQ200" s="3"/>
      <c r="BR200" s="3"/>
      <c r="BS200" s="3"/>
    </row>
    <row r="201" spans="1:71" ht="15">
      <c r="A201" s="65" t="s">
        <v>425</v>
      </c>
      <c r="B201" s="66"/>
      <c r="C201" s="66"/>
      <c r="D201" s="67">
        <v>150</v>
      </c>
      <c r="E201" s="69"/>
      <c r="F201" s="103" t="str">
        <f>HYPERLINK("https://yt3.ggpht.com/ytc/AKedOLSVvicGol7-yO5Z1v5J_lUNdoX8iy3UicwMmhG4=s88-c-k-c0x00ffffff-no-rj")</f>
        <v>https://yt3.ggpht.com/ytc/AKedOLSVvicGol7-yO5Z1v5J_lUNdoX8iy3UicwMmhG4=s88-c-k-c0x00ffffff-no-rj</v>
      </c>
      <c r="G201" s="66"/>
      <c r="H201" s="70" t="s">
        <v>1754</v>
      </c>
      <c r="I201" s="71"/>
      <c r="J201" s="71" t="s">
        <v>159</v>
      </c>
      <c r="K201" s="70" t="s">
        <v>1754</v>
      </c>
      <c r="L201" s="74">
        <v>1</v>
      </c>
      <c r="M201" s="75">
        <v>2801.5234375</v>
      </c>
      <c r="N201" s="75">
        <v>8186.0615234375</v>
      </c>
      <c r="O201" s="76"/>
      <c r="P201" s="77"/>
      <c r="Q201" s="77"/>
      <c r="R201" s="89"/>
      <c r="S201" s="49">
        <v>0</v>
      </c>
      <c r="T201" s="49">
        <v>1</v>
      </c>
      <c r="U201" s="50">
        <v>0</v>
      </c>
      <c r="V201" s="50">
        <v>0.002597</v>
      </c>
      <c r="W201" s="50">
        <v>0.00486</v>
      </c>
      <c r="X201" s="50">
        <v>0.526148</v>
      </c>
      <c r="Y201" s="50">
        <v>0</v>
      </c>
      <c r="Z201" s="50">
        <v>0</v>
      </c>
      <c r="AA201" s="72">
        <v>201</v>
      </c>
      <c r="AB201" s="72"/>
      <c r="AC201" s="73"/>
      <c r="AD201" s="80" t="s">
        <v>1754</v>
      </c>
      <c r="AE201" s="80" t="s">
        <v>2874</v>
      </c>
      <c r="AF201" s="80"/>
      <c r="AG201" s="80"/>
      <c r="AH201" s="80"/>
      <c r="AI201" s="80"/>
      <c r="AJ201" s="87">
        <v>40977.86924768519</v>
      </c>
      <c r="AK201" s="85" t="str">
        <f>HYPERLINK("https://yt3.ggpht.com/ytc/AKedOLSVvicGol7-yO5Z1v5J_lUNdoX8iy3UicwMmhG4=s88-c-k-c0x00ffffff-no-rj")</f>
        <v>https://yt3.ggpht.com/ytc/AKedOLSVvicGol7-yO5Z1v5J_lUNdoX8iy3UicwMmhG4=s88-c-k-c0x00ffffff-no-rj</v>
      </c>
      <c r="AL201" s="80">
        <v>63</v>
      </c>
      <c r="AM201" s="80">
        <v>0</v>
      </c>
      <c r="AN201" s="80">
        <v>1</v>
      </c>
      <c r="AO201" s="80" t="b">
        <v>0</v>
      </c>
      <c r="AP201" s="80">
        <v>1</v>
      </c>
      <c r="AQ201" s="80"/>
      <c r="AR201" s="80"/>
      <c r="AS201" s="80" t="s">
        <v>3412</v>
      </c>
      <c r="AT201" s="85" t="str">
        <f>HYPERLINK("https://www.youtube.com/channel/UCj-XJ0Br72D9LCQGjWJpfCQ")</f>
        <v>https://www.youtube.com/channel/UCj-XJ0Br72D9LCQGjWJpfCQ</v>
      </c>
      <c r="AU201" s="80" t="str">
        <f>REPLACE(INDEX(GroupVertices[Group],MATCH(Vertices[[#This Row],[Vertex]],GroupVertices[Vertex],0)),1,1,"")</f>
        <v>1</v>
      </c>
      <c r="AV201" s="49">
        <v>1</v>
      </c>
      <c r="AW201" s="50">
        <v>50</v>
      </c>
      <c r="AX201" s="49">
        <v>0</v>
      </c>
      <c r="AY201" s="50">
        <v>0</v>
      </c>
      <c r="AZ201" s="49">
        <v>0</v>
      </c>
      <c r="BA201" s="50">
        <v>0</v>
      </c>
      <c r="BB201" s="49">
        <v>1</v>
      </c>
      <c r="BC201" s="50">
        <v>50</v>
      </c>
      <c r="BD201" s="49">
        <v>2</v>
      </c>
      <c r="BE201" s="49"/>
      <c r="BF201" s="49"/>
      <c r="BG201" s="49"/>
      <c r="BH201" s="49"/>
      <c r="BI201" s="49"/>
      <c r="BJ201" s="49"/>
      <c r="BK201" s="111" t="s">
        <v>4572</v>
      </c>
      <c r="BL201" s="111" t="s">
        <v>4572</v>
      </c>
      <c r="BM201" s="111" t="s">
        <v>4326</v>
      </c>
      <c r="BN201" s="111" t="s">
        <v>4326</v>
      </c>
      <c r="BO201" s="2"/>
      <c r="BP201" s="3"/>
      <c r="BQ201" s="3"/>
      <c r="BR201" s="3"/>
      <c r="BS201" s="3"/>
    </row>
    <row r="202" spans="1:71" ht="15">
      <c r="A202" s="65" t="s">
        <v>426</v>
      </c>
      <c r="B202" s="66"/>
      <c r="C202" s="66"/>
      <c r="D202" s="67">
        <v>150</v>
      </c>
      <c r="E202" s="69"/>
      <c r="F202" s="103" t="str">
        <f>HYPERLINK("https://yt3.ggpht.com/ytc/AKedOLRtiSNqIOhZhS1A2oxd1lt1oDcqNhco1bokvA=s88-c-k-c0x00ffffff-no-rj")</f>
        <v>https://yt3.ggpht.com/ytc/AKedOLRtiSNqIOhZhS1A2oxd1lt1oDcqNhco1bokvA=s88-c-k-c0x00ffffff-no-rj</v>
      </c>
      <c r="G202" s="66"/>
      <c r="H202" s="70" t="s">
        <v>1755</v>
      </c>
      <c r="I202" s="71"/>
      <c r="J202" s="71" t="s">
        <v>159</v>
      </c>
      <c r="K202" s="70" t="s">
        <v>1755</v>
      </c>
      <c r="L202" s="74">
        <v>1</v>
      </c>
      <c r="M202" s="75">
        <v>9319.94140625</v>
      </c>
      <c r="N202" s="75">
        <v>8814.3095703125</v>
      </c>
      <c r="O202" s="76"/>
      <c r="P202" s="77"/>
      <c r="Q202" s="77"/>
      <c r="R202" s="89"/>
      <c r="S202" s="49">
        <v>0</v>
      </c>
      <c r="T202" s="49">
        <v>1</v>
      </c>
      <c r="U202" s="50">
        <v>0</v>
      </c>
      <c r="V202" s="50">
        <v>0.002597</v>
      </c>
      <c r="W202" s="50">
        <v>0.00486</v>
      </c>
      <c r="X202" s="50">
        <v>0.526148</v>
      </c>
      <c r="Y202" s="50">
        <v>0</v>
      </c>
      <c r="Z202" s="50">
        <v>0</v>
      </c>
      <c r="AA202" s="72">
        <v>202</v>
      </c>
      <c r="AB202" s="72"/>
      <c r="AC202" s="73"/>
      <c r="AD202" s="80" t="s">
        <v>1755</v>
      </c>
      <c r="AE202" s="80"/>
      <c r="AF202" s="80"/>
      <c r="AG202" s="80"/>
      <c r="AH202" s="80"/>
      <c r="AI202" s="80"/>
      <c r="AJ202" s="87">
        <v>42195.715902777774</v>
      </c>
      <c r="AK202" s="85" t="str">
        <f>HYPERLINK("https://yt3.ggpht.com/ytc/AKedOLRtiSNqIOhZhS1A2oxd1lt1oDcqNhco1bokvA=s88-c-k-c0x00ffffff-no-rj")</f>
        <v>https://yt3.ggpht.com/ytc/AKedOLRtiSNqIOhZhS1A2oxd1lt1oDcqNhco1bokvA=s88-c-k-c0x00ffffff-no-rj</v>
      </c>
      <c r="AL202" s="80">
        <v>0</v>
      </c>
      <c r="AM202" s="80">
        <v>0</v>
      </c>
      <c r="AN202" s="80">
        <v>0</v>
      </c>
      <c r="AO202" s="80" t="b">
        <v>0</v>
      </c>
      <c r="AP202" s="80">
        <v>0</v>
      </c>
      <c r="AQ202" s="80"/>
      <c r="AR202" s="80"/>
      <c r="AS202" s="80" t="s">
        <v>3412</v>
      </c>
      <c r="AT202" s="85" t="str">
        <f>HYPERLINK("https://www.youtube.com/channel/UCKO5k9-UdH6bjVafQWC6_pA")</f>
        <v>https://www.youtube.com/channel/UCKO5k9-UdH6bjVafQWC6_pA</v>
      </c>
      <c r="AU202" s="80" t="str">
        <f>REPLACE(INDEX(GroupVertices[Group],MATCH(Vertices[[#This Row],[Vertex]],GroupVertices[Vertex],0)),1,1,"")</f>
        <v>1</v>
      </c>
      <c r="AV202" s="49">
        <v>1</v>
      </c>
      <c r="AW202" s="50">
        <v>7.6923076923076925</v>
      </c>
      <c r="AX202" s="49">
        <v>0</v>
      </c>
      <c r="AY202" s="50">
        <v>0</v>
      </c>
      <c r="AZ202" s="49">
        <v>0</v>
      </c>
      <c r="BA202" s="50">
        <v>0</v>
      </c>
      <c r="BB202" s="49">
        <v>12</v>
      </c>
      <c r="BC202" s="50">
        <v>92.3076923076923</v>
      </c>
      <c r="BD202" s="49">
        <v>13</v>
      </c>
      <c r="BE202" s="49"/>
      <c r="BF202" s="49"/>
      <c r="BG202" s="49"/>
      <c r="BH202" s="49"/>
      <c r="BI202" s="49"/>
      <c r="BJ202" s="49"/>
      <c r="BK202" s="111" t="s">
        <v>4574</v>
      </c>
      <c r="BL202" s="111" t="s">
        <v>4574</v>
      </c>
      <c r="BM202" s="111" t="s">
        <v>5049</v>
      </c>
      <c r="BN202" s="111" t="s">
        <v>5049</v>
      </c>
      <c r="BO202" s="2"/>
      <c r="BP202" s="3"/>
      <c r="BQ202" s="3"/>
      <c r="BR202" s="3"/>
      <c r="BS202" s="3"/>
    </row>
    <row r="203" spans="1:71" ht="15">
      <c r="A203" s="65" t="s">
        <v>427</v>
      </c>
      <c r="B203" s="66"/>
      <c r="C203" s="66"/>
      <c r="D203" s="67">
        <v>150</v>
      </c>
      <c r="E203" s="69"/>
      <c r="F203" s="103" t="str">
        <f>HYPERLINK("https://yt3.ggpht.com/ZGeJ-TpbOGlwp9nWJSh-gpFwMLJXN7FLHcFyEQvYH7BxLod8z_tL1Ool1UIc6EVRYqgDjRswww=s88-c-k-c0x00ffffff-no-rj")</f>
        <v>https://yt3.ggpht.com/ZGeJ-TpbOGlwp9nWJSh-gpFwMLJXN7FLHcFyEQvYH7BxLod8z_tL1Ool1UIc6EVRYqgDjRswww=s88-c-k-c0x00ffffff-no-rj</v>
      </c>
      <c r="G203" s="66"/>
      <c r="H203" s="70" t="s">
        <v>1756</v>
      </c>
      <c r="I203" s="71"/>
      <c r="J203" s="71" t="s">
        <v>159</v>
      </c>
      <c r="K203" s="70" t="s">
        <v>1756</v>
      </c>
      <c r="L203" s="74">
        <v>1</v>
      </c>
      <c r="M203" s="75">
        <v>6177.2587890625</v>
      </c>
      <c r="N203" s="75">
        <v>9617.265625</v>
      </c>
      <c r="O203" s="76"/>
      <c r="P203" s="77"/>
      <c r="Q203" s="77"/>
      <c r="R203" s="89"/>
      <c r="S203" s="49">
        <v>0</v>
      </c>
      <c r="T203" s="49">
        <v>1</v>
      </c>
      <c r="U203" s="50">
        <v>0</v>
      </c>
      <c r="V203" s="50">
        <v>0.002597</v>
      </c>
      <c r="W203" s="50">
        <v>0.00486</v>
      </c>
      <c r="X203" s="50">
        <v>0.526148</v>
      </c>
      <c r="Y203" s="50">
        <v>0</v>
      </c>
      <c r="Z203" s="50">
        <v>0</v>
      </c>
      <c r="AA203" s="72">
        <v>203</v>
      </c>
      <c r="AB203" s="72"/>
      <c r="AC203" s="73"/>
      <c r="AD203" s="80" t="s">
        <v>1756</v>
      </c>
      <c r="AE203" s="80" t="s">
        <v>2875</v>
      </c>
      <c r="AF203" s="80"/>
      <c r="AG203" s="80"/>
      <c r="AH203" s="80"/>
      <c r="AI203" s="80"/>
      <c r="AJ203" s="80" t="s">
        <v>3211</v>
      </c>
      <c r="AK203" s="85" t="str">
        <f>HYPERLINK("https://yt3.ggpht.com/ZGeJ-TpbOGlwp9nWJSh-gpFwMLJXN7FLHcFyEQvYH7BxLod8z_tL1Ool1UIc6EVRYqgDjRswww=s88-c-k-c0x00ffffff-no-rj")</f>
        <v>https://yt3.ggpht.com/ZGeJ-TpbOGlwp9nWJSh-gpFwMLJXN7FLHcFyEQvYH7BxLod8z_tL1Ool1UIc6EVRYqgDjRswww=s88-c-k-c0x00ffffff-no-rj</v>
      </c>
      <c r="AL203" s="80">
        <v>471313</v>
      </c>
      <c r="AM203" s="80">
        <v>0</v>
      </c>
      <c r="AN203" s="80">
        <v>4530</v>
      </c>
      <c r="AO203" s="80" t="b">
        <v>0</v>
      </c>
      <c r="AP203" s="80">
        <v>527</v>
      </c>
      <c r="AQ203" s="80"/>
      <c r="AR203" s="80"/>
      <c r="AS203" s="80" t="s">
        <v>3412</v>
      </c>
      <c r="AT203" s="85" t="str">
        <f>HYPERLINK("https://www.youtube.com/channel/UC74JtQ2kUOGNYk2CKC6ICDw")</f>
        <v>https://www.youtube.com/channel/UC74JtQ2kUOGNYk2CKC6ICDw</v>
      </c>
      <c r="AU203" s="80" t="str">
        <f>REPLACE(INDEX(GroupVertices[Group],MATCH(Vertices[[#This Row],[Vertex]],GroupVertices[Vertex],0)),1,1,"")</f>
        <v>1</v>
      </c>
      <c r="AV203" s="49">
        <v>3</v>
      </c>
      <c r="AW203" s="50">
        <v>27.272727272727273</v>
      </c>
      <c r="AX203" s="49">
        <v>0</v>
      </c>
      <c r="AY203" s="50">
        <v>0</v>
      </c>
      <c r="AZ203" s="49">
        <v>0</v>
      </c>
      <c r="BA203" s="50">
        <v>0</v>
      </c>
      <c r="BB203" s="49">
        <v>8</v>
      </c>
      <c r="BC203" s="50">
        <v>72.72727272727273</v>
      </c>
      <c r="BD203" s="49">
        <v>11</v>
      </c>
      <c r="BE203" s="49"/>
      <c r="BF203" s="49"/>
      <c r="BG203" s="49"/>
      <c r="BH203" s="49"/>
      <c r="BI203" s="49"/>
      <c r="BJ203" s="49"/>
      <c r="BK203" s="111" t="s">
        <v>4575</v>
      </c>
      <c r="BL203" s="111" t="s">
        <v>4575</v>
      </c>
      <c r="BM203" s="111" t="s">
        <v>5050</v>
      </c>
      <c r="BN203" s="111" t="s">
        <v>5050</v>
      </c>
      <c r="BO203" s="2"/>
      <c r="BP203" s="3"/>
      <c r="BQ203" s="3"/>
      <c r="BR203" s="3"/>
      <c r="BS203" s="3"/>
    </row>
    <row r="204" spans="1:71" ht="15">
      <c r="A204" s="65" t="s">
        <v>428</v>
      </c>
      <c r="B204" s="66"/>
      <c r="C204" s="66"/>
      <c r="D204" s="67">
        <v>150</v>
      </c>
      <c r="E204" s="69"/>
      <c r="F204" s="103" t="str">
        <f>HYPERLINK("https://yt3.ggpht.com/ytc/AKedOLRpwdolfQZbGEW8uYDDYKCjoPV_dWIQWa7WDq2oNcY=s88-c-k-c0x00ffffff-no-rj")</f>
        <v>https://yt3.ggpht.com/ytc/AKedOLRpwdolfQZbGEW8uYDDYKCjoPV_dWIQWa7WDq2oNcY=s88-c-k-c0x00ffffff-no-rj</v>
      </c>
      <c r="G204" s="66"/>
      <c r="H204" s="70" t="s">
        <v>1757</v>
      </c>
      <c r="I204" s="71"/>
      <c r="J204" s="71" t="s">
        <v>159</v>
      </c>
      <c r="K204" s="70" t="s">
        <v>1757</v>
      </c>
      <c r="L204" s="74">
        <v>1</v>
      </c>
      <c r="M204" s="75">
        <v>3557.299072265625</v>
      </c>
      <c r="N204" s="75">
        <v>8934.5341796875</v>
      </c>
      <c r="O204" s="76"/>
      <c r="P204" s="77"/>
      <c r="Q204" s="77"/>
      <c r="R204" s="89"/>
      <c r="S204" s="49">
        <v>1</v>
      </c>
      <c r="T204" s="49">
        <v>1</v>
      </c>
      <c r="U204" s="50">
        <v>0</v>
      </c>
      <c r="V204" s="50">
        <v>0.002597</v>
      </c>
      <c r="W204" s="50">
        <v>0.00486</v>
      </c>
      <c r="X204" s="50">
        <v>0.526148</v>
      </c>
      <c r="Y204" s="50">
        <v>0</v>
      </c>
      <c r="Z204" s="50">
        <v>1</v>
      </c>
      <c r="AA204" s="72">
        <v>204</v>
      </c>
      <c r="AB204" s="72"/>
      <c r="AC204" s="73"/>
      <c r="AD204" s="80" t="s">
        <v>1757</v>
      </c>
      <c r="AE204" s="80" t="s">
        <v>2876</v>
      </c>
      <c r="AF204" s="80"/>
      <c r="AG204" s="80"/>
      <c r="AH204" s="80"/>
      <c r="AI204" s="80"/>
      <c r="AJ204" s="87">
        <v>40271.8578587963</v>
      </c>
      <c r="AK204" s="85" t="str">
        <f>HYPERLINK("https://yt3.ggpht.com/ytc/AKedOLRpwdolfQZbGEW8uYDDYKCjoPV_dWIQWa7WDq2oNcY=s88-c-k-c0x00ffffff-no-rj")</f>
        <v>https://yt3.ggpht.com/ytc/AKedOLRpwdolfQZbGEW8uYDDYKCjoPV_dWIQWa7WDq2oNcY=s88-c-k-c0x00ffffff-no-rj</v>
      </c>
      <c r="AL204" s="80">
        <v>0</v>
      </c>
      <c r="AM204" s="80">
        <v>0</v>
      </c>
      <c r="AN204" s="80">
        <v>2</v>
      </c>
      <c r="AO204" s="80" t="b">
        <v>0</v>
      </c>
      <c r="AP204" s="80">
        <v>0</v>
      </c>
      <c r="AQ204" s="80"/>
      <c r="AR204" s="80"/>
      <c r="AS204" s="80" t="s">
        <v>3412</v>
      </c>
      <c r="AT204" s="85" t="str">
        <f>HYPERLINK("https://www.youtube.com/channel/UCMavrp4EnHaop5NsO49PSWQ")</f>
        <v>https://www.youtube.com/channel/UCMavrp4EnHaop5NsO49PSWQ</v>
      </c>
      <c r="AU204" s="80" t="str">
        <f>REPLACE(INDEX(GroupVertices[Group],MATCH(Vertices[[#This Row],[Vertex]],GroupVertices[Vertex],0)),1,1,"")</f>
        <v>1</v>
      </c>
      <c r="AV204" s="49">
        <v>4</v>
      </c>
      <c r="AW204" s="50">
        <v>6.451612903225806</v>
      </c>
      <c r="AX204" s="49">
        <v>2</v>
      </c>
      <c r="AY204" s="50">
        <v>3.225806451612903</v>
      </c>
      <c r="AZ204" s="49">
        <v>0</v>
      </c>
      <c r="BA204" s="50">
        <v>0</v>
      </c>
      <c r="BB204" s="49">
        <v>56</v>
      </c>
      <c r="BC204" s="50">
        <v>90.3225806451613</v>
      </c>
      <c r="BD204" s="49">
        <v>62</v>
      </c>
      <c r="BE204" s="49"/>
      <c r="BF204" s="49"/>
      <c r="BG204" s="49"/>
      <c r="BH204" s="49"/>
      <c r="BI204" s="49"/>
      <c r="BJ204" s="49"/>
      <c r="BK204" s="111" t="s">
        <v>4576</v>
      </c>
      <c r="BL204" s="111" t="s">
        <v>4576</v>
      </c>
      <c r="BM204" s="111" t="s">
        <v>5051</v>
      </c>
      <c r="BN204" s="111" t="s">
        <v>5051</v>
      </c>
      <c r="BO204" s="2"/>
      <c r="BP204" s="3"/>
      <c r="BQ204" s="3"/>
      <c r="BR204" s="3"/>
      <c r="BS204" s="3"/>
    </row>
    <row r="205" spans="1:71" ht="15">
      <c r="A205" s="65" t="s">
        <v>429</v>
      </c>
      <c r="B205" s="66"/>
      <c r="C205" s="66"/>
      <c r="D205" s="67">
        <v>150</v>
      </c>
      <c r="E205" s="69"/>
      <c r="F205" s="103" t="str">
        <f>HYPERLINK("https://yt3.ggpht.com/ytc/AKedOLT2NlexB2JIvbdubOzo_2-JAM-mxGTU-yEsAPQVjg=s88-c-k-c0x00ffffff-no-rj")</f>
        <v>https://yt3.ggpht.com/ytc/AKedOLT2NlexB2JIvbdubOzo_2-JAM-mxGTU-yEsAPQVjg=s88-c-k-c0x00ffffff-no-rj</v>
      </c>
      <c r="G205" s="66"/>
      <c r="H205" s="70" t="s">
        <v>1758</v>
      </c>
      <c r="I205" s="71"/>
      <c r="J205" s="71" t="s">
        <v>159</v>
      </c>
      <c r="K205" s="70" t="s">
        <v>1758</v>
      </c>
      <c r="L205" s="74">
        <v>1</v>
      </c>
      <c r="M205" s="75">
        <v>5961.46923828125</v>
      </c>
      <c r="N205" s="75">
        <v>9665.3291015625</v>
      </c>
      <c r="O205" s="76"/>
      <c r="P205" s="77"/>
      <c r="Q205" s="77"/>
      <c r="R205" s="89"/>
      <c r="S205" s="49">
        <v>1</v>
      </c>
      <c r="T205" s="49">
        <v>1</v>
      </c>
      <c r="U205" s="50">
        <v>0</v>
      </c>
      <c r="V205" s="50">
        <v>0.002597</v>
      </c>
      <c r="W205" s="50">
        <v>0.00486</v>
      </c>
      <c r="X205" s="50">
        <v>0.526148</v>
      </c>
      <c r="Y205" s="50">
        <v>0</v>
      </c>
      <c r="Z205" s="50">
        <v>1</v>
      </c>
      <c r="AA205" s="72">
        <v>205</v>
      </c>
      <c r="AB205" s="72"/>
      <c r="AC205" s="73"/>
      <c r="AD205" s="80" t="s">
        <v>1758</v>
      </c>
      <c r="AE205" s="80" t="s">
        <v>2877</v>
      </c>
      <c r="AF205" s="80"/>
      <c r="AG205" s="80"/>
      <c r="AH205" s="80"/>
      <c r="AI205" s="80" t="s">
        <v>3044</v>
      </c>
      <c r="AJ205" s="80" t="s">
        <v>3212</v>
      </c>
      <c r="AK205" s="85" t="str">
        <f>HYPERLINK("https://yt3.ggpht.com/ytc/AKedOLT2NlexB2JIvbdubOzo_2-JAM-mxGTU-yEsAPQVjg=s88-c-k-c0x00ffffff-no-rj")</f>
        <v>https://yt3.ggpht.com/ytc/AKedOLT2NlexB2JIvbdubOzo_2-JAM-mxGTU-yEsAPQVjg=s88-c-k-c0x00ffffff-no-rj</v>
      </c>
      <c r="AL205" s="80">
        <v>6659921</v>
      </c>
      <c r="AM205" s="80">
        <v>0</v>
      </c>
      <c r="AN205" s="80">
        <v>47900</v>
      </c>
      <c r="AO205" s="80" t="b">
        <v>0</v>
      </c>
      <c r="AP205" s="80">
        <v>679</v>
      </c>
      <c r="AQ205" s="80"/>
      <c r="AR205" s="80"/>
      <c r="AS205" s="80" t="s">
        <v>3412</v>
      </c>
      <c r="AT205" s="85" t="str">
        <f>HYPERLINK("https://www.youtube.com/channel/UCXcl157VymrO9vRNg1nDMfQ")</f>
        <v>https://www.youtube.com/channel/UCXcl157VymrO9vRNg1nDMfQ</v>
      </c>
      <c r="AU205" s="80" t="str">
        <f>REPLACE(INDEX(GroupVertices[Group],MATCH(Vertices[[#This Row],[Vertex]],GroupVertices[Vertex],0)),1,1,"")</f>
        <v>1</v>
      </c>
      <c r="AV205" s="49">
        <v>4</v>
      </c>
      <c r="AW205" s="50">
        <v>22.22222222222222</v>
      </c>
      <c r="AX205" s="49">
        <v>0</v>
      </c>
      <c r="AY205" s="50">
        <v>0</v>
      </c>
      <c r="AZ205" s="49">
        <v>0</v>
      </c>
      <c r="BA205" s="50">
        <v>0</v>
      </c>
      <c r="BB205" s="49">
        <v>14</v>
      </c>
      <c r="BC205" s="50">
        <v>77.77777777777777</v>
      </c>
      <c r="BD205" s="49">
        <v>18</v>
      </c>
      <c r="BE205" s="49"/>
      <c r="BF205" s="49"/>
      <c r="BG205" s="49"/>
      <c r="BH205" s="49"/>
      <c r="BI205" s="49"/>
      <c r="BJ205" s="49"/>
      <c r="BK205" s="111" t="s">
        <v>4577</v>
      </c>
      <c r="BL205" s="111" t="s">
        <v>4577</v>
      </c>
      <c r="BM205" s="111" t="s">
        <v>5052</v>
      </c>
      <c r="BN205" s="111" t="s">
        <v>5052</v>
      </c>
      <c r="BO205" s="2"/>
      <c r="BP205" s="3"/>
      <c r="BQ205" s="3"/>
      <c r="BR205" s="3"/>
      <c r="BS205" s="3"/>
    </row>
    <row r="206" spans="1:71" ht="15">
      <c r="A206" s="65" t="s">
        <v>430</v>
      </c>
      <c r="B206" s="66"/>
      <c r="C206" s="66"/>
      <c r="D206" s="67">
        <v>150</v>
      </c>
      <c r="E206" s="69"/>
      <c r="F206" s="103" t="str">
        <f>HYPERLINK("https://yt3.ggpht.com/ytc/AKedOLTDo0tCF84qLwgp3P-Fut0IY0r1PZ3fYHL36A=s88-c-k-c0x00ffffff-no-rj")</f>
        <v>https://yt3.ggpht.com/ytc/AKedOLTDo0tCF84qLwgp3P-Fut0IY0r1PZ3fYHL36A=s88-c-k-c0x00ffffff-no-rj</v>
      </c>
      <c r="G206" s="66"/>
      <c r="H206" s="70" t="s">
        <v>1759</v>
      </c>
      <c r="I206" s="71"/>
      <c r="J206" s="71" t="s">
        <v>159</v>
      </c>
      <c r="K206" s="70" t="s">
        <v>1759</v>
      </c>
      <c r="L206" s="74">
        <v>1</v>
      </c>
      <c r="M206" s="75">
        <v>3347.828125</v>
      </c>
      <c r="N206" s="75">
        <v>8759.63671875</v>
      </c>
      <c r="O206" s="76"/>
      <c r="P206" s="77"/>
      <c r="Q206" s="77"/>
      <c r="R206" s="89"/>
      <c r="S206" s="49">
        <v>1</v>
      </c>
      <c r="T206" s="49">
        <v>1</v>
      </c>
      <c r="U206" s="50">
        <v>0</v>
      </c>
      <c r="V206" s="50">
        <v>0.002597</v>
      </c>
      <c r="W206" s="50">
        <v>0.00486</v>
      </c>
      <c r="X206" s="50">
        <v>0.526148</v>
      </c>
      <c r="Y206" s="50">
        <v>0</v>
      </c>
      <c r="Z206" s="50">
        <v>1</v>
      </c>
      <c r="AA206" s="72">
        <v>206</v>
      </c>
      <c r="AB206" s="72"/>
      <c r="AC206" s="73"/>
      <c r="AD206" s="80" t="s">
        <v>1759</v>
      </c>
      <c r="AE206" s="80"/>
      <c r="AF206" s="80"/>
      <c r="AG206" s="80"/>
      <c r="AH206" s="80"/>
      <c r="AI206" s="80"/>
      <c r="AJ206" s="80" t="s">
        <v>3213</v>
      </c>
      <c r="AK206" s="85" t="str">
        <f>HYPERLINK("https://yt3.ggpht.com/ytc/AKedOLTDo0tCF84qLwgp3P-Fut0IY0r1PZ3fYHL36A=s88-c-k-c0x00ffffff-no-rj")</f>
        <v>https://yt3.ggpht.com/ytc/AKedOLTDo0tCF84qLwgp3P-Fut0IY0r1PZ3fYHL36A=s88-c-k-c0x00ffffff-no-rj</v>
      </c>
      <c r="AL206" s="80">
        <v>0</v>
      </c>
      <c r="AM206" s="80">
        <v>0</v>
      </c>
      <c r="AN206" s="80">
        <v>0</v>
      </c>
      <c r="AO206" s="80" t="b">
        <v>0</v>
      </c>
      <c r="AP206" s="80">
        <v>0</v>
      </c>
      <c r="AQ206" s="80"/>
      <c r="AR206" s="80"/>
      <c r="AS206" s="80" t="s">
        <v>3412</v>
      </c>
      <c r="AT206" s="85" t="str">
        <f>HYPERLINK("https://www.youtube.com/channel/UCNeUHjjDcVrn3-JbArGhNwg")</f>
        <v>https://www.youtube.com/channel/UCNeUHjjDcVrn3-JbArGhNwg</v>
      </c>
      <c r="AU206" s="80" t="str">
        <f>REPLACE(INDEX(GroupVertices[Group],MATCH(Vertices[[#This Row],[Vertex]],GroupVertices[Vertex],0)),1,1,"")</f>
        <v>1</v>
      </c>
      <c r="AV206" s="49">
        <v>8</v>
      </c>
      <c r="AW206" s="50">
        <v>10.666666666666666</v>
      </c>
      <c r="AX206" s="49">
        <v>0</v>
      </c>
      <c r="AY206" s="50">
        <v>0</v>
      </c>
      <c r="AZ206" s="49">
        <v>0</v>
      </c>
      <c r="BA206" s="50">
        <v>0</v>
      </c>
      <c r="BB206" s="49">
        <v>67</v>
      </c>
      <c r="BC206" s="50">
        <v>89.33333333333333</v>
      </c>
      <c r="BD206" s="49">
        <v>75</v>
      </c>
      <c r="BE206" s="49"/>
      <c r="BF206" s="49"/>
      <c r="BG206" s="49"/>
      <c r="BH206" s="49"/>
      <c r="BI206" s="49"/>
      <c r="BJ206" s="49"/>
      <c r="BK206" s="111" t="s">
        <v>4578</v>
      </c>
      <c r="BL206" s="111" t="s">
        <v>4578</v>
      </c>
      <c r="BM206" s="111" t="s">
        <v>5053</v>
      </c>
      <c r="BN206" s="111" t="s">
        <v>5053</v>
      </c>
      <c r="BO206" s="2"/>
      <c r="BP206" s="3"/>
      <c r="BQ206" s="3"/>
      <c r="BR206" s="3"/>
      <c r="BS206" s="3"/>
    </row>
    <row r="207" spans="1:71" ht="15">
      <c r="A207" s="65" t="s">
        <v>431</v>
      </c>
      <c r="B207" s="66"/>
      <c r="C207" s="66"/>
      <c r="D207" s="67">
        <v>150</v>
      </c>
      <c r="E207" s="69"/>
      <c r="F207" s="103" t="str">
        <f>HYPERLINK("https://yt3.ggpht.com/ytc/AKedOLQxYZ_LyWlJAeEQOylvfBkLinWwHsBJGfX5cZyHCw=s88-c-k-c0x00ffffff-no-rj")</f>
        <v>https://yt3.ggpht.com/ytc/AKedOLQxYZ_LyWlJAeEQOylvfBkLinWwHsBJGfX5cZyHCw=s88-c-k-c0x00ffffff-no-rj</v>
      </c>
      <c r="G207" s="66"/>
      <c r="H207" s="70" t="s">
        <v>1760</v>
      </c>
      <c r="I207" s="71"/>
      <c r="J207" s="71" t="s">
        <v>159</v>
      </c>
      <c r="K207" s="70" t="s">
        <v>1760</v>
      </c>
      <c r="L207" s="74">
        <v>1</v>
      </c>
      <c r="M207" s="75">
        <v>8776.892578125</v>
      </c>
      <c r="N207" s="75">
        <v>8711.8837890625</v>
      </c>
      <c r="O207" s="76"/>
      <c r="P207" s="77"/>
      <c r="Q207" s="77"/>
      <c r="R207" s="89"/>
      <c r="S207" s="49">
        <v>0</v>
      </c>
      <c r="T207" s="49">
        <v>1</v>
      </c>
      <c r="U207" s="50">
        <v>0</v>
      </c>
      <c r="V207" s="50">
        <v>0.002597</v>
      </c>
      <c r="W207" s="50">
        <v>0.00486</v>
      </c>
      <c r="X207" s="50">
        <v>0.526148</v>
      </c>
      <c r="Y207" s="50">
        <v>0</v>
      </c>
      <c r="Z207" s="50">
        <v>0</v>
      </c>
      <c r="AA207" s="72">
        <v>207</v>
      </c>
      <c r="AB207" s="72"/>
      <c r="AC207" s="73"/>
      <c r="AD207" s="80" t="s">
        <v>1760</v>
      </c>
      <c r="AE207" s="80" t="s">
        <v>2878</v>
      </c>
      <c r="AF207" s="80"/>
      <c r="AG207" s="80"/>
      <c r="AH207" s="80"/>
      <c r="AI207" s="80"/>
      <c r="AJ207" s="80" t="s">
        <v>3214</v>
      </c>
      <c r="AK207" s="85" t="str">
        <f>HYPERLINK("https://yt3.ggpht.com/ytc/AKedOLQxYZ_LyWlJAeEQOylvfBkLinWwHsBJGfX5cZyHCw=s88-c-k-c0x00ffffff-no-rj")</f>
        <v>https://yt3.ggpht.com/ytc/AKedOLQxYZ_LyWlJAeEQOylvfBkLinWwHsBJGfX5cZyHCw=s88-c-k-c0x00ffffff-no-rj</v>
      </c>
      <c r="AL207" s="80">
        <v>211</v>
      </c>
      <c r="AM207" s="80">
        <v>0</v>
      </c>
      <c r="AN207" s="80">
        <v>76</v>
      </c>
      <c r="AO207" s="80" t="b">
        <v>0</v>
      </c>
      <c r="AP207" s="80">
        <v>1</v>
      </c>
      <c r="AQ207" s="80"/>
      <c r="AR207" s="80"/>
      <c r="AS207" s="80" t="s">
        <v>3412</v>
      </c>
      <c r="AT207" s="85" t="str">
        <f>HYPERLINK("https://www.youtube.com/channel/UC6LaBZ_TUJkyYifcxZ1hTcw")</f>
        <v>https://www.youtube.com/channel/UC6LaBZ_TUJkyYifcxZ1hTcw</v>
      </c>
      <c r="AU207" s="80" t="str">
        <f>REPLACE(INDEX(GroupVertices[Group],MATCH(Vertices[[#This Row],[Vertex]],GroupVertices[Vertex],0)),1,1,"")</f>
        <v>1</v>
      </c>
      <c r="AV207" s="49">
        <v>4</v>
      </c>
      <c r="AW207" s="50">
        <v>13.333333333333334</v>
      </c>
      <c r="AX207" s="49">
        <v>0</v>
      </c>
      <c r="AY207" s="50">
        <v>0</v>
      </c>
      <c r="AZ207" s="49">
        <v>0</v>
      </c>
      <c r="BA207" s="50">
        <v>0</v>
      </c>
      <c r="BB207" s="49">
        <v>26</v>
      </c>
      <c r="BC207" s="50">
        <v>86.66666666666667</v>
      </c>
      <c r="BD207" s="49">
        <v>30</v>
      </c>
      <c r="BE207" s="49"/>
      <c r="BF207" s="49"/>
      <c r="BG207" s="49"/>
      <c r="BH207" s="49"/>
      <c r="BI207" s="49"/>
      <c r="BJ207" s="49"/>
      <c r="BK207" s="111" t="s">
        <v>4579</v>
      </c>
      <c r="BL207" s="111" t="s">
        <v>4579</v>
      </c>
      <c r="BM207" s="111" t="s">
        <v>5054</v>
      </c>
      <c r="BN207" s="111" t="s">
        <v>5054</v>
      </c>
      <c r="BO207" s="2"/>
      <c r="BP207" s="3"/>
      <c r="BQ207" s="3"/>
      <c r="BR207" s="3"/>
      <c r="BS207" s="3"/>
    </row>
    <row r="208" spans="1:71" ht="15">
      <c r="A208" s="65" t="s">
        <v>432</v>
      </c>
      <c r="B208" s="66"/>
      <c r="C208" s="66"/>
      <c r="D208" s="67">
        <v>150</v>
      </c>
      <c r="E208" s="69"/>
      <c r="F208" s="103" t="str">
        <f>HYPERLINK("https://yt3.ggpht.com/IEIj98mBmYoIydy8ssMSU8UzINoWdBzAIcsPcPHjjCd5eD0QF6P-BBRuqLU-TkeXFKLeHH5m=s88-c-k-c0x00ffffff-no-rj")</f>
        <v>https://yt3.ggpht.com/IEIj98mBmYoIydy8ssMSU8UzINoWdBzAIcsPcPHjjCd5eD0QF6P-BBRuqLU-TkeXFKLeHH5m=s88-c-k-c0x00ffffff-no-rj</v>
      </c>
      <c r="G208" s="66"/>
      <c r="H208" s="70" t="s">
        <v>1761</v>
      </c>
      <c r="I208" s="71"/>
      <c r="J208" s="71" t="s">
        <v>159</v>
      </c>
      <c r="K208" s="70" t="s">
        <v>1761</v>
      </c>
      <c r="L208" s="74">
        <v>1</v>
      </c>
      <c r="M208" s="75">
        <v>5110.189453125</v>
      </c>
      <c r="N208" s="75">
        <v>9559.048828125</v>
      </c>
      <c r="O208" s="76"/>
      <c r="P208" s="77"/>
      <c r="Q208" s="77"/>
      <c r="R208" s="89"/>
      <c r="S208" s="49">
        <v>1</v>
      </c>
      <c r="T208" s="49">
        <v>1</v>
      </c>
      <c r="U208" s="50">
        <v>0</v>
      </c>
      <c r="V208" s="50">
        <v>0.002597</v>
      </c>
      <c r="W208" s="50">
        <v>0.00486</v>
      </c>
      <c r="X208" s="50">
        <v>0.526148</v>
      </c>
      <c r="Y208" s="50">
        <v>0</v>
      </c>
      <c r="Z208" s="50">
        <v>1</v>
      </c>
      <c r="AA208" s="72">
        <v>208</v>
      </c>
      <c r="AB208" s="72"/>
      <c r="AC208" s="73"/>
      <c r="AD208" s="80" t="s">
        <v>1761</v>
      </c>
      <c r="AE208" s="80" t="s">
        <v>2879</v>
      </c>
      <c r="AF208" s="80"/>
      <c r="AG208" s="80"/>
      <c r="AH208" s="80"/>
      <c r="AI208" s="80"/>
      <c r="AJ208" s="80" t="s">
        <v>3215</v>
      </c>
      <c r="AK208" s="85" t="str">
        <f>HYPERLINK("https://yt3.ggpht.com/IEIj98mBmYoIydy8ssMSU8UzINoWdBzAIcsPcPHjjCd5eD0QF6P-BBRuqLU-TkeXFKLeHH5m=s88-c-k-c0x00ffffff-no-rj")</f>
        <v>https://yt3.ggpht.com/IEIj98mBmYoIydy8ssMSU8UzINoWdBzAIcsPcPHjjCd5eD0QF6P-BBRuqLU-TkeXFKLeHH5m=s88-c-k-c0x00ffffff-no-rj</v>
      </c>
      <c r="AL208" s="80">
        <v>1152</v>
      </c>
      <c r="AM208" s="80">
        <v>0</v>
      </c>
      <c r="AN208" s="80">
        <v>69</v>
      </c>
      <c r="AO208" s="80" t="b">
        <v>0</v>
      </c>
      <c r="AP208" s="80">
        <v>33</v>
      </c>
      <c r="AQ208" s="80"/>
      <c r="AR208" s="80"/>
      <c r="AS208" s="80" t="s">
        <v>3412</v>
      </c>
      <c r="AT208" s="85" t="str">
        <f>HYPERLINK("https://www.youtube.com/channel/UCKrWCbIKAdCU2KifXPioi0g")</f>
        <v>https://www.youtube.com/channel/UCKrWCbIKAdCU2KifXPioi0g</v>
      </c>
      <c r="AU208" s="80" t="str">
        <f>REPLACE(INDEX(GroupVertices[Group],MATCH(Vertices[[#This Row],[Vertex]],GroupVertices[Vertex],0)),1,1,"")</f>
        <v>1</v>
      </c>
      <c r="AV208" s="49">
        <v>3</v>
      </c>
      <c r="AW208" s="50">
        <v>23.076923076923077</v>
      </c>
      <c r="AX208" s="49">
        <v>0</v>
      </c>
      <c r="AY208" s="50">
        <v>0</v>
      </c>
      <c r="AZ208" s="49">
        <v>0</v>
      </c>
      <c r="BA208" s="50">
        <v>0</v>
      </c>
      <c r="BB208" s="49">
        <v>10</v>
      </c>
      <c r="BC208" s="50">
        <v>76.92307692307692</v>
      </c>
      <c r="BD208" s="49">
        <v>13</v>
      </c>
      <c r="BE208" s="49"/>
      <c r="BF208" s="49"/>
      <c r="BG208" s="49"/>
      <c r="BH208" s="49"/>
      <c r="BI208" s="49"/>
      <c r="BJ208" s="49"/>
      <c r="BK208" s="111" t="s">
        <v>4580</v>
      </c>
      <c r="BL208" s="111" t="s">
        <v>4580</v>
      </c>
      <c r="BM208" s="111" t="s">
        <v>5055</v>
      </c>
      <c r="BN208" s="111" t="s">
        <v>5055</v>
      </c>
      <c r="BO208" s="2"/>
      <c r="BP208" s="3"/>
      <c r="BQ208" s="3"/>
      <c r="BR208" s="3"/>
      <c r="BS208" s="3"/>
    </row>
    <row r="209" spans="1:71" ht="15">
      <c r="A209" s="65" t="s">
        <v>433</v>
      </c>
      <c r="B209" s="66"/>
      <c r="C209" s="66"/>
      <c r="D209" s="67">
        <v>150</v>
      </c>
      <c r="E209" s="69"/>
      <c r="F209" s="103" t="str">
        <f>HYPERLINK("https://yt3.ggpht.com/ytc/AKedOLTmx5y0y9dI9nkH8TlO6LWFfBFyx_OKly2mp6tS9w=s88-c-k-c0x00ffffff-no-rj")</f>
        <v>https://yt3.ggpht.com/ytc/AKedOLTmx5y0y9dI9nkH8TlO6LWFfBFyx_OKly2mp6tS9w=s88-c-k-c0x00ffffff-no-rj</v>
      </c>
      <c r="G209" s="66"/>
      <c r="H209" s="70" t="s">
        <v>1762</v>
      </c>
      <c r="I209" s="71"/>
      <c r="J209" s="71" t="s">
        <v>159</v>
      </c>
      <c r="K209" s="70" t="s">
        <v>1762</v>
      </c>
      <c r="L209" s="74">
        <v>1</v>
      </c>
      <c r="M209" s="75">
        <v>4240.8515625</v>
      </c>
      <c r="N209" s="75">
        <v>7264.58349609375</v>
      </c>
      <c r="O209" s="76"/>
      <c r="P209" s="77"/>
      <c r="Q209" s="77"/>
      <c r="R209" s="89"/>
      <c r="S209" s="49">
        <v>1</v>
      </c>
      <c r="T209" s="49">
        <v>1</v>
      </c>
      <c r="U209" s="50">
        <v>0</v>
      </c>
      <c r="V209" s="50">
        <v>0.002597</v>
      </c>
      <c r="W209" s="50">
        <v>0.00486</v>
      </c>
      <c r="X209" s="50">
        <v>0.526148</v>
      </c>
      <c r="Y209" s="50">
        <v>0</v>
      </c>
      <c r="Z209" s="50">
        <v>1</v>
      </c>
      <c r="AA209" s="72">
        <v>209</v>
      </c>
      <c r="AB209" s="72"/>
      <c r="AC209" s="73"/>
      <c r="AD209" s="80" t="s">
        <v>1762</v>
      </c>
      <c r="AE209" s="80"/>
      <c r="AF209" s="80"/>
      <c r="AG209" s="80"/>
      <c r="AH209" s="80"/>
      <c r="AI209" s="80"/>
      <c r="AJ209" s="80" t="s">
        <v>3216</v>
      </c>
      <c r="AK209" s="85" t="str">
        <f>HYPERLINK("https://yt3.ggpht.com/ytc/AKedOLTmx5y0y9dI9nkH8TlO6LWFfBFyx_OKly2mp6tS9w=s88-c-k-c0x00ffffff-no-rj")</f>
        <v>https://yt3.ggpht.com/ytc/AKedOLTmx5y0y9dI9nkH8TlO6LWFfBFyx_OKly2mp6tS9w=s88-c-k-c0x00ffffff-no-rj</v>
      </c>
      <c r="AL209" s="80">
        <v>0</v>
      </c>
      <c r="AM209" s="80">
        <v>0</v>
      </c>
      <c r="AN209" s="80">
        <v>105</v>
      </c>
      <c r="AO209" s="80" t="b">
        <v>0</v>
      </c>
      <c r="AP209" s="80">
        <v>0</v>
      </c>
      <c r="AQ209" s="80"/>
      <c r="AR209" s="80"/>
      <c r="AS209" s="80" t="s">
        <v>3412</v>
      </c>
      <c r="AT209" s="85" t="str">
        <f>HYPERLINK("https://www.youtube.com/channel/UCg8gJerTFALveG4XDXHw-QQ")</f>
        <v>https://www.youtube.com/channel/UCg8gJerTFALveG4XDXHw-QQ</v>
      </c>
      <c r="AU209" s="80" t="str">
        <f>REPLACE(INDEX(GroupVertices[Group],MATCH(Vertices[[#This Row],[Vertex]],GroupVertices[Vertex],0)),1,1,"")</f>
        <v>1</v>
      </c>
      <c r="AV209" s="49">
        <v>5</v>
      </c>
      <c r="AW209" s="50">
        <v>13.157894736842104</v>
      </c>
      <c r="AX209" s="49">
        <v>0</v>
      </c>
      <c r="AY209" s="50">
        <v>0</v>
      </c>
      <c r="AZ209" s="49">
        <v>0</v>
      </c>
      <c r="BA209" s="50">
        <v>0</v>
      </c>
      <c r="BB209" s="49">
        <v>33</v>
      </c>
      <c r="BC209" s="50">
        <v>86.84210526315789</v>
      </c>
      <c r="BD209" s="49">
        <v>38</v>
      </c>
      <c r="BE209" s="49" t="s">
        <v>4218</v>
      </c>
      <c r="BF209" s="49" t="s">
        <v>4218</v>
      </c>
      <c r="BG209" s="49" t="s">
        <v>2774</v>
      </c>
      <c r="BH209" s="49" t="s">
        <v>2774</v>
      </c>
      <c r="BI209" s="49"/>
      <c r="BJ209" s="49"/>
      <c r="BK209" s="111" t="s">
        <v>4581</v>
      </c>
      <c r="BL209" s="111" t="s">
        <v>4581</v>
      </c>
      <c r="BM209" s="111" t="s">
        <v>5056</v>
      </c>
      <c r="BN209" s="111" t="s">
        <v>5056</v>
      </c>
      <c r="BO209" s="2"/>
      <c r="BP209" s="3"/>
      <c r="BQ209" s="3"/>
      <c r="BR209" s="3"/>
      <c r="BS209" s="3"/>
    </row>
    <row r="210" spans="1:71" ht="15">
      <c r="A210" s="65" t="s">
        <v>434</v>
      </c>
      <c r="B210" s="66"/>
      <c r="C210" s="66"/>
      <c r="D210" s="67">
        <v>150</v>
      </c>
      <c r="E210" s="69"/>
      <c r="F210" s="103" t="str">
        <f>HYPERLINK("https://yt3.ggpht.com/ytc/AKedOLQl_xxXtcMsykQ-C59RwM46wFdoX2ObynZWig=s88-c-k-c0x00ffffff-no-rj")</f>
        <v>https://yt3.ggpht.com/ytc/AKedOLQl_xxXtcMsykQ-C59RwM46wFdoX2ObynZWig=s88-c-k-c0x00ffffff-no-rj</v>
      </c>
      <c r="G210" s="66"/>
      <c r="H210" s="70" t="s">
        <v>1763</v>
      </c>
      <c r="I210" s="71"/>
      <c r="J210" s="71" t="s">
        <v>159</v>
      </c>
      <c r="K210" s="70" t="s">
        <v>1763</v>
      </c>
      <c r="L210" s="74">
        <v>1</v>
      </c>
      <c r="M210" s="75">
        <v>8202.568359375</v>
      </c>
      <c r="N210" s="75">
        <v>7859.51904296875</v>
      </c>
      <c r="O210" s="76"/>
      <c r="P210" s="77"/>
      <c r="Q210" s="77"/>
      <c r="R210" s="89"/>
      <c r="S210" s="49">
        <v>1</v>
      </c>
      <c r="T210" s="49">
        <v>1</v>
      </c>
      <c r="U210" s="50">
        <v>0</v>
      </c>
      <c r="V210" s="50">
        <v>0.002597</v>
      </c>
      <c r="W210" s="50">
        <v>0.00486</v>
      </c>
      <c r="X210" s="50">
        <v>0.526148</v>
      </c>
      <c r="Y210" s="50">
        <v>0</v>
      </c>
      <c r="Z210" s="50">
        <v>1</v>
      </c>
      <c r="AA210" s="72">
        <v>210</v>
      </c>
      <c r="AB210" s="72"/>
      <c r="AC210" s="73"/>
      <c r="AD210" s="80" t="s">
        <v>1763</v>
      </c>
      <c r="AE210" s="80"/>
      <c r="AF210" s="80"/>
      <c r="AG210" s="80"/>
      <c r="AH210" s="80"/>
      <c r="AI210" s="80"/>
      <c r="AJ210" s="87">
        <v>41255.95178240741</v>
      </c>
      <c r="AK210" s="85" t="str">
        <f>HYPERLINK("https://yt3.ggpht.com/ytc/AKedOLQl_xxXtcMsykQ-C59RwM46wFdoX2ObynZWig=s88-c-k-c0x00ffffff-no-rj")</f>
        <v>https://yt3.ggpht.com/ytc/AKedOLQl_xxXtcMsykQ-C59RwM46wFdoX2ObynZWig=s88-c-k-c0x00ffffff-no-rj</v>
      </c>
      <c r="AL210" s="80">
        <v>0</v>
      </c>
      <c r="AM210" s="80">
        <v>0</v>
      </c>
      <c r="AN210" s="80">
        <v>1</v>
      </c>
      <c r="AO210" s="80" t="b">
        <v>0</v>
      </c>
      <c r="AP210" s="80">
        <v>0</v>
      </c>
      <c r="AQ210" s="80"/>
      <c r="AR210" s="80"/>
      <c r="AS210" s="80" t="s">
        <v>3412</v>
      </c>
      <c r="AT210" s="85" t="str">
        <f>HYPERLINK("https://www.youtube.com/channel/UC-t7W0TO210XGhyZdTcUEZw")</f>
        <v>https://www.youtube.com/channel/UC-t7W0TO210XGhyZdTcUEZw</v>
      </c>
      <c r="AU210" s="80" t="str">
        <f>REPLACE(INDEX(GroupVertices[Group],MATCH(Vertices[[#This Row],[Vertex]],GroupVertices[Vertex],0)),1,1,"")</f>
        <v>1</v>
      </c>
      <c r="AV210" s="49">
        <v>3</v>
      </c>
      <c r="AW210" s="50">
        <v>12.5</v>
      </c>
      <c r="AX210" s="49">
        <v>0</v>
      </c>
      <c r="AY210" s="50">
        <v>0</v>
      </c>
      <c r="AZ210" s="49">
        <v>0</v>
      </c>
      <c r="BA210" s="50">
        <v>0</v>
      </c>
      <c r="BB210" s="49">
        <v>21</v>
      </c>
      <c r="BC210" s="50">
        <v>87.5</v>
      </c>
      <c r="BD210" s="49">
        <v>24</v>
      </c>
      <c r="BE210" s="49"/>
      <c r="BF210" s="49"/>
      <c r="BG210" s="49"/>
      <c r="BH210" s="49"/>
      <c r="BI210" s="49"/>
      <c r="BJ210" s="49"/>
      <c r="BK210" s="111" t="s">
        <v>4582</v>
      </c>
      <c r="BL210" s="111" t="s">
        <v>4582</v>
      </c>
      <c r="BM210" s="111" t="s">
        <v>5057</v>
      </c>
      <c r="BN210" s="111" t="s">
        <v>5057</v>
      </c>
      <c r="BO210" s="2"/>
      <c r="BP210" s="3"/>
      <c r="BQ210" s="3"/>
      <c r="BR210" s="3"/>
      <c r="BS210" s="3"/>
    </row>
    <row r="211" spans="1:71" ht="15">
      <c r="A211" s="65" t="s">
        <v>435</v>
      </c>
      <c r="B211" s="66"/>
      <c r="C211" s="66"/>
      <c r="D211" s="67">
        <v>150</v>
      </c>
      <c r="E211" s="69"/>
      <c r="F211" s="103" t="str">
        <f>HYPERLINK("https://yt3.ggpht.com/ytc/AKedOLS6cu4ljBXuO7e4Ph2SHW1e_RAMXFDuKMpYxw=s88-c-k-c0x00ffffff-no-rj")</f>
        <v>https://yt3.ggpht.com/ytc/AKedOLS6cu4ljBXuO7e4Ph2SHW1e_RAMXFDuKMpYxw=s88-c-k-c0x00ffffff-no-rj</v>
      </c>
      <c r="G211" s="66"/>
      <c r="H211" s="70" t="s">
        <v>1764</v>
      </c>
      <c r="I211" s="71"/>
      <c r="J211" s="71" t="s">
        <v>159</v>
      </c>
      <c r="K211" s="70" t="s">
        <v>1764</v>
      </c>
      <c r="L211" s="74">
        <v>1</v>
      </c>
      <c r="M211" s="75">
        <v>6731.400390625</v>
      </c>
      <c r="N211" s="75">
        <v>7216.06396484375</v>
      </c>
      <c r="O211" s="76"/>
      <c r="P211" s="77"/>
      <c r="Q211" s="77"/>
      <c r="R211" s="89"/>
      <c r="S211" s="49">
        <v>0</v>
      </c>
      <c r="T211" s="49">
        <v>1</v>
      </c>
      <c r="U211" s="50">
        <v>0</v>
      </c>
      <c r="V211" s="50">
        <v>0.002597</v>
      </c>
      <c r="W211" s="50">
        <v>0.00486</v>
      </c>
      <c r="X211" s="50">
        <v>0.526148</v>
      </c>
      <c r="Y211" s="50">
        <v>0</v>
      </c>
      <c r="Z211" s="50">
        <v>0</v>
      </c>
      <c r="AA211" s="72">
        <v>211</v>
      </c>
      <c r="AB211" s="72"/>
      <c r="AC211" s="73"/>
      <c r="AD211" s="80" t="s">
        <v>1764</v>
      </c>
      <c r="AE211" s="80"/>
      <c r="AF211" s="80"/>
      <c r="AG211" s="80"/>
      <c r="AH211" s="80"/>
      <c r="AI211" s="80"/>
      <c r="AJ211" s="80" t="s">
        <v>3217</v>
      </c>
      <c r="AK211" s="85" t="str">
        <f>HYPERLINK("https://yt3.ggpht.com/ytc/AKedOLS6cu4ljBXuO7e4Ph2SHW1e_RAMXFDuKMpYxw=s88-c-k-c0x00ffffff-no-rj")</f>
        <v>https://yt3.ggpht.com/ytc/AKedOLS6cu4ljBXuO7e4Ph2SHW1e_RAMXFDuKMpYxw=s88-c-k-c0x00ffffff-no-rj</v>
      </c>
      <c r="AL211" s="80">
        <v>0</v>
      </c>
      <c r="AM211" s="80">
        <v>0</v>
      </c>
      <c r="AN211" s="80">
        <v>0</v>
      </c>
      <c r="AO211" s="80" t="b">
        <v>0</v>
      </c>
      <c r="AP211" s="80">
        <v>0</v>
      </c>
      <c r="AQ211" s="80"/>
      <c r="AR211" s="80"/>
      <c r="AS211" s="80" t="s">
        <v>3412</v>
      </c>
      <c r="AT211" s="85" t="str">
        <f>HYPERLINK("https://www.youtube.com/channel/UCTMI-Ibj-RffeLY6xdTkgWA")</f>
        <v>https://www.youtube.com/channel/UCTMI-Ibj-RffeLY6xdTkgWA</v>
      </c>
      <c r="AU211" s="80" t="str">
        <f>REPLACE(INDEX(GroupVertices[Group],MATCH(Vertices[[#This Row],[Vertex]],GroupVertices[Vertex],0)),1,1,"")</f>
        <v>1</v>
      </c>
      <c r="AV211" s="49">
        <v>1</v>
      </c>
      <c r="AW211" s="50">
        <v>50</v>
      </c>
      <c r="AX211" s="49">
        <v>0</v>
      </c>
      <c r="AY211" s="50">
        <v>0</v>
      </c>
      <c r="AZ211" s="49">
        <v>0</v>
      </c>
      <c r="BA211" s="50">
        <v>0</v>
      </c>
      <c r="BB211" s="49">
        <v>1</v>
      </c>
      <c r="BC211" s="50">
        <v>50</v>
      </c>
      <c r="BD211" s="49">
        <v>2</v>
      </c>
      <c r="BE211" s="49"/>
      <c r="BF211" s="49"/>
      <c r="BG211" s="49"/>
      <c r="BH211" s="49"/>
      <c r="BI211" s="49"/>
      <c r="BJ211" s="49"/>
      <c r="BK211" s="111" t="s">
        <v>3456</v>
      </c>
      <c r="BL211" s="111" t="s">
        <v>3456</v>
      </c>
      <c r="BM211" s="111" t="s">
        <v>2782</v>
      </c>
      <c r="BN211" s="111" t="s">
        <v>2782</v>
      </c>
      <c r="BO211" s="2"/>
      <c r="BP211" s="3"/>
      <c r="BQ211" s="3"/>
      <c r="BR211" s="3"/>
      <c r="BS211" s="3"/>
    </row>
    <row r="212" spans="1:71" ht="15">
      <c r="A212" s="65" t="s">
        <v>436</v>
      </c>
      <c r="B212" s="66"/>
      <c r="C212" s="66"/>
      <c r="D212" s="67">
        <v>150</v>
      </c>
      <c r="E212" s="69"/>
      <c r="F212" s="103" t="str">
        <f>HYPERLINK("https://yt3.ggpht.com/EIiqKOJEezZKeY9DgFko7vVy3ARPHhO0AYTswD8Zv4mEb4oWCDCRAeO4WVkCKlvf-1D72glH=s88-c-k-c0x00ffffff-no-rj")</f>
        <v>https://yt3.ggpht.com/EIiqKOJEezZKeY9DgFko7vVy3ARPHhO0AYTswD8Zv4mEb4oWCDCRAeO4WVkCKlvf-1D72glH=s88-c-k-c0x00ffffff-no-rj</v>
      </c>
      <c r="G212" s="66"/>
      <c r="H212" s="70" t="s">
        <v>1765</v>
      </c>
      <c r="I212" s="71"/>
      <c r="J212" s="71" t="s">
        <v>159</v>
      </c>
      <c r="K212" s="70" t="s">
        <v>1765</v>
      </c>
      <c r="L212" s="74">
        <v>1</v>
      </c>
      <c r="M212" s="75">
        <v>8778.4970703125</v>
      </c>
      <c r="N212" s="75">
        <v>8633.3369140625</v>
      </c>
      <c r="O212" s="76"/>
      <c r="P212" s="77"/>
      <c r="Q212" s="77"/>
      <c r="R212" s="89"/>
      <c r="S212" s="49">
        <v>0</v>
      </c>
      <c r="T212" s="49">
        <v>1</v>
      </c>
      <c r="U212" s="50">
        <v>0</v>
      </c>
      <c r="V212" s="50">
        <v>0.002597</v>
      </c>
      <c r="W212" s="50">
        <v>0.00486</v>
      </c>
      <c r="X212" s="50">
        <v>0.526148</v>
      </c>
      <c r="Y212" s="50">
        <v>0</v>
      </c>
      <c r="Z212" s="50">
        <v>0</v>
      </c>
      <c r="AA212" s="72">
        <v>212</v>
      </c>
      <c r="AB212" s="72"/>
      <c r="AC212" s="73"/>
      <c r="AD212" s="80" t="s">
        <v>1765</v>
      </c>
      <c r="AE212" s="80"/>
      <c r="AF212" s="80"/>
      <c r="AG212" s="80"/>
      <c r="AH212" s="80"/>
      <c r="AI212" s="80"/>
      <c r="AJ212" s="80" t="s">
        <v>3218</v>
      </c>
      <c r="AK212" s="85" t="str">
        <f>HYPERLINK("https://yt3.ggpht.com/EIiqKOJEezZKeY9DgFko7vVy3ARPHhO0AYTswD8Zv4mEb4oWCDCRAeO4WVkCKlvf-1D72glH=s88-c-k-c0x00ffffff-no-rj")</f>
        <v>https://yt3.ggpht.com/EIiqKOJEezZKeY9DgFko7vVy3ARPHhO0AYTswD8Zv4mEb4oWCDCRAeO4WVkCKlvf-1D72glH=s88-c-k-c0x00ffffff-no-rj</v>
      </c>
      <c r="AL212" s="80">
        <v>175</v>
      </c>
      <c r="AM212" s="80">
        <v>0</v>
      </c>
      <c r="AN212" s="80">
        <v>9</v>
      </c>
      <c r="AO212" s="80" t="b">
        <v>0</v>
      </c>
      <c r="AP212" s="80">
        <v>4</v>
      </c>
      <c r="AQ212" s="80"/>
      <c r="AR212" s="80"/>
      <c r="AS212" s="80" t="s">
        <v>3412</v>
      </c>
      <c r="AT212" s="85" t="str">
        <f>HYPERLINK("https://www.youtube.com/channel/UCITip3VvBZWu8_PlXbYT_FQ")</f>
        <v>https://www.youtube.com/channel/UCITip3VvBZWu8_PlXbYT_FQ</v>
      </c>
      <c r="AU212" s="80" t="str">
        <f>REPLACE(INDEX(GroupVertices[Group],MATCH(Vertices[[#This Row],[Vertex]],GroupVertices[Vertex],0)),1,1,"")</f>
        <v>1</v>
      </c>
      <c r="AV212" s="49">
        <v>2</v>
      </c>
      <c r="AW212" s="50">
        <v>50</v>
      </c>
      <c r="AX212" s="49">
        <v>0</v>
      </c>
      <c r="AY212" s="50">
        <v>0</v>
      </c>
      <c r="AZ212" s="49">
        <v>0</v>
      </c>
      <c r="BA212" s="50">
        <v>0</v>
      </c>
      <c r="BB212" s="49">
        <v>2</v>
      </c>
      <c r="BC212" s="50">
        <v>50</v>
      </c>
      <c r="BD212" s="49">
        <v>4</v>
      </c>
      <c r="BE212" s="49"/>
      <c r="BF212" s="49"/>
      <c r="BG212" s="49"/>
      <c r="BH212" s="49"/>
      <c r="BI212" s="49"/>
      <c r="BJ212" s="49"/>
      <c r="BK212" s="111" t="s">
        <v>4583</v>
      </c>
      <c r="BL212" s="111" t="s">
        <v>4583</v>
      </c>
      <c r="BM212" s="111" t="s">
        <v>5058</v>
      </c>
      <c r="BN212" s="111" t="s">
        <v>5058</v>
      </c>
      <c r="BO212" s="2"/>
      <c r="BP212" s="3"/>
      <c r="BQ212" s="3"/>
      <c r="BR212" s="3"/>
      <c r="BS212" s="3"/>
    </row>
    <row r="213" spans="1:71" ht="15">
      <c r="A213" s="65" t="s">
        <v>437</v>
      </c>
      <c r="B213" s="66"/>
      <c r="C213" s="66"/>
      <c r="D213" s="67">
        <v>150</v>
      </c>
      <c r="E213" s="69"/>
      <c r="F213" s="103" t="str">
        <f>HYPERLINK("https://yt3.ggpht.com/ytc/AKedOLRQk8oshTyE6JSCSIfqza9RXm_TEwZaB2-zog=s88-c-k-c0x00ffffff-no-rj")</f>
        <v>https://yt3.ggpht.com/ytc/AKedOLRQk8oshTyE6JSCSIfqza9RXm_TEwZaB2-zog=s88-c-k-c0x00ffffff-no-rj</v>
      </c>
      <c r="G213" s="66"/>
      <c r="H213" s="70" t="s">
        <v>1766</v>
      </c>
      <c r="I213" s="71"/>
      <c r="J213" s="71" t="s">
        <v>159</v>
      </c>
      <c r="K213" s="70" t="s">
        <v>1766</v>
      </c>
      <c r="L213" s="74">
        <v>1</v>
      </c>
      <c r="M213" s="75">
        <v>5978.2021484375</v>
      </c>
      <c r="N213" s="75">
        <v>7463.5107421875</v>
      </c>
      <c r="O213" s="76"/>
      <c r="P213" s="77"/>
      <c r="Q213" s="77"/>
      <c r="R213" s="89"/>
      <c r="S213" s="49">
        <v>1</v>
      </c>
      <c r="T213" s="49">
        <v>1</v>
      </c>
      <c r="U213" s="50">
        <v>0</v>
      </c>
      <c r="V213" s="50">
        <v>0.002597</v>
      </c>
      <c r="W213" s="50">
        <v>0.00486</v>
      </c>
      <c r="X213" s="50">
        <v>0.526148</v>
      </c>
      <c r="Y213" s="50">
        <v>0</v>
      </c>
      <c r="Z213" s="50">
        <v>1</v>
      </c>
      <c r="AA213" s="72">
        <v>213</v>
      </c>
      <c r="AB213" s="72"/>
      <c r="AC213" s="73"/>
      <c r="AD213" s="80" t="s">
        <v>1766</v>
      </c>
      <c r="AE213" s="80"/>
      <c r="AF213" s="80"/>
      <c r="AG213" s="80"/>
      <c r="AH213" s="80"/>
      <c r="AI213" s="80"/>
      <c r="AJ213" s="87">
        <v>42980.5252662037</v>
      </c>
      <c r="AK213" s="85" t="str">
        <f>HYPERLINK("https://yt3.ggpht.com/ytc/AKedOLRQk8oshTyE6JSCSIfqza9RXm_TEwZaB2-zog=s88-c-k-c0x00ffffff-no-rj")</f>
        <v>https://yt3.ggpht.com/ytc/AKedOLRQk8oshTyE6JSCSIfqza9RXm_TEwZaB2-zog=s88-c-k-c0x00ffffff-no-rj</v>
      </c>
      <c r="AL213" s="80">
        <v>0</v>
      </c>
      <c r="AM213" s="80">
        <v>0</v>
      </c>
      <c r="AN213" s="80">
        <v>1</v>
      </c>
      <c r="AO213" s="80" t="b">
        <v>0</v>
      </c>
      <c r="AP213" s="80">
        <v>0</v>
      </c>
      <c r="AQ213" s="80"/>
      <c r="AR213" s="80"/>
      <c r="AS213" s="80" t="s">
        <v>3412</v>
      </c>
      <c r="AT213" s="85" t="str">
        <f>HYPERLINK("https://www.youtube.com/channel/UC_8NfH_wP6quvlyspts1r5g")</f>
        <v>https://www.youtube.com/channel/UC_8NfH_wP6quvlyspts1r5g</v>
      </c>
      <c r="AU213" s="80" t="str">
        <f>REPLACE(INDEX(GroupVertices[Group],MATCH(Vertices[[#This Row],[Vertex]],GroupVertices[Vertex],0)),1,1,"")</f>
        <v>1</v>
      </c>
      <c r="AV213" s="49">
        <v>1</v>
      </c>
      <c r="AW213" s="50">
        <v>100</v>
      </c>
      <c r="AX213" s="49">
        <v>0</v>
      </c>
      <c r="AY213" s="50">
        <v>0</v>
      </c>
      <c r="AZ213" s="49">
        <v>0</v>
      </c>
      <c r="BA213" s="50">
        <v>0</v>
      </c>
      <c r="BB213" s="49">
        <v>0</v>
      </c>
      <c r="BC213" s="50">
        <v>0</v>
      </c>
      <c r="BD213" s="49">
        <v>1</v>
      </c>
      <c r="BE213" s="49"/>
      <c r="BF213" s="49"/>
      <c r="BG213" s="49"/>
      <c r="BH213" s="49"/>
      <c r="BI213" s="49"/>
      <c r="BJ213" s="49"/>
      <c r="BK213" s="111" t="s">
        <v>4584</v>
      </c>
      <c r="BL213" s="111" t="s">
        <v>4584</v>
      </c>
      <c r="BM213" s="111" t="s">
        <v>2782</v>
      </c>
      <c r="BN213" s="111" t="s">
        <v>2782</v>
      </c>
      <c r="BO213" s="2"/>
      <c r="BP213" s="3"/>
      <c r="BQ213" s="3"/>
      <c r="BR213" s="3"/>
      <c r="BS213" s="3"/>
    </row>
    <row r="214" spans="1:71" ht="15">
      <c r="A214" s="65" t="s">
        <v>438</v>
      </c>
      <c r="B214" s="66"/>
      <c r="C214" s="66"/>
      <c r="D214" s="67">
        <v>150</v>
      </c>
      <c r="E214" s="69"/>
      <c r="F214" s="103" t="str">
        <f>HYPERLINK("https://yt3.ggpht.com/ytc/AKedOLSQ2ZzqMpE9IBq6XXhiNCml02E4cwr7U-kQyBlY_w=s88-c-k-c0x00ffffff-no-rj")</f>
        <v>https://yt3.ggpht.com/ytc/AKedOLSQ2ZzqMpE9IBq6XXhiNCml02E4cwr7U-kQyBlY_w=s88-c-k-c0x00ffffff-no-rj</v>
      </c>
      <c r="G214" s="66"/>
      <c r="H214" s="70" t="s">
        <v>1767</v>
      </c>
      <c r="I214" s="71"/>
      <c r="J214" s="71" t="s">
        <v>159</v>
      </c>
      <c r="K214" s="70" t="s">
        <v>1767</v>
      </c>
      <c r="L214" s="74">
        <v>1</v>
      </c>
      <c r="M214" s="75">
        <v>4476.1689453125</v>
      </c>
      <c r="N214" s="75">
        <v>8087.2119140625</v>
      </c>
      <c r="O214" s="76"/>
      <c r="P214" s="77"/>
      <c r="Q214" s="77"/>
      <c r="R214" s="89"/>
      <c r="S214" s="49">
        <v>1</v>
      </c>
      <c r="T214" s="49">
        <v>1</v>
      </c>
      <c r="U214" s="50">
        <v>0</v>
      </c>
      <c r="V214" s="50">
        <v>0.002597</v>
      </c>
      <c r="W214" s="50">
        <v>0.00486</v>
      </c>
      <c r="X214" s="50">
        <v>0.526148</v>
      </c>
      <c r="Y214" s="50">
        <v>0</v>
      </c>
      <c r="Z214" s="50">
        <v>1</v>
      </c>
      <c r="AA214" s="72">
        <v>214</v>
      </c>
      <c r="AB214" s="72"/>
      <c r="AC214" s="73"/>
      <c r="AD214" s="80" t="s">
        <v>1767</v>
      </c>
      <c r="AE214" s="80"/>
      <c r="AF214" s="80"/>
      <c r="AG214" s="80"/>
      <c r="AH214" s="80"/>
      <c r="AI214" s="80"/>
      <c r="AJ214" s="87">
        <v>41066.76173611111</v>
      </c>
      <c r="AK214" s="85" t="str">
        <f>HYPERLINK("https://yt3.ggpht.com/ytc/AKedOLSQ2ZzqMpE9IBq6XXhiNCml02E4cwr7U-kQyBlY_w=s88-c-k-c0x00ffffff-no-rj")</f>
        <v>https://yt3.ggpht.com/ytc/AKedOLSQ2ZzqMpE9IBq6XXhiNCml02E4cwr7U-kQyBlY_w=s88-c-k-c0x00ffffff-no-rj</v>
      </c>
      <c r="AL214" s="80">
        <v>0</v>
      </c>
      <c r="AM214" s="80">
        <v>0</v>
      </c>
      <c r="AN214" s="80">
        <v>0</v>
      </c>
      <c r="AO214" s="80" t="b">
        <v>0</v>
      </c>
      <c r="AP214" s="80">
        <v>0</v>
      </c>
      <c r="AQ214" s="80"/>
      <c r="AR214" s="80"/>
      <c r="AS214" s="80" t="s">
        <v>3412</v>
      </c>
      <c r="AT214" s="85" t="str">
        <f>HYPERLINK("https://www.youtube.com/channel/UCBOXk97g9e7s1c8BCKJB9Dw")</f>
        <v>https://www.youtube.com/channel/UCBOXk97g9e7s1c8BCKJB9Dw</v>
      </c>
      <c r="AU214" s="80" t="str">
        <f>REPLACE(INDEX(GroupVertices[Group],MATCH(Vertices[[#This Row],[Vertex]],GroupVertices[Vertex],0)),1,1,"")</f>
        <v>1</v>
      </c>
      <c r="AV214" s="49">
        <v>1</v>
      </c>
      <c r="AW214" s="50">
        <v>8.333333333333334</v>
      </c>
      <c r="AX214" s="49">
        <v>0</v>
      </c>
      <c r="AY214" s="50">
        <v>0</v>
      </c>
      <c r="AZ214" s="49">
        <v>0</v>
      </c>
      <c r="BA214" s="50">
        <v>0</v>
      </c>
      <c r="BB214" s="49">
        <v>11</v>
      </c>
      <c r="BC214" s="50">
        <v>91.66666666666667</v>
      </c>
      <c r="BD214" s="49">
        <v>12</v>
      </c>
      <c r="BE214" s="49"/>
      <c r="BF214" s="49"/>
      <c r="BG214" s="49"/>
      <c r="BH214" s="49"/>
      <c r="BI214" s="49"/>
      <c r="BJ214" s="49"/>
      <c r="BK214" s="111" t="s">
        <v>4585</v>
      </c>
      <c r="BL214" s="111" t="s">
        <v>4585</v>
      </c>
      <c r="BM214" s="111" t="s">
        <v>5059</v>
      </c>
      <c r="BN214" s="111" t="s">
        <v>5059</v>
      </c>
      <c r="BO214" s="2"/>
      <c r="BP214" s="3"/>
      <c r="BQ214" s="3"/>
      <c r="BR214" s="3"/>
      <c r="BS214" s="3"/>
    </row>
    <row r="215" spans="1:71" ht="15">
      <c r="A215" s="65" t="s">
        <v>439</v>
      </c>
      <c r="B215" s="66"/>
      <c r="C215" s="66"/>
      <c r="D215" s="67">
        <v>150</v>
      </c>
      <c r="E215" s="69"/>
      <c r="F215" s="103" t="str">
        <f>HYPERLINK("https://yt3.ggpht.com/ytc/AKedOLQfsKBMB5Nhp8MCCUDO1ZA4B6h0Po6fPqsn8g=s88-c-k-c0x00ffffff-no-rj")</f>
        <v>https://yt3.ggpht.com/ytc/AKedOLQfsKBMB5Nhp8MCCUDO1ZA4B6h0Po6fPqsn8g=s88-c-k-c0x00ffffff-no-rj</v>
      </c>
      <c r="G215" s="66"/>
      <c r="H215" s="70" t="s">
        <v>1768</v>
      </c>
      <c r="I215" s="71"/>
      <c r="J215" s="71" t="s">
        <v>159</v>
      </c>
      <c r="K215" s="70" t="s">
        <v>1768</v>
      </c>
      <c r="L215" s="74">
        <v>1</v>
      </c>
      <c r="M215" s="75">
        <v>3059.41650390625</v>
      </c>
      <c r="N215" s="75">
        <v>8367.71484375</v>
      </c>
      <c r="O215" s="76"/>
      <c r="P215" s="77"/>
      <c r="Q215" s="77"/>
      <c r="R215" s="89"/>
      <c r="S215" s="49">
        <v>0</v>
      </c>
      <c r="T215" s="49">
        <v>1</v>
      </c>
      <c r="U215" s="50">
        <v>0</v>
      </c>
      <c r="V215" s="50">
        <v>0.002597</v>
      </c>
      <c r="W215" s="50">
        <v>0.00486</v>
      </c>
      <c r="X215" s="50">
        <v>0.526148</v>
      </c>
      <c r="Y215" s="50">
        <v>0</v>
      </c>
      <c r="Z215" s="50">
        <v>0</v>
      </c>
      <c r="AA215" s="72">
        <v>215</v>
      </c>
      <c r="AB215" s="72"/>
      <c r="AC215" s="73"/>
      <c r="AD215" s="80" t="s">
        <v>1768</v>
      </c>
      <c r="AE215" s="80"/>
      <c r="AF215" s="80"/>
      <c r="AG215" s="80"/>
      <c r="AH215" s="80"/>
      <c r="AI215" s="80"/>
      <c r="AJ215" s="80" t="s">
        <v>3219</v>
      </c>
      <c r="AK215" s="85" t="str">
        <f>HYPERLINK("https://yt3.ggpht.com/ytc/AKedOLQfsKBMB5Nhp8MCCUDO1ZA4B6h0Po6fPqsn8g=s88-c-k-c0x00ffffff-no-rj")</f>
        <v>https://yt3.ggpht.com/ytc/AKedOLQfsKBMB5Nhp8MCCUDO1ZA4B6h0Po6fPqsn8g=s88-c-k-c0x00ffffff-no-rj</v>
      </c>
      <c r="AL215" s="80">
        <v>0</v>
      </c>
      <c r="AM215" s="80">
        <v>0</v>
      </c>
      <c r="AN215" s="80">
        <v>0</v>
      </c>
      <c r="AO215" s="80" t="b">
        <v>0</v>
      </c>
      <c r="AP215" s="80">
        <v>0</v>
      </c>
      <c r="AQ215" s="80"/>
      <c r="AR215" s="80"/>
      <c r="AS215" s="80" t="s">
        <v>3412</v>
      </c>
      <c r="AT215" s="85" t="str">
        <f>HYPERLINK("https://www.youtube.com/channel/UCc4LJ1SpCAiSwgWLW6q5wQQ")</f>
        <v>https://www.youtube.com/channel/UCc4LJ1SpCAiSwgWLW6q5wQQ</v>
      </c>
      <c r="AU215" s="80" t="str">
        <f>REPLACE(INDEX(GroupVertices[Group],MATCH(Vertices[[#This Row],[Vertex]],GroupVertices[Vertex],0)),1,1,"")</f>
        <v>1</v>
      </c>
      <c r="AV215" s="49">
        <v>2</v>
      </c>
      <c r="AW215" s="50">
        <v>33.333333333333336</v>
      </c>
      <c r="AX215" s="49">
        <v>0</v>
      </c>
      <c r="AY215" s="50">
        <v>0</v>
      </c>
      <c r="AZ215" s="49">
        <v>0</v>
      </c>
      <c r="BA215" s="50">
        <v>0</v>
      </c>
      <c r="BB215" s="49">
        <v>4</v>
      </c>
      <c r="BC215" s="50">
        <v>66.66666666666667</v>
      </c>
      <c r="BD215" s="49">
        <v>6</v>
      </c>
      <c r="BE215" s="49"/>
      <c r="BF215" s="49"/>
      <c r="BG215" s="49"/>
      <c r="BH215" s="49"/>
      <c r="BI215" s="49"/>
      <c r="BJ215" s="49"/>
      <c r="BK215" s="111" t="s">
        <v>4586</v>
      </c>
      <c r="BL215" s="111" t="s">
        <v>4586</v>
      </c>
      <c r="BM215" s="111" t="s">
        <v>5060</v>
      </c>
      <c r="BN215" s="111" t="s">
        <v>5060</v>
      </c>
      <c r="BO215" s="2"/>
      <c r="BP215" s="3"/>
      <c r="BQ215" s="3"/>
      <c r="BR215" s="3"/>
      <c r="BS215" s="3"/>
    </row>
    <row r="216" spans="1:71" ht="15">
      <c r="A216" s="65" t="s">
        <v>440</v>
      </c>
      <c r="B216" s="66"/>
      <c r="C216" s="66"/>
      <c r="D216" s="67">
        <v>150</v>
      </c>
      <c r="E216" s="69"/>
      <c r="F216" s="103" t="str">
        <f>HYPERLINK("https://yt3.ggpht.com/ytc/AKedOLSU3M4L7yTYcwd-NpjPZgCT4XkguYxqPjvqDyNnLg=s88-c-k-c0x00ffffff-no-rj")</f>
        <v>https://yt3.ggpht.com/ytc/AKedOLSU3M4L7yTYcwd-NpjPZgCT4XkguYxqPjvqDyNnLg=s88-c-k-c0x00ffffff-no-rj</v>
      </c>
      <c r="G216" s="66"/>
      <c r="H216" s="70" t="s">
        <v>1769</v>
      </c>
      <c r="I216" s="71"/>
      <c r="J216" s="71" t="s">
        <v>159</v>
      </c>
      <c r="K216" s="70" t="s">
        <v>1769</v>
      </c>
      <c r="L216" s="74">
        <v>1</v>
      </c>
      <c r="M216" s="75">
        <v>6490.71826171875</v>
      </c>
      <c r="N216" s="75">
        <v>9683.3515625</v>
      </c>
      <c r="O216" s="76"/>
      <c r="P216" s="77"/>
      <c r="Q216" s="77"/>
      <c r="R216" s="89"/>
      <c r="S216" s="49">
        <v>0</v>
      </c>
      <c r="T216" s="49">
        <v>1</v>
      </c>
      <c r="U216" s="50">
        <v>0</v>
      </c>
      <c r="V216" s="50">
        <v>0.002597</v>
      </c>
      <c r="W216" s="50">
        <v>0.00486</v>
      </c>
      <c r="X216" s="50">
        <v>0.526148</v>
      </c>
      <c r="Y216" s="50">
        <v>0</v>
      </c>
      <c r="Z216" s="50">
        <v>0</v>
      </c>
      <c r="AA216" s="72">
        <v>216</v>
      </c>
      <c r="AB216" s="72"/>
      <c r="AC216" s="73"/>
      <c r="AD216" s="80" t="s">
        <v>1769</v>
      </c>
      <c r="AE216" s="80"/>
      <c r="AF216" s="80"/>
      <c r="AG216" s="80"/>
      <c r="AH216" s="80"/>
      <c r="AI216" s="80"/>
      <c r="AJ216" s="80" t="s">
        <v>3220</v>
      </c>
      <c r="AK216" s="85" t="str">
        <f>HYPERLINK("https://yt3.ggpht.com/ytc/AKedOLSU3M4L7yTYcwd-NpjPZgCT4XkguYxqPjvqDyNnLg=s88-c-k-c0x00ffffff-no-rj")</f>
        <v>https://yt3.ggpht.com/ytc/AKedOLSU3M4L7yTYcwd-NpjPZgCT4XkguYxqPjvqDyNnLg=s88-c-k-c0x00ffffff-no-rj</v>
      </c>
      <c r="AL216" s="80">
        <v>0</v>
      </c>
      <c r="AM216" s="80">
        <v>0</v>
      </c>
      <c r="AN216" s="80">
        <v>0</v>
      </c>
      <c r="AO216" s="80" t="b">
        <v>0</v>
      </c>
      <c r="AP216" s="80">
        <v>0</v>
      </c>
      <c r="AQ216" s="80"/>
      <c r="AR216" s="80"/>
      <c r="AS216" s="80" t="s">
        <v>3412</v>
      </c>
      <c r="AT216" s="85" t="str">
        <f>HYPERLINK("https://www.youtube.com/channel/UCOXY5z_dylCePULXreqnayw")</f>
        <v>https://www.youtube.com/channel/UCOXY5z_dylCePULXreqnayw</v>
      </c>
      <c r="AU216" s="80" t="str">
        <f>REPLACE(INDEX(GroupVertices[Group],MATCH(Vertices[[#This Row],[Vertex]],GroupVertices[Vertex],0)),1,1,"")</f>
        <v>1</v>
      </c>
      <c r="AV216" s="49">
        <v>0</v>
      </c>
      <c r="AW216" s="50">
        <v>0</v>
      </c>
      <c r="AX216" s="49">
        <v>0</v>
      </c>
      <c r="AY216" s="50">
        <v>0</v>
      </c>
      <c r="AZ216" s="49">
        <v>0</v>
      </c>
      <c r="BA216" s="50">
        <v>0</v>
      </c>
      <c r="BB216" s="49">
        <v>1</v>
      </c>
      <c r="BC216" s="50">
        <v>100</v>
      </c>
      <c r="BD216" s="49">
        <v>1</v>
      </c>
      <c r="BE216" s="49"/>
      <c r="BF216" s="49"/>
      <c r="BG216" s="49"/>
      <c r="BH216" s="49"/>
      <c r="BI216" s="49"/>
      <c r="BJ216" s="49"/>
      <c r="BK216" s="111" t="s">
        <v>2782</v>
      </c>
      <c r="BL216" s="111" t="s">
        <v>2782</v>
      </c>
      <c r="BM216" s="111" t="s">
        <v>2782</v>
      </c>
      <c r="BN216" s="111" t="s">
        <v>2782</v>
      </c>
      <c r="BO216" s="2"/>
      <c r="BP216" s="3"/>
      <c r="BQ216" s="3"/>
      <c r="BR216" s="3"/>
      <c r="BS216" s="3"/>
    </row>
    <row r="217" spans="1:71" ht="15">
      <c r="A217" s="65" t="s">
        <v>441</v>
      </c>
      <c r="B217" s="66"/>
      <c r="C217" s="66"/>
      <c r="D217" s="67">
        <v>150</v>
      </c>
      <c r="E217" s="69"/>
      <c r="F217" s="103" t="str">
        <f>HYPERLINK("https://yt3.ggpht.com/ytc/AKedOLQypA6fvI8-i3POXvUK4HMiQlfsluxlBsKi6M8lCA=s88-c-k-c0x00ffffff-no-rj")</f>
        <v>https://yt3.ggpht.com/ytc/AKedOLQypA6fvI8-i3POXvUK4HMiQlfsluxlBsKi6M8lCA=s88-c-k-c0x00ffffff-no-rj</v>
      </c>
      <c r="G217" s="66"/>
      <c r="H217" s="70" t="s">
        <v>1770</v>
      </c>
      <c r="I217" s="71"/>
      <c r="J217" s="71" t="s">
        <v>159</v>
      </c>
      <c r="K217" s="70" t="s">
        <v>1770</v>
      </c>
      <c r="L217" s="74">
        <v>1</v>
      </c>
      <c r="M217" s="75">
        <v>9766.189453125</v>
      </c>
      <c r="N217" s="75">
        <v>8687.998046875</v>
      </c>
      <c r="O217" s="76"/>
      <c r="P217" s="77"/>
      <c r="Q217" s="77"/>
      <c r="R217" s="89"/>
      <c r="S217" s="49">
        <v>0</v>
      </c>
      <c r="T217" s="49">
        <v>1</v>
      </c>
      <c r="U217" s="50">
        <v>0</v>
      </c>
      <c r="V217" s="50">
        <v>0.002597</v>
      </c>
      <c r="W217" s="50">
        <v>0.00486</v>
      </c>
      <c r="X217" s="50">
        <v>0.526148</v>
      </c>
      <c r="Y217" s="50">
        <v>0</v>
      </c>
      <c r="Z217" s="50">
        <v>0</v>
      </c>
      <c r="AA217" s="72">
        <v>217</v>
      </c>
      <c r="AB217" s="72"/>
      <c r="AC217" s="73"/>
      <c r="AD217" s="80" t="s">
        <v>1770</v>
      </c>
      <c r="AE217" s="80"/>
      <c r="AF217" s="80"/>
      <c r="AG217" s="80"/>
      <c r="AH217" s="80"/>
      <c r="AI217" s="80"/>
      <c r="AJ217" s="80" t="s">
        <v>3221</v>
      </c>
      <c r="AK217" s="85" t="str">
        <f>HYPERLINK("https://yt3.ggpht.com/ytc/AKedOLQypA6fvI8-i3POXvUK4HMiQlfsluxlBsKi6M8lCA=s88-c-k-c0x00ffffff-no-rj")</f>
        <v>https://yt3.ggpht.com/ytc/AKedOLQypA6fvI8-i3POXvUK4HMiQlfsluxlBsKi6M8lCA=s88-c-k-c0x00ffffff-no-rj</v>
      </c>
      <c r="AL217" s="80">
        <v>0</v>
      </c>
      <c r="AM217" s="80">
        <v>0</v>
      </c>
      <c r="AN217" s="80">
        <v>0</v>
      </c>
      <c r="AO217" s="80" t="b">
        <v>0</v>
      </c>
      <c r="AP217" s="80">
        <v>0</v>
      </c>
      <c r="AQ217" s="80"/>
      <c r="AR217" s="80"/>
      <c r="AS217" s="80" t="s">
        <v>3412</v>
      </c>
      <c r="AT217" s="85" t="str">
        <f>HYPERLINK("https://www.youtube.com/channel/UC9YfOfWjjwGjFdtkEO_dDZA")</f>
        <v>https://www.youtube.com/channel/UC9YfOfWjjwGjFdtkEO_dDZA</v>
      </c>
      <c r="AU217" s="80" t="str">
        <f>REPLACE(INDEX(GroupVertices[Group],MATCH(Vertices[[#This Row],[Vertex]],GroupVertices[Vertex],0)),1,1,"")</f>
        <v>1</v>
      </c>
      <c r="AV217" s="49">
        <v>1</v>
      </c>
      <c r="AW217" s="50">
        <v>25</v>
      </c>
      <c r="AX217" s="49">
        <v>0</v>
      </c>
      <c r="AY217" s="50">
        <v>0</v>
      </c>
      <c r="AZ217" s="49">
        <v>0</v>
      </c>
      <c r="BA217" s="50">
        <v>0</v>
      </c>
      <c r="BB217" s="49">
        <v>3</v>
      </c>
      <c r="BC217" s="50">
        <v>75</v>
      </c>
      <c r="BD217" s="49">
        <v>4</v>
      </c>
      <c r="BE217" s="49"/>
      <c r="BF217" s="49"/>
      <c r="BG217" s="49"/>
      <c r="BH217" s="49"/>
      <c r="BI217" s="49"/>
      <c r="BJ217" s="49"/>
      <c r="BK217" s="111" t="s">
        <v>3464</v>
      </c>
      <c r="BL217" s="111" t="s">
        <v>3464</v>
      </c>
      <c r="BM217" s="111" t="s">
        <v>2782</v>
      </c>
      <c r="BN217" s="111" t="s">
        <v>2782</v>
      </c>
      <c r="BO217" s="2"/>
      <c r="BP217" s="3"/>
      <c r="BQ217" s="3"/>
      <c r="BR217" s="3"/>
      <c r="BS217" s="3"/>
    </row>
    <row r="218" spans="1:71" ht="15">
      <c r="A218" s="65" t="s">
        <v>442</v>
      </c>
      <c r="B218" s="66"/>
      <c r="C218" s="66"/>
      <c r="D218" s="67">
        <v>150</v>
      </c>
      <c r="E218" s="69"/>
      <c r="F218" s="103" t="str">
        <f>HYPERLINK("https://yt3.ggpht.com/ytc/AKedOLTL_cwhvmPEb5tLOED5hxDnzaMnac_9rzORsg=s88-c-k-c0x00ffffff-no-rj")</f>
        <v>https://yt3.ggpht.com/ytc/AKedOLTL_cwhvmPEb5tLOED5hxDnzaMnac_9rzORsg=s88-c-k-c0x00ffffff-no-rj</v>
      </c>
      <c r="G218" s="66"/>
      <c r="H218" s="70" t="s">
        <v>1771</v>
      </c>
      <c r="I218" s="71"/>
      <c r="J218" s="71" t="s">
        <v>159</v>
      </c>
      <c r="K218" s="70" t="s">
        <v>1771</v>
      </c>
      <c r="L218" s="74">
        <v>1</v>
      </c>
      <c r="M218" s="75">
        <v>5573.17236328125</v>
      </c>
      <c r="N218" s="75">
        <v>7247.3310546875</v>
      </c>
      <c r="O218" s="76"/>
      <c r="P218" s="77"/>
      <c r="Q218" s="77"/>
      <c r="R218" s="89"/>
      <c r="S218" s="49">
        <v>1</v>
      </c>
      <c r="T218" s="49">
        <v>1</v>
      </c>
      <c r="U218" s="50">
        <v>0</v>
      </c>
      <c r="V218" s="50">
        <v>0.002597</v>
      </c>
      <c r="W218" s="50">
        <v>0.00486</v>
      </c>
      <c r="X218" s="50">
        <v>0.526148</v>
      </c>
      <c r="Y218" s="50">
        <v>0</v>
      </c>
      <c r="Z218" s="50">
        <v>1</v>
      </c>
      <c r="AA218" s="72">
        <v>218</v>
      </c>
      <c r="AB218" s="72"/>
      <c r="AC218" s="73"/>
      <c r="AD218" s="80" t="s">
        <v>1771</v>
      </c>
      <c r="AE218" s="80"/>
      <c r="AF218" s="80"/>
      <c r="AG218" s="80"/>
      <c r="AH218" s="80"/>
      <c r="AI218" s="80"/>
      <c r="AJ218" s="80" t="s">
        <v>3222</v>
      </c>
      <c r="AK218" s="85" t="str">
        <f>HYPERLINK("https://yt3.ggpht.com/ytc/AKedOLTL_cwhvmPEb5tLOED5hxDnzaMnac_9rzORsg=s88-c-k-c0x00ffffff-no-rj")</f>
        <v>https://yt3.ggpht.com/ytc/AKedOLTL_cwhvmPEb5tLOED5hxDnzaMnac_9rzORsg=s88-c-k-c0x00ffffff-no-rj</v>
      </c>
      <c r="AL218" s="80">
        <v>0</v>
      </c>
      <c r="AM218" s="80">
        <v>0</v>
      </c>
      <c r="AN218" s="80">
        <v>0</v>
      </c>
      <c r="AO218" s="80" t="b">
        <v>0</v>
      </c>
      <c r="AP218" s="80">
        <v>0</v>
      </c>
      <c r="AQ218" s="80"/>
      <c r="AR218" s="80"/>
      <c r="AS218" s="80" t="s">
        <v>3412</v>
      </c>
      <c r="AT218" s="85" t="str">
        <f>HYPERLINK("https://www.youtube.com/channel/UCie6mkyR-OwL_Dta8C8C4tA")</f>
        <v>https://www.youtube.com/channel/UCie6mkyR-OwL_Dta8C8C4tA</v>
      </c>
      <c r="AU218" s="80" t="str">
        <f>REPLACE(INDEX(GroupVertices[Group],MATCH(Vertices[[#This Row],[Vertex]],GroupVertices[Vertex],0)),1,1,"")</f>
        <v>1</v>
      </c>
      <c r="AV218" s="49">
        <v>1</v>
      </c>
      <c r="AW218" s="50">
        <v>12.5</v>
      </c>
      <c r="AX218" s="49">
        <v>0</v>
      </c>
      <c r="AY218" s="50">
        <v>0</v>
      </c>
      <c r="AZ218" s="49">
        <v>0</v>
      </c>
      <c r="BA218" s="50">
        <v>0</v>
      </c>
      <c r="BB218" s="49">
        <v>7</v>
      </c>
      <c r="BC218" s="50">
        <v>87.5</v>
      </c>
      <c r="BD218" s="49">
        <v>8</v>
      </c>
      <c r="BE218" s="49"/>
      <c r="BF218" s="49"/>
      <c r="BG218" s="49"/>
      <c r="BH218" s="49"/>
      <c r="BI218" s="49"/>
      <c r="BJ218" s="49"/>
      <c r="BK218" s="111" t="s">
        <v>4587</v>
      </c>
      <c r="BL218" s="111" t="s">
        <v>4587</v>
      </c>
      <c r="BM218" s="111" t="s">
        <v>5061</v>
      </c>
      <c r="BN218" s="111" t="s">
        <v>5061</v>
      </c>
      <c r="BO218" s="2"/>
      <c r="BP218" s="3"/>
      <c r="BQ218" s="3"/>
      <c r="BR218" s="3"/>
      <c r="BS218" s="3"/>
    </row>
    <row r="219" spans="1:71" ht="15">
      <c r="A219" s="65" t="s">
        <v>443</v>
      </c>
      <c r="B219" s="66"/>
      <c r="C219" s="66"/>
      <c r="D219" s="67">
        <v>150</v>
      </c>
      <c r="E219" s="69"/>
      <c r="F219" s="103" t="str">
        <f>HYPERLINK("https://yt3.ggpht.com/ytc/AKedOLQbSxrrt272DKix0XC8H8nIpCukqbd8y_daJg=s88-c-k-c0x00ffffff-no-rj")</f>
        <v>https://yt3.ggpht.com/ytc/AKedOLQbSxrrt272DKix0XC8H8nIpCukqbd8y_daJg=s88-c-k-c0x00ffffff-no-rj</v>
      </c>
      <c r="G219" s="66"/>
      <c r="H219" s="70" t="s">
        <v>1772</v>
      </c>
      <c r="I219" s="71"/>
      <c r="J219" s="71" t="s">
        <v>159</v>
      </c>
      <c r="K219" s="70" t="s">
        <v>1772</v>
      </c>
      <c r="L219" s="74">
        <v>1</v>
      </c>
      <c r="M219" s="75">
        <v>6292.53857421875</v>
      </c>
      <c r="N219" s="75">
        <v>7758.052734375</v>
      </c>
      <c r="O219" s="76"/>
      <c r="P219" s="77"/>
      <c r="Q219" s="77"/>
      <c r="R219" s="89"/>
      <c r="S219" s="49">
        <v>0</v>
      </c>
      <c r="T219" s="49">
        <v>1</v>
      </c>
      <c r="U219" s="50">
        <v>0</v>
      </c>
      <c r="V219" s="50">
        <v>0.002597</v>
      </c>
      <c r="W219" s="50">
        <v>0.00486</v>
      </c>
      <c r="X219" s="50">
        <v>0.526148</v>
      </c>
      <c r="Y219" s="50">
        <v>0</v>
      </c>
      <c r="Z219" s="50">
        <v>0</v>
      </c>
      <c r="AA219" s="72">
        <v>219</v>
      </c>
      <c r="AB219" s="72"/>
      <c r="AC219" s="73"/>
      <c r="AD219" s="80" t="s">
        <v>1772</v>
      </c>
      <c r="AE219" s="80"/>
      <c r="AF219" s="80"/>
      <c r="AG219" s="80"/>
      <c r="AH219" s="80"/>
      <c r="AI219" s="80"/>
      <c r="AJ219" s="80" t="s">
        <v>3223</v>
      </c>
      <c r="AK219" s="85" t="str">
        <f>HYPERLINK("https://yt3.ggpht.com/ytc/AKedOLQbSxrrt272DKix0XC8H8nIpCukqbd8y_daJg=s88-c-k-c0x00ffffff-no-rj")</f>
        <v>https://yt3.ggpht.com/ytc/AKedOLQbSxrrt272DKix0XC8H8nIpCukqbd8y_daJg=s88-c-k-c0x00ffffff-no-rj</v>
      </c>
      <c r="AL219" s="80">
        <v>0</v>
      </c>
      <c r="AM219" s="80">
        <v>0</v>
      </c>
      <c r="AN219" s="80">
        <v>0</v>
      </c>
      <c r="AO219" s="80" t="b">
        <v>0</v>
      </c>
      <c r="AP219" s="80">
        <v>0</v>
      </c>
      <c r="AQ219" s="80"/>
      <c r="AR219" s="80"/>
      <c r="AS219" s="80" t="s">
        <v>3412</v>
      </c>
      <c r="AT219" s="85" t="str">
        <f>HYPERLINK("https://www.youtube.com/channel/UCwbeXhIuQcw0x_2ciSHffvg")</f>
        <v>https://www.youtube.com/channel/UCwbeXhIuQcw0x_2ciSHffvg</v>
      </c>
      <c r="AU219" s="80" t="str">
        <f>REPLACE(INDEX(GroupVertices[Group],MATCH(Vertices[[#This Row],[Vertex]],GroupVertices[Vertex],0)),1,1,"")</f>
        <v>1</v>
      </c>
      <c r="AV219" s="49">
        <v>3</v>
      </c>
      <c r="AW219" s="50">
        <v>6.382978723404255</v>
      </c>
      <c r="AX219" s="49">
        <v>0</v>
      </c>
      <c r="AY219" s="50">
        <v>0</v>
      </c>
      <c r="AZ219" s="49">
        <v>0</v>
      </c>
      <c r="BA219" s="50">
        <v>0</v>
      </c>
      <c r="BB219" s="49">
        <v>44</v>
      </c>
      <c r="BC219" s="50">
        <v>93.61702127659575</v>
      </c>
      <c r="BD219" s="49">
        <v>47</v>
      </c>
      <c r="BE219" s="49"/>
      <c r="BF219" s="49"/>
      <c r="BG219" s="49"/>
      <c r="BH219" s="49"/>
      <c r="BI219" s="49"/>
      <c r="BJ219" s="49"/>
      <c r="BK219" s="111" t="s">
        <v>4588</v>
      </c>
      <c r="BL219" s="111" t="s">
        <v>4588</v>
      </c>
      <c r="BM219" s="111" t="s">
        <v>5062</v>
      </c>
      <c r="BN219" s="111" t="s">
        <v>5062</v>
      </c>
      <c r="BO219" s="2"/>
      <c r="BP219" s="3"/>
      <c r="BQ219" s="3"/>
      <c r="BR219" s="3"/>
      <c r="BS219" s="3"/>
    </row>
    <row r="220" spans="1:71" ht="15">
      <c r="A220" s="65" t="s">
        <v>444</v>
      </c>
      <c r="B220" s="66"/>
      <c r="C220" s="66"/>
      <c r="D220" s="67">
        <v>150</v>
      </c>
      <c r="E220" s="69"/>
      <c r="F220" s="103" t="str">
        <f>HYPERLINK("https://yt3.ggpht.com/ytc/AKedOLToyw_nxjn4CTG0juI55i5D0d6PEIoOoK7bx6Vmlw=s88-c-k-c0x00ffffff-no-rj")</f>
        <v>https://yt3.ggpht.com/ytc/AKedOLToyw_nxjn4CTG0juI55i5D0d6PEIoOoK7bx6Vmlw=s88-c-k-c0x00ffffff-no-rj</v>
      </c>
      <c r="G220" s="66"/>
      <c r="H220" s="70" t="s">
        <v>1773</v>
      </c>
      <c r="I220" s="71"/>
      <c r="J220" s="71" t="s">
        <v>159</v>
      </c>
      <c r="K220" s="70" t="s">
        <v>1773</v>
      </c>
      <c r="L220" s="74">
        <v>1</v>
      </c>
      <c r="M220" s="75">
        <v>6952.66259765625</v>
      </c>
      <c r="N220" s="75">
        <v>7284.8984375</v>
      </c>
      <c r="O220" s="76"/>
      <c r="P220" s="77"/>
      <c r="Q220" s="77"/>
      <c r="R220" s="89"/>
      <c r="S220" s="49">
        <v>0</v>
      </c>
      <c r="T220" s="49">
        <v>1</v>
      </c>
      <c r="U220" s="50">
        <v>0</v>
      </c>
      <c r="V220" s="50">
        <v>0.002597</v>
      </c>
      <c r="W220" s="50">
        <v>0.00486</v>
      </c>
      <c r="X220" s="50">
        <v>0.526148</v>
      </c>
      <c r="Y220" s="50">
        <v>0</v>
      </c>
      <c r="Z220" s="50">
        <v>0</v>
      </c>
      <c r="AA220" s="72">
        <v>220</v>
      </c>
      <c r="AB220" s="72"/>
      <c r="AC220" s="73"/>
      <c r="AD220" s="80" t="s">
        <v>1773</v>
      </c>
      <c r="AE220" s="80"/>
      <c r="AF220" s="80"/>
      <c r="AG220" s="80"/>
      <c r="AH220" s="80"/>
      <c r="AI220" s="80"/>
      <c r="AJ220" s="80" t="s">
        <v>3224</v>
      </c>
      <c r="AK220" s="85" t="str">
        <f>HYPERLINK("https://yt3.ggpht.com/ytc/AKedOLToyw_nxjn4CTG0juI55i5D0d6PEIoOoK7bx6Vmlw=s88-c-k-c0x00ffffff-no-rj")</f>
        <v>https://yt3.ggpht.com/ytc/AKedOLToyw_nxjn4CTG0juI55i5D0d6PEIoOoK7bx6Vmlw=s88-c-k-c0x00ffffff-no-rj</v>
      </c>
      <c r="AL220" s="80">
        <v>0</v>
      </c>
      <c r="AM220" s="80">
        <v>0</v>
      </c>
      <c r="AN220" s="80">
        <v>6</v>
      </c>
      <c r="AO220" s="80" t="b">
        <v>0</v>
      </c>
      <c r="AP220" s="80">
        <v>0</v>
      </c>
      <c r="AQ220" s="80"/>
      <c r="AR220" s="80"/>
      <c r="AS220" s="80" t="s">
        <v>3412</v>
      </c>
      <c r="AT220" s="85" t="str">
        <f>HYPERLINK("https://www.youtube.com/channel/UCKs0kpPRJzJN6-51UZIr99Q")</f>
        <v>https://www.youtube.com/channel/UCKs0kpPRJzJN6-51UZIr99Q</v>
      </c>
      <c r="AU220" s="80" t="str">
        <f>REPLACE(INDEX(GroupVertices[Group],MATCH(Vertices[[#This Row],[Vertex]],GroupVertices[Vertex],0)),1,1,"")</f>
        <v>1</v>
      </c>
      <c r="AV220" s="49">
        <v>7</v>
      </c>
      <c r="AW220" s="50">
        <v>11.290322580645162</v>
      </c>
      <c r="AX220" s="49">
        <v>0</v>
      </c>
      <c r="AY220" s="50">
        <v>0</v>
      </c>
      <c r="AZ220" s="49">
        <v>0</v>
      </c>
      <c r="BA220" s="50">
        <v>0</v>
      </c>
      <c r="BB220" s="49">
        <v>55</v>
      </c>
      <c r="BC220" s="50">
        <v>88.70967741935483</v>
      </c>
      <c r="BD220" s="49">
        <v>62</v>
      </c>
      <c r="BE220" s="49"/>
      <c r="BF220" s="49"/>
      <c r="BG220" s="49"/>
      <c r="BH220" s="49"/>
      <c r="BI220" s="49"/>
      <c r="BJ220" s="49"/>
      <c r="BK220" s="111" t="s">
        <v>4589</v>
      </c>
      <c r="BL220" s="111" t="s">
        <v>4589</v>
      </c>
      <c r="BM220" s="111" t="s">
        <v>5063</v>
      </c>
      <c r="BN220" s="111" t="s">
        <v>5063</v>
      </c>
      <c r="BO220" s="2"/>
      <c r="BP220" s="3"/>
      <c r="BQ220" s="3"/>
      <c r="BR220" s="3"/>
      <c r="BS220" s="3"/>
    </row>
    <row r="221" spans="1:71" ht="15">
      <c r="A221" s="65" t="s">
        <v>445</v>
      </c>
      <c r="B221" s="66"/>
      <c r="C221" s="66"/>
      <c r="D221" s="67">
        <v>150</v>
      </c>
      <c r="E221" s="69"/>
      <c r="F221" s="103" t="str">
        <f>HYPERLINK("https://yt3.ggpht.com/ytc/AKedOLSPTeTw_ZUfE4SdEb2Y58Zi4hjdqeyShIOxoSJlMA=s88-c-k-c0x00ffffff-no-rj")</f>
        <v>https://yt3.ggpht.com/ytc/AKedOLSPTeTw_ZUfE4SdEb2Y58Zi4hjdqeyShIOxoSJlMA=s88-c-k-c0x00ffffff-no-rj</v>
      </c>
      <c r="G221" s="66"/>
      <c r="H221" s="70" t="s">
        <v>1774</v>
      </c>
      <c r="I221" s="71"/>
      <c r="J221" s="71" t="s">
        <v>159</v>
      </c>
      <c r="K221" s="70" t="s">
        <v>1774</v>
      </c>
      <c r="L221" s="74">
        <v>1</v>
      </c>
      <c r="M221" s="75">
        <v>7405.85595703125</v>
      </c>
      <c r="N221" s="75">
        <v>7384.55517578125</v>
      </c>
      <c r="O221" s="76"/>
      <c r="P221" s="77"/>
      <c r="Q221" s="77"/>
      <c r="R221" s="89"/>
      <c r="S221" s="49">
        <v>0</v>
      </c>
      <c r="T221" s="49">
        <v>1</v>
      </c>
      <c r="U221" s="50">
        <v>0</v>
      </c>
      <c r="V221" s="50">
        <v>0.002597</v>
      </c>
      <c r="W221" s="50">
        <v>0.00486</v>
      </c>
      <c r="X221" s="50">
        <v>0.526148</v>
      </c>
      <c r="Y221" s="50">
        <v>0</v>
      </c>
      <c r="Z221" s="50">
        <v>0</v>
      </c>
      <c r="AA221" s="72">
        <v>221</v>
      </c>
      <c r="AB221" s="72"/>
      <c r="AC221" s="73"/>
      <c r="AD221" s="80" t="s">
        <v>1774</v>
      </c>
      <c r="AE221" s="80" t="s">
        <v>2880</v>
      </c>
      <c r="AF221" s="80"/>
      <c r="AG221" s="80"/>
      <c r="AH221" s="80"/>
      <c r="AI221" s="80"/>
      <c r="AJ221" s="80" t="s">
        <v>3225</v>
      </c>
      <c r="AK221" s="85" t="str">
        <f>HYPERLINK("https://yt3.ggpht.com/ytc/AKedOLSPTeTw_ZUfE4SdEb2Y58Zi4hjdqeyShIOxoSJlMA=s88-c-k-c0x00ffffff-no-rj")</f>
        <v>https://yt3.ggpht.com/ytc/AKedOLSPTeTw_ZUfE4SdEb2Y58Zi4hjdqeyShIOxoSJlMA=s88-c-k-c0x00ffffff-no-rj</v>
      </c>
      <c r="AL221" s="80">
        <v>0</v>
      </c>
      <c r="AM221" s="80">
        <v>0</v>
      </c>
      <c r="AN221" s="80">
        <v>0</v>
      </c>
      <c r="AO221" s="80" t="b">
        <v>0</v>
      </c>
      <c r="AP221" s="80">
        <v>0</v>
      </c>
      <c r="AQ221" s="80"/>
      <c r="AR221" s="80"/>
      <c r="AS221" s="80" t="s">
        <v>3412</v>
      </c>
      <c r="AT221" s="85" t="str">
        <f>HYPERLINK("https://www.youtube.com/channel/UCEHb8tvFjA0pUXCEDXuntvA")</f>
        <v>https://www.youtube.com/channel/UCEHb8tvFjA0pUXCEDXuntvA</v>
      </c>
      <c r="AU221" s="80" t="str">
        <f>REPLACE(INDEX(GroupVertices[Group],MATCH(Vertices[[#This Row],[Vertex]],GroupVertices[Vertex],0)),1,1,"")</f>
        <v>1</v>
      </c>
      <c r="AV221" s="49">
        <v>1</v>
      </c>
      <c r="AW221" s="50">
        <v>50</v>
      </c>
      <c r="AX221" s="49">
        <v>0</v>
      </c>
      <c r="AY221" s="50">
        <v>0</v>
      </c>
      <c r="AZ221" s="49">
        <v>0</v>
      </c>
      <c r="BA221" s="50">
        <v>0</v>
      </c>
      <c r="BB221" s="49">
        <v>1</v>
      </c>
      <c r="BC221" s="50">
        <v>50</v>
      </c>
      <c r="BD221" s="49">
        <v>2</v>
      </c>
      <c r="BE221" s="49"/>
      <c r="BF221" s="49"/>
      <c r="BG221" s="49"/>
      <c r="BH221" s="49"/>
      <c r="BI221" s="49"/>
      <c r="BJ221" s="49"/>
      <c r="BK221" s="111" t="s">
        <v>4590</v>
      </c>
      <c r="BL221" s="111" t="s">
        <v>4590</v>
      </c>
      <c r="BM221" s="111" t="s">
        <v>5064</v>
      </c>
      <c r="BN221" s="111" t="s">
        <v>5064</v>
      </c>
      <c r="BO221" s="2"/>
      <c r="BP221" s="3"/>
      <c r="BQ221" s="3"/>
      <c r="BR221" s="3"/>
      <c r="BS221" s="3"/>
    </row>
    <row r="222" spans="1:71" ht="15">
      <c r="A222" s="65" t="s">
        <v>446</v>
      </c>
      <c r="B222" s="66"/>
      <c r="C222" s="66"/>
      <c r="D222" s="67">
        <v>150</v>
      </c>
      <c r="E222" s="69"/>
      <c r="F222" s="103" t="str">
        <f>HYPERLINK("https://yt3.ggpht.com/ytc/AKedOLRV-PF-pfL-rnJvAYwGkFJECh1zw1hUbTmhSpLUzgA=s88-c-k-c0x00ffffff-no-rj")</f>
        <v>https://yt3.ggpht.com/ytc/AKedOLRV-PF-pfL-rnJvAYwGkFJECh1zw1hUbTmhSpLUzgA=s88-c-k-c0x00ffffff-no-rj</v>
      </c>
      <c r="G222" s="66"/>
      <c r="H222" s="70" t="s">
        <v>1775</v>
      </c>
      <c r="I222" s="71"/>
      <c r="J222" s="71" t="s">
        <v>159</v>
      </c>
      <c r="K222" s="70" t="s">
        <v>1775</v>
      </c>
      <c r="L222" s="74">
        <v>1</v>
      </c>
      <c r="M222" s="75">
        <v>3056.72216796875</v>
      </c>
      <c r="N222" s="75">
        <v>7955.3056640625</v>
      </c>
      <c r="O222" s="76"/>
      <c r="P222" s="77"/>
      <c r="Q222" s="77"/>
      <c r="R222" s="89"/>
      <c r="S222" s="49">
        <v>1</v>
      </c>
      <c r="T222" s="49">
        <v>1</v>
      </c>
      <c r="U222" s="50">
        <v>0</v>
      </c>
      <c r="V222" s="50">
        <v>0.002597</v>
      </c>
      <c r="W222" s="50">
        <v>0.00486</v>
      </c>
      <c r="X222" s="50">
        <v>0.526148</v>
      </c>
      <c r="Y222" s="50">
        <v>0</v>
      </c>
      <c r="Z222" s="50">
        <v>1</v>
      </c>
      <c r="AA222" s="72">
        <v>222</v>
      </c>
      <c r="AB222" s="72"/>
      <c r="AC222" s="73"/>
      <c r="AD222" s="80" t="s">
        <v>1775</v>
      </c>
      <c r="AE222" s="80"/>
      <c r="AF222" s="80"/>
      <c r="AG222" s="80"/>
      <c r="AH222" s="80"/>
      <c r="AI222" s="80"/>
      <c r="AJ222" s="80" t="s">
        <v>3226</v>
      </c>
      <c r="AK222" s="85" t="str">
        <f>HYPERLINK("https://yt3.ggpht.com/ytc/AKedOLRV-PF-pfL-rnJvAYwGkFJECh1zw1hUbTmhSpLUzgA=s88-c-k-c0x00ffffff-no-rj")</f>
        <v>https://yt3.ggpht.com/ytc/AKedOLRV-PF-pfL-rnJvAYwGkFJECh1zw1hUbTmhSpLUzgA=s88-c-k-c0x00ffffff-no-rj</v>
      </c>
      <c r="AL222" s="80">
        <v>0</v>
      </c>
      <c r="AM222" s="80">
        <v>0</v>
      </c>
      <c r="AN222" s="80">
        <v>6</v>
      </c>
      <c r="AO222" s="80" t="b">
        <v>0</v>
      </c>
      <c r="AP222" s="80">
        <v>0</v>
      </c>
      <c r="AQ222" s="80"/>
      <c r="AR222" s="80"/>
      <c r="AS222" s="80" t="s">
        <v>3412</v>
      </c>
      <c r="AT222" s="85" t="str">
        <f>HYPERLINK("https://www.youtube.com/channel/UCCV1EKfwQz_fQxhdV24brOg")</f>
        <v>https://www.youtube.com/channel/UCCV1EKfwQz_fQxhdV24brOg</v>
      </c>
      <c r="AU222" s="80" t="str">
        <f>REPLACE(INDEX(GroupVertices[Group],MATCH(Vertices[[#This Row],[Vertex]],GroupVertices[Vertex],0)),1,1,"")</f>
        <v>1</v>
      </c>
      <c r="AV222" s="49">
        <v>4</v>
      </c>
      <c r="AW222" s="50">
        <v>12.121212121212121</v>
      </c>
      <c r="AX222" s="49">
        <v>3</v>
      </c>
      <c r="AY222" s="50">
        <v>9.090909090909092</v>
      </c>
      <c r="AZ222" s="49">
        <v>0</v>
      </c>
      <c r="BA222" s="50">
        <v>0</v>
      </c>
      <c r="BB222" s="49">
        <v>26</v>
      </c>
      <c r="BC222" s="50">
        <v>78.78787878787878</v>
      </c>
      <c r="BD222" s="49">
        <v>33</v>
      </c>
      <c r="BE222" s="49"/>
      <c r="BF222" s="49"/>
      <c r="BG222" s="49"/>
      <c r="BH222" s="49"/>
      <c r="BI222" s="49"/>
      <c r="BJ222" s="49"/>
      <c r="BK222" s="111" t="s">
        <v>4591</v>
      </c>
      <c r="BL222" s="111" t="s">
        <v>4871</v>
      </c>
      <c r="BM222" s="111" t="s">
        <v>5065</v>
      </c>
      <c r="BN222" s="111" t="s">
        <v>5336</v>
      </c>
      <c r="BO222" s="2"/>
      <c r="BP222" s="3"/>
      <c r="BQ222" s="3"/>
      <c r="BR222" s="3"/>
      <c r="BS222" s="3"/>
    </row>
    <row r="223" spans="1:71" ht="15">
      <c r="A223" s="65" t="s">
        <v>447</v>
      </c>
      <c r="B223" s="66"/>
      <c r="C223" s="66"/>
      <c r="D223" s="67">
        <v>150</v>
      </c>
      <c r="E223" s="69"/>
      <c r="F223" s="103" t="str">
        <f>HYPERLINK("https://yt3.ggpht.com/ytc/AKedOLT19oxTGCmV8ybaIxBmGUIuMSxsgXIiArXWGg=s88-c-k-c0x00ffffff-no-rj")</f>
        <v>https://yt3.ggpht.com/ytc/AKedOLT19oxTGCmV8ybaIxBmGUIuMSxsgXIiArXWGg=s88-c-k-c0x00ffffff-no-rj</v>
      </c>
      <c r="G223" s="66"/>
      <c r="H223" s="70" t="s">
        <v>1776</v>
      </c>
      <c r="I223" s="71"/>
      <c r="J223" s="71" t="s">
        <v>159</v>
      </c>
      <c r="K223" s="70" t="s">
        <v>1776</v>
      </c>
      <c r="L223" s="74">
        <v>1</v>
      </c>
      <c r="M223" s="75">
        <v>6707.7724609375</v>
      </c>
      <c r="N223" s="75">
        <v>9590.7412109375</v>
      </c>
      <c r="O223" s="76"/>
      <c r="P223" s="77"/>
      <c r="Q223" s="77"/>
      <c r="R223" s="89"/>
      <c r="S223" s="49">
        <v>0</v>
      </c>
      <c r="T223" s="49">
        <v>1</v>
      </c>
      <c r="U223" s="50">
        <v>0</v>
      </c>
      <c r="V223" s="50">
        <v>0.002597</v>
      </c>
      <c r="W223" s="50">
        <v>0.00486</v>
      </c>
      <c r="X223" s="50">
        <v>0.526148</v>
      </c>
      <c r="Y223" s="50">
        <v>0</v>
      </c>
      <c r="Z223" s="50">
        <v>0</v>
      </c>
      <c r="AA223" s="72">
        <v>223</v>
      </c>
      <c r="AB223" s="72"/>
      <c r="AC223" s="73"/>
      <c r="AD223" s="80" t="s">
        <v>1776</v>
      </c>
      <c r="AE223" s="80"/>
      <c r="AF223" s="80"/>
      <c r="AG223" s="80"/>
      <c r="AH223" s="80"/>
      <c r="AI223" s="80"/>
      <c r="AJ223" s="87">
        <v>41827.52008101852</v>
      </c>
      <c r="AK223" s="85" t="str">
        <f>HYPERLINK("https://yt3.ggpht.com/ytc/AKedOLT19oxTGCmV8ybaIxBmGUIuMSxsgXIiArXWGg=s88-c-k-c0x00ffffff-no-rj")</f>
        <v>https://yt3.ggpht.com/ytc/AKedOLT19oxTGCmV8ybaIxBmGUIuMSxsgXIiArXWGg=s88-c-k-c0x00ffffff-no-rj</v>
      </c>
      <c r="AL223" s="80">
        <v>0</v>
      </c>
      <c r="AM223" s="80">
        <v>0</v>
      </c>
      <c r="AN223" s="80">
        <v>2</v>
      </c>
      <c r="AO223" s="80" t="b">
        <v>0</v>
      </c>
      <c r="AP223" s="80">
        <v>0</v>
      </c>
      <c r="AQ223" s="80"/>
      <c r="AR223" s="80"/>
      <c r="AS223" s="80" t="s">
        <v>3412</v>
      </c>
      <c r="AT223" s="85" t="str">
        <f>HYPERLINK("https://www.youtube.com/channel/UCKN54OahwwhsC4xBTsQ43nA")</f>
        <v>https://www.youtube.com/channel/UCKN54OahwwhsC4xBTsQ43nA</v>
      </c>
      <c r="AU223" s="80" t="str">
        <f>REPLACE(INDEX(GroupVertices[Group],MATCH(Vertices[[#This Row],[Vertex]],GroupVertices[Vertex],0)),1,1,"")</f>
        <v>1</v>
      </c>
      <c r="AV223" s="49">
        <v>6</v>
      </c>
      <c r="AW223" s="50">
        <v>10.714285714285714</v>
      </c>
      <c r="AX223" s="49">
        <v>2</v>
      </c>
      <c r="AY223" s="50">
        <v>3.5714285714285716</v>
      </c>
      <c r="AZ223" s="49">
        <v>0</v>
      </c>
      <c r="BA223" s="50">
        <v>0</v>
      </c>
      <c r="BB223" s="49">
        <v>48</v>
      </c>
      <c r="BC223" s="50">
        <v>85.71428571428571</v>
      </c>
      <c r="BD223" s="49">
        <v>56</v>
      </c>
      <c r="BE223" s="49"/>
      <c r="BF223" s="49"/>
      <c r="BG223" s="49"/>
      <c r="BH223" s="49"/>
      <c r="BI223" s="49"/>
      <c r="BJ223" s="49"/>
      <c r="BK223" s="111" t="s">
        <v>4592</v>
      </c>
      <c r="BL223" s="111" t="s">
        <v>4592</v>
      </c>
      <c r="BM223" s="111" t="s">
        <v>5066</v>
      </c>
      <c r="BN223" s="111" t="s">
        <v>5066</v>
      </c>
      <c r="BO223" s="2"/>
      <c r="BP223" s="3"/>
      <c r="BQ223" s="3"/>
      <c r="BR223" s="3"/>
      <c r="BS223" s="3"/>
    </row>
    <row r="224" spans="1:71" ht="15">
      <c r="A224" s="65" t="s">
        <v>448</v>
      </c>
      <c r="B224" s="66"/>
      <c r="C224" s="66"/>
      <c r="D224" s="67">
        <v>150</v>
      </c>
      <c r="E224" s="69"/>
      <c r="F224" s="103" t="str">
        <f>HYPERLINK("https://yt3.ggpht.com/ytc/AKedOLTFuqVk-EMARTo-1DDTmq8iLLVBfP1OHmKFqRvz=s88-c-k-c0x00ffffff-no-rj")</f>
        <v>https://yt3.ggpht.com/ytc/AKedOLTFuqVk-EMARTo-1DDTmq8iLLVBfP1OHmKFqRvz=s88-c-k-c0x00ffffff-no-rj</v>
      </c>
      <c r="G224" s="66"/>
      <c r="H224" s="70" t="s">
        <v>1777</v>
      </c>
      <c r="I224" s="71"/>
      <c r="J224" s="71" t="s">
        <v>159</v>
      </c>
      <c r="K224" s="70" t="s">
        <v>1777</v>
      </c>
      <c r="L224" s="74">
        <v>1</v>
      </c>
      <c r="M224" s="75">
        <v>5119.76708984375</v>
      </c>
      <c r="N224" s="75">
        <v>8752.587890625</v>
      </c>
      <c r="O224" s="76"/>
      <c r="P224" s="77"/>
      <c r="Q224" s="77"/>
      <c r="R224" s="89"/>
      <c r="S224" s="49">
        <v>0</v>
      </c>
      <c r="T224" s="49">
        <v>1</v>
      </c>
      <c r="U224" s="50">
        <v>0</v>
      </c>
      <c r="V224" s="50">
        <v>0.002597</v>
      </c>
      <c r="W224" s="50">
        <v>0.00486</v>
      </c>
      <c r="X224" s="50">
        <v>0.526148</v>
      </c>
      <c r="Y224" s="50">
        <v>0</v>
      </c>
      <c r="Z224" s="50">
        <v>0</v>
      </c>
      <c r="AA224" s="72">
        <v>224</v>
      </c>
      <c r="AB224" s="72"/>
      <c r="AC224" s="73"/>
      <c r="AD224" s="80" t="s">
        <v>1777</v>
      </c>
      <c r="AE224" s="80"/>
      <c r="AF224" s="80"/>
      <c r="AG224" s="80"/>
      <c r="AH224" s="80"/>
      <c r="AI224" s="80"/>
      <c r="AJ224" s="80" t="s">
        <v>3227</v>
      </c>
      <c r="AK224" s="85" t="str">
        <f>HYPERLINK("https://yt3.ggpht.com/ytc/AKedOLTFuqVk-EMARTo-1DDTmq8iLLVBfP1OHmKFqRvz=s88-c-k-c0x00ffffff-no-rj")</f>
        <v>https://yt3.ggpht.com/ytc/AKedOLTFuqVk-EMARTo-1DDTmq8iLLVBfP1OHmKFqRvz=s88-c-k-c0x00ffffff-no-rj</v>
      </c>
      <c r="AL224" s="80">
        <v>0</v>
      </c>
      <c r="AM224" s="80">
        <v>0</v>
      </c>
      <c r="AN224" s="80">
        <v>6</v>
      </c>
      <c r="AO224" s="80" t="b">
        <v>0</v>
      </c>
      <c r="AP224" s="80">
        <v>0</v>
      </c>
      <c r="AQ224" s="80"/>
      <c r="AR224" s="80"/>
      <c r="AS224" s="80" t="s">
        <v>3412</v>
      </c>
      <c r="AT224" s="85" t="str">
        <f>HYPERLINK("https://www.youtube.com/channel/UCeUT7kK3p2Hr5yF54feUmMQ")</f>
        <v>https://www.youtube.com/channel/UCeUT7kK3p2Hr5yF54feUmMQ</v>
      </c>
      <c r="AU224" s="80" t="str">
        <f>REPLACE(INDEX(GroupVertices[Group],MATCH(Vertices[[#This Row],[Vertex]],GroupVertices[Vertex],0)),1,1,"")</f>
        <v>1</v>
      </c>
      <c r="AV224" s="49">
        <v>5</v>
      </c>
      <c r="AW224" s="50">
        <v>11.904761904761905</v>
      </c>
      <c r="AX224" s="49">
        <v>0</v>
      </c>
      <c r="AY224" s="50">
        <v>0</v>
      </c>
      <c r="AZ224" s="49">
        <v>0</v>
      </c>
      <c r="BA224" s="50">
        <v>0</v>
      </c>
      <c r="BB224" s="49">
        <v>37</v>
      </c>
      <c r="BC224" s="50">
        <v>88.0952380952381</v>
      </c>
      <c r="BD224" s="49">
        <v>42</v>
      </c>
      <c r="BE224" s="49"/>
      <c r="BF224" s="49"/>
      <c r="BG224" s="49"/>
      <c r="BH224" s="49"/>
      <c r="BI224" s="49"/>
      <c r="BJ224" s="49"/>
      <c r="BK224" s="111" t="s">
        <v>4593</v>
      </c>
      <c r="BL224" s="111" t="s">
        <v>4593</v>
      </c>
      <c r="BM224" s="111" t="s">
        <v>5067</v>
      </c>
      <c r="BN224" s="111" t="s">
        <v>5067</v>
      </c>
      <c r="BO224" s="2"/>
      <c r="BP224" s="3"/>
      <c r="BQ224" s="3"/>
      <c r="BR224" s="3"/>
      <c r="BS224" s="3"/>
    </row>
    <row r="225" spans="1:71" ht="15">
      <c r="A225" s="65" t="s">
        <v>449</v>
      </c>
      <c r="B225" s="66"/>
      <c r="C225" s="66"/>
      <c r="D225" s="67">
        <v>150</v>
      </c>
      <c r="E225" s="69"/>
      <c r="F225" s="103" t="str">
        <f>HYPERLINK("https://yt3.ggpht.com/ytc/AKedOLSFS-GTnFPRv_DeuXmJl2gK2aO94DNlZRfFtw=s88-c-k-c0x00ffffff-no-rj")</f>
        <v>https://yt3.ggpht.com/ytc/AKedOLSFS-GTnFPRv_DeuXmJl2gK2aO94DNlZRfFtw=s88-c-k-c0x00ffffff-no-rj</v>
      </c>
      <c r="G225" s="66"/>
      <c r="H225" s="70" t="s">
        <v>1778</v>
      </c>
      <c r="I225" s="71"/>
      <c r="J225" s="71" t="s">
        <v>159</v>
      </c>
      <c r="K225" s="70" t="s">
        <v>1778</v>
      </c>
      <c r="L225" s="74">
        <v>1</v>
      </c>
      <c r="M225" s="75">
        <v>6459.341796875</v>
      </c>
      <c r="N225" s="75">
        <v>9005.4072265625</v>
      </c>
      <c r="O225" s="76"/>
      <c r="P225" s="77"/>
      <c r="Q225" s="77"/>
      <c r="R225" s="89"/>
      <c r="S225" s="49">
        <v>0</v>
      </c>
      <c r="T225" s="49">
        <v>1</v>
      </c>
      <c r="U225" s="50">
        <v>0</v>
      </c>
      <c r="V225" s="50">
        <v>0.002597</v>
      </c>
      <c r="W225" s="50">
        <v>0.00486</v>
      </c>
      <c r="X225" s="50">
        <v>0.526148</v>
      </c>
      <c r="Y225" s="50">
        <v>0</v>
      </c>
      <c r="Z225" s="50">
        <v>0</v>
      </c>
      <c r="AA225" s="72">
        <v>225</v>
      </c>
      <c r="AB225" s="72"/>
      <c r="AC225" s="73"/>
      <c r="AD225" s="80" t="s">
        <v>1778</v>
      </c>
      <c r="AE225" s="80"/>
      <c r="AF225" s="80"/>
      <c r="AG225" s="80"/>
      <c r="AH225" s="80"/>
      <c r="AI225" s="80"/>
      <c r="AJ225" s="80" t="s">
        <v>3228</v>
      </c>
      <c r="AK225" s="85" t="str">
        <f>HYPERLINK("https://yt3.ggpht.com/ytc/AKedOLSFS-GTnFPRv_DeuXmJl2gK2aO94DNlZRfFtw=s88-c-k-c0x00ffffff-no-rj")</f>
        <v>https://yt3.ggpht.com/ytc/AKedOLSFS-GTnFPRv_DeuXmJl2gK2aO94DNlZRfFtw=s88-c-k-c0x00ffffff-no-rj</v>
      </c>
      <c r="AL225" s="80">
        <v>0</v>
      </c>
      <c r="AM225" s="80">
        <v>0</v>
      </c>
      <c r="AN225" s="80">
        <v>1</v>
      </c>
      <c r="AO225" s="80" t="b">
        <v>0</v>
      </c>
      <c r="AP225" s="80">
        <v>0</v>
      </c>
      <c r="AQ225" s="80"/>
      <c r="AR225" s="80"/>
      <c r="AS225" s="80" t="s">
        <v>3412</v>
      </c>
      <c r="AT225" s="85" t="str">
        <f>HYPERLINK("https://www.youtube.com/channel/UCgVOtYfjX191hZ_2brCXTqg")</f>
        <v>https://www.youtube.com/channel/UCgVOtYfjX191hZ_2brCXTqg</v>
      </c>
      <c r="AU225" s="80" t="str">
        <f>REPLACE(INDEX(GroupVertices[Group],MATCH(Vertices[[#This Row],[Vertex]],GroupVertices[Vertex],0)),1,1,"")</f>
        <v>1</v>
      </c>
      <c r="AV225" s="49">
        <v>3</v>
      </c>
      <c r="AW225" s="50">
        <v>7.6923076923076925</v>
      </c>
      <c r="AX225" s="49">
        <v>0</v>
      </c>
      <c r="AY225" s="50">
        <v>0</v>
      </c>
      <c r="AZ225" s="49">
        <v>0</v>
      </c>
      <c r="BA225" s="50">
        <v>0</v>
      </c>
      <c r="BB225" s="49">
        <v>36</v>
      </c>
      <c r="BC225" s="50">
        <v>92.3076923076923</v>
      </c>
      <c r="BD225" s="49">
        <v>39</v>
      </c>
      <c r="BE225" s="49"/>
      <c r="BF225" s="49"/>
      <c r="BG225" s="49"/>
      <c r="BH225" s="49"/>
      <c r="BI225" s="49"/>
      <c r="BJ225" s="49"/>
      <c r="BK225" s="111" t="s">
        <v>4594</v>
      </c>
      <c r="BL225" s="111" t="s">
        <v>4594</v>
      </c>
      <c r="BM225" s="111" t="s">
        <v>5068</v>
      </c>
      <c r="BN225" s="111" t="s">
        <v>5068</v>
      </c>
      <c r="BO225" s="2"/>
      <c r="BP225" s="3"/>
      <c r="BQ225" s="3"/>
      <c r="BR225" s="3"/>
      <c r="BS225" s="3"/>
    </row>
    <row r="226" spans="1:71" ht="15">
      <c r="A226" s="65" t="s">
        <v>450</v>
      </c>
      <c r="B226" s="66"/>
      <c r="C226" s="66"/>
      <c r="D226" s="67">
        <v>150</v>
      </c>
      <c r="E226" s="69"/>
      <c r="F226" s="103" t="str">
        <f>HYPERLINK("https://yt3.ggpht.com/ytc/AKedOLRPhG_f9T4oII1tV83-XJwx7POL8E5qsPPNsA=s88-c-k-c0x00ffffff-no-rj")</f>
        <v>https://yt3.ggpht.com/ytc/AKedOLRPhG_f9T4oII1tV83-XJwx7POL8E5qsPPNsA=s88-c-k-c0x00ffffff-no-rj</v>
      </c>
      <c r="G226" s="66"/>
      <c r="H226" s="70" t="s">
        <v>1779</v>
      </c>
      <c r="I226" s="71"/>
      <c r="J226" s="71" t="s">
        <v>159</v>
      </c>
      <c r="K226" s="70" t="s">
        <v>1779</v>
      </c>
      <c r="L226" s="74">
        <v>1</v>
      </c>
      <c r="M226" s="75">
        <v>4367.42138671875</v>
      </c>
      <c r="N226" s="75">
        <v>9129.84375</v>
      </c>
      <c r="O226" s="76"/>
      <c r="P226" s="77"/>
      <c r="Q226" s="77"/>
      <c r="R226" s="89"/>
      <c r="S226" s="49">
        <v>0</v>
      </c>
      <c r="T226" s="49">
        <v>1</v>
      </c>
      <c r="U226" s="50">
        <v>0</v>
      </c>
      <c r="V226" s="50">
        <v>0.002597</v>
      </c>
      <c r="W226" s="50">
        <v>0.00486</v>
      </c>
      <c r="X226" s="50">
        <v>0.526148</v>
      </c>
      <c r="Y226" s="50">
        <v>0</v>
      </c>
      <c r="Z226" s="50">
        <v>0</v>
      </c>
      <c r="AA226" s="72">
        <v>226</v>
      </c>
      <c r="AB226" s="72"/>
      <c r="AC226" s="73"/>
      <c r="AD226" s="80" t="s">
        <v>1779</v>
      </c>
      <c r="AE226" s="80"/>
      <c r="AF226" s="80"/>
      <c r="AG226" s="80"/>
      <c r="AH226" s="80"/>
      <c r="AI226" s="80"/>
      <c r="AJ226" s="80" t="s">
        <v>3229</v>
      </c>
      <c r="AK226" s="85" t="str">
        <f>HYPERLINK("https://yt3.ggpht.com/ytc/AKedOLRPhG_f9T4oII1tV83-XJwx7POL8E5qsPPNsA=s88-c-k-c0x00ffffff-no-rj")</f>
        <v>https://yt3.ggpht.com/ytc/AKedOLRPhG_f9T4oII1tV83-XJwx7POL8E5qsPPNsA=s88-c-k-c0x00ffffff-no-rj</v>
      </c>
      <c r="AL226" s="80">
        <v>0</v>
      </c>
      <c r="AM226" s="80">
        <v>0</v>
      </c>
      <c r="AN226" s="80">
        <v>1</v>
      </c>
      <c r="AO226" s="80" t="b">
        <v>0</v>
      </c>
      <c r="AP226" s="80">
        <v>0</v>
      </c>
      <c r="AQ226" s="80"/>
      <c r="AR226" s="80"/>
      <c r="AS226" s="80" t="s">
        <v>3412</v>
      </c>
      <c r="AT226" s="85" t="str">
        <f>HYPERLINK("https://www.youtube.com/channel/UCobOGMv5B48aFldlU_DuKtw")</f>
        <v>https://www.youtube.com/channel/UCobOGMv5B48aFldlU_DuKtw</v>
      </c>
      <c r="AU226" s="80" t="str">
        <f>REPLACE(INDEX(GroupVertices[Group],MATCH(Vertices[[#This Row],[Vertex]],GroupVertices[Vertex],0)),1,1,"")</f>
        <v>1</v>
      </c>
      <c r="AV226" s="49">
        <v>1</v>
      </c>
      <c r="AW226" s="50">
        <v>25</v>
      </c>
      <c r="AX226" s="49">
        <v>0</v>
      </c>
      <c r="AY226" s="50">
        <v>0</v>
      </c>
      <c r="AZ226" s="49">
        <v>0</v>
      </c>
      <c r="BA226" s="50">
        <v>0</v>
      </c>
      <c r="BB226" s="49">
        <v>3</v>
      </c>
      <c r="BC226" s="50">
        <v>75</v>
      </c>
      <c r="BD226" s="49">
        <v>4</v>
      </c>
      <c r="BE226" s="49"/>
      <c r="BF226" s="49"/>
      <c r="BG226" s="49"/>
      <c r="BH226" s="49"/>
      <c r="BI226" s="49"/>
      <c r="BJ226" s="49"/>
      <c r="BK226" s="111" t="s">
        <v>4595</v>
      </c>
      <c r="BL226" s="111" t="s">
        <v>4595</v>
      </c>
      <c r="BM226" s="111" t="s">
        <v>5069</v>
      </c>
      <c r="BN226" s="111" t="s">
        <v>5069</v>
      </c>
      <c r="BO226" s="2"/>
      <c r="BP226" s="3"/>
      <c r="BQ226" s="3"/>
      <c r="BR226" s="3"/>
      <c r="BS226" s="3"/>
    </row>
    <row r="227" spans="1:71" ht="15">
      <c r="A227" s="65" t="s">
        <v>451</v>
      </c>
      <c r="B227" s="66"/>
      <c r="C227" s="66"/>
      <c r="D227" s="67">
        <v>150</v>
      </c>
      <c r="E227" s="69"/>
      <c r="F227" s="103" t="str">
        <f>HYPERLINK("https://yt3.ggpht.com/ytc/AKedOLTlGVdiZjlwTvnAyEXFWkMon47FVgz5Ll380w=s88-c-k-c0x00ffffff-no-rj")</f>
        <v>https://yt3.ggpht.com/ytc/AKedOLTlGVdiZjlwTvnAyEXFWkMon47FVgz5Ll380w=s88-c-k-c0x00ffffff-no-rj</v>
      </c>
      <c r="G227" s="66"/>
      <c r="H227" s="70" t="s">
        <v>1780</v>
      </c>
      <c r="I227" s="71"/>
      <c r="J227" s="71" t="s">
        <v>159</v>
      </c>
      <c r="K227" s="70" t="s">
        <v>1780</v>
      </c>
      <c r="L227" s="74">
        <v>1</v>
      </c>
      <c r="M227" s="75">
        <v>7434.73095703125</v>
      </c>
      <c r="N227" s="75">
        <v>7219.30859375</v>
      </c>
      <c r="O227" s="76"/>
      <c r="P227" s="77"/>
      <c r="Q227" s="77"/>
      <c r="R227" s="89"/>
      <c r="S227" s="49">
        <v>0</v>
      </c>
      <c r="T227" s="49">
        <v>1</v>
      </c>
      <c r="U227" s="50">
        <v>0</v>
      </c>
      <c r="V227" s="50">
        <v>0.002597</v>
      </c>
      <c r="W227" s="50">
        <v>0.00486</v>
      </c>
      <c r="X227" s="50">
        <v>0.526148</v>
      </c>
      <c r="Y227" s="50">
        <v>0</v>
      </c>
      <c r="Z227" s="50">
        <v>0</v>
      </c>
      <c r="AA227" s="72">
        <v>227</v>
      </c>
      <c r="AB227" s="72"/>
      <c r="AC227" s="73"/>
      <c r="AD227" s="80" t="s">
        <v>1780</v>
      </c>
      <c r="AE227" s="80" t="s">
        <v>2881</v>
      </c>
      <c r="AF227" s="80"/>
      <c r="AG227" s="80"/>
      <c r="AH227" s="80"/>
      <c r="AI227" s="80"/>
      <c r="AJ227" s="80" t="s">
        <v>3230</v>
      </c>
      <c r="AK227" s="85" t="str">
        <f>HYPERLINK("https://yt3.ggpht.com/ytc/AKedOLTlGVdiZjlwTvnAyEXFWkMon47FVgz5Ll380w=s88-c-k-c0x00ffffff-no-rj")</f>
        <v>https://yt3.ggpht.com/ytc/AKedOLTlGVdiZjlwTvnAyEXFWkMon47FVgz5Ll380w=s88-c-k-c0x00ffffff-no-rj</v>
      </c>
      <c r="AL227" s="80">
        <v>0</v>
      </c>
      <c r="AM227" s="80">
        <v>0</v>
      </c>
      <c r="AN227" s="80">
        <v>5</v>
      </c>
      <c r="AO227" s="80" t="b">
        <v>0</v>
      </c>
      <c r="AP227" s="80">
        <v>0</v>
      </c>
      <c r="AQ227" s="80"/>
      <c r="AR227" s="80"/>
      <c r="AS227" s="80" t="s">
        <v>3412</v>
      </c>
      <c r="AT227" s="85" t="str">
        <f>HYPERLINK("https://www.youtube.com/channel/UClnyhAF3jx8wP1b4vUB1VKw")</f>
        <v>https://www.youtube.com/channel/UClnyhAF3jx8wP1b4vUB1VKw</v>
      </c>
      <c r="AU227" s="80" t="str">
        <f>REPLACE(INDEX(GroupVertices[Group],MATCH(Vertices[[#This Row],[Vertex]],GroupVertices[Vertex],0)),1,1,"")</f>
        <v>1</v>
      </c>
      <c r="AV227" s="49">
        <v>3</v>
      </c>
      <c r="AW227" s="50">
        <v>11.11111111111111</v>
      </c>
      <c r="AX227" s="49">
        <v>0</v>
      </c>
      <c r="AY227" s="50">
        <v>0</v>
      </c>
      <c r="AZ227" s="49">
        <v>0</v>
      </c>
      <c r="BA227" s="50">
        <v>0</v>
      </c>
      <c r="BB227" s="49">
        <v>24</v>
      </c>
      <c r="BC227" s="50">
        <v>88.88888888888889</v>
      </c>
      <c r="BD227" s="49">
        <v>27</v>
      </c>
      <c r="BE227" s="49"/>
      <c r="BF227" s="49"/>
      <c r="BG227" s="49"/>
      <c r="BH227" s="49"/>
      <c r="BI227" s="49"/>
      <c r="BJ227" s="49"/>
      <c r="BK227" s="111" t="s">
        <v>4596</v>
      </c>
      <c r="BL227" s="111" t="s">
        <v>4596</v>
      </c>
      <c r="BM227" s="111" t="s">
        <v>5070</v>
      </c>
      <c r="BN227" s="111" t="s">
        <v>5070</v>
      </c>
      <c r="BO227" s="2"/>
      <c r="BP227" s="3"/>
      <c r="BQ227" s="3"/>
      <c r="BR227" s="3"/>
      <c r="BS227" s="3"/>
    </row>
    <row r="228" spans="1:71" ht="15">
      <c r="A228" s="65" t="s">
        <v>452</v>
      </c>
      <c r="B228" s="66"/>
      <c r="C228" s="66"/>
      <c r="D228" s="67">
        <v>150</v>
      </c>
      <c r="E228" s="69"/>
      <c r="F228" s="103" t="str">
        <f>HYPERLINK("https://yt3.ggpht.com/ytc/AKedOLTaIbh3Ea7BFCh1d0j7au-IGeMtO3qxrgiTuw=s88-c-k-c0x00ffffff-no-rj")</f>
        <v>https://yt3.ggpht.com/ytc/AKedOLTaIbh3Ea7BFCh1d0j7au-IGeMtO3qxrgiTuw=s88-c-k-c0x00ffffff-no-rj</v>
      </c>
      <c r="G228" s="66"/>
      <c r="H228" s="70" t="s">
        <v>1781</v>
      </c>
      <c r="I228" s="71"/>
      <c r="J228" s="71" t="s">
        <v>159</v>
      </c>
      <c r="K228" s="70" t="s">
        <v>1781</v>
      </c>
      <c r="L228" s="74">
        <v>1</v>
      </c>
      <c r="M228" s="75">
        <v>3757.392822265625</v>
      </c>
      <c r="N228" s="75">
        <v>8744.6484375</v>
      </c>
      <c r="O228" s="76"/>
      <c r="P228" s="77"/>
      <c r="Q228" s="77"/>
      <c r="R228" s="89"/>
      <c r="S228" s="49">
        <v>0</v>
      </c>
      <c r="T228" s="49">
        <v>1</v>
      </c>
      <c r="U228" s="50">
        <v>0</v>
      </c>
      <c r="V228" s="50">
        <v>0.002597</v>
      </c>
      <c r="W228" s="50">
        <v>0.00486</v>
      </c>
      <c r="X228" s="50">
        <v>0.526148</v>
      </c>
      <c r="Y228" s="50">
        <v>0</v>
      </c>
      <c r="Z228" s="50">
        <v>0</v>
      </c>
      <c r="AA228" s="72">
        <v>228</v>
      </c>
      <c r="AB228" s="72"/>
      <c r="AC228" s="73"/>
      <c r="AD228" s="80" t="s">
        <v>1781</v>
      </c>
      <c r="AE228" s="80" t="s">
        <v>2882</v>
      </c>
      <c r="AF228" s="80"/>
      <c r="AG228" s="80"/>
      <c r="AH228" s="80"/>
      <c r="AI228" s="80"/>
      <c r="AJ228" s="87">
        <v>43013.46328703704</v>
      </c>
      <c r="AK228" s="85" t="str">
        <f>HYPERLINK("https://yt3.ggpht.com/ytc/AKedOLTaIbh3Ea7BFCh1d0j7au-IGeMtO3qxrgiTuw=s88-c-k-c0x00ffffff-no-rj")</f>
        <v>https://yt3.ggpht.com/ytc/AKedOLTaIbh3Ea7BFCh1d0j7au-IGeMtO3qxrgiTuw=s88-c-k-c0x00ffffff-no-rj</v>
      </c>
      <c r="AL228" s="80">
        <v>0</v>
      </c>
      <c r="AM228" s="80">
        <v>0</v>
      </c>
      <c r="AN228" s="80">
        <v>13</v>
      </c>
      <c r="AO228" s="80" t="b">
        <v>0</v>
      </c>
      <c r="AP228" s="80">
        <v>0</v>
      </c>
      <c r="AQ228" s="80"/>
      <c r="AR228" s="80"/>
      <c r="AS228" s="80" t="s">
        <v>3412</v>
      </c>
      <c r="AT228" s="85" t="str">
        <f>HYPERLINK("https://www.youtube.com/channel/UCOvlIAKZAkZiIcx_FH99u-g")</f>
        <v>https://www.youtube.com/channel/UCOvlIAKZAkZiIcx_FH99u-g</v>
      </c>
      <c r="AU228" s="80" t="str">
        <f>REPLACE(INDEX(GroupVertices[Group],MATCH(Vertices[[#This Row],[Vertex]],GroupVertices[Vertex],0)),1,1,"")</f>
        <v>1</v>
      </c>
      <c r="AV228" s="49">
        <v>1</v>
      </c>
      <c r="AW228" s="50">
        <v>50</v>
      </c>
      <c r="AX228" s="49">
        <v>0</v>
      </c>
      <c r="AY228" s="50">
        <v>0</v>
      </c>
      <c r="AZ228" s="49">
        <v>0</v>
      </c>
      <c r="BA228" s="50">
        <v>0</v>
      </c>
      <c r="BB228" s="49">
        <v>1</v>
      </c>
      <c r="BC228" s="50">
        <v>50</v>
      </c>
      <c r="BD228" s="49">
        <v>2</v>
      </c>
      <c r="BE228" s="49"/>
      <c r="BF228" s="49"/>
      <c r="BG228" s="49"/>
      <c r="BH228" s="49"/>
      <c r="BI228" s="49"/>
      <c r="BJ228" s="49"/>
      <c r="BK228" s="111" t="s">
        <v>1152</v>
      </c>
      <c r="BL228" s="111" t="s">
        <v>1152</v>
      </c>
      <c r="BM228" s="111" t="s">
        <v>2782</v>
      </c>
      <c r="BN228" s="111" t="s">
        <v>2782</v>
      </c>
      <c r="BO228" s="2"/>
      <c r="BP228" s="3"/>
      <c r="BQ228" s="3"/>
      <c r="BR228" s="3"/>
      <c r="BS228" s="3"/>
    </row>
    <row r="229" spans="1:71" ht="15">
      <c r="A229" s="65" t="s">
        <v>453</v>
      </c>
      <c r="B229" s="66"/>
      <c r="C229" s="66"/>
      <c r="D229" s="67">
        <v>150</v>
      </c>
      <c r="E229" s="69"/>
      <c r="F229" s="103" t="str">
        <f>HYPERLINK("https://yt3.ggpht.com/ytc/AKedOLS4v9swBB-IguD2XNnT8wZBdIoKNVSkNqiEJL2hjg=s88-c-k-c0x00ffffff-no-rj")</f>
        <v>https://yt3.ggpht.com/ytc/AKedOLS4v9swBB-IguD2XNnT8wZBdIoKNVSkNqiEJL2hjg=s88-c-k-c0x00ffffff-no-rj</v>
      </c>
      <c r="G229" s="66"/>
      <c r="H229" s="70" t="s">
        <v>1782</v>
      </c>
      <c r="I229" s="71"/>
      <c r="J229" s="71" t="s">
        <v>159</v>
      </c>
      <c r="K229" s="70" t="s">
        <v>1782</v>
      </c>
      <c r="L229" s="74">
        <v>1</v>
      </c>
      <c r="M229" s="75">
        <v>6295.03466796875</v>
      </c>
      <c r="N229" s="75">
        <v>7320.0361328125</v>
      </c>
      <c r="O229" s="76"/>
      <c r="P229" s="77"/>
      <c r="Q229" s="77"/>
      <c r="R229" s="89"/>
      <c r="S229" s="49">
        <v>0</v>
      </c>
      <c r="T229" s="49">
        <v>1</v>
      </c>
      <c r="U229" s="50">
        <v>0</v>
      </c>
      <c r="V229" s="50">
        <v>0.002597</v>
      </c>
      <c r="W229" s="50">
        <v>0.00486</v>
      </c>
      <c r="X229" s="50">
        <v>0.526148</v>
      </c>
      <c r="Y229" s="50">
        <v>0</v>
      </c>
      <c r="Z229" s="50">
        <v>0</v>
      </c>
      <c r="AA229" s="72">
        <v>229</v>
      </c>
      <c r="AB229" s="72"/>
      <c r="AC229" s="73"/>
      <c r="AD229" s="80" t="s">
        <v>1782</v>
      </c>
      <c r="AE229" s="80" t="s">
        <v>2883</v>
      </c>
      <c r="AF229" s="80"/>
      <c r="AG229" s="80"/>
      <c r="AH229" s="80"/>
      <c r="AI229" s="80"/>
      <c r="AJ229" s="80" t="s">
        <v>3231</v>
      </c>
      <c r="AK229" s="85" t="str">
        <f>HYPERLINK("https://yt3.ggpht.com/ytc/AKedOLS4v9swBB-IguD2XNnT8wZBdIoKNVSkNqiEJL2hjg=s88-c-k-c0x00ffffff-no-rj")</f>
        <v>https://yt3.ggpht.com/ytc/AKedOLS4v9swBB-IguD2XNnT8wZBdIoKNVSkNqiEJL2hjg=s88-c-k-c0x00ffffff-no-rj</v>
      </c>
      <c r="AL229" s="80">
        <v>453304</v>
      </c>
      <c r="AM229" s="80">
        <v>0</v>
      </c>
      <c r="AN229" s="80">
        <v>2070</v>
      </c>
      <c r="AO229" s="80" t="b">
        <v>0</v>
      </c>
      <c r="AP229" s="80">
        <v>201</v>
      </c>
      <c r="AQ229" s="80"/>
      <c r="AR229" s="80"/>
      <c r="AS229" s="80" t="s">
        <v>3412</v>
      </c>
      <c r="AT229" s="85" t="str">
        <f>HYPERLINK("https://www.youtube.com/channel/UCZwIyhTg6Rv6LpsAuLQsxEg")</f>
        <v>https://www.youtube.com/channel/UCZwIyhTg6Rv6LpsAuLQsxEg</v>
      </c>
      <c r="AU229" s="80" t="str">
        <f>REPLACE(INDEX(GroupVertices[Group],MATCH(Vertices[[#This Row],[Vertex]],GroupVertices[Vertex],0)),1,1,"")</f>
        <v>1</v>
      </c>
      <c r="AV229" s="49">
        <v>2</v>
      </c>
      <c r="AW229" s="50">
        <v>15.384615384615385</v>
      </c>
      <c r="AX229" s="49">
        <v>0</v>
      </c>
      <c r="AY229" s="50">
        <v>0</v>
      </c>
      <c r="AZ229" s="49">
        <v>0</v>
      </c>
      <c r="BA229" s="50">
        <v>0</v>
      </c>
      <c r="BB229" s="49">
        <v>11</v>
      </c>
      <c r="BC229" s="50">
        <v>84.61538461538461</v>
      </c>
      <c r="BD229" s="49">
        <v>13</v>
      </c>
      <c r="BE229" s="49"/>
      <c r="BF229" s="49"/>
      <c r="BG229" s="49"/>
      <c r="BH229" s="49"/>
      <c r="BI229" s="49"/>
      <c r="BJ229" s="49"/>
      <c r="BK229" s="111" t="s">
        <v>4597</v>
      </c>
      <c r="BL229" s="111" t="s">
        <v>4597</v>
      </c>
      <c r="BM229" s="111" t="s">
        <v>5071</v>
      </c>
      <c r="BN229" s="111" t="s">
        <v>5071</v>
      </c>
      <c r="BO229" s="2"/>
      <c r="BP229" s="3"/>
      <c r="BQ229" s="3"/>
      <c r="BR229" s="3"/>
      <c r="BS229" s="3"/>
    </row>
    <row r="230" spans="1:71" ht="15">
      <c r="A230" s="65" t="s">
        <v>454</v>
      </c>
      <c r="B230" s="66"/>
      <c r="C230" s="66"/>
      <c r="D230" s="67">
        <v>150</v>
      </c>
      <c r="E230" s="69"/>
      <c r="F230" s="103" t="str">
        <f>HYPERLINK("https://yt3.ggpht.com/ytc/AKedOLTI6MwRB31pdWDGPdiyk8wWz3H8WM5no-BDRw=s88-c-k-c0x00ffffff-no-rj")</f>
        <v>https://yt3.ggpht.com/ytc/AKedOLTI6MwRB31pdWDGPdiyk8wWz3H8WM5no-BDRw=s88-c-k-c0x00ffffff-no-rj</v>
      </c>
      <c r="G230" s="66"/>
      <c r="H230" s="70" t="s">
        <v>1783</v>
      </c>
      <c r="I230" s="71"/>
      <c r="J230" s="71" t="s">
        <v>159</v>
      </c>
      <c r="K230" s="70" t="s">
        <v>1783</v>
      </c>
      <c r="L230" s="74">
        <v>1</v>
      </c>
      <c r="M230" s="75">
        <v>7322.84423828125</v>
      </c>
      <c r="N230" s="75">
        <v>8622.9736328125</v>
      </c>
      <c r="O230" s="76"/>
      <c r="P230" s="77"/>
      <c r="Q230" s="77"/>
      <c r="R230" s="89"/>
      <c r="S230" s="49">
        <v>0</v>
      </c>
      <c r="T230" s="49">
        <v>1</v>
      </c>
      <c r="U230" s="50">
        <v>0</v>
      </c>
      <c r="V230" s="50">
        <v>0.002597</v>
      </c>
      <c r="W230" s="50">
        <v>0.00486</v>
      </c>
      <c r="X230" s="50">
        <v>0.526148</v>
      </c>
      <c r="Y230" s="50">
        <v>0</v>
      </c>
      <c r="Z230" s="50">
        <v>0</v>
      </c>
      <c r="AA230" s="72">
        <v>230</v>
      </c>
      <c r="AB230" s="72"/>
      <c r="AC230" s="73"/>
      <c r="AD230" s="80" t="s">
        <v>1783</v>
      </c>
      <c r="AE230" s="80"/>
      <c r="AF230" s="80"/>
      <c r="AG230" s="80"/>
      <c r="AH230" s="80"/>
      <c r="AI230" s="80"/>
      <c r="AJ230" s="80" t="s">
        <v>3232</v>
      </c>
      <c r="AK230" s="85" t="str">
        <f>HYPERLINK("https://yt3.ggpht.com/ytc/AKedOLTI6MwRB31pdWDGPdiyk8wWz3H8WM5no-BDRw=s88-c-k-c0x00ffffff-no-rj")</f>
        <v>https://yt3.ggpht.com/ytc/AKedOLTI6MwRB31pdWDGPdiyk8wWz3H8WM5no-BDRw=s88-c-k-c0x00ffffff-no-rj</v>
      </c>
      <c r="AL230" s="80">
        <v>0</v>
      </c>
      <c r="AM230" s="80">
        <v>0</v>
      </c>
      <c r="AN230" s="80">
        <v>1</v>
      </c>
      <c r="AO230" s="80" t="b">
        <v>0</v>
      </c>
      <c r="AP230" s="80">
        <v>0</v>
      </c>
      <c r="AQ230" s="80"/>
      <c r="AR230" s="80"/>
      <c r="AS230" s="80" t="s">
        <v>3412</v>
      </c>
      <c r="AT230" s="85" t="str">
        <f>HYPERLINK("https://www.youtube.com/channel/UCGC0LRO29Pl3QgzQwkLqIIg")</f>
        <v>https://www.youtube.com/channel/UCGC0LRO29Pl3QgzQwkLqIIg</v>
      </c>
      <c r="AU230" s="80" t="str">
        <f>REPLACE(INDEX(GroupVertices[Group],MATCH(Vertices[[#This Row],[Vertex]],GroupVertices[Vertex],0)),1,1,"")</f>
        <v>1</v>
      </c>
      <c r="AV230" s="49">
        <v>2</v>
      </c>
      <c r="AW230" s="50">
        <v>25</v>
      </c>
      <c r="AX230" s="49">
        <v>0</v>
      </c>
      <c r="AY230" s="50">
        <v>0</v>
      </c>
      <c r="AZ230" s="49">
        <v>0</v>
      </c>
      <c r="BA230" s="50">
        <v>0</v>
      </c>
      <c r="BB230" s="49">
        <v>6</v>
      </c>
      <c r="BC230" s="50">
        <v>75</v>
      </c>
      <c r="BD230" s="49">
        <v>8</v>
      </c>
      <c r="BE230" s="49"/>
      <c r="BF230" s="49"/>
      <c r="BG230" s="49"/>
      <c r="BH230" s="49"/>
      <c r="BI230" s="49"/>
      <c r="BJ230" s="49"/>
      <c r="BK230" s="111" t="s">
        <v>4598</v>
      </c>
      <c r="BL230" s="111" t="s">
        <v>4598</v>
      </c>
      <c r="BM230" s="111" t="s">
        <v>5072</v>
      </c>
      <c r="BN230" s="111" t="s">
        <v>5072</v>
      </c>
      <c r="BO230" s="2"/>
      <c r="BP230" s="3"/>
      <c r="BQ230" s="3"/>
      <c r="BR230" s="3"/>
      <c r="BS230" s="3"/>
    </row>
    <row r="231" spans="1:71" ht="15">
      <c r="A231" s="65" t="s">
        <v>455</v>
      </c>
      <c r="B231" s="66"/>
      <c r="C231" s="66"/>
      <c r="D231" s="67">
        <v>150</v>
      </c>
      <c r="E231" s="69"/>
      <c r="F231" s="103" t="str">
        <f>HYPERLINK("https://yt3.ggpht.com/ytc/AKedOLSi87bHnHrnq_FP1Y405E2h5oHuRTOM7DK7Uw=s88-c-k-c0x00ffffff-no-rj")</f>
        <v>https://yt3.ggpht.com/ytc/AKedOLSi87bHnHrnq_FP1Y405E2h5oHuRTOM7DK7Uw=s88-c-k-c0x00ffffff-no-rj</v>
      </c>
      <c r="G231" s="66"/>
      <c r="H231" s="70" t="s">
        <v>1784</v>
      </c>
      <c r="I231" s="71"/>
      <c r="J231" s="71" t="s">
        <v>159</v>
      </c>
      <c r="K231" s="70" t="s">
        <v>1784</v>
      </c>
      <c r="L231" s="74">
        <v>1</v>
      </c>
      <c r="M231" s="75">
        <v>4418.1865234375</v>
      </c>
      <c r="N231" s="75">
        <v>9363.9501953125</v>
      </c>
      <c r="O231" s="76"/>
      <c r="P231" s="77"/>
      <c r="Q231" s="77"/>
      <c r="R231" s="89"/>
      <c r="S231" s="49">
        <v>0</v>
      </c>
      <c r="T231" s="49">
        <v>1</v>
      </c>
      <c r="U231" s="50">
        <v>0</v>
      </c>
      <c r="V231" s="50">
        <v>0.002597</v>
      </c>
      <c r="W231" s="50">
        <v>0.00486</v>
      </c>
      <c r="X231" s="50">
        <v>0.526148</v>
      </c>
      <c r="Y231" s="50">
        <v>0</v>
      </c>
      <c r="Z231" s="50">
        <v>0</v>
      </c>
      <c r="AA231" s="72">
        <v>231</v>
      </c>
      <c r="AB231" s="72"/>
      <c r="AC231" s="73"/>
      <c r="AD231" s="80" t="s">
        <v>1784</v>
      </c>
      <c r="AE231" s="80"/>
      <c r="AF231" s="80"/>
      <c r="AG231" s="80"/>
      <c r="AH231" s="80"/>
      <c r="AI231" s="80"/>
      <c r="AJ231" s="80" t="s">
        <v>3233</v>
      </c>
      <c r="AK231" s="85" t="str">
        <f>HYPERLINK("https://yt3.ggpht.com/ytc/AKedOLSi87bHnHrnq_FP1Y405E2h5oHuRTOM7DK7Uw=s88-c-k-c0x00ffffff-no-rj")</f>
        <v>https://yt3.ggpht.com/ytc/AKedOLSi87bHnHrnq_FP1Y405E2h5oHuRTOM7DK7Uw=s88-c-k-c0x00ffffff-no-rj</v>
      </c>
      <c r="AL231" s="80">
        <v>0</v>
      </c>
      <c r="AM231" s="80">
        <v>0</v>
      </c>
      <c r="AN231" s="80">
        <v>1</v>
      </c>
      <c r="AO231" s="80" t="b">
        <v>0</v>
      </c>
      <c r="AP231" s="80">
        <v>0</v>
      </c>
      <c r="AQ231" s="80"/>
      <c r="AR231" s="80"/>
      <c r="AS231" s="80" t="s">
        <v>3412</v>
      </c>
      <c r="AT231" s="85" t="str">
        <f>HYPERLINK("https://www.youtube.com/channel/UCWgPxK9Ku1E8XMqrYJErutQ")</f>
        <v>https://www.youtube.com/channel/UCWgPxK9Ku1E8XMqrYJErutQ</v>
      </c>
      <c r="AU231" s="80" t="str">
        <f>REPLACE(INDEX(GroupVertices[Group],MATCH(Vertices[[#This Row],[Vertex]],GroupVertices[Vertex],0)),1,1,"")</f>
        <v>1</v>
      </c>
      <c r="AV231" s="49">
        <v>4</v>
      </c>
      <c r="AW231" s="50">
        <v>28.571428571428573</v>
      </c>
      <c r="AX231" s="49">
        <v>0</v>
      </c>
      <c r="AY231" s="50">
        <v>0</v>
      </c>
      <c r="AZ231" s="49">
        <v>0</v>
      </c>
      <c r="BA231" s="50">
        <v>0</v>
      </c>
      <c r="BB231" s="49">
        <v>10</v>
      </c>
      <c r="BC231" s="50">
        <v>71.42857142857143</v>
      </c>
      <c r="BD231" s="49">
        <v>14</v>
      </c>
      <c r="BE231" s="49"/>
      <c r="BF231" s="49"/>
      <c r="BG231" s="49"/>
      <c r="BH231" s="49"/>
      <c r="BI231" s="49"/>
      <c r="BJ231" s="49"/>
      <c r="BK231" s="111" t="s">
        <v>4599</v>
      </c>
      <c r="BL231" s="111" t="s">
        <v>4599</v>
      </c>
      <c r="BM231" s="111" t="s">
        <v>5073</v>
      </c>
      <c r="BN231" s="111" t="s">
        <v>5073</v>
      </c>
      <c r="BO231" s="2"/>
      <c r="BP231" s="3"/>
      <c r="BQ231" s="3"/>
      <c r="BR231" s="3"/>
      <c r="BS231" s="3"/>
    </row>
    <row r="232" spans="1:71" ht="15">
      <c r="A232" s="65" t="s">
        <v>456</v>
      </c>
      <c r="B232" s="66"/>
      <c r="C232" s="66"/>
      <c r="D232" s="67">
        <v>150</v>
      </c>
      <c r="E232" s="69"/>
      <c r="F232" s="103" t="str">
        <f>HYPERLINK("https://yt3.ggpht.com/ytc/AKedOLS4ERkQNOrTTNojhQkPwiE6yJVjmdFFb1mkFg=s88-c-k-c0x00ffffff-no-rj")</f>
        <v>https://yt3.ggpht.com/ytc/AKedOLS4ERkQNOrTTNojhQkPwiE6yJVjmdFFb1mkFg=s88-c-k-c0x00ffffff-no-rj</v>
      </c>
      <c r="G232" s="66"/>
      <c r="H232" s="70" t="s">
        <v>1785</v>
      </c>
      <c r="I232" s="71"/>
      <c r="J232" s="71" t="s">
        <v>159</v>
      </c>
      <c r="K232" s="70" t="s">
        <v>1785</v>
      </c>
      <c r="L232" s="74">
        <v>1</v>
      </c>
      <c r="M232" s="75">
        <v>4785.11279296875</v>
      </c>
      <c r="N232" s="75">
        <v>9276.6943359375</v>
      </c>
      <c r="O232" s="76"/>
      <c r="P232" s="77"/>
      <c r="Q232" s="77"/>
      <c r="R232" s="89"/>
      <c r="S232" s="49">
        <v>0</v>
      </c>
      <c r="T232" s="49">
        <v>1</v>
      </c>
      <c r="U232" s="50">
        <v>0</v>
      </c>
      <c r="V232" s="50">
        <v>0.002597</v>
      </c>
      <c r="W232" s="50">
        <v>0.00486</v>
      </c>
      <c r="X232" s="50">
        <v>0.526148</v>
      </c>
      <c r="Y232" s="50">
        <v>0</v>
      </c>
      <c r="Z232" s="50">
        <v>0</v>
      </c>
      <c r="AA232" s="72">
        <v>232</v>
      </c>
      <c r="AB232" s="72"/>
      <c r="AC232" s="73"/>
      <c r="AD232" s="80" t="s">
        <v>1785</v>
      </c>
      <c r="AE232" s="80"/>
      <c r="AF232" s="80"/>
      <c r="AG232" s="80"/>
      <c r="AH232" s="80"/>
      <c r="AI232" s="80"/>
      <c r="AJ232" s="87">
        <v>40819.207037037035</v>
      </c>
      <c r="AK232" s="85" t="str">
        <f>HYPERLINK("https://yt3.ggpht.com/ytc/AKedOLS4ERkQNOrTTNojhQkPwiE6yJVjmdFFb1mkFg=s88-c-k-c0x00ffffff-no-rj")</f>
        <v>https://yt3.ggpht.com/ytc/AKedOLS4ERkQNOrTTNojhQkPwiE6yJVjmdFFb1mkFg=s88-c-k-c0x00ffffff-no-rj</v>
      </c>
      <c r="AL232" s="80">
        <v>0</v>
      </c>
      <c r="AM232" s="80">
        <v>0</v>
      </c>
      <c r="AN232" s="80">
        <v>0</v>
      </c>
      <c r="AO232" s="80" t="b">
        <v>0</v>
      </c>
      <c r="AP232" s="80">
        <v>0</v>
      </c>
      <c r="AQ232" s="80"/>
      <c r="AR232" s="80"/>
      <c r="AS232" s="80" t="s">
        <v>3412</v>
      </c>
      <c r="AT232" s="85" t="str">
        <f>HYPERLINK("https://www.youtube.com/channel/UCjof3SIQuiUyMWY-J_sqdaQ")</f>
        <v>https://www.youtube.com/channel/UCjof3SIQuiUyMWY-J_sqdaQ</v>
      </c>
      <c r="AU232" s="80" t="str">
        <f>REPLACE(INDEX(GroupVertices[Group],MATCH(Vertices[[#This Row],[Vertex]],GroupVertices[Vertex],0)),1,1,"")</f>
        <v>1</v>
      </c>
      <c r="AV232" s="49">
        <v>10</v>
      </c>
      <c r="AW232" s="50">
        <v>8.264462809917354</v>
      </c>
      <c r="AX232" s="49">
        <v>4</v>
      </c>
      <c r="AY232" s="50">
        <v>3.3057851239669422</v>
      </c>
      <c r="AZ232" s="49">
        <v>0</v>
      </c>
      <c r="BA232" s="50">
        <v>0</v>
      </c>
      <c r="BB232" s="49">
        <v>107</v>
      </c>
      <c r="BC232" s="50">
        <v>88.4297520661157</v>
      </c>
      <c r="BD232" s="49">
        <v>121</v>
      </c>
      <c r="BE232" s="49"/>
      <c r="BF232" s="49"/>
      <c r="BG232" s="49"/>
      <c r="BH232" s="49"/>
      <c r="BI232" s="49"/>
      <c r="BJ232" s="49"/>
      <c r="BK232" s="111" t="s">
        <v>4600</v>
      </c>
      <c r="BL232" s="111" t="s">
        <v>4600</v>
      </c>
      <c r="BM232" s="111" t="s">
        <v>5074</v>
      </c>
      <c r="BN232" s="111" t="s">
        <v>5074</v>
      </c>
      <c r="BO232" s="2"/>
      <c r="BP232" s="3"/>
      <c r="BQ232" s="3"/>
      <c r="BR232" s="3"/>
      <c r="BS232" s="3"/>
    </row>
    <row r="233" spans="1:71" ht="15">
      <c r="A233" s="65" t="s">
        <v>457</v>
      </c>
      <c r="B233" s="66"/>
      <c r="C233" s="66"/>
      <c r="D233" s="67">
        <v>150</v>
      </c>
      <c r="E233" s="69"/>
      <c r="F233" s="103" t="str">
        <f>HYPERLINK("https://yt3.ggpht.com/ytc/AKedOLQpFDxMVJ3RmLxdEutRXgjOg_k1OQiCjPj3bw=s88-c-k-c0x00ffffff-no-rj")</f>
        <v>https://yt3.ggpht.com/ytc/AKedOLQpFDxMVJ3RmLxdEutRXgjOg_k1OQiCjPj3bw=s88-c-k-c0x00ffffff-no-rj</v>
      </c>
      <c r="G233" s="66"/>
      <c r="H233" s="70" t="s">
        <v>1786</v>
      </c>
      <c r="I233" s="71"/>
      <c r="J233" s="71" t="s">
        <v>159</v>
      </c>
      <c r="K233" s="70" t="s">
        <v>1786</v>
      </c>
      <c r="L233" s="74">
        <v>1</v>
      </c>
      <c r="M233" s="75">
        <v>6114.18603515625</v>
      </c>
      <c r="N233" s="75">
        <v>7412.03955078125</v>
      </c>
      <c r="O233" s="76"/>
      <c r="P233" s="77"/>
      <c r="Q233" s="77"/>
      <c r="R233" s="89"/>
      <c r="S233" s="49">
        <v>0</v>
      </c>
      <c r="T233" s="49">
        <v>1</v>
      </c>
      <c r="U233" s="50">
        <v>0</v>
      </c>
      <c r="V233" s="50">
        <v>0.002597</v>
      </c>
      <c r="W233" s="50">
        <v>0.00486</v>
      </c>
      <c r="X233" s="50">
        <v>0.526148</v>
      </c>
      <c r="Y233" s="50">
        <v>0</v>
      </c>
      <c r="Z233" s="50">
        <v>0</v>
      </c>
      <c r="AA233" s="72">
        <v>233</v>
      </c>
      <c r="AB233" s="72"/>
      <c r="AC233" s="73"/>
      <c r="AD233" s="80" t="s">
        <v>1786</v>
      </c>
      <c r="AE233" s="80"/>
      <c r="AF233" s="80"/>
      <c r="AG233" s="80"/>
      <c r="AH233" s="80"/>
      <c r="AI233" s="80"/>
      <c r="AJ233" s="87">
        <v>40914.30328703704</v>
      </c>
      <c r="AK233" s="85" t="str">
        <f>HYPERLINK("https://yt3.ggpht.com/ytc/AKedOLQpFDxMVJ3RmLxdEutRXgjOg_k1OQiCjPj3bw=s88-c-k-c0x00ffffff-no-rj")</f>
        <v>https://yt3.ggpht.com/ytc/AKedOLQpFDxMVJ3RmLxdEutRXgjOg_k1OQiCjPj3bw=s88-c-k-c0x00ffffff-no-rj</v>
      </c>
      <c r="AL233" s="80">
        <v>330</v>
      </c>
      <c r="AM233" s="80">
        <v>0</v>
      </c>
      <c r="AN233" s="80">
        <v>5</v>
      </c>
      <c r="AO233" s="80" t="b">
        <v>0</v>
      </c>
      <c r="AP233" s="80">
        <v>41</v>
      </c>
      <c r="AQ233" s="80"/>
      <c r="AR233" s="80"/>
      <c r="AS233" s="80" t="s">
        <v>3412</v>
      </c>
      <c r="AT233" s="85" t="str">
        <f>HYPERLINK("https://www.youtube.com/channel/UCdPAbvhCW7vHSvUtN9_Kd3g")</f>
        <v>https://www.youtube.com/channel/UCdPAbvhCW7vHSvUtN9_Kd3g</v>
      </c>
      <c r="AU233" s="80" t="str">
        <f>REPLACE(INDEX(GroupVertices[Group],MATCH(Vertices[[#This Row],[Vertex]],GroupVertices[Vertex],0)),1,1,"")</f>
        <v>1</v>
      </c>
      <c r="AV233" s="49">
        <v>1</v>
      </c>
      <c r="AW233" s="50">
        <v>5</v>
      </c>
      <c r="AX233" s="49">
        <v>0</v>
      </c>
      <c r="AY233" s="50">
        <v>0</v>
      </c>
      <c r="AZ233" s="49">
        <v>0</v>
      </c>
      <c r="BA233" s="50">
        <v>0</v>
      </c>
      <c r="BB233" s="49">
        <v>19</v>
      </c>
      <c r="BC233" s="50">
        <v>95</v>
      </c>
      <c r="BD233" s="49">
        <v>20</v>
      </c>
      <c r="BE233" s="49"/>
      <c r="BF233" s="49"/>
      <c r="BG233" s="49"/>
      <c r="BH233" s="49"/>
      <c r="BI233" s="49"/>
      <c r="BJ233" s="49"/>
      <c r="BK233" s="111" t="s">
        <v>4601</v>
      </c>
      <c r="BL233" s="111" t="s">
        <v>4601</v>
      </c>
      <c r="BM233" s="111" t="s">
        <v>5075</v>
      </c>
      <c r="BN233" s="111" t="s">
        <v>5075</v>
      </c>
      <c r="BO233" s="2"/>
      <c r="BP233" s="3"/>
      <c r="BQ233" s="3"/>
      <c r="BR233" s="3"/>
      <c r="BS233" s="3"/>
    </row>
    <row r="234" spans="1:71" ht="15">
      <c r="A234" s="65" t="s">
        <v>458</v>
      </c>
      <c r="B234" s="66"/>
      <c r="C234" s="66"/>
      <c r="D234" s="67">
        <v>150</v>
      </c>
      <c r="E234" s="69"/>
      <c r="F234" s="103" t="str">
        <f>HYPERLINK("https://yt3.ggpht.com/ytc/AKedOLTqfzmDRyiM81dMwEpd6RrVNTS48BnGQw8Knw=s88-c-k-c0x00ffffff-no-rj")</f>
        <v>https://yt3.ggpht.com/ytc/AKedOLTqfzmDRyiM81dMwEpd6RrVNTS48BnGQw8Knw=s88-c-k-c0x00ffffff-no-rj</v>
      </c>
      <c r="G234" s="66"/>
      <c r="H234" s="70" t="s">
        <v>1787</v>
      </c>
      <c r="I234" s="71"/>
      <c r="J234" s="71" t="s">
        <v>159</v>
      </c>
      <c r="K234" s="70" t="s">
        <v>1787</v>
      </c>
      <c r="L234" s="74">
        <v>1</v>
      </c>
      <c r="M234" s="75">
        <v>4232.5419921875</v>
      </c>
      <c r="N234" s="75">
        <v>8629.6630859375</v>
      </c>
      <c r="O234" s="76"/>
      <c r="P234" s="77"/>
      <c r="Q234" s="77"/>
      <c r="R234" s="89"/>
      <c r="S234" s="49">
        <v>0</v>
      </c>
      <c r="T234" s="49">
        <v>1</v>
      </c>
      <c r="U234" s="50">
        <v>0</v>
      </c>
      <c r="V234" s="50">
        <v>0.002597</v>
      </c>
      <c r="W234" s="50">
        <v>0.00486</v>
      </c>
      <c r="X234" s="50">
        <v>0.526148</v>
      </c>
      <c r="Y234" s="50">
        <v>0</v>
      </c>
      <c r="Z234" s="50">
        <v>0</v>
      </c>
      <c r="AA234" s="72">
        <v>234</v>
      </c>
      <c r="AB234" s="72"/>
      <c r="AC234" s="73"/>
      <c r="AD234" s="80" t="s">
        <v>1787</v>
      </c>
      <c r="AE234" s="80"/>
      <c r="AF234" s="80"/>
      <c r="AG234" s="80"/>
      <c r="AH234" s="80"/>
      <c r="AI234" s="80"/>
      <c r="AJ234" s="87">
        <v>43384.88990740741</v>
      </c>
      <c r="AK234" s="85" t="str">
        <f>HYPERLINK("https://yt3.ggpht.com/ytc/AKedOLTqfzmDRyiM81dMwEpd6RrVNTS48BnGQw8Knw=s88-c-k-c0x00ffffff-no-rj")</f>
        <v>https://yt3.ggpht.com/ytc/AKedOLTqfzmDRyiM81dMwEpd6RrVNTS48BnGQw8Knw=s88-c-k-c0x00ffffff-no-rj</v>
      </c>
      <c r="AL234" s="80">
        <v>0</v>
      </c>
      <c r="AM234" s="80">
        <v>0</v>
      </c>
      <c r="AN234" s="80">
        <v>0</v>
      </c>
      <c r="AO234" s="80" t="b">
        <v>0</v>
      </c>
      <c r="AP234" s="80">
        <v>0</v>
      </c>
      <c r="AQ234" s="80"/>
      <c r="AR234" s="80"/>
      <c r="AS234" s="80" t="s">
        <v>3412</v>
      </c>
      <c r="AT234" s="85" t="str">
        <f>HYPERLINK("https://www.youtube.com/channel/UCX9oRY8OjlzVjQfx98TvZ0g")</f>
        <v>https://www.youtube.com/channel/UCX9oRY8OjlzVjQfx98TvZ0g</v>
      </c>
      <c r="AU234" s="80" t="str">
        <f>REPLACE(INDEX(GroupVertices[Group],MATCH(Vertices[[#This Row],[Vertex]],GroupVertices[Vertex],0)),1,1,"")</f>
        <v>1</v>
      </c>
      <c r="AV234" s="49">
        <v>2</v>
      </c>
      <c r="AW234" s="50">
        <v>33.333333333333336</v>
      </c>
      <c r="AX234" s="49">
        <v>0</v>
      </c>
      <c r="AY234" s="50">
        <v>0</v>
      </c>
      <c r="AZ234" s="49">
        <v>0</v>
      </c>
      <c r="BA234" s="50">
        <v>0</v>
      </c>
      <c r="BB234" s="49">
        <v>4</v>
      </c>
      <c r="BC234" s="50">
        <v>66.66666666666667</v>
      </c>
      <c r="BD234" s="49">
        <v>6</v>
      </c>
      <c r="BE234" s="49"/>
      <c r="BF234" s="49"/>
      <c r="BG234" s="49"/>
      <c r="BH234" s="49"/>
      <c r="BI234" s="49"/>
      <c r="BJ234" s="49"/>
      <c r="BK234" s="111" t="s">
        <v>4602</v>
      </c>
      <c r="BL234" s="111" t="s">
        <v>4602</v>
      </c>
      <c r="BM234" s="111" t="s">
        <v>5076</v>
      </c>
      <c r="BN234" s="111" t="s">
        <v>5076</v>
      </c>
      <c r="BO234" s="2"/>
      <c r="BP234" s="3"/>
      <c r="BQ234" s="3"/>
      <c r="BR234" s="3"/>
      <c r="BS234" s="3"/>
    </row>
    <row r="235" spans="1:71" ht="15">
      <c r="A235" s="65" t="s">
        <v>459</v>
      </c>
      <c r="B235" s="66"/>
      <c r="C235" s="66"/>
      <c r="D235" s="67">
        <v>150</v>
      </c>
      <c r="E235" s="69"/>
      <c r="F235" s="103" t="str">
        <f>HYPERLINK("https://yt3.ggpht.com/ytc/AKedOLSpSsb8sDGwrzmTZBMAIHte77pHXmulgD5xKQ=s88-c-k-c0x00ffffff-no-rj")</f>
        <v>https://yt3.ggpht.com/ytc/AKedOLSpSsb8sDGwrzmTZBMAIHte77pHXmulgD5xKQ=s88-c-k-c0x00ffffff-no-rj</v>
      </c>
      <c r="G235" s="66"/>
      <c r="H235" s="70" t="s">
        <v>1788</v>
      </c>
      <c r="I235" s="71"/>
      <c r="J235" s="71" t="s">
        <v>159</v>
      </c>
      <c r="K235" s="70" t="s">
        <v>1788</v>
      </c>
      <c r="L235" s="74">
        <v>1</v>
      </c>
      <c r="M235" s="75">
        <v>4273.490234375</v>
      </c>
      <c r="N235" s="75">
        <v>8119.66748046875</v>
      </c>
      <c r="O235" s="76"/>
      <c r="P235" s="77"/>
      <c r="Q235" s="77"/>
      <c r="R235" s="89"/>
      <c r="S235" s="49">
        <v>0</v>
      </c>
      <c r="T235" s="49">
        <v>1</v>
      </c>
      <c r="U235" s="50">
        <v>0</v>
      </c>
      <c r="V235" s="50">
        <v>0.002597</v>
      </c>
      <c r="W235" s="50">
        <v>0.00486</v>
      </c>
      <c r="X235" s="50">
        <v>0.526148</v>
      </c>
      <c r="Y235" s="50">
        <v>0</v>
      </c>
      <c r="Z235" s="50">
        <v>0</v>
      </c>
      <c r="AA235" s="72">
        <v>235</v>
      </c>
      <c r="AB235" s="72"/>
      <c r="AC235" s="73"/>
      <c r="AD235" s="80" t="s">
        <v>1788</v>
      </c>
      <c r="AE235" s="80"/>
      <c r="AF235" s="80"/>
      <c r="AG235" s="80"/>
      <c r="AH235" s="80"/>
      <c r="AI235" s="80"/>
      <c r="AJ235" s="87">
        <v>41430.913935185185</v>
      </c>
      <c r="AK235" s="85" t="str">
        <f>HYPERLINK("https://yt3.ggpht.com/ytc/AKedOLSpSsb8sDGwrzmTZBMAIHte77pHXmulgD5xKQ=s88-c-k-c0x00ffffff-no-rj")</f>
        <v>https://yt3.ggpht.com/ytc/AKedOLSpSsb8sDGwrzmTZBMAIHte77pHXmulgD5xKQ=s88-c-k-c0x00ffffff-no-rj</v>
      </c>
      <c r="AL235" s="80">
        <v>237</v>
      </c>
      <c r="AM235" s="80">
        <v>0</v>
      </c>
      <c r="AN235" s="80">
        <v>12</v>
      </c>
      <c r="AO235" s="80" t="b">
        <v>0</v>
      </c>
      <c r="AP235" s="80">
        <v>4</v>
      </c>
      <c r="AQ235" s="80"/>
      <c r="AR235" s="80"/>
      <c r="AS235" s="80" t="s">
        <v>3412</v>
      </c>
      <c r="AT235" s="85" t="str">
        <f>HYPERLINK("https://www.youtube.com/channel/UCrtIh-s_or9ND_qGxMA3uFA")</f>
        <v>https://www.youtube.com/channel/UCrtIh-s_or9ND_qGxMA3uFA</v>
      </c>
      <c r="AU235" s="80" t="str">
        <f>REPLACE(INDEX(GroupVertices[Group],MATCH(Vertices[[#This Row],[Vertex]],GroupVertices[Vertex],0)),1,1,"")</f>
        <v>1</v>
      </c>
      <c r="AV235" s="49">
        <v>7</v>
      </c>
      <c r="AW235" s="50">
        <v>8.235294117647058</v>
      </c>
      <c r="AX235" s="49">
        <v>2</v>
      </c>
      <c r="AY235" s="50">
        <v>2.3529411764705883</v>
      </c>
      <c r="AZ235" s="49">
        <v>0</v>
      </c>
      <c r="BA235" s="50">
        <v>0</v>
      </c>
      <c r="BB235" s="49">
        <v>76</v>
      </c>
      <c r="BC235" s="50">
        <v>89.41176470588235</v>
      </c>
      <c r="BD235" s="49">
        <v>85</v>
      </c>
      <c r="BE235" s="49"/>
      <c r="BF235" s="49"/>
      <c r="BG235" s="49"/>
      <c r="BH235" s="49"/>
      <c r="BI235" s="49"/>
      <c r="BJ235" s="49"/>
      <c r="BK235" s="111" t="s">
        <v>4603</v>
      </c>
      <c r="BL235" s="111" t="s">
        <v>4603</v>
      </c>
      <c r="BM235" s="111" t="s">
        <v>5077</v>
      </c>
      <c r="BN235" s="111" t="s">
        <v>5077</v>
      </c>
      <c r="BO235" s="2"/>
      <c r="BP235" s="3"/>
      <c r="BQ235" s="3"/>
      <c r="BR235" s="3"/>
      <c r="BS235" s="3"/>
    </row>
    <row r="236" spans="1:71" ht="15">
      <c r="A236" s="65" t="s">
        <v>460</v>
      </c>
      <c r="B236" s="66"/>
      <c r="C236" s="66"/>
      <c r="D236" s="67">
        <v>150</v>
      </c>
      <c r="E236" s="69"/>
      <c r="F236" s="103" t="str">
        <f>HYPERLINK("https://yt3.ggpht.com/ytc/AKedOLQaNxsKj7HLRKwxxFm0jDiB81dGZxFPqnRCqg=s88-c-k-c0x00ffffff-no-rj")</f>
        <v>https://yt3.ggpht.com/ytc/AKedOLQaNxsKj7HLRKwxxFm0jDiB81dGZxFPqnRCqg=s88-c-k-c0x00ffffff-no-rj</v>
      </c>
      <c r="G236" s="66"/>
      <c r="H236" s="70" t="s">
        <v>1789</v>
      </c>
      <c r="I236" s="71"/>
      <c r="J236" s="71" t="s">
        <v>159</v>
      </c>
      <c r="K236" s="70" t="s">
        <v>1789</v>
      </c>
      <c r="L236" s="74">
        <v>1</v>
      </c>
      <c r="M236" s="75">
        <v>3965.260986328125</v>
      </c>
      <c r="N236" s="75">
        <v>9309.51171875</v>
      </c>
      <c r="O236" s="76"/>
      <c r="P236" s="77"/>
      <c r="Q236" s="77"/>
      <c r="R236" s="89"/>
      <c r="S236" s="49">
        <v>0</v>
      </c>
      <c r="T236" s="49">
        <v>1</v>
      </c>
      <c r="U236" s="50">
        <v>0</v>
      </c>
      <c r="V236" s="50">
        <v>0.002597</v>
      </c>
      <c r="W236" s="50">
        <v>0.00486</v>
      </c>
      <c r="X236" s="50">
        <v>0.526148</v>
      </c>
      <c r="Y236" s="50">
        <v>0</v>
      </c>
      <c r="Z236" s="50">
        <v>0</v>
      </c>
      <c r="AA236" s="72">
        <v>236</v>
      </c>
      <c r="AB236" s="72"/>
      <c r="AC236" s="73"/>
      <c r="AD236" s="80" t="s">
        <v>1789</v>
      </c>
      <c r="AE236" s="80"/>
      <c r="AF236" s="80"/>
      <c r="AG236" s="80"/>
      <c r="AH236" s="80"/>
      <c r="AI236" s="80"/>
      <c r="AJ236" s="87">
        <v>42834.35957175926</v>
      </c>
      <c r="AK236" s="85" t="str">
        <f>HYPERLINK("https://yt3.ggpht.com/ytc/AKedOLQaNxsKj7HLRKwxxFm0jDiB81dGZxFPqnRCqg=s88-c-k-c0x00ffffff-no-rj")</f>
        <v>https://yt3.ggpht.com/ytc/AKedOLQaNxsKj7HLRKwxxFm0jDiB81dGZxFPqnRCqg=s88-c-k-c0x00ffffff-no-rj</v>
      </c>
      <c r="AL236" s="80">
        <v>244</v>
      </c>
      <c r="AM236" s="80">
        <v>0</v>
      </c>
      <c r="AN236" s="80">
        <v>0</v>
      </c>
      <c r="AO236" s="80" t="b">
        <v>0</v>
      </c>
      <c r="AP236" s="80">
        <v>3</v>
      </c>
      <c r="AQ236" s="80"/>
      <c r="AR236" s="80"/>
      <c r="AS236" s="80" t="s">
        <v>3412</v>
      </c>
      <c r="AT236" s="85" t="str">
        <f>HYPERLINK("https://www.youtube.com/channel/UC1P9bd9bB4zhpXUnrdRNK8A")</f>
        <v>https://www.youtube.com/channel/UC1P9bd9bB4zhpXUnrdRNK8A</v>
      </c>
      <c r="AU236" s="80" t="str">
        <f>REPLACE(INDEX(GroupVertices[Group],MATCH(Vertices[[#This Row],[Vertex]],GroupVertices[Vertex],0)),1,1,"")</f>
        <v>1</v>
      </c>
      <c r="AV236" s="49">
        <v>1</v>
      </c>
      <c r="AW236" s="50">
        <v>25</v>
      </c>
      <c r="AX236" s="49">
        <v>1</v>
      </c>
      <c r="AY236" s="50">
        <v>25</v>
      </c>
      <c r="AZ236" s="49">
        <v>0</v>
      </c>
      <c r="BA236" s="50">
        <v>0</v>
      </c>
      <c r="BB236" s="49">
        <v>2</v>
      </c>
      <c r="BC236" s="50">
        <v>50</v>
      </c>
      <c r="BD236" s="49">
        <v>4</v>
      </c>
      <c r="BE236" s="49"/>
      <c r="BF236" s="49"/>
      <c r="BG236" s="49"/>
      <c r="BH236" s="49"/>
      <c r="BI236" s="49"/>
      <c r="BJ236" s="49"/>
      <c r="BK236" s="111" t="s">
        <v>4604</v>
      </c>
      <c r="BL236" s="111" t="s">
        <v>4604</v>
      </c>
      <c r="BM236" s="111" t="s">
        <v>5078</v>
      </c>
      <c r="BN236" s="111" t="s">
        <v>5078</v>
      </c>
      <c r="BO236" s="2"/>
      <c r="BP236" s="3"/>
      <c r="BQ236" s="3"/>
      <c r="BR236" s="3"/>
      <c r="BS236" s="3"/>
    </row>
    <row r="237" spans="1:71" ht="15">
      <c r="A237" s="65" t="s">
        <v>461</v>
      </c>
      <c r="B237" s="66"/>
      <c r="C237" s="66"/>
      <c r="D237" s="67">
        <v>150</v>
      </c>
      <c r="E237" s="69"/>
      <c r="F237" s="103" t="str">
        <f>HYPERLINK("https://yt3.ggpht.com/ytc/AKedOLS30G-heo1-4zMRd3bmZ-l4YgXcFeWpt4i7Iw=s88-c-k-c0x00ffffff-no-rj")</f>
        <v>https://yt3.ggpht.com/ytc/AKedOLS30G-heo1-4zMRd3bmZ-l4YgXcFeWpt4i7Iw=s88-c-k-c0x00ffffff-no-rj</v>
      </c>
      <c r="G237" s="66"/>
      <c r="H237" s="70" t="s">
        <v>1790</v>
      </c>
      <c r="I237" s="71"/>
      <c r="J237" s="71" t="s">
        <v>159</v>
      </c>
      <c r="K237" s="70" t="s">
        <v>1790</v>
      </c>
      <c r="L237" s="74">
        <v>1</v>
      </c>
      <c r="M237" s="75">
        <v>5663.5009765625</v>
      </c>
      <c r="N237" s="75">
        <v>8695.0341796875</v>
      </c>
      <c r="O237" s="76"/>
      <c r="P237" s="77"/>
      <c r="Q237" s="77"/>
      <c r="R237" s="89"/>
      <c r="S237" s="49">
        <v>0</v>
      </c>
      <c r="T237" s="49">
        <v>1</v>
      </c>
      <c r="U237" s="50">
        <v>0</v>
      </c>
      <c r="V237" s="50">
        <v>0.002597</v>
      </c>
      <c r="W237" s="50">
        <v>0.00486</v>
      </c>
      <c r="X237" s="50">
        <v>0.526148</v>
      </c>
      <c r="Y237" s="50">
        <v>0</v>
      </c>
      <c r="Z237" s="50">
        <v>0</v>
      </c>
      <c r="AA237" s="72">
        <v>237</v>
      </c>
      <c r="AB237" s="72"/>
      <c r="AC237" s="73"/>
      <c r="AD237" s="80" t="s">
        <v>1790</v>
      </c>
      <c r="AE237" s="80"/>
      <c r="AF237" s="80"/>
      <c r="AG237" s="80"/>
      <c r="AH237" s="80"/>
      <c r="AI237" s="80"/>
      <c r="AJ237" s="80" t="s">
        <v>3234</v>
      </c>
      <c r="AK237" s="85" t="str">
        <f>HYPERLINK("https://yt3.ggpht.com/ytc/AKedOLS30G-heo1-4zMRd3bmZ-l4YgXcFeWpt4i7Iw=s88-c-k-c0x00ffffff-no-rj")</f>
        <v>https://yt3.ggpht.com/ytc/AKedOLS30G-heo1-4zMRd3bmZ-l4YgXcFeWpt4i7Iw=s88-c-k-c0x00ffffff-no-rj</v>
      </c>
      <c r="AL237" s="80">
        <v>0</v>
      </c>
      <c r="AM237" s="80">
        <v>0</v>
      </c>
      <c r="AN237" s="80">
        <v>0</v>
      </c>
      <c r="AO237" s="80" t="b">
        <v>0</v>
      </c>
      <c r="AP237" s="80">
        <v>0</v>
      </c>
      <c r="AQ237" s="80"/>
      <c r="AR237" s="80"/>
      <c r="AS237" s="80" t="s">
        <v>3412</v>
      </c>
      <c r="AT237" s="85" t="str">
        <f>HYPERLINK("https://www.youtube.com/channel/UCSz5lUKM8Jp96XOgK656krg")</f>
        <v>https://www.youtube.com/channel/UCSz5lUKM8Jp96XOgK656krg</v>
      </c>
      <c r="AU237" s="80" t="str">
        <f>REPLACE(INDEX(GroupVertices[Group],MATCH(Vertices[[#This Row],[Vertex]],GroupVertices[Vertex],0)),1,1,"")</f>
        <v>1</v>
      </c>
      <c r="AV237" s="49">
        <v>3</v>
      </c>
      <c r="AW237" s="50">
        <v>17.647058823529413</v>
      </c>
      <c r="AX237" s="49">
        <v>0</v>
      </c>
      <c r="AY237" s="50">
        <v>0</v>
      </c>
      <c r="AZ237" s="49">
        <v>0</v>
      </c>
      <c r="BA237" s="50">
        <v>0</v>
      </c>
      <c r="BB237" s="49">
        <v>14</v>
      </c>
      <c r="BC237" s="50">
        <v>82.3529411764706</v>
      </c>
      <c r="BD237" s="49">
        <v>17</v>
      </c>
      <c r="BE237" s="49"/>
      <c r="BF237" s="49"/>
      <c r="BG237" s="49"/>
      <c r="BH237" s="49"/>
      <c r="BI237" s="49"/>
      <c r="BJ237" s="49"/>
      <c r="BK237" s="111" t="s">
        <v>4605</v>
      </c>
      <c r="BL237" s="111" t="s">
        <v>4605</v>
      </c>
      <c r="BM237" s="111" t="s">
        <v>5079</v>
      </c>
      <c r="BN237" s="111" t="s">
        <v>5079</v>
      </c>
      <c r="BO237" s="2"/>
      <c r="BP237" s="3"/>
      <c r="BQ237" s="3"/>
      <c r="BR237" s="3"/>
      <c r="BS237" s="3"/>
    </row>
    <row r="238" spans="1:71" ht="15">
      <c r="A238" s="65" t="s">
        <v>462</v>
      </c>
      <c r="B238" s="66"/>
      <c r="C238" s="66"/>
      <c r="D238" s="67">
        <v>150</v>
      </c>
      <c r="E238" s="69"/>
      <c r="F238" s="103" t="str">
        <f>HYPERLINK("https://yt3.ggpht.com/ytc/AKedOLS60dr_dsHVg-b4CXVCWyALA2vd97hskkBu6yZc=s88-c-k-c0x00ffffff-no-rj")</f>
        <v>https://yt3.ggpht.com/ytc/AKedOLS60dr_dsHVg-b4CXVCWyALA2vd97hskkBu6yZc=s88-c-k-c0x00ffffff-no-rj</v>
      </c>
      <c r="G238" s="66"/>
      <c r="H238" s="70" t="s">
        <v>1791</v>
      </c>
      <c r="I238" s="71"/>
      <c r="J238" s="71" t="s">
        <v>159</v>
      </c>
      <c r="K238" s="70" t="s">
        <v>1791</v>
      </c>
      <c r="L238" s="74">
        <v>1</v>
      </c>
      <c r="M238" s="75">
        <v>4878.10546875</v>
      </c>
      <c r="N238" s="75">
        <v>7316.91162109375</v>
      </c>
      <c r="O238" s="76"/>
      <c r="P238" s="77"/>
      <c r="Q238" s="77"/>
      <c r="R238" s="89"/>
      <c r="S238" s="49">
        <v>0</v>
      </c>
      <c r="T238" s="49">
        <v>1</v>
      </c>
      <c r="U238" s="50">
        <v>0</v>
      </c>
      <c r="V238" s="50">
        <v>0.002597</v>
      </c>
      <c r="W238" s="50">
        <v>0.00486</v>
      </c>
      <c r="X238" s="50">
        <v>0.526148</v>
      </c>
      <c r="Y238" s="50">
        <v>0</v>
      </c>
      <c r="Z238" s="50">
        <v>0</v>
      </c>
      <c r="AA238" s="72">
        <v>238</v>
      </c>
      <c r="AB238" s="72"/>
      <c r="AC238" s="73"/>
      <c r="AD238" s="80" t="s">
        <v>1791</v>
      </c>
      <c r="AE238" s="80"/>
      <c r="AF238" s="80"/>
      <c r="AG238" s="80"/>
      <c r="AH238" s="80"/>
      <c r="AI238" s="80"/>
      <c r="AJ238" s="80" t="s">
        <v>3235</v>
      </c>
      <c r="AK238" s="85" t="str">
        <f>HYPERLINK("https://yt3.ggpht.com/ytc/AKedOLS60dr_dsHVg-b4CXVCWyALA2vd97hskkBu6yZc=s88-c-k-c0x00ffffff-no-rj")</f>
        <v>https://yt3.ggpht.com/ytc/AKedOLS60dr_dsHVg-b4CXVCWyALA2vd97hskkBu6yZc=s88-c-k-c0x00ffffff-no-rj</v>
      </c>
      <c r="AL238" s="80">
        <v>0</v>
      </c>
      <c r="AM238" s="80">
        <v>0</v>
      </c>
      <c r="AN238" s="80">
        <v>0</v>
      </c>
      <c r="AO238" s="80" t="b">
        <v>0</v>
      </c>
      <c r="AP238" s="80">
        <v>0</v>
      </c>
      <c r="AQ238" s="80"/>
      <c r="AR238" s="80"/>
      <c r="AS238" s="80" t="s">
        <v>3412</v>
      </c>
      <c r="AT238" s="85" t="str">
        <f>HYPERLINK("https://www.youtube.com/channel/UC85xVGPQ85WjcdYrihWL-Ig")</f>
        <v>https://www.youtube.com/channel/UC85xVGPQ85WjcdYrihWL-Ig</v>
      </c>
      <c r="AU238" s="80" t="str">
        <f>REPLACE(INDEX(GroupVertices[Group],MATCH(Vertices[[#This Row],[Vertex]],GroupVertices[Vertex],0)),1,1,"")</f>
        <v>1</v>
      </c>
      <c r="AV238" s="49">
        <v>3</v>
      </c>
      <c r="AW238" s="50">
        <v>8.823529411764707</v>
      </c>
      <c r="AX238" s="49">
        <v>1</v>
      </c>
      <c r="AY238" s="50">
        <v>2.9411764705882355</v>
      </c>
      <c r="AZ238" s="49">
        <v>0</v>
      </c>
      <c r="BA238" s="50">
        <v>0</v>
      </c>
      <c r="BB238" s="49">
        <v>30</v>
      </c>
      <c r="BC238" s="50">
        <v>88.23529411764706</v>
      </c>
      <c r="BD238" s="49">
        <v>34</v>
      </c>
      <c r="BE238" s="49"/>
      <c r="BF238" s="49"/>
      <c r="BG238" s="49"/>
      <c r="BH238" s="49"/>
      <c r="BI238" s="49"/>
      <c r="BJ238" s="49"/>
      <c r="BK238" s="111" t="s">
        <v>4606</v>
      </c>
      <c r="BL238" s="111" t="s">
        <v>4872</v>
      </c>
      <c r="BM238" s="111" t="s">
        <v>5080</v>
      </c>
      <c r="BN238" s="111" t="s">
        <v>5080</v>
      </c>
      <c r="BO238" s="2"/>
      <c r="BP238" s="3"/>
      <c r="BQ238" s="3"/>
      <c r="BR238" s="3"/>
      <c r="BS238" s="3"/>
    </row>
    <row r="239" spans="1:71" ht="15">
      <c r="A239" s="65" t="s">
        <v>463</v>
      </c>
      <c r="B239" s="66"/>
      <c r="C239" s="66"/>
      <c r="D239" s="67">
        <v>150</v>
      </c>
      <c r="E239" s="69"/>
      <c r="F239" s="103" t="str">
        <f>HYPERLINK("https://yt3.ggpht.com/ytc/AKedOLTN8KM_FJ-LaMgOvfsZU4kjihHLN465Sk6PGg=s88-c-k-c0x00ffffff-no-rj")</f>
        <v>https://yt3.ggpht.com/ytc/AKedOLTN8KM_FJ-LaMgOvfsZU4kjihHLN465Sk6PGg=s88-c-k-c0x00ffffff-no-rj</v>
      </c>
      <c r="G239" s="66"/>
      <c r="H239" s="70" t="s">
        <v>1792</v>
      </c>
      <c r="I239" s="71"/>
      <c r="J239" s="71" t="s">
        <v>159</v>
      </c>
      <c r="K239" s="70" t="s">
        <v>1792</v>
      </c>
      <c r="L239" s="74">
        <v>1</v>
      </c>
      <c r="M239" s="75">
        <v>7286.97998046875</v>
      </c>
      <c r="N239" s="75">
        <v>9011.9111328125</v>
      </c>
      <c r="O239" s="76"/>
      <c r="P239" s="77"/>
      <c r="Q239" s="77"/>
      <c r="R239" s="89"/>
      <c r="S239" s="49">
        <v>0</v>
      </c>
      <c r="T239" s="49">
        <v>1</v>
      </c>
      <c r="U239" s="50">
        <v>0</v>
      </c>
      <c r="V239" s="50">
        <v>0.002597</v>
      </c>
      <c r="W239" s="50">
        <v>0.00486</v>
      </c>
      <c r="X239" s="50">
        <v>0.526148</v>
      </c>
      <c r="Y239" s="50">
        <v>0</v>
      </c>
      <c r="Z239" s="50">
        <v>0</v>
      </c>
      <c r="AA239" s="72">
        <v>239</v>
      </c>
      <c r="AB239" s="72"/>
      <c r="AC239" s="73"/>
      <c r="AD239" s="80" t="s">
        <v>1792</v>
      </c>
      <c r="AE239" s="80"/>
      <c r="AF239" s="80"/>
      <c r="AG239" s="80"/>
      <c r="AH239" s="80"/>
      <c r="AI239" s="80"/>
      <c r="AJ239" s="87">
        <v>41559.92827546296</v>
      </c>
      <c r="AK239" s="85" t="str">
        <f>HYPERLINK("https://yt3.ggpht.com/ytc/AKedOLTN8KM_FJ-LaMgOvfsZU4kjihHLN465Sk6PGg=s88-c-k-c0x00ffffff-no-rj")</f>
        <v>https://yt3.ggpht.com/ytc/AKedOLTN8KM_FJ-LaMgOvfsZU4kjihHLN465Sk6PGg=s88-c-k-c0x00ffffff-no-rj</v>
      </c>
      <c r="AL239" s="80">
        <v>0</v>
      </c>
      <c r="AM239" s="80">
        <v>0</v>
      </c>
      <c r="AN239" s="80">
        <v>1</v>
      </c>
      <c r="AO239" s="80" t="b">
        <v>0</v>
      </c>
      <c r="AP239" s="80">
        <v>0</v>
      </c>
      <c r="AQ239" s="80"/>
      <c r="AR239" s="80"/>
      <c r="AS239" s="80" t="s">
        <v>3412</v>
      </c>
      <c r="AT239" s="85" t="str">
        <f>HYPERLINK("https://www.youtube.com/channel/UCcE-JknRjqBO8qHhDoparhg")</f>
        <v>https://www.youtube.com/channel/UCcE-JknRjqBO8qHhDoparhg</v>
      </c>
      <c r="AU239" s="80" t="str">
        <f>REPLACE(INDEX(GroupVertices[Group],MATCH(Vertices[[#This Row],[Vertex]],GroupVertices[Vertex],0)),1,1,"")</f>
        <v>1</v>
      </c>
      <c r="AV239" s="49">
        <v>1</v>
      </c>
      <c r="AW239" s="50">
        <v>4.166666666666667</v>
      </c>
      <c r="AX239" s="49">
        <v>0</v>
      </c>
      <c r="AY239" s="50">
        <v>0</v>
      </c>
      <c r="AZ239" s="49">
        <v>0</v>
      </c>
      <c r="BA239" s="50">
        <v>0</v>
      </c>
      <c r="BB239" s="49">
        <v>23</v>
      </c>
      <c r="BC239" s="50">
        <v>95.83333333333333</v>
      </c>
      <c r="BD239" s="49">
        <v>24</v>
      </c>
      <c r="BE239" s="49"/>
      <c r="BF239" s="49"/>
      <c r="BG239" s="49"/>
      <c r="BH239" s="49"/>
      <c r="BI239" s="49"/>
      <c r="BJ239" s="49"/>
      <c r="BK239" s="111" t="s">
        <v>4607</v>
      </c>
      <c r="BL239" s="111" t="s">
        <v>4607</v>
      </c>
      <c r="BM239" s="111" t="s">
        <v>5081</v>
      </c>
      <c r="BN239" s="111" t="s">
        <v>5081</v>
      </c>
      <c r="BO239" s="2"/>
      <c r="BP239" s="3"/>
      <c r="BQ239" s="3"/>
      <c r="BR239" s="3"/>
      <c r="BS239" s="3"/>
    </row>
    <row r="240" spans="1:71" ht="15">
      <c r="A240" s="65" t="s">
        <v>464</v>
      </c>
      <c r="B240" s="66"/>
      <c r="C240" s="66"/>
      <c r="D240" s="67">
        <v>150</v>
      </c>
      <c r="E240" s="69"/>
      <c r="F240" s="103" t="str">
        <f>HYPERLINK("https://yt3.ggpht.com/ytc/AKedOLS040fMdNzPwkgQug6Wq2grr8Y8H-Za67Tg9w=s88-c-k-c0x00ffffff-no-rj")</f>
        <v>https://yt3.ggpht.com/ytc/AKedOLS040fMdNzPwkgQug6Wq2grr8Y8H-Za67Tg9w=s88-c-k-c0x00ffffff-no-rj</v>
      </c>
      <c r="G240" s="66"/>
      <c r="H240" s="70" t="s">
        <v>1793</v>
      </c>
      <c r="I240" s="71"/>
      <c r="J240" s="71" t="s">
        <v>159</v>
      </c>
      <c r="K240" s="70" t="s">
        <v>1793</v>
      </c>
      <c r="L240" s="74">
        <v>1</v>
      </c>
      <c r="M240" s="75">
        <v>9338.9033203125</v>
      </c>
      <c r="N240" s="75">
        <v>8997.3583984375</v>
      </c>
      <c r="O240" s="76"/>
      <c r="P240" s="77"/>
      <c r="Q240" s="77"/>
      <c r="R240" s="89"/>
      <c r="S240" s="49">
        <v>0</v>
      </c>
      <c r="T240" s="49">
        <v>1</v>
      </c>
      <c r="U240" s="50">
        <v>0</v>
      </c>
      <c r="V240" s="50">
        <v>0.002597</v>
      </c>
      <c r="W240" s="50">
        <v>0.00486</v>
      </c>
      <c r="X240" s="50">
        <v>0.526148</v>
      </c>
      <c r="Y240" s="50">
        <v>0</v>
      </c>
      <c r="Z240" s="50">
        <v>0</v>
      </c>
      <c r="AA240" s="72">
        <v>240</v>
      </c>
      <c r="AB240" s="72"/>
      <c r="AC240" s="73"/>
      <c r="AD240" s="80" t="s">
        <v>1793</v>
      </c>
      <c r="AE240" s="80"/>
      <c r="AF240" s="80"/>
      <c r="AG240" s="80"/>
      <c r="AH240" s="80"/>
      <c r="AI240" s="80"/>
      <c r="AJ240" s="87">
        <v>41122.97373842593</v>
      </c>
      <c r="AK240" s="85" t="str">
        <f>HYPERLINK("https://yt3.ggpht.com/ytc/AKedOLS040fMdNzPwkgQug6Wq2grr8Y8H-Za67Tg9w=s88-c-k-c0x00ffffff-no-rj")</f>
        <v>https://yt3.ggpht.com/ytc/AKedOLS040fMdNzPwkgQug6Wq2grr8Y8H-Za67Tg9w=s88-c-k-c0x00ffffff-no-rj</v>
      </c>
      <c r="AL240" s="80">
        <v>0</v>
      </c>
      <c r="AM240" s="80">
        <v>0</v>
      </c>
      <c r="AN240" s="80">
        <v>0</v>
      </c>
      <c r="AO240" s="80" t="b">
        <v>0</v>
      </c>
      <c r="AP240" s="80">
        <v>0</v>
      </c>
      <c r="AQ240" s="80"/>
      <c r="AR240" s="80"/>
      <c r="AS240" s="80" t="s">
        <v>3412</v>
      </c>
      <c r="AT240" s="85" t="str">
        <f>HYPERLINK("https://www.youtube.com/channel/UCxfWedwukITiorRl7cCz3lw")</f>
        <v>https://www.youtube.com/channel/UCxfWedwukITiorRl7cCz3lw</v>
      </c>
      <c r="AU240" s="80" t="str">
        <f>REPLACE(INDEX(GroupVertices[Group],MATCH(Vertices[[#This Row],[Vertex]],GroupVertices[Vertex],0)),1,1,"")</f>
        <v>1</v>
      </c>
      <c r="AV240" s="49">
        <v>5</v>
      </c>
      <c r="AW240" s="50">
        <v>8.19672131147541</v>
      </c>
      <c r="AX240" s="49">
        <v>1</v>
      </c>
      <c r="AY240" s="50">
        <v>1.639344262295082</v>
      </c>
      <c r="AZ240" s="49">
        <v>0</v>
      </c>
      <c r="BA240" s="50">
        <v>0</v>
      </c>
      <c r="BB240" s="49">
        <v>55</v>
      </c>
      <c r="BC240" s="50">
        <v>90.1639344262295</v>
      </c>
      <c r="BD240" s="49">
        <v>61</v>
      </c>
      <c r="BE240" s="49"/>
      <c r="BF240" s="49"/>
      <c r="BG240" s="49"/>
      <c r="BH240" s="49"/>
      <c r="BI240" s="49"/>
      <c r="BJ240" s="49"/>
      <c r="BK240" s="111" t="s">
        <v>4608</v>
      </c>
      <c r="BL240" s="111" t="s">
        <v>4608</v>
      </c>
      <c r="BM240" s="111" t="s">
        <v>5082</v>
      </c>
      <c r="BN240" s="111" t="s">
        <v>5082</v>
      </c>
      <c r="BO240" s="2"/>
      <c r="BP240" s="3"/>
      <c r="BQ240" s="3"/>
      <c r="BR240" s="3"/>
      <c r="BS240" s="3"/>
    </row>
    <row r="241" spans="1:71" ht="15">
      <c r="A241" s="65" t="s">
        <v>465</v>
      </c>
      <c r="B241" s="66"/>
      <c r="C241" s="66"/>
      <c r="D241" s="67">
        <v>150</v>
      </c>
      <c r="E241" s="69"/>
      <c r="F241" s="103" t="str">
        <f>HYPERLINK("https://yt3.ggpht.com/ytc/AKedOLSJe0VyxRwyclB9vzl47B_wl3x8wt5p6WC1Vg=s88-c-k-c0x00ffffff-no-rj")</f>
        <v>https://yt3.ggpht.com/ytc/AKedOLSJe0VyxRwyclB9vzl47B_wl3x8wt5p6WC1Vg=s88-c-k-c0x00ffffff-no-rj</v>
      </c>
      <c r="G241" s="66"/>
      <c r="H241" s="70" t="s">
        <v>1794</v>
      </c>
      <c r="I241" s="71"/>
      <c r="J241" s="71" t="s">
        <v>159</v>
      </c>
      <c r="K241" s="70" t="s">
        <v>1794</v>
      </c>
      <c r="L241" s="74">
        <v>1</v>
      </c>
      <c r="M241" s="75">
        <v>3252.929931640625</v>
      </c>
      <c r="N241" s="75">
        <v>7897.62841796875</v>
      </c>
      <c r="O241" s="76"/>
      <c r="P241" s="77"/>
      <c r="Q241" s="77"/>
      <c r="R241" s="89"/>
      <c r="S241" s="49">
        <v>2</v>
      </c>
      <c r="T241" s="49">
        <v>2</v>
      </c>
      <c r="U241" s="50">
        <v>0</v>
      </c>
      <c r="V241" s="50">
        <v>0.002597</v>
      </c>
      <c r="W241" s="50">
        <v>0.005224</v>
      </c>
      <c r="X241" s="50">
        <v>0.915039</v>
      </c>
      <c r="Y241" s="50">
        <v>0</v>
      </c>
      <c r="Z241" s="50">
        <v>1</v>
      </c>
      <c r="AA241" s="72">
        <v>241</v>
      </c>
      <c r="AB241" s="72"/>
      <c r="AC241" s="73"/>
      <c r="AD241" s="80" t="s">
        <v>1794</v>
      </c>
      <c r="AE241" s="80"/>
      <c r="AF241" s="80"/>
      <c r="AG241" s="80"/>
      <c r="AH241" s="80"/>
      <c r="AI241" s="80"/>
      <c r="AJ241" s="80" t="s">
        <v>3236</v>
      </c>
      <c r="AK241" s="85" t="str">
        <f>HYPERLINK("https://yt3.ggpht.com/ytc/AKedOLSJe0VyxRwyclB9vzl47B_wl3x8wt5p6WC1Vg=s88-c-k-c0x00ffffff-no-rj")</f>
        <v>https://yt3.ggpht.com/ytc/AKedOLSJe0VyxRwyclB9vzl47B_wl3x8wt5p6WC1Vg=s88-c-k-c0x00ffffff-no-rj</v>
      </c>
      <c r="AL241" s="80">
        <v>47</v>
      </c>
      <c r="AM241" s="80">
        <v>0</v>
      </c>
      <c r="AN241" s="80">
        <v>0</v>
      </c>
      <c r="AO241" s="80" t="b">
        <v>0</v>
      </c>
      <c r="AP241" s="80">
        <v>1</v>
      </c>
      <c r="AQ241" s="80"/>
      <c r="AR241" s="80"/>
      <c r="AS241" s="80" t="s">
        <v>3412</v>
      </c>
      <c r="AT241" s="85" t="str">
        <f>HYPERLINK("https://www.youtube.com/channel/UCIDayX8LE21U6poqP1Ipf6Q")</f>
        <v>https://www.youtube.com/channel/UCIDayX8LE21U6poqP1Ipf6Q</v>
      </c>
      <c r="AU241" s="80" t="str">
        <f>REPLACE(INDEX(GroupVertices[Group],MATCH(Vertices[[#This Row],[Vertex]],GroupVertices[Vertex],0)),1,1,"")</f>
        <v>1</v>
      </c>
      <c r="AV241" s="49">
        <v>1</v>
      </c>
      <c r="AW241" s="50">
        <v>1.6129032258064515</v>
      </c>
      <c r="AX241" s="49">
        <v>0</v>
      </c>
      <c r="AY241" s="50">
        <v>0</v>
      </c>
      <c r="AZ241" s="49">
        <v>0</v>
      </c>
      <c r="BA241" s="50">
        <v>0</v>
      </c>
      <c r="BB241" s="49">
        <v>61</v>
      </c>
      <c r="BC241" s="50">
        <v>98.38709677419355</v>
      </c>
      <c r="BD241" s="49">
        <v>62</v>
      </c>
      <c r="BE241" s="49"/>
      <c r="BF241" s="49"/>
      <c r="BG241" s="49"/>
      <c r="BH241" s="49"/>
      <c r="BI241" s="49"/>
      <c r="BJ241" s="49"/>
      <c r="BK241" s="111" t="s">
        <v>4609</v>
      </c>
      <c r="BL241" s="111" t="s">
        <v>4609</v>
      </c>
      <c r="BM241" s="111" t="s">
        <v>5083</v>
      </c>
      <c r="BN241" s="111" t="s">
        <v>5083</v>
      </c>
      <c r="BO241" s="2"/>
      <c r="BP241" s="3"/>
      <c r="BQ241" s="3"/>
      <c r="BR241" s="3"/>
      <c r="BS241" s="3"/>
    </row>
    <row r="242" spans="1:71" ht="15">
      <c r="A242" s="65" t="s">
        <v>466</v>
      </c>
      <c r="B242" s="66"/>
      <c r="C242" s="66"/>
      <c r="D242" s="67">
        <v>150</v>
      </c>
      <c r="E242" s="69"/>
      <c r="F242" s="103" t="str">
        <f>HYPERLINK("https://yt3.ggpht.com/ytc/AKedOLSE2Y3DAHClyWBgi47K2lI0ErwVtTmatR_Caw=s88-c-k-c0x00ffffff-no-rj")</f>
        <v>https://yt3.ggpht.com/ytc/AKedOLSE2Y3DAHClyWBgi47K2lI0ErwVtTmatR_Caw=s88-c-k-c0x00ffffff-no-rj</v>
      </c>
      <c r="G242" s="66"/>
      <c r="H242" s="70" t="s">
        <v>1795</v>
      </c>
      <c r="I242" s="71"/>
      <c r="J242" s="71" t="s">
        <v>159</v>
      </c>
      <c r="K242" s="70" t="s">
        <v>1795</v>
      </c>
      <c r="L242" s="74">
        <v>1</v>
      </c>
      <c r="M242" s="75">
        <v>9189.0703125</v>
      </c>
      <c r="N242" s="75">
        <v>4479.32080078125</v>
      </c>
      <c r="O242" s="76"/>
      <c r="P242" s="77"/>
      <c r="Q242" s="77"/>
      <c r="R242" s="89"/>
      <c r="S242" s="49">
        <v>0</v>
      </c>
      <c r="T242" s="49">
        <v>1</v>
      </c>
      <c r="U242" s="50">
        <v>0</v>
      </c>
      <c r="V242" s="50">
        <v>0.00158</v>
      </c>
      <c r="W242" s="50">
        <v>0</v>
      </c>
      <c r="X242" s="50">
        <v>0.543608</v>
      </c>
      <c r="Y242" s="50">
        <v>0</v>
      </c>
      <c r="Z242" s="50">
        <v>0</v>
      </c>
      <c r="AA242" s="72">
        <v>242</v>
      </c>
      <c r="AB242" s="72"/>
      <c r="AC242" s="73"/>
      <c r="AD242" s="80" t="s">
        <v>1795</v>
      </c>
      <c r="AE242" s="80"/>
      <c r="AF242" s="80"/>
      <c r="AG242" s="80"/>
      <c r="AH242" s="80"/>
      <c r="AI242" s="80"/>
      <c r="AJ242" s="87">
        <v>41249.56417824074</v>
      </c>
      <c r="AK242" s="85" t="str">
        <f>HYPERLINK("https://yt3.ggpht.com/ytc/AKedOLSE2Y3DAHClyWBgi47K2lI0ErwVtTmatR_Caw=s88-c-k-c0x00ffffff-no-rj")</f>
        <v>https://yt3.ggpht.com/ytc/AKedOLSE2Y3DAHClyWBgi47K2lI0ErwVtTmatR_Caw=s88-c-k-c0x00ffffff-no-rj</v>
      </c>
      <c r="AL242" s="80">
        <v>0</v>
      </c>
      <c r="AM242" s="80">
        <v>0</v>
      </c>
      <c r="AN242" s="80">
        <v>0</v>
      </c>
      <c r="AO242" s="80" t="b">
        <v>0</v>
      </c>
      <c r="AP242" s="80">
        <v>0</v>
      </c>
      <c r="AQ242" s="80"/>
      <c r="AR242" s="80"/>
      <c r="AS242" s="80" t="s">
        <v>3412</v>
      </c>
      <c r="AT242" s="85" t="str">
        <f>HYPERLINK("https://www.youtube.com/channel/UCUDWzsyamgNaQLBtCA8snUw")</f>
        <v>https://www.youtube.com/channel/UCUDWzsyamgNaQLBtCA8snUw</v>
      </c>
      <c r="AU242" s="80" t="str">
        <f>REPLACE(INDEX(GroupVertices[Group],MATCH(Vertices[[#This Row],[Vertex]],GroupVertices[Vertex],0)),1,1,"")</f>
        <v>9</v>
      </c>
      <c r="AV242" s="49">
        <v>0</v>
      </c>
      <c r="AW242" s="50">
        <v>0</v>
      </c>
      <c r="AX242" s="49">
        <v>0</v>
      </c>
      <c r="AY242" s="50">
        <v>0</v>
      </c>
      <c r="AZ242" s="49">
        <v>0</v>
      </c>
      <c r="BA242" s="50">
        <v>0</v>
      </c>
      <c r="BB242" s="49">
        <v>0</v>
      </c>
      <c r="BC242" s="50">
        <v>0</v>
      </c>
      <c r="BD242" s="49">
        <v>0</v>
      </c>
      <c r="BE242" s="49"/>
      <c r="BF242" s="49"/>
      <c r="BG242" s="49"/>
      <c r="BH242" s="49"/>
      <c r="BI242" s="49"/>
      <c r="BJ242" s="49"/>
      <c r="BK242" s="111" t="s">
        <v>2782</v>
      </c>
      <c r="BL242" s="111" t="s">
        <v>2782</v>
      </c>
      <c r="BM242" s="111" t="s">
        <v>2782</v>
      </c>
      <c r="BN242" s="111" t="s">
        <v>2782</v>
      </c>
      <c r="BO242" s="2"/>
      <c r="BP242" s="3"/>
      <c r="BQ242" s="3"/>
      <c r="BR242" s="3"/>
      <c r="BS242" s="3"/>
    </row>
    <row r="243" spans="1:71" ht="15">
      <c r="A243" s="65" t="s">
        <v>467</v>
      </c>
      <c r="B243" s="66"/>
      <c r="C243" s="66"/>
      <c r="D243" s="67">
        <v>429.2857142857143</v>
      </c>
      <c r="E243" s="69"/>
      <c r="F243" s="103" t="str">
        <f>HYPERLINK("https://yt3.ggpht.com/ytc/AKedOLRYC97gBj-MbSiH9V-f8tQIj93QOs8V7yE8YhEb=s88-c-k-c0x00ffffff-no-rj")</f>
        <v>https://yt3.ggpht.com/ytc/AKedOLRYC97gBj-MbSiH9V-f8tQIj93QOs8V7yE8YhEb=s88-c-k-c0x00ffffff-no-rj</v>
      </c>
      <c r="G243" s="66"/>
      <c r="H243" s="70" t="s">
        <v>1796</v>
      </c>
      <c r="I243" s="71"/>
      <c r="J243" s="71" t="s">
        <v>75</v>
      </c>
      <c r="K243" s="70" t="s">
        <v>1796</v>
      </c>
      <c r="L243" s="74">
        <v>151.5591444783937</v>
      </c>
      <c r="M243" s="75">
        <v>9271.2392578125</v>
      </c>
      <c r="N243" s="75">
        <v>4122.91943359375</v>
      </c>
      <c r="O243" s="76"/>
      <c r="P243" s="77"/>
      <c r="Q243" s="77"/>
      <c r="R243" s="89"/>
      <c r="S243" s="49">
        <v>5</v>
      </c>
      <c r="T243" s="49">
        <v>3</v>
      </c>
      <c r="U243" s="50">
        <v>552</v>
      </c>
      <c r="V243" s="50">
        <v>0.001852</v>
      </c>
      <c r="W243" s="50">
        <v>0</v>
      </c>
      <c r="X243" s="50">
        <v>2.31534</v>
      </c>
      <c r="Y243" s="50">
        <v>0</v>
      </c>
      <c r="Z243" s="50">
        <v>0.5</v>
      </c>
      <c r="AA243" s="72">
        <v>243</v>
      </c>
      <c r="AB243" s="72"/>
      <c r="AC243" s="73"/>
      <c r="AD243" s="80" t="s">
        <v>1796</v>
      </c>
      <c r="AE243" s="80" t="s">
        <v>2884</v>
      </c>
      <c r="AF243" s="80"/>
      <c r="AG243" s="80"/>
      <c r="AH243" s="80"/>
      <c r="AI243" s="80"/>
      <c r="AJ243" s="87">
        <v>43928.76520833333</v>
      </c>
      <c r="AK243" s="85" t="str">
        <f>HYPERLINK("https://yt3.ggpht.com/ytc/AKedOLRYC97gBj-MbSiH9V-f8tQIj93QOs8V7yE8YhEb=s88-c-k-c0x00ffffff-no-rj")</f>
        <v>https://yt3.ggpht.com/ytc/AKedOLRYC97gBj-MbSiH9V-f8tQIj93QOs8V7yE8YhEb=s88-c-k-c0x00ffffff-no-rj</v>
      </c>
      <c r="AL243" s="80">
        <v>28147</v>
      </c>
      <c r="AM243" s="80">
        <v>0</v>
      </c>
      <c r="AN243" s="80">
        <v>237</v>
      </c>
      <c r="AO243" s="80" t="b">
        <v>0</v>
      </c>
      <c r="AP243" s="80">
        <v>31</v>
      </c>
      <c r="AQ243" s="80"/>
      <c r="AR243" s="80"/>
      <c r="AS243" s="80" t="s">
        <v>3412</v>
      </c>
      <c r="AT243" s="85" t="str">
        <f>HYPERLINK("https://www.youtube.com/channel/UCgnm8eOSP2muRSWY3JJqZ6Q")</f>
        <v>https://www.youtube.com/channel/UCgnm8eOSP2muRSWY3JJqZ6Q</v>
      </c>
      <c r="AU243" s="80" t="str">
        <f>REPLACE(INDEX(GroupVertices[Group],MATCH(Vertices[[#This Row],[Vertex]],GroupVertices[Vertex],0)),1,1,"")</f>
        <v>9</v>
      </c>
      <c r="AV243" s="49">
        <v>4</v>
      </c>
      <c r="AW243" s="50">
        <v>12.121212121212121</v>
      </c>
      <c r="AX243" s="49">
        <v>0</v>
      </c>
      <c r="AY243" s="50">
        <v>0</v>
      </c>
      <c r="AZ243" s="49">
        <v>0</v>
      </c>
      <c r="BA243" s="50">
        <v>0</v>
      </c>
      <c r="BB243" s="49">
        <v>29</v>
      </c>
      <c r="BC243" s="50">
        <v>87.87878787878788</v>
      </c>
      <c r="BD243" s="49">
        <v>33</v>
      </c>
      <c r="BE243" s="49"/>
      <c r="BF243" s="49"/>
      <c r="BG243" s="49"/>
      <c r="BH243" s="49"/>
      <c r="BI243" s="49"/>
      <c r="BJ243" s="49"/>
      <c r="BK243" s="111" t="s">
        <v>4610</v>
      </c>
      <c r="BL243" s="111" t="s">
        <v>4610</v>
      </c>
      <c r="BM243" s="111" t="s">
        <v>5084</v>
      </c>
      <c r="BN243" s="111" t="s">
        <v>5084</v>
      </c>
      <c r="BO243" s="2"/>
      <c r="BP243" s="3"/>
      <c r="BQ243" s="3"/>
      <c r="BR243" s="3"/>
      <c r="BS243" s="3"/>
    </row>
    <row r="244" spans="1:71" ht="15">
      <c r="A244" s="65" t="s">
        <v>468</v>
      </c>
      <c r="B244" s="66"/>
      <c r="C244" s="66"/>
      <c r="D244" s="67">
        <v>150</v>
      </c>
      <c r="E244" s="69"/>
      <c r="F244" s="103" t="str">
        <f>HYPERLINK("https://yt3.ggpht.com/ytc/AKedOLSkbRx4yCrSzFqKpBW2AW6Ctv_23XPMY2L8Pw=s88-c-k-c0x00ffffff-no-rj")</f>
        <v>https://yt3.ggpht.com/ytc/AKedOLSkbRx4yCrSzFqKpBW2AW6Ctv_23XPMY2L8Pw=s88-c-k-c0x00ffffff-no-rj</v>
      </c>
      <c r="G244" s="66"/>
      <c r="H244" s="70" t="s">
        <v>1797</v>
      </c>
      <c r="I244" s="71"/>
      <c r="J244" s="71" t="s">
        <v>159</v>
      </c>
      <c r="K244" s="70" t="s">
        <v>1797</v>
      </c>
      <c r="L244" s="74">
        <v>1</v>
      </c>
      <c r="M244" s="75">
        <v>9820.4462890625</v>
      </c>
      <c r="N244" s="75">
        <v>4044.3662109375</v>
      </c>
      <c r="O244" s="76"/>
      <c r="P244" s="77"/>
      <c r="Q244" s="77"/>
      <c r="R244" s="89"/>
      <c r="S244" s="49">
        <v>1</v>
      </c>
      <c r="T244" s="49">
        <v>1</v>
      </c>
      <c r="U244" s="50">
        <v>0</v>
      </c>
      <c r="V244" s="50">
        <v>0.00158</v>
      </c>
      <c r="W244" s="50">
        <v>0</v>
      </c>
      <c r="X244" s="50">
        <v>0.543608</v>
      </c>
      <c r="Y244" s="50">
        <v>0</v>
      </c>
      <c r="Z244" s="50">
        <v>1</v>
      </c>
      <c r="AA244" s="72">
        <v>244</v>
      </c>
      <c r="AB244" s="72"/>
      <c r="AC244" s="73"/>
      <c r="AD244" s="80" t="s">
        <v>1797</v>
      </c>
      <c r="AE244" s="80" t="s">
        <v>2885</v>
      </c>
      <c r="AF244" s="80"/>
      <c r="AG244" s="80"/>
      <c r="AH244" s="80"/>
      <c r="AI244" s="80"/>
      <c r="AJ244" s="87">
        <v>42835.60287037037</v>
      </c>
      <c r="AK244" s="85" t="str">
        <f>HYPERLINK("https://yt3.ggpht.com/ytc/AKedOLSkbRx4yCrSzFqKpBW2AW6Ctv_23XPMY2L8Pw=s88-c-k-c0x00ffffff-no-rj")</f>
        <v>https://yt3.ggpht.com/ytc/AKedOLSkbRx4yCrSzFqKpBW2AW6Ctv_23XPMY2L8Pw=s88-c-k-c0x00ffffff-no-rj</v>
      </c>
      <c r="AL244" s="80">
        <v>6742</v>
      </c>
      <c r="AM244" s="80">
        <v>0</v>
      </c>
      <c r="AN244" s="80">
        <v>180</v>
      </c>
      <c r="AO244" s="80" t="b">
        <v>0</v>
      </c>
      <c r="AP244" s="80">
        <v>56</v>
      </c>
      <c r="AQ244" s="80"/>
      <c r="AR244" s="80"/>
      <c r="AS244" s="80" t="s">
        <v>3412</v>
      </c>
      <c r="AT244" s="85" t="str">
        <f>HYPERLINK("https://www.youtube.com/channel/UC5BNlWKYh5VCnPNxK16NfTQ")</f>
        <v>https://www.youtube.com/channel/UC5BNlWKYh5VCnPNxK16NfTQ</v>
      </c>
      <c r="AU244" s="80" t="str">
        <f>REPLACE(INDEX(GroupVertices[Group],MATCH(Vertices[[#This Row],[Vertex]],GroupVertices[Vertex],0)),1,1,"")</f>
        <v>9</v>
      </c>
      <c r="AV244" s="49">
        <v>2</v>
      </c>
      <c r="AW244" s="50">
        <v>20</v>
      </c>
      <c r="AX244" s="49">
        <v>0</v>
      </c>
      <c r="AY244" s="50">
        <v>0</v>
      </c>
      <c r="AZ244" s="49">
        <v>0</v>
      </c>
      <c r="BA244" s="50">
        <v>0</v>
      </c>
      <c r="BB244" s="49">
        <v>8</v>
      </c>
      <c r="BC244" s="50">
        <v>80</v>
      </c>
      <c r="BD244" s="49">
        <v>10</v>
      </c>
      <c r="BE244" s="49"/>
      <c r="BF244" s="49"/>
      <c r="BG244" s="49"/>
      <c r="BH244" s="49"/>
      <c r="BI244" s="49"/>
      <c r="BJ244" s="49"/>
      <c r="BK244" s="111" t="s">
        <v>4611</v>
      </c>
      <c r="BL244" s="111" t="s">
        <v>4611</v>
      </c>
      <c r="BM244" s="111" t="s">
        <v>5085</v>
      </c>
      <c r="BN244" s="111" t="s">
        <v>5085</v>
      </c>
      <c r="BO244" s="2"/>
      <c r="BP244" s="3"/>
      <c r="BQ244" s="3"/>
      <c r="BR244" s="3"/>
      <c r="BS244" s="3"/>
    </row>
    <row r="245" spans="1:71" ht="15">
      <c r="A245" s="65" t="s">
        <v>469</v>
      </c>
      <c r="B245" s="66"/>
      <c r="C245" s="66"/>
      <c r="D245" s="67">
        <v>150</v>
      </c>
      <c r="E245" s="69"/>
      <c r="F245" s="103" t="str">
        <f>HYPERLINK("https://yt3.ggpht.com/ytc/AKedOLRi6kkwO0iIxIIqtBFJiWamQekOTE9PsipBFGbw=s88-c-k-c0x00ffffff-no-rj")</f>
        <v>https://yt3.ggpht.com/ytc/AKedOLRi6kkwO0iIxIIqtBFJiWamQekOTE9PsipBFGbw=s88-c-k-c0x00ffffff-no-rj</v>
      </c>
      <c r="G245" s="66"/>
      <c r="H245" s="70" t="s">
        <v>1798</v>
      </c>
      <c r="I245" s="71"/>
      <c r="J245" s="71" t="s">
        <v>159</v>
      </c>
      <c r="K245" s="70" t="s">
        <v>1798</v>
      </c>
      <c r="L245" s="74">
        <v>1</v>
      </c>
      <c r="M245" s="75">
        <v>9594.2353515625</v>
      </c>
      <c r="N245" s="75">
        <v>4314.05615234375</v>
      </c>
      <c r="O245" s="76"/>
      <c r="P245" s="77"/>
      <c r="Q245" s="77"/>
      <c r="R245" s="89"/>
      <c r="S245" s="49">
        <v>0</v>
      </c>
      <c r="T245" s="49">
        <v>1</v>
      </c>
      <c r="U245" s="50">
        <v>0</v>
      </c>
      <c r="V245" s="50">
        <v>0.00158</v>
      </c>
      <c r="W245" s="50">
        <v>0</v>
      </c>
      <c r="X245" s="50">
        <v>0.543608</v>
      </c>
      <c r="Y245" s="50">
        <v>0</v>
      </c>
      <c r="Z245" s="50">
        <v>0</v>
      </c>
      <c r="AA245" s="72">
        <v>245</v>
      </c>
      <c r="AB245" s="72"/>
      <c r="AC245" s="73"/>
      <c r="AD245" s="80" t="s">
        <v>1798</v>
      </c>
      <c r="AE245" s="80"/>
      <c r="AF245" s="80"/>
      <c r="AG245" s="80"/>
      <c r="AH245" s="80"/>
      <c r="AI245" s="80"/>
      <c r="AJ245" s="80" t="s">
        <v>3237</v>
      </c>
      <c r="AK245" s="85" t="str">
        <f>HYPERLINK("https://yt3.ggpht.com/ytc/AKedOLRi6kkwO0iIxIIqtBFJiWamQekOTE9PsipBFGbw=s88-c-k-c0x00ffffff-no-rj")</f>
        <v>https://yt3.ggpht.com/ytc/AKedOLRi6kkwO0iIxIIqtBFJiWamQekOTE9PsipBFGbw=s88-c-k-c0x00ffffff-no-rj</v>
      </c>
      <c r="AL245" s="80">
        <v>23206</v>
      </c>
      <c r="AM245" s="80">
        <v>0</v>
      </c>
      <c r="AN245" s="80">
        <v>23</v>
      </c>
      <c r="AO245" s="80" t="b">
        <v>0</v>
      </c>
      <c r="AP245" s="80">
        <v>27</v>
      </c>
      <c r="AQ245" s="80"/>
      <c r="AR245" s="80"/>
      <c r="AS245" s="80" t="s">
        <v>3412</v>
      </c>
      <c r="AT245" s="85" t="str">
        <f>HYPERLINK("https://www.youtube.com/channel/UCjJC-AYgE01N7cgK18k2u4g")</f>
        <v>https://www.youtube.com/channel/UCjJC-AYgE01N7cgK18k2u4g</v>
      </c>
      <c r="AU245" s="80" t="str">
        <f>REPLACE(INDEX(GroupVertices[Group],MATCH(Vertices[[#This Row],[Vertex]],GroupVertices[Vertex],0)),1,1,"")</f>
        <v>9</v>
      </c>
      <c r="AV245" s="49">
        <v>2</v>
      </c>
      <c r="AW245" s="50">
        <v>9.090909090909092</v>
      </c>
      <c r="AX245" s="49">
        <v>1</v>
      </c>
      <c r="AY245" s="50">
        <v>4.545454545454546</v>
      </c>
      <c r="AZ245" s="49">
        <v>0</v>
      </c>
      <c r="BA245" s="50">
        <v>0</v>
      </c>
      <c r="BB245" s="49">
        <v>19</v>
      </c>
      <c r="BC245" s="50">
        <v>86.36363636363636</v>
      </c>
      <c r="BD245" s="49">
        <v>22</v>
      </c>
      <c r="BE245" s="49"/>
      <c r="BF245" s="49"/>
      <c r="BG245" s="49"/>
      <c r="BH245" s="49"/>
      <c r="BI245" s="49"/>
      <c r="BJ245" s="49"/>
      <c r="BK245" s="111" t="s">
        <v>4612</v>
      </c>
      <c r="BL245" s="111" t="s">
        <v>4612</v>
      </c>
      <c r="BM245" s="111" t="s">
        <v>5086</v>
      </c>
      <c r="BN245" s="111" t="s">
        <v>5086</v>
      </c>
      <c r="BO245" s="2"/>
      <c r="BP245" s="3"/>
      <c r="BQ245" s="3"/>
      <c r="BR245" s="3"/>
      <c r="BS245" s="3"/>
    </row>
    <row r="246" spans="1:71" ht="15">
      <c r="A246" s="65" t="s">
        <v>470</v>
      </c>
      <c r="B246" s="66"/>
      <c r="C246" s="66"/>
      <c r="D246" s="67">
        <v>150</v>
      </c>
      <c r="E246" s="69"/>
      <c r="F246" s="103" t="str">
        <f>HYPERLINK("https://yt3.ggpht.com/ytc/AKedOLRy4h2xj4pavZd_D0WinqCU5apWu9wAuRQ-og=s88-c-k-c0x00ffffff-no-rj")</f>
        <v>https://yt3.ggpht.com/ytc/AKedOLRy4h2xj4pavZd_D0WinqCU5apWu9wAuRQ-og=s88-c-k-c0x00ffffff-no-rj</v>
      </c>
      <c r="G246" s="66"/>
      <c r="H246" s="70" t="s">
        <v>1799</v>
      </c>
      <c r="I246" s="71"/>
      <c r="J246" s="71" t="s">
        <v>159</v>
      </c>
      <c r="K246" s="70" t="s">
        <v>1799</v>
      </c>
      <c r="L246" s="74">
        <v>1</v>
      </c>
      <c r="M246" s="75">
        <v>5533.52490234375</v>
      </c>
      <c r="N246" s="75">
        <v>9854.505859375</v>
      </c>
      <c r="O246" s="76"/>
      <c r="P246" s="77"/>
      <c r="Q246" s="77"/>
      <c r="R246" s="89"/>
      <c r="S246" s="49">
        <v>1</v>
      </c>
      <c r="T246" s="49">
        <v>1</v>
      </c>
      <c r="U246" s="50">
        <v>0</v>
      </c>
      <c r="V246" s="50">
        <v>0.002597</v>
      </c>
      <c r="W246" s="50">
        <v>0.00486</v>
      </c>
      <c r="X246" s="50">
        <v>0.526148</v>
      </c>
      <c r="Y246" s="50">
        <v>0</v>
      </c>
      <c r="Z246" s="50">
        <v>1</v>
      </c>
      <c r="AA246" s="72">
        <v>246</v>
      </c>
      <c r="AB246" s="72"/>
      <c r="AC246" s="73"/>
      <c r="AD246" s="80" t="s">
        <v>1799</v>
      </c>
      <c r="AE246" s="80"/>
      <c r="AF246" s="80"/>
      <c r="AG246" s="80"/>
      <c r="AH246" s="80"/>
      <c r="AI246" s="80"/>
      <c r="AJ246" s="87">
        <v>42066.6658912037</v>
      </c>
      <c r="AK246" s="85" t="str">
        <f>HYPERLINK("https://yt3.ggpht.com/ytc/AKedOLRy4h2xj4pavZd_D0WinqCU5apWu9wAuRQ-og=s88-c-k-c0x00ffffff-no-rj")</f>
        <v>https://yt3.ggpht.com/ytc/AKedOLRy4h2xj4pavZd_D0WinqCU5apWu9wAuRQ-og=s88-c-k-c0x00ffffff-no-rj</v>
      </c>
      <c r="AL246" s="80">
        <v>0</v>
      </c>
      <c r="AM246" s="80">
        <v>0</v>
      </c>
      <c r="AN246" s="80">
        <v>0</v>
      </c>
      <c r="AO246" s="80" t="b">
        <v>0</v>
      </c>
      <c r="AP246" s="80">
        <v>0</v>
      </c>
      <c r="AQ246" s="80"/>
      <c r="AR246" s="80"/>
      <c r="AS246" s="80" t="s">
        <v>3412</v>
      </c>
      <c r="AT246" s="85" t="str">
        <f>HYPERLINK("https://www.youtube.com/channel/UCzXs1IS5XDX9HJHgP4Ru94A")</f>
        <v>https://www.youtube.com/channel/UCzXs1IS5XDX9HJHgP4Ru94A</v>
      </c>
      <c r="AU246" s="80" t="str">
        <f>REPLACE(INDEX(GroupVertices[Group],MATCH(Vertices[[#This Row],[Vertex]],GroupVertices[Vertex],0)),1,1,"")</f>
        <v>1</v>
      </c>
      <c r="AV246" s="49">
        <v>1</v>
      </c>
      <c r="AW246" s="50">
        <v>6.25</v>
      </c>
      <c r="AX246" s="49">
        <v>0</v>
      </c>
      <c r="AY246" s="50">
        <v>0</v>
      </c>
      <c r="AZ246" s="49">
        <v>0</v>
      </c>
      <c r="BA246" s="50">
        <v>0</v>
      </c>
      <c r="BB246" s="49">
        <v>15</v>
      </c>
      <c r="BC246" s="50">
        <v>93.75</v>
      </c>
      <c r="BD246" s="49">
        <v>16</v>
      </c>
      <c r="BE246" s="49"/>
      <c r="BF246" s="49"/>
      <c r="BG246" s="49"/>
      <c r="BH246" s="49"/>
      <c r="BI246" s="49"/>
      <c r="BJ246" s="49"/>
      <c r="BK246" s="111" t="s">
        <v>4613</v>
      </c>
      <c r="BL246" s="111" t="s">
        <v>4613</v>
      </c>
      <c r="BM246" s="111" t="s">
        <v>5087</v>
      </c>
      <c r="BN246" s="111" t="s">
        <v>5087</v>
      </c>
      <c r="BO246" s="2"/>
      <c r="BP246" s="3"/>
      <c r="BQ246" s="3"/>
      <c r="BR246" s="3"/>
      <c r="BS246" s="3"/>
    </row>
    <row r="247" spans="1:71" ht="15">
      <c r="A247" s="65" t="s">
        <v>471</v>
      </c>
      <c r="B247" s="66"/>
      <c r="C247" s="66"/>
      <c r="D247" s="67">
        <v>150</v>
      </c>
      <c r="E247" s="69"/>
      <c r="F247" s="103" t="str">
        <f>HYPERLINK("https://yt3.ggpht.com/ytc/AKedOLSN5C8-QT9sc1gqV647dB_rNFPFJFps-kn4Tw=s88-c-k-c0x00ffffff-no-rj")</f>
        <v>https://yt3.ggpht.com/ytc/AKedOLSN5C8-QT9sc1gqV647dB_rNFPFJFps-kn4Tw=s88-c-k-c0x00ffffff-no-rj</v>
      </c>
      <c r="G247" s="66"/>
      <c r="H247" s="70" t="s">
        <v>1800</v>
      </c>
      <c r="I247" s="71"/>
      <c r="J247" s="71" t="s">
        <v>159</v>
      </c>
      <c r="K247" s="70" t="s">
        <v>1800</v>
      </c>
      <c r="L247" s="74">
        <v>1</v>
      </c>
      <c r="M247" s="75">
        <v>6208.38623046875</v>
      </c>
      <c r="N247" s="75">
        <v>9371.66015625</v>
      </c>
      <c r="O247" s="76"/>
      <c r="P247" s="77"/>
      <c r="Q247" s="77"/>
      <c r="R247" s="89"/>
      <c r="S247" s="49">
        <v>1</v>
      </c>
      <c r="T247" s="49">
        <v>1</v>
      </c>
      <c r="U247" s="50">
        <v>0</v>
      </c>
      <c r="V247" s="50">
        <v>0.002597</v>
      </c>
      <c r="W247" s="50">
        <v>0.00486</v>
      </c>
      <c r="X247" s="50">
        <v>0.526148</v>
      </c>
      <c r="Y247" s="50">
        <v>0</v>
      </c>
      <c r="Z247" s="50">
        <v>1</v>
      </c>
      <c r="AA247" s="72">
        <v>247</v>
      </c>
      <c r="AB247" s="72"/>
      <c r="AC247" s="73"/>
      <c r="AD247" s="80" t="s">
        <v>1800</v>
      </c>
      <c r="AE247" s="80"/>
      <c r="AF247" s="80"/>
      <c r="AG247" s="80"/>
      <c r="AH247" s="80"/>
      <c r="AI247" s="80"/>
      <c r="AJ247" s="87">
        <v>43075.980844907404</v>
      </c>
      <c r="AK247" s="85" t="str">
        <f>HYPERLINK("https://yt3.ggpht.com/ytc/AKedOLSN5C8-QT9sc1gqV647dB_rNFPFJFps-kn4Tw=s88-c-k-c0x00ffffff-no-rj")</f>
        <v>https://yt3.ggpht.com/ytc/AKedOLSN5C8-QT9sc1gqV647dB_rNFPFJFps-kn4Tw=s88-c-k-c0x00ffffff-no-rj</v>
      </c>
      <c r="AL247" s="80">
        <v>0</v>
      </c>
      <c r="AM247" s="80">
        <v>0</v>
      </c>
      <c r="AN247" s="80">
        <v>1</v>
      </c>
      <c r="AO247" s="80" t="b">
        <v>0</v>
      </c>
      <c r="AP247" s="80">
        <v>0</v>
      </c>
      <c r="AQ247" s="80"/>
      <c r="AR247" s="80"/>
      <c r="AS247" s="80" t="s">
        <v>3412</v>
      </c>
      <c r="AT247" s="85" t="str">
        <f>HYPERLINK("https://www.youtube.com/channel/UCkV9GnyBhEBzSoxH3eLKSjA")</f>
        <v>https://www.youtube.com/channel/UCkV9GnyBhEBzSoxH3eLKSjA</v>
      </c>
      <c r="AU247" s="80" t="str">
        <f>REPLACE(INDEX(GroupVertices[Group],MATCH(Vertices[[#This Row],[Vertex]],GroupVertices[Vertex],0)),1,1,"")</f>
        <v>1</v>
      </c>
      <c r="AV247" s="49">
        <v>6</v>
      </c>
      <c r="AW247" s="50">
        <v>3.9215686274509802</v>
      </c>
      <c r="AX247" s="49">
        <v>7</v>
      </c>
      <c r="AY247" s="50">
        <v>4.57516339869281</v>
      </c>
      <c r="AZ247" s="49">
        <v>0</v>
      </c>
      <c r="BA247" s="50">
        <v>0</v>
      </c>
      <c r="BB247" s="49">
        <v>140</v>
      </c>
      <c r="BC247" s="50">
        <v>91.50326797385621</v>
      </c>
      <c r="BD247" s="49">
        <v>153</v>
      </c>
      <c r="BE247" s="49"/>
      <c r="BF247" s="49"/>
      <c r="BG247" s="49"/>
      <c r="BH247" s="49"/>
      <c r="BI247" s="49"/>
      <c r="BJ247" s="49"/>
      <c r="BK247" s="111" t="s">
        <v>4614</v>
      </c>
      <c r="BL247" s="111" t="s">
        <v>4873</v>
      </c>
      <c r="BM247" s="111" t="s">
        <v>5088</v>
      </c>
      <c r="BN247" s="111" t="s">
        <v>5088</v>
      </c>
      <c r="BO247" s="2"/>
      <c r="BP247" s="3"/>
      <c r="BQ247" s="3"/>
      <c r="BR247" s="3"/>
      <c r="BS247" s="3"/>
    </row>
    <row r="248" spans="1:71" ht="15">
      <c r="A248" s="65" t="s">
        <v>472</v>
      </c>
      <c r="B248" s="66"/>
      <c r="C248" s="66"/>
      <c r="D248" s="67">
        <v>150</v>
      </c>
      <c r="E248" s="69"/>
      <c r="F248" s="103" t="str">
        <f>HYPERLINK("https://yt3.ggpht.com/ytc/AKedOLRnsXH0Fcm7smbQfw3ZDfp3Iv5JWPSREd7ZERkz=s88-c-k-c0x00ffffff-no-rj")</f>
        <v>https://yt3.ggpht.com/ytc/AKedOLRnsXH0Fcm7smbQfw3ZDfp3Iv5JWPSREd7ZERkz=s88-c-k-c0x00ffffff-no-rj</v>
      </c>
      <c r="G248" s="66"/>
      <c r="H248" s="70" t="s">
        <v>1801</v>
      </c>
      <c r="I248" s="71"/>
      <c r="J248" s="71" t="s">
        <v>159</v>
      </c>
      <c r="K248" s="70" t="s">
        <v>1801</v>
      </c>
      <c r="L248" s="74">
        <v>1</v>
      </c>
      <c r="M248" s="75">
        <v>9585.8076171875</v>
      </c>
      <c r="N248" s="75">
        <v>8694.8408203125</v>
      </c>
      <c r="O248" s="76"/>
      <c r="P248" s="77"/>
      <c r="Q248" s="77"/>
      <c r="R248" s="89"/>
      <c r="S248" s="49">
        <v>0</v>
      </c>
      <c r="T248" s="49">
        <v>1</v>
      </c>
      <c r="U248" s="50">
        <v>0</v>
      </c>
      <c r="V248" s="50">
        <v>0.002597</v>
      </c>
      <c r="W248" s="50">
        <v>0.00486</v>
      </c>
      <c r="X248" s="50">
        <v>0.526148</v>
      </c>
      <c r="Y248" s="50">
        <v>0</v>
      </c>
      <c r="Z248" s="50">
        <v>0</v>
      </c>
      <c r="AA248" s="72">
        <v>248</v>
      </c>
      <c r="AB248" s="72"/>
      <c r="AC248" s="73"/>
      <c r="AD248" s="80" t="s">
        <v>1801</v>
      </c>
      <c r="AE248" s="80"/>
      <c r="AF248" s="80"/>
      <c r="AG248" s="80"/>
      <c r="AH248" s="80"/>
      <c r="AI248" s="80"/>
      <c r="AJ248" s="80" t="s">
        <v>3238</v>
      </c>
      <c r="AK248" s="85" t="str">
        <f>HYPERLINK("https://yt3.ggpht.com/ytc/AKedOLRnsXH0Fcm7smbQfw3ZDfp3Iv5JWPSREd7ZERkz=s88-c-k-c0x00ffffff-no-rj")</f>
        <v>https://yt3.ggpht.com/ytc/AKedOLRnsXH0Fcm7smbQfw3ZDfp3Iv5JWPSREd7ZERkz=s88-c-k-c0x00ffffff-no-rj</v>
      </c>
      <c r="AL248" s="80">
        <v>0</v>
      </c>
      <c r="AM248" s="80">
        <v>0</v>
      </c>
      <c r="AN248" s="80">
        <v>37</v>
      </c>
      <c r="AO248" s="80" t="b">
        <v>0</v>
      </c>
      <c r="AP248" s="80">
        <v>0</v>
      </c>
      <c r="AQ248" s="80"/>
      <c r="AR248" s="80"/>
      <c r="AS248" s="80" t="s">
        <v>3412</v>
      </c>
      <c r="AT248" s="85" t="str">
        <f>HYPERLINK("https://www.youtube.com/channel/UCvgU7w2LYXQAHxlgdEa9D6w")</f>
        <v>https://www.youtube.com/channel/UCvgU7w2LYXQAHxlgdEa9D6w</v>
      </c>
      <c r="AU248" s="80" t="str">
        <f>REPLACE(INDEX(GroupVertices[Group],MATCH(Vertices[[#This Row],[Vertex]],GroupVertices[Vertex],0)),1,1,"")</f>
        <v>1</v>
      </c>
      <c r="AV248" s="49">
        <v>1</v>
      </c>
      <c r="AW248" s="50">
        <v>14.285714285714286</v>
      </c>
      <c r="AX248" s="49">
        <v>0</v>
      </c>
      <c r="AY248" s="50">
        <v>0</v>
      </c>
      <c r="AZ248" s="49">
        <v>0</v>
      </c>
      <c r="BA248" s="50">
        <v>0</v>
      </c>
      <c r="BB248" s="49">
        <v>6</v>
      </c>
      <c r="BC248" s="50">
        <v>85.71428571428571</v>
      </c>
      <c r="BD248" s="49">
        <v>7</v>
      </c>
      <c r="BE248" s="49"/>
      <c r="BF248" s="49"/>
      <c r="BG248" s="49"/>
      <c r="BH248" s="49"/>
      <c r="BI248" s="49"/>
      <c r="BJ248" s="49"/>
      <c r="BK248" s="111" t="s">
        <v>4615</v>
      </c>
      <c r="BL248" s="111" t="s">
        <v>4615</v>
      </c>
      <c r="BM248" s="111" t="s">
        <v>5089</v>
      </c>
      <c r="BN248" s="111" t="s">
        <v>5089</v>
      </c>
      <c r="BO248" s="2"/>
      <c r="BP248" s="3"/>
      <c r="BQ248" s="3"/>
      <c r="BR248" s="3"/>
      <c r="BS248" s="3"/>
    </row>
    <row r="249" spans="1:71" ht="15">
      <c r="A249" s="65" t="s">
        <v>473</v>
      </c>
      <c r="B249" s="66"/>
      <c r="C249" s="66"/>
      <c r="D249" s="67">
        <v>150</v>
      </c>
      <c r="E249" s="69"/>
      <c r="F249" s="103" t="str">
        <f>HYPERLINK("https://yt3.ggpht.com/ytc/AKedOLSgc20RnJ2vV2BASu01F_D0QNRUHfqSKOKYWCly=s88-c-k-c0x00ffffff-no-rj")</f>
        <v>https://yt3.ggpht.com/ytc/AKedOLSgc20RnJ2vV2BASu01F_D0QNRUHfqSKOKYWCly=s88-c-k-c0x00ffffff-no-rj</v>
      </c>
      <c r="G249" s="66"/>
      <c r="H249" s="70" t="s">
        <v>1802</v>
      </c>
      <c r="I249" s="71"/>
      <c r="J249" s="71" t="s">
        <v>159</v>
      </c>
      <c r="K249" s="70" t="s">
        <v>1802</v>
      </c>
      <c r="L249" s="74">
        <v>1</v>
      </c>
      <c r="M249" s="75">
        <v>7205.86328125</v>
      </c>
      <c r="N249" s="75">
        <v>7369.40380859375</v>
      </c>
      <c r="O249" s="76"/>
      <c r="P249" s="77"/>
      <c r="Q249" s="77"/>
      <c r="R249" s="89"/>
      <c r="S249" s="49">
        <v>1</v>
      </c>
      <c r="T249" s="49">
        <v>1</v>
      </c>
      <c r="U249" s="50">
        <v>0</v>
      </c>
      <c r="V249" s="50">
        <v>0.002597</v>
      </c>
      <c r="W249" s="50">
        <v>0.00486</v>
      </c>
      <c r="X249" s="50">
        <v>0.526148</v>
      </c>
      <c r="Y249" s="50">
        <v>0</v>
      </c>
      <c r="Z249" s="50">
        <v>1</v>
      </c>
      <c r="AA249" s="72">
        <v>249</v>
      </c>
      <c r="AB249" s="72"/>
      <c r="AC249" s="73"/>
      <c r="AD249" s="80" t="s">
        <v>1802</v>
      </c>
      <c r="AE249" s="80"/>
      <c r="AF249" s="80"/>
      <c r="AG249" s="80"/>
      <c r="AH249" s="80"/>
      <c r="AI249" s="80"/>
      <c r="AJ249" s="80" t="s">
        <v>3239</v>
      </c>
      <c r="AK249" s="85" t="str">
        <f>HYPERLINK("https://yt3.ggpht.com/ytc/AKedOLSgc20RnJ2vV2BASu01F_D0QNRUHfqSKOKYWCly=s88-c-k-c0x00ffffff-no-rj")</f>
        <v>https://yt3.ggpht.com/ytc/AKedOLSgc20RnJ2vV2BASu01F_D0QNRUHfqSKOKYWCly=s88-c-k-c0x00ffffff-no-rj</v>
      </c>
      <c r="AL249" s="80">
        <v>0</v>
      </c>
      <c r="AM249" s="80">
        <v>0</v>
      </c>
      <c r="AN249" s="80">
        <v>3</v>
      </c>
      <c r="AO249" s="80" t="b">
        <v>0</v>
      </c>
      <c r="AP249" s="80">
        <v>0</v>
      </c>
      <c r="AQ249" s="80"/>
      <c r="AR249" s="80"/>
      <c r="AS249" s="80" t="s">
        <v>3412</v>
      </c>
      <c r="AT249" s="85" t="str">
        <f>HYPERLINK("https://www.youtube.com/channel/UC-QudR4SxVYXGzb1G4qupjA")</f>
        <v>https://www.youtube.com/channel/UC-QudR4SxVYXGzb1G4qupjA</v>
      </c>
      <c r="AU249" s="80" t="str">
        <f>REPLACE(INDEX(GroupVertices[Group],MATCH(Vertices[[#This Row],[Vertex]],GroupVertices[Vertex],0)),1,1,"")</f>
        <v>1</v>
      </c>
      <c r="AV249" s="49">
        <v>17</v>
      </c>
      <c r="AW249" s="50">
        <v>12.592592592592593</v>
      </c>
      <c r="AX249" s="49">
        <v>2</v>
      </c>
      <c r="AY249" s="50">
        <v>1.4814814814814814</v>
      </c>
      <c r="AZ249" s="49">
        <v>0</v>
      </c>
      <c r="BA249" s="50">
        <v>0</v>
      </c>
      <c r="BB249" s="49">
        <v>116</v>
      </c>
      <c r="BC249" s="50">
        <v>85.92592592592592</v>
      </c>
      <c r="BD249" s="49">
        <v>135</v>
      </c>
      <c r="BE249" s="49"/>
      <c r="BF249" s="49"/>
      <c r="BG249" s="49"/>
      <c r="BH249" s="49"/>
      <c r="BI249" s="49"/>
      <c r="BJ249" s="49"/>
      <c r="BK249" s="111" t="s">
        <v>4616</v>
      </c>
      <c r="BL249" s="111" t="s">
        <v>4616</v>
      </c>
      <c r="BM249" s="111" t="s">
        <v>5090</v>
      </c>
      <c r="BN249" s="111" t="s">
        <v>5090</v>
      </c>
      <c r="BO249" s="2"/>
      <c r="BP249" s="3"/>
      <c r="BQ249" s="3"/>
      <c r="BR249" s="3"/>
      <c r="BS249" s="3"/>
    </row>
    <row r="250" spans="1:71" ht="15">
      <c r="A250" s="65" t="s">
        <v>474</v>
      </c>
      <c r="B250" s="66"/>
      <c r="C250" s="66"/>
      <c r="D250" s="67">
        <v>150</v>
      </c>
      <c r="E250" s="69"/>
      <c r="F250" s="103" t="str">
        <f>HYPERLINK("https://yt3.ggpht.com/ytc/AKedOLQXlD95kCaEcg9IjfRlrAMHj8bDvDNLAaQN6wEMuA=s88-c-k-c0x00ffffff-no-rj")</f>
        <v>https://yt3.ggpht.com/ytc/AKedOLQXlD95kCaEcg9IjfRlrAMHj8bDvDNLAaQN6wEMuA=s88-c-k-c0x00ffffff-no-rj</v>
      </c>
      <c r="G250" s="66"/>
      <c r="H250" s="70" t="s">
        <v>1803</v>
      </c>
      <c r="I250" s="71"/>
      <c r="J250" s="71" t="s">
        <v>159</v>
      </c>
      <c r="K250" s="70" t="s">
        <v>1803</v>
      </c>
      <c r="L250" s="74">
        <v>1</v>
      </c>
      <c r="M250" s="75">
        <v>8604.771484375</v>
      </c>
      <c r="N250" s="75">
        <v>8709.4794921875</v>
      </c>
      <c r="O250" s="76"/>
      <c r="P250" s="77"/>
      <c r="Q250" s="77"/>
      <c r="R250" s="89"/>
      <c r="S250" s="49">
        <v>0</v>
      </c>
      <c r="T250" s="49">
        <v>1</v>
      </c>
      <c r="U250" s="50">
        <v>0</v>
      </c>
      <c r="V250" s="50">
        <v>0.002597</v>
      </c>
      <c r="W250" s="50">
        <v>0.00486</v>
      </c>
      <c r="X250" s="50">
        <v>0.526148</v>
      </c>
      <c r="Y250" s="50">
        <v>0</v>
      </c>
      <c r="Z250" s="50">
        <v>0</v>
      </c>
      <c r="AA250" s="72">
        <v>250</v>
      </c>
      <c r="AB250" s="72"/>
      <c r="AC250" s="73"/>
      <c r="AD250" s="80" t="s">
        <v>1803</v>
      </c>
      <c r="AE250" s="80" t="s">
        <v>2886</v>
      </c>
      <c r="AF250" s="80"/>
      <c r="AG250" s="80"/>
      <c r="AH250" s="80"/>
      <c r="AI250" s="80"/>
      <c r="AJ250" s="80" t="s">
        <v>3240</v>
      </c>
      <c r="AK250" s="85" t="str">
        <f>HYPERLINK("https://yt3.ggpht.com/ytc/AKedOLQXlD95kCaEcg9IjfRlrAMHj8bDvDNLAaQN6wEMuA=s88-c-k-c0x00ffffff-no-rj")</f>
        <v>https://yt3.ggpht.com/ytc/AKedOLQXlD95kCaEcg9IjfRlrAMHj8bDvDNLAaQN6wEMuA=s88-c-k-c0x00ffffff-no-rj</v>
      </c>
      <c r="AL250" s="80">
        <v>1153002</v>
      </c>
      <c r="AM250" s="80">
        <v>0</v>
      </c>
      <c r="AN250" s="80">
        <v>1100</v>
      </c>
      <c r="AO250" s="80" t="b">
        <v>0</v>
      </c>
      <c r="AP250" s="80">
        <v>183</v>
      </c>
      <c r="AQ250" s="80"/>
      <c r="AR250" s="80"/>
      <c r="AS250" s="80" t="s">
        <v>3412</v>
      </c>
      <c r="AT250" s="85" t="str">
        <f>HYPERLINK("https://www.youtube.com/channel/UCZDFCXZ8ou1HRP-tcn2ymcQ")</f>
        <v>https://www.youtube.com/channel/UCZDFCXZ8ou1HRP-tcn2ymcQ</v>
      </c>
      <c r="AU250" s="80" t="str">
        <f>REPLACE(INDEX(GroupVertices[Group],MATCH(Vertices[[#This Row],[Vertex]],GroupVertices[Vertex],0)),1,1,"")</f>
        <v>1</v>
      </c>
      <c r="AV250" s="49">
        <v>1</v>
      </c>
      <c r="AW250" s="50">
        <v>6.666666666666667</v>
      </c>
      <c r="AX250" s="49">
        <v>0</v>
      </c>
      <c r="AY250" s="50">
        <v>0</v>
      </c>
      <c r="AZ250" s="49">
        <v>0</v>
      </c>
      <c r="BA250" s="50">
        <v>0</v>
      </c>
      <c r="BB250" s="49">
        <v>14</v>
      </c>
      <c r="BC250" s="50">
        <v>93.33333333333333</v>
      </c>
      <c r="BD250" s="49">
        <v>15</v>
      </c>
      <c r="BE250" s="49" t="s">
        <v>4217</v>
      </c>
      <c r="BF250" s="49" t="s">
        <v>4217</v>
      </c>
      <c r="BG250" s="49" t="s">
        <v>2772</v>
      </c>
      <c r="BH250" s="49" t="s">
        <v>2772</v>
      </c>
      <c r="BI250" s="49"/>
      <c r="BJ250" s="49"/>
      <c r="BK250" s="111" t="s">
        <v>4617</v>
      </c>
      <c r="BL250" s="111" t="s">
        <v>4617</v>
      </c>
      <c r="BM250" s="111" t="s">
        <v>5091</v>
      </c>
      <c r="BN250" s="111" t="s">
        <v>5091</v>
      </c>
      <c r="BO250" s="2"/>
      <c r="BP250" s="3"/>
      <c r="BQ250" s="3"/>
      <c r="BR250" s="3"/>
      <c r="BS250" s="3"/>
    </row>
    <row r="251" spans="1:71" ht="15">
      <c r="A251" s="65" t="s">
        <v>475</v>
      </c>
      <c r="B251" s="66"/>
      <c r="C251" s="66"/>
      <c r="D251" s="67">
        <v>150</v>
      </c>
      <c r="E251" s="69"/>
      <c r="F251" s="103" t="str">
        <f>HYPERLINK("https://yt3.ggpht.com/ytc/AKedOLSc-0cdVp4C4Jolzd1sDKkaMxBNaLK2l9DoVQ=s88-c-k-c0x00ffffff-no-rj")</f>
        <v>https://yt3.ggpht.com/ytc/AKedOLSc-0cdVp4C4Jolzd1sDKkaMxBNaLK2l9DoVQ=s88-c-k-c0x00ffffff-no-rj</v>
      </c>
      <c r="G251" s="66"/>
      <c r="H251" s="70" t="s">
        <v>1804</v>
      </c>
      <c r="I251" s="71"/>
      <c r="J251" s="71" t="s">
        <v>159</v>
      </c>
      <c r="K251" s="70" t="s">
        <v>1804</v>
      </c>
      <c r="L251" s="74">
        <v>1</v>
      </c>
      <c r="M251" s="75">
        <v>3656.278564453125</v>
      </c>
      <c r="N251" s="75">
        <v>9193.9853515625</v>
      </c>
      <c r="O251" s="76"/>
      <c r="P251" s="77"/>
      <c r="Q251" s="77"/>
      <c r="R251" s="89"/>
      <c r="S251" s="49">
        <v>0</v>
      </c>
      <c r="T251" s="49">
        <v>1</v>
      </c>
      <c r="U251" s="50">
        <v>0</v>
      </c>
      <c r="V251" s="50">
        <v>0.002597</v>
      </c>
      <c r="W251" s="50">
        <v>0.00486</v>
      </c>
      <c r="X251" s="50">
        <v>0.526148</v>
      </c>
      <c r="Y251" s="50">
        <v>0</v>
      </c>
      <c r="Z251" s="50">
        <v>0</v>
      </c>
      <c r="AA251" s="72">
        <v>251</v>
      </c>
      <c r="AB251" s="72"/>
      <c r="AC251" s="73"/>
      <c r="AD251" s="80" t="s">
        <v>1804</v>
      </c>
      <c r="AE251" s="80"/>
      <c r="AF251" s="80"/>
      <c r="AG251" s="80"/>
      <c r="AH251" s="80"/>
      <c r="AI251" s="80"/>
      <c r="AJ251" s="87">
        <v>41437.15702546296</v>
      </c>
      <c r="AK251" s="85" t="str">
        <f>HYPERLINK("https://yt3.ggpht.com/ytc/AKedOLSc-0cdVp4C4Jolzd1sDKkaMxBNaLK2l9DoVQ=s88-c-k-c0x00ffffff-no-rj")</f>
        <v>https://yt3.ggpht.com/ytc/AKedOLSc-0cdVp4C4Jolzd1sDKkaMxBNaLK2l9DoVQ=s88-c-k-c0x00ffffff-no-rj</v>
      </c>
      <c r="AL251" s="80">
        <v>0</v>
      </c>
      <c r="AM251" s="80">
        <v>0</v>
      </c>
      <c r="AN251" s="80">
        <v>5</v>
      </c>
      <c r="AO251" s="80" t="b">
        <v>0</v>
      </c>
      <c r="AP251" s="80">
        <v>0</v>
      </c>
      <c r="AQ251" s="80"/>
      <c r="AR251" s="80"/>
      <c r="AS251" s="80" t="s">
        <v>3412</v>
      </c>
      <c r="AT251" s="85" t="str">
        <f>HYPERLINK("https://www.youtube.com/channel/UCItNUirJgbPLArlRlEisHqg")</f>
        <v>https://www.youtube.com/channel/UCItNUirJgbPLArlRlEisHqg</v>
      </c>
      <c r="AU251" s="80" t="str">
        <f>REPLACE(INDEX(GroupVertices[Group],MATCH(Vertices[[#This Row],[Vertex]],GroupVertices[Vertex],0)),1,1,"")</f>
        <v>1</v>
      </c>
      <c r="AV251" s="49">
        <v>0</v>
      </c>
      <c r="AW251" s="50">
        <v>0</v>
      </c>
      <c r="AX251" s="49">
        <v>0</v>
      </c>
      <c r="AY251" s="50">
        <v>0</v>
      </c>
      <c r="AZ251" s="49">
        <v>0</v>
      </c>
      <c r="BA251" s="50">
        <v>0</v>
      </c>
      <c r="BB251" s="49">
        <v>14</v>
      </c>
      <c r="BC251" s="50">
        <v>100</v>
      </c>
      <c r="BD251" s="49">
        <v>14</v>
      </c>
      <c r="BE251" s="49"/>
      <c r="BF251" s="49"/>
      <c r="BG251" s="49"/>
      <c r="BH251" s="49"/>
      <c r="BI251" s="49"/>
      <c r="BJ251" s="49"/>
      <c r="BK251" s="111" t="s">
        <v>4618</v>
      </c>
      <c r="BL251" s="111" t="s">
        <v>4618</v>
      </c>
      <c r="BM251" s="111" t="s">
        <v>5092</v>
      </c>
      <c r="BN251" s="111" t="s">
        <v>5092</v>
      </c>
      <c r="BO251" s="2"/>
      <c r="BP251" s="3"/>
      <c r="BQ251" s="3"/>
      <c r="BR251" s="3"/>
      <c r="BS251" s="3"/>
    </row>
    <row r="252" spans="1:71" ht="15">
      <c r="A252" s="65" t="s">
        <v>476</v>
      </c>
      <c r="B252" s="66"/>
      <c r="C252" s="66"/>
      <c r="D252" s="67">
        <v>150</v>
      </c>
      <c r="E252" s="69"/>
      <c r="F252" s="103" t="str">
        <f>HYPERLINK("https://yt3.ggpht.com/ytc/AKedOLSIOUmDYPtCE_Lbp14BKEIOJBL-DyqCUQJP3w=s88-c-k-c0x00ffffff-no-rj")</f>
        <v>https://yt3.ggpht.com/ytc/AKedOLSIOUmDYPtCE_Lbp14BKEIOJBL-DyqCUQJP3w=s88-c-k-c0x00ffffff-no-rj</v>
      </c>
      <c r="G252" s="66"/>
      <c r="H252" s="70" t="s">
        <v>1805</v>
      </c>
      <c r="I252" s="71"/>
      <c r="J252" s="71" t="s">
        <v>159</v>
      </c>
      <c r="K252" s="70" t="s">
        <v>1805</v>
      </c>
      <c r="L252" s="74">
        <v>1</v>
      </c>
      <c r="M252" s="75">
        <v>5574.3408203125</v>
      </c>
      <c r="N252" s="75">
        <v>9464.2578125</v>
      </c>
      <c r="O252" s="76"/>
      <c r="P252" s="77"/>
      <c r="Q252" s="77"/>
      <c r="R252" s="89"/>
      <c r="S252" s="49">
        <v>0</v>
      </c>
      <c r="T252" s="49">
        <v>1</v>
      </c>
      <c r="U252" s="50">
        <v>0</v>
      </c>
      <c r="V252" s="50">
        <v>0.002597</v>
      </c>
      <c r="W252" s="50">
        <v>0.00486</v>
      </c>
      <c r="X252" s="50">
        <v>0.526148</v>
      </c>
      <c r="Y252" s="50">
        <v>0</v>
      </c>
      <c r="Z252" s="50">
        <v>0</v>
      </c>
      <c r="AA252" s="72">
        <v>252</v>
      </c>
      <c r="AB252" s="72"/>
      <c r="AC252" s="73"/>
      <c r="AD252" s="80" t="s">
        <v>1805</v>
      </c>
      <c r="AE252" s="80"/>
      <c r="AF252" s="80"/>
      <c r="AG252" s="80"/>
      <c r="AH252" s="80"/>
      <c r="AI252" s="80"/>
      <c r="AJ252" s="80" t="s">
        <v>3241</v>
      </c>
      <c r="AK252" s="85" t="str">
        <f>HYPERLINK("https://yt3.ggpht.com/ytc/AKedOLSIOUmDYPtCE_Lbp14BKEIOJBL-DyqCUQJP3w=s88-c-k-c0x00ffffff-no-rj")</f>
        <v>https://yt3.ggpht.com/ytc/AKedOLSIOUmDYPtCE_Lbp14BKEIOJBL-DyqCUQJP3w=s88-c-k-c0x00ffffff-no-rj</v>
      </c>
      <c r="AL252" s="80">
        <v>0</v>
      </c>
      <c r="AM252" s="80">
        <v>0</v>
      </c>
      <c r="AN252" s="80">
        <v>1</v>
      </c>
      <c r="AO252" s="80" t="b">
        <v>0</v>
      </c>
      <c r="AP252" s="80">
        <v>0</v>
      </c>
      <c r="AQ252" s="80"/>
      <c r="AR252" s="80"/>
      <c r="AS252" s="80" t="s">
        <v>3412</v>
      </c>
      <c r="AT252" s="85" t="str">
        <f>HYPERLINK("https://www.youtube.com/channel/UCRALVaMU0mFkY-m_EmKWuoA")</f>
        <v>https://www.youtube.com/channel/UCRALVaMU0mFkY-m_EmKWuoA</v>
      </c>
      <c r="AU252" s="80" t="str">
        <f>REPLACE(INDEX(GroupVertices[Group],MATCH(Vertices[[#This Row],[Vertex]],GroupVertices[Vertex],0)),1,1,"")</f>
        <v>1</v>
      </c>
      <c r="AV252" s="49">
        <v>0</v>
      </c>
      <c r="AW252" s="50">
        <v>0</v>
      </c>
      <c r="AX252" s="49">
        <v>0</v>
      </c>
      <c r="AY252" s="50">
        <v>0</v>
      </c>
      <c r="AZ252" s="49">
        <v>0</v>
      </c>
      <c r="BA252" s="50">
        <v>0</v>
      </c>
      <c r="BB252" s="49">
        <v>0</v>
      </c>
      <c r="BC252" s="50">
        <v>0</v>
      </c>
      <c r="BD252" s="49">
        <v>0</v>
      </c>
      <c r="BE252" s="49"/>
      <c r="BF252" s="49"/>
      <c r="BG252" s="49"/>
      <c r="BH252" s="49"/>
      <c r="BI252" s="49"/>
      <c r="BJ252" s="49"/>
      <c r="BK252" s="111" t="s">
        <v>2782</v>
      </c>
      <c r="BL252" s="111" t="s">
        <v>2782</v>
      </c>
      <c r="BM252" s="111" t="s">
        <v>2782</v>
      </c>
      <c r="BN252" s="111" t="s">
        <v>2782</v>
      </c>
      <c r="BO252" s="2"/>
      <c r="BP252" s="3"/>
      <c r="BQ252" s="3"/>
      <c r="BR252" s="3"/>
      <c r="BS252" s="3"/>
    </row>
    <row r="253" spans="1:71" ht="15">
      <c r="A253" s="65" t="s">
        <v>477</v>
      </c>
      <c r="B253" s="66"/>
      <c r="C253" s="66"/>
      <c r="D253" s="67">
        <v>150</v>
      </c>
      <c r="E253" s="69"/>
      <c r="F253" s="103" t="str">
        <f>HYPERLINK("https://yt3.ggpht.com/ytc/AKedOLQDyJEGXXgxyC1wV30cRvaBEt3SjCVjn_sALQ=s88-c-k-c0x00ffffff-no-rj")</f>
        <v>https://yt3.ggpht.com/ytc/AKedOLQDyJEGXXgxyC1wV30cRvaBEt3SjCVjn_sALQ=s88-c-k-c0x00ffffff-no-rj</v>
      </c>
      <c r="G253" s="66"/>
      <c r="H253" s="70" t="s">
        <v>1806</v>
      </c>
      <c r="I253" s="71"/>
      <c r="J253" s="71" t="s">
        <v>159</v>
      </c>
      <c r="K253" s="70" t="s">
        <v>1806</v>
      </c>
      <c r="L253" s="74">
        <v>1</v>
      </c>
      <c r="M253" s="75">
        <v>7363.95361328125</v>
      </c>
      <c r="N253" s="75">
        <v>7253.1201171875</v>
      </c>
      <c r="O253" s="76"/>
      <c r="P253" s="77"/>
      <c r="Q253" s="77"/>
      <c r="R253" s="89"/>
      <c r="S253" s="49">
        <v>2</v>
      </c>
      <c r="T253" s="49">
        <v>2</v>
      </c>
      <c r="U253" s="50">
        <v>0</v>
      </c>
      <c r="V253" s="50">
        <v>0.002597</v>
      </c>
      <c r="W253" s="50">
        <v>0.005224</v>
      </c>
      <c r="X253" s="50">
        <v>0.915039</v>
      </c>
      <c r="Y253" s="50">
        <v>0</v>
      </c>
      <c r="Z253" s="50">
        <v>1</v>
      </c>
      <c r="AA253" s="72">
        <v>253</v>
      </c>
      <c r="AB253" s="72"/>
      <c r="AC253" s="73"/>
      <c r="AD253" s="80" t="s">
        <v>1806</v>
      </c>
      <c r="AE253" s="80"/>
      <c r="AF253" s="80"/>
      <c r="AG253" s="80"/>
      <c r="AH253" s="80"/>
      <c r="AI253" s="80"/>
      <c r="AJ253" s="87">
        <v>41315.940358796295</v>
      </c>
      <c r="AK253" s="85" t="str">
        <f>HYPERLINK("https://yt3.ggpht.com/ytc/AKedOLQDyJEGXXgxyC1wV30cRvaBEt3SjCVjn_sALQ=s88-c-k-c0x00ffffff-no-rj")</f>
        <v>https://yt3.ggpht.com/ytc/AKedOLQDyJEGXXgxyC1wV30cRvaBEt3SjCVjn_sALQ=s88-c-k-c0x00ffffff-no-rj</v>
      </c>
      <c r="AL253" s="80">
        <v>0</v>
      </c>
      <c r="AM253" s="80">
        <v>0</v>
      </c>
      <c r="AN253" s="80">
        <v>1</v>
      </c>
      <c r="AO253" s="80" t="b">
        <v>0</v>
      </c>
      <c r="AP253" s="80">
        <v>0</v>
      </c>
      <c r="AQ253" s="80"/>
      <c r="AR253" s="80"/>
      <c r="AS253" s="80" t="s">
        <v>3412</v>
      </c>
      <c r="AT253" s="85" t="str">
        <f>HYPERLINK("https://www.youtube.com/channel/UCnsvfe2AkgbxY9gNkfpGsBA")</f>
        <v>https://www.youtube.com/channel/UCnsvfe2AkgbxY9gNkfpGsBA</v>
      </c>
      <c r="AU253" s="80" t="str">
        <f>REPLACE(INDEX(GroupVertices[Group],MATCH(Vertices[[#This Row],[Vertex]],GroupVertices[Vertex],0)),1,1,"")</f>
        <v>1</v>
      </c>
      <c r="AV253" s="49">
        <v>13</v>
      </c>
      <c r="AW253" s="50">
        <v>7.18232044198895</v>
      </c>
      <c r="AX253" s="49">
        <v>4</v>
      </c>
      <c r="AY253" s="50">
        <v>2.2099447513812156</v>
      </c>
      <c r="AZ253" s="49">
        <v>0</v>
      </c>
      <c r="BA253" s="50">
        <v>0</v>
      </c>
      <c r="BB253" s="49">
        <v>164</v>
      </c>
      <c r="BC253" s="50">
        <v>90.60773480662984</v>
      </c>
      <c r="BD253" s="49">
        <v>181</v>
      </c>
      <c r="BE253" s="49"/>
      <c r="BF253" s="49"/>
      <c r="BG253" s="49"/>
      <c r="BH253" s="49"/>
      <c r="BI253" s="49"/>
      <c r="BJ253" s="49"/>
      <c r="BK253" s="111" t="s">
        <v>4619</v>
      </c>
      <c r="BL253" s="111" t="s">
        <v>4619</v>
      </c>
      <c r="BM253" s="111" t="s">
        <v>5093</v>
      </c>
      <c r="BN253" s="111" t="s">
        <v>5093</v>
      </c>
      <c r="BO253" s="2"/>
      <c r="BP253" s="3"/>
      <c r="BQ253" s="3"/>
      <c r="BR253" s="3"/>
      <c r="BS253" s="3"/>
    </row>
    <row r="254" spans="1:71" ht="15">
      <c r="A254" s="65" t="s">
        <v>478</v>
      </c>
      <c r="B254" s="66"/>
      <c r="C254" s="66"/>
      <c r="D254" s="67">
        <v>150</v>
      </c>
      <c r="E254" s="69"/>
      <c r="F254" s="103" t="str">
        <f>HYPERLINK("https://yt3.ggpht.com/ytc/AKedOLS8LpFcxusdI3BDaXbwZzpOcOzIqyRDdN-t60a1PQ=s88-c-k-c0x00ffffff-no-rj")</f>
        <v>https://yt3.ggpht.com/ytc/AKedOLS8LpFcxusdI3BDaXbwZzpOcOzIqyRDdN-t60a1PQ=s88-c-k-c0x00ffffff-no-rj</v>
      </c>
      <c r="G254" s="66"/>
      <c r="H254" s="70" t="s">
        <v>1807</v>
      </c>
      <c r="I254" s="71"/>
      <c r="J254" s="71" t="s">
        <v>159</v>
      </c>
      <c r="K254" s="70" t="s">
        <v>1807</v>
      </c>
      <c r="L254" s="74">
        <v>1</v>
      </c>
      <c r="M254" s="75">
        <v>6770.00634765625</v>
      </c>
      <c r="N254" s="75">
        <v>8196.0087890625</v>
      </c>
      <c r="O254" s="76"/>
      <c r="P254" s="77"/>
      <c r="Q254" s="77"/>
      <c r="R254" s="89"/>
      <c r="S254" s="49">
        <v>1</v>
      </c>
      <c r="T254" s="49">
        <v>1</v>
      </c>
      <c r="U254" s="50">
        <v>0</v>
      </c>
      <c r="V254" s="50">
        <v>0.002597</v>
      </c>
      <c r="W254" s="50">
        <v>0.00486</v>
      </c>
      <c r="X254" s="50">
        <v>0.526148</v>
      </c>
      <c r="Y254" s="50">
        <v>0</v>
      </c>
      <c r="Z254" s="50">
        <v>1</v>
      </c>
      <c r="AA254" s="72">
        <v>254</v>
      </c>
      <c r="AB254" s="72"/>
      <c r="AC254" s="73"/>
      <c r="AD254" s="80" t="s">
        <v>1807</v>
      </c>
      <c r="AE254" s="80"/>
      <c r="AF254" s="80"/>
      <c r="AG254" s="80"/>
      <c r="AH254" s="80"/>
      <c r="AI254" s="80"/>
      <c r="AJ254" s="80" t="s">
        <v>3242</v>
      </c>
      <c r="AK254" s="85" t="str">
        <f>HYPERLINK("https://yt3.ggpht.com/ytc/AKedOLS8LpFcxusdI3BDaXbwZzpOcOzIqyRDdN-t60a1PQ=s88-c-k-c0x00ffffff-no-rj")</f>
        <v>https://yt3.ggpht.com/ytc/AKedOLS8LpFcxusdI3BDaXbwZzpOcOzIqyRDdN-t60a1PQ=s88-c-k-c0x00ffffff-no-rj</v>
      </c>
      <c r="AL254" s="80">
        <v>0</v>
      </c>
      <c r="AM254" s="80">
        <v>0</v>
      </c>
      <c r="AN254" s="80">
        <v>2</v>
      </c>
      <c r="AO254" s="80" t="b">
        <v>0</v>
      </c>
      <c r="AP254" s="80">
        <v>0</v>
      </c>
      <c r="AQ254" s="80"/>
      <c r="AR254" s="80"/>
      <c r="AS254" s="80" t="s">
        <v>3412</v>
      </c>
      <c r="AT254" s="85" t="str">
        <f>HYPERLINK("https://www.youtube.com/channel/UCRc6CAHsarCiye-2ckZ2Jzg")</f>
        <v>https://www.youtube.com/channel/UCRc6CAHsarCiye-2ckZ2Jzg</v>
      </c>
      <c r="AU254" s="80" t="str">
        <f>REPLACE(INDEX(GroupVertices[Group],MATCH(Vertices[[#This Row],[Vertex]],GroupVertices[Vertex],0)),1,1,"")</f>
        <v>1</v>
      </c>
      <c r="AV254" s="49">
        <v>1</v>
      </c>
      <c r="AW254" s="50">
        <v>7.6923076923076925</v>
      </c>
      <c r="AX254" s="49">
        <v>0</v>
      </c>
      <c r="AY254" s="50">
        <v>0</v>
      </c>
      <c r="AZ254" s="49">
        <v>0</v>
      </c>
      <c r="BA254" s="50">
        <v>0</v>
      </c>
      <c r="BB254" s="49">
        <v>12</v>
      </c>
      <c r="BC254" s="50">
        <v>92.3076923076923</v>
      </c>
      <c r="BD254" s="49">
        <v>13</v>
      </c>
      <c r="BE254" s="49"/>
      <c r="BF254" s="49"/>
      <c r="BG254" s="49"/>
      <c r="BH254" s="49"/>
      <c r="BI254" s="49"/>
      <c r="BJ254" s="49"/>
      <c r="BK254" s="111" t="s">
        <v>4620</v>
      </c>
      <c r="BL254" s="111" t="s">
        <v>4620</v>
      </c>
      <c r="BM254" s="111" t="s">
        <v>5094</v>
      </c>
      <c r="BN254" s="111" t="s">
        <v>5094</v>
      </c>
      <c r="BO254" s="2"/>
      <c r="BP254" s="3"/>
      <c r="BQ254" s="3"/>
      <c r="BR254" s="3"/>
      <c r="BS254" s="3"/>
    </row>
    <row r="255" spans="1:71" ht="15">
      <c r="A255" s="65" t="s">
        <v>479</v>
      </c>
      <c r="B255" s="66"/>
      <c r="C255" s="66"/>
      <c r="D255" s="67">
        <v>150</v>
      </c>
      <c r="E255" s="69"/>
      <c r="F255" s="103" t="str">
        <f>HYPERLINK("https://yt3.ggpht.com/ytc/AKedOLR0-u4fZ94pgp4pclNMTD5R_lRoIIu-baSLA2JO=s88-c-k-c0x00ffffff-no-rj")</f>
        <v>https://yt3.ggpht.com/ytc/AKedOLR0-u4fZ94pgp4pclNMTD5R_lRoIIu-baSLA2JO=s88-c-k-c0x00ffffff-no-rj</v>
      </c>
      <c r="G255" s="66"/>
      <c r="H255" s="70" t="s">
        <v>1808</v>
      </c>
      <c r="I255" s="71"/>
      <c r="J255" s="71" t="s">
        <v>159</v>
      </c>
      <c r="K255" s="70" t="s">
        <v>1808</v>
      </c>
      <c r="L255" s="74">
        <v>1</v>
      </c>
      <c r="M255" s="75">
        <v>8837.6845703125</v>
      </c>
      <c r="N255" s="75">
        <v>7763.86572265625</v>
      </c>
      <c r="O255" s="76"/>
      <c r="P255" s="77"/>
      <c r="Q255" s="77"/>
      <c r="R255" s="89"/>
      <c r="S255" s="49">
        <v>1</v>
      </c>
      <c r="T255" s="49">
        <v>1</v>
      </c>
      <c r="U255" s="50">
        <v>0</v>
      </c>
      <c r="V255" s="50">
        <v>0.002597</v>
      </c>
      <c r="W255" s="50">
        <v>0.00486</v>
      </c>
      <c r="X255" s="50">
        <v>0.526148</v>
      </c>
      <c r="Y255" s="50">
        <v>0</v>
      </c>
      <c r="Z255" s="50">
        <v>1</v>
      </c>
      <c r="AA255" s="72">
        <v>255</v>
      </c>
      <c r="AB255" s="72"/>
      <c r="AC255" s="73"/>
      <c r="AD255" s="80" t="s">
        <v>1808</v>
      </c>
      <c r="AE255" s="80" t="s">
        <v>2887</v>
      </c>
      <c r="AF255" s="80"/>
      <c r="AG255" s="80"/>
      <c r="AH255" s="80"/>
      <c r="AI255" s="80"/>
      <c r="AJ255" s="87">
        <v>41760.384780092594</v>
      </c>
      <c r="AK255" s="85" t="str">
        <f>HYPERLINK("https://yt3.ggpht.com/ytc/AKedOLR0-u4fZ94pgp4pclNMTD5R_lRoIIu-baSLA2JO=s88-c-k-c0x00ffffff-no-rj")</f>
        <v>https://yt3.ggpht.com/ytc/AKedOLR0-u4fZ94pgp4pclNMTD5R_lRoIIu-baSLA2JO=s88-c-k-c0x00ffffff-no-rj</v>
      </c>
      <c r="AL255" s="80">
        <v>3873</v>
      </c>
      <c r="AM255" s="80">
        <v>0</v>
      </c>
      <c r="AN255" s="80">
        <v>51</v>
      </c>
      <c r="AO255" s="80" t="b">
        <v>0</v>
      </c>
      <c r="AP255" s="80">
        <v>55</v>
      </c>
      <c r="AQ255" s="80"/>
      <c r="AR255" s="80"/>
      <c r="AS255" s="80" t="s">
        <v>3412</v>
      </c>
      <c r="AT255" s="85" t="str">
        <f>HYPERLINK("https://www.youtube.com/channel/UCqaw8Ft16rAr8OESBpF_4Dg")</f>
        <v>https://www.youtube.com/channel/UCqaw8Ft16rAr8OESBpF_4Dg</v>
      </c>
      <c r="AU255" s="80" t="str">
        <f>REPLACE(INDEX(GroupVertices[Group],MATCH(Vertices[[#This Row],[Vertex]],GroupVertices[Vertex],0)),1,1,"")</f>
        <v>1</v>
      </c>
      <c r="AV255" s="49">
        <v>1</v>
      </c>
      <c r="AW255" s="50">
        <v>3.7037037037037037</v>
      </c>
      <c r="AX255" s="49">
        <v>1</v>
      </c>
      <c r="AY255" s="50">
        <v>3.7037037037037037</v>
      </c>
      <c r="AZ255" s="49">
        <v>0</v>
      </c>
      <c r="BA255" s="50">
        <v>0</v>
      </c>
      <c r="BB255" s="49">
        <v>25</v>
      </c>
      <c r="BC255" s="50">
        <v>92.5925925925926</v>
      </c>
      <c r="BD255" s="49">
        <v>27</v>
      </c>
      <c r="BE255" s="49"/>
      <c r="BF255" s="49"/>
      <c r="BG255" s="49"/>
      <c r="BH255" s="49"/>
      <c r="BI255" s="49"/>
      <c r="BJ255" s="49"/>
      <c r="BK255" s="111" t="s">
        <v>4621</v>
      </c>
      <c r="BL255" s="111" t="s">
        <v>4621</v>
      </c>
      <c r="BM255" s="111" t="s">
        <v>5095</v>
      </c>
      <c r="BN255" s="111" t="s">
        <v>5095</v>
      </c>
      <c r="BO255" s="2"/>
      <c r="BP255" s="3"/>
      <c r="BQ255" s="3"/>
      <c r="BR255" s="3"/>
      <c r="BS255" s="3"/>
    </row>
    <row r="256" spans="1:71" ht="15">
      <c r="A256" s="65" t="s">
        <v>480</v>
      </c>
      <c r="B256" s="66"/>
      <c r="C256" s="66"/>
      <c r="D256" s="67">
        <v>150</v>
      </c>
      <c r="E256" s="69"/>
      <c r="F256" s="103" t="str">
        <f>HYPERLINK("https://yt3.ggpht.com/ytc/AKedOLTxmXFt7lMSVNSwE7bC4niIiod5LtZ-AnJFig=s88-c-k-c0x00ffffff-no-rj")</f>
        <v>https://yt3.ggpht.com/ytc/AKedOLTxmXFt7lMSVNSwE7bC4niIiod5LtZ-AnJFig=s88-c-k-c0x00ffffff-no-rj</v>
      </c>
      <c r="G256" s="66"/>
      <c r="H256" s="70" t="s">
        <v>1809</v>
      </c>
      <c r="I256" s="71"/>
      <c r="J256" s="71" t="s">
        <v>159</v>
      </c>
      <c r="K256" s="70" t="s">
        <v>1809</v>
      </c>
      <c r="L256" s="74">
        <v>1</v>
      </c>
      <c r="M256" s="75">
        <v>4179.1494140625</v>
      </c>
      <c r="N256" s="75">
        <v>8546.12890625</v>
      </c>
      <c r="O256" s="76"/>
      <c r="P256" s="77"/>
      <c r="Q256" s="77"/>
      <c r="R256" s="89"/>
      <c r="S256" s="49">
        <v>1</v>
      </c>
      <c r="T256" s="49">
        <v>1</v>
      </c>
      <c r="U256" s="50">
        <v>0</v>
      </c>
      <c r="V256" s="50">
        <v>0.002597</v>
      </c>
      <c r="W256" s="50">
        <v>0.00486</v>
      </c>
      <c r="X256" s="50">
        <v>0.526148</v>
      </c>
      <c r="Y256" s="50">
        <v>0</v>
      </c>
      <c r="Z256" s="50">
        <v>1</v>
      </c>
      <c r="AA256" s="72">
        <v>256</v>
      </c>
      <c r="AB256" s="72"/>
      <c r="AC256" s="73"/>
      <c r="AD256" s="80" t="s">
        <v>1809</v>
      </c>
      <c r="AE256" s="80"/>
      <c r="AF256" s="80"/>
      <c r="AG256" s="80"/>
      <c r="AH256" s="80"/>
      <c r="AI256" s="80"/>
      <c r="AJ256" s="80" t="s">
        <v>3243</v>
      </c>
      <c r="AK256" s="85" t="str">
        <f>HYPERLINK("https://yt3.ggpht.com/ytc/AKedOLTxmXFt7lMSVNSwE7bC4niIiod5LtZ-AnJFig=s88-c-k-c0x00ffffff-no-rj")</f>
        <v>https://yt3.ggpht.com/ytc/AKedOLTxmXFt7lMSVNSwE7bC4niIiod5LtZ-AnJFig=s88-c-k-c0x00ffffff-no-rj</v>
      </c>
      <c r="AL256" s="80">
        <v>0</v>
      </c>
      <c r="AM256" s="80">
        <v>0</v>
      </c>
      <c r="AN256" s="80">
        <v>1</v>
      </c>
      <c r="AO256" s="80" t="b">
        <v>0</v>
      </c>
      <c r="AP256" s="80">
        <v>0</v>
      </c>
      <c r="AQ256" s="80"/>
      <c r="AR256" s="80"/>
      <c r="AS256" s="80" t="s">
        <v>3412</v>
      </c>
      <c r="AT256" s="85" t="str">
        <f>HYPERLINK("https://www.youtube.com/channel/UCNJnrAsipP1-DQsCeO9U4SA")</f>
        <v>https://www.youtube.com/channel/UCNJnrAsipP1-DQsCeO9U4SA</v>
      </c>
      <c r="AU256" s="80" t="str">
        <f>REPLACE(INDEX(GroupVertices[Group],MATCH(Vertices[[#This Row],[Vertex]],GroupVertices[Vertex],0)),1,1,"")</f>
        <v>1</v>
      </c>
      <c r="AV256" s="49">
        <v>4</v>
      </c>
      <c r="AW256" s="50">
        <v>28.571428571428573</v>
      </c>
      <c r="AX256" s="49">
        <v>0</v>
      </c>
      <c r="AY256" s="50">
        <v>0</v>
      </c>
      <c r="AZ256" s="49">
        <v>0</v>
      </c>
      <c r="BA256" s="50">
        <v>0</v>
      </c>
      <c r="BB256" s="49">
        <v>10</v>
      </c>
      <c r="BC256" s="50">
        <v>71.42857142857143</v>
      </c>
      <c r="BD256" s="49">
        <v>14</v>
      </c>
      <c r="BE256" s="49"/>
      <c r="BF256" s="49"/>
      <c r="BG256" s="49"/>
      <c r="BH256" s="49"/>
      <c r="BI256" s="49"/>
      <c r="BJ256" s="49"/>
      <c r="BK256" s="111" t="s">
        <v>4622</v>
      </c>
      <c r="BL256" s="111" t="s">
        <v>4622</v>
      </c>
      <c r="BM256" s="111" t="s">
        <v>5096</v>
      </c>
      <c r="BN256" s="111" t="s">
        <v>5096</v>
      </c>
      <c r="BO256" s="2"/>
      <c r="BP256" s="3"/>
      <c r="BQ256" s="3"/>
      <c r="BR256" s="3"/>
      <c r="BS256" s="3"/>
    </row>
    <row r="257" spans="1:71" ht="15">
      <c r="A257" s="65" t="s">
        <v>481</v>
      </c>
      <c r="B257" s="66"/>
      <c r="C257" s="66"/>
      <c r="D257" s="67">
        <v>150</v>
      </c>
      <c r="E257" s="69"/>
      <c r="F257" s="103" t="str">
        <f>HYPERLINK("https://yt3.ggpht.com/ytc/AKedOLQtt7EtN3UMfyBWgb9ohXo2hTuoNgzf22020MxAoQ=s88-c-k-c0x00ffffff-no-rj")</f>
        <v>https://yt3.ggpht.com/ytc/AKedOLQtt7EtN3UMfyBWgb9ohXo2hTuoNgzf22020MxAoQ=s88-c-k-c0x00ffffff-no-rj</v>
      </c>
      <c r="G257" s="66"/>
      <c r="H257" s="70" t="s">
        <v>1810</v>
      </c>
      <c r="I257" s="71"/>
      <c r="J257" s="71" t="s">
        <v>159</v>
      </c>
      <c r="K257" s="70" t="s">
        <v>1810</v>
      </c>
      <c r="L257" s="74">
        <v>1</v>
      </c>
      <c r="M257" s="75">
        <v>6064.43212890625</v>
      </c>
      <c r="N257" s="75">
        <v>8199.8212890625</v>
      </c>
      <c r="O257" s="76"/>
      <c r="P257" s="77"/>
      <c r="Q257" s="77"/>
      <c r="R257" s="89"/>
      <c r="S257" s="49">
        <v>1</v>
      </c>
      <c r="T257" s="49">
        <v>1</v>
      </c>
      <c r="U257" s="50">
        <v>0</v>
      </c>
      <c r="V257" s="50">
        <v>0.002597</v>
      </c>
      <c r="W257" s="50">
        <v>0.00486</v>
      </c>
      <c r="X257" s="50">
        <v>0.526148</v>
      </c>
      <c r="Y257" s="50">
        <v>0</v>
      </c>
      <c r="Z257" s="50">
        <v>1</v>
      </c>
      <c r="AA257" s="72">
        <v>257</v>
      </c>
      <c r="AB257" s="72"/>
      <c r="AC257" s="73"/>
      <c r="AD257" s="80" t="s">
        <v>1810</v>
      </c>
      <c r="AE257" s="80"/>
      <c r="AF257" s="80"/>
      <c r="AG257" s="80"/>
      <c r="AH257" s="80"/>
      <c r="AI257" s="80"/>
      <c r="AJ257" s="80" t="s">
        <v>3244</v>
      </c>
      <c r="AK257" s="85" t="str">
        <f>HYPERLINK("https://yt3.ggpht.com/ytc/AKedOLQtt7EtN3UMfyBWgb9ohXo2hTuoNgzf22020MxAoQ=s88-c-k-c0x00ffffff-no-rj")</f>
        <v>https://yt3.ggpht.com/ytc/AKedOLQtt7EtN3UMfyBWgb9ohXo2hTuoNgzf22020MxAoQ=s88-c-k-c0x00ffffff-no-rj</v>
      </c>
      <c r="AL257" s="80">
        <v>0</v>
      </c>
      <c r="AM257" s="80">
        <v>0</v>
      </c>
      <c r="AN257" s="80">
        <v>0</v>
      </c>
      <c r="AO257" s="80" t="b">
        <v>0</v>
      </c>
      <c r="AP257" s="80">
        <v>0</v>
      </c>
      <c r="AQ257" s="80"/>
      <c r="AR257" s="80"/>
      <c r="AS257" s="80" t="s">
        <v>3412</v>
      </c>
      <c r="AT257" s="85" t="str">
        <f>HYPERLINK("https://www.youtube.com/channel/UCGZJXZa-S_f5CZgkGMDpU6Q")</f>
        <v>https://www.youtube.com/channel/UCGZJXZa-S_f5CZgkGMDpU6Q</v>
      </c>
      <c r="AU257" s="80" t="str">
        <f>REPLACE(INDEX(GroupVertices[Group],MATCH(Vertices[[#This Row],[Vertex]],GroupVertices[Vertex],0)),1,1,"")</f>
        <v>1</v>
      </c>
      <c r="AV257" s="49">
        <v>4</v>
      </c>
      <c r="AW257" s="50">
        <v>11.428571428571429</v>
      </c>
      <c r="AX257" s="49">
        <v>0</v>
      </c>
      <c r="AY257" s="50">
        <v>0</v>
      </c>
      <c r="AZ257" s="49">
        <v>0</v>
      </c>
      <c r="BA257" s="50">
        <v>0</v>
      </c>
      <c r="BB257" s="49">
        <v>31</v>
      </c>
      <c r="BC257" s="50">
        <v>88.57142857142857</v>
      </c>
      <c r="BD257" s="49">
        <v>35</v>
      </c>
      <c r="BE257" s="49"/>
      <c r="BF257" s="49"/>
      <c r="BG257" s="49"/>
      <c r="BH257" s="49"/>
      <c r="BI257" s="49"/>
      <c r="BJ257" s="49"/>
      <c r="BK257" s="111" t="s">
        <v>4623</v>
      </c>
      <c r="BL257" s="111" t="s">
        <v>4623</v>
      </c>
      <c r="BM257" s="111" t="s">
        <v>5097</v>
      </c>
      <c r="BN257" s="111" t="s">
        <v>5097</v>
      </c>
      <c r="BO257" s="2"/>
      <c r="BP257" s="3"/>
      <c r="BQ257" s="3"/>
      <c r="BR257" s="3"/>
      <c r="BS257" s="3"/>
    </row>
    <row r="258" spans="1:71" ht="15">
      <c r="A258" s="65" t="s">
        <v>482</v>
      </c>
      <c r="B258" s="66"/>
      <c r="C258" s="66"/>
      <c r="D258" s="67">
        <v>150</v>
      </c>
      <c r="E258" s="69"/>
      <c r="F258" s="103" t="str">
        <f>HYPERLINK("https://yt3.ggpht.com/ytc/AKedOLRkyd717FgxpS0USk4mc7oXBTkCTzmskdgQhVWlhg=s88-c-k-c0x00ffffff-no-rj")</f>
        <v>https://yt3.ggpht.com/ytc/AKedOLRkyd717FgxpS0USk4mc7oXBTkCTzmskdgQhVWlhg=s88-c-k-c0x00ffffff-no-rj</v>
      </c>
      <c r="G258" s="66"/>
      <c r="H258" s="70" t="s">
        <v>1811</v>
      </c>
      <c r="I258" s="71"/>
      <c r="J258" s="71" t="s">
        <v>159</v>
      </c>
      <c r="K258" s="70" t="s">
        <v>1811</v>
      </c>
      <c r="L258" s="74">
        <v>1</v>
      </c>
      <c r="M258" s="75">
        <v>8124.45556640625</v>
      </c>
      <c r="N258" s="75">
        <v>8491.689453125</v>
      </c>
      <c r="O258" s="76"/>
      <c r="P258" s="77"/>
      <c r="Q258" s="77"/>
      <c r="R258" s="89"/>
      <c r="S258" s="49">
        <v>0</v>
      </c>
      <c r="T258" s="49">
        <v>1</v>
      </c>
      <c r="U258" s="50">
        <v>0</v>
      </c>
      <c r="V258" s="50">
        <v>0.002597</v>
      </c>
      <c r="W258" s="50">
        <v>0.00486</v>
      </c>
      <c r="X258" s="50">
        <v>0.526148</v>
      </c>
      <c r="Y258" s="50">
        <v>0</v>
      </c>
      <c r="Z258" s="50">
        <v>0</v>
      </c>
      <c r="AA258" s="72">
        <v>258</v>
      </c>
      <c r="AB258" s="72"/>
      <c r="AC258" s="73"/>
      <c r="AD258" s="80" t="s">
        <v>1811</v>
      </c>
      <c r="AE258" s="80"/>
      <c r="AF258" s="80"/>
      <c r="AG258" s="80"/>
      <c r="AH258" s="80"/>
      <c r="AI258" s="80"/>
      <c r="AJ258" s="87">
        <v>42252.76761574074</v>
      </c>
      <c r="AK258" s="85" t="str">
        <f>HYPERLINK("https://yt3.ggpht.com/ytc/AKedOLRkyd717FgxpS0USk4mc7oXBTkCTzmskdgQhVWlhg=s88-c-k-c0x00ffffff-no-rj")</f>
        <v>https://yt3.ggpht.com/ytc/AKedOLRkyd717FgxpS0USk4mc7oXBTkCTzmskdgQhVWlhg=s88-c-k-c0x00ffffff-no-rj</v>
      </c>
      <c r="AL258" s="80">
        <v>0</v>
      </c>
      <c r="AM258" s="80">
        <v>0</v>
      </c>
      <c r="AN258" s="80">
        <v>3</v>
      </c>
      <c r="AO258" s="80" t="b">
        <v>0</v>
      </c>
      <c r="AP258" s="80">
        <v>0</v>
      </c>
      <c r="AQ258" s="80"/>
      <c r="AR258" s="80"/>
      <c r="AS258" s="80" t="s">
        <v>3412</v>
      </c>
      <c r="AT258" s="85" t="str">
        <f>HYPERLINK("https://www.youtube.com/channel/UCUg8hBVHY4N2X2f859AA-5Q")</f>
        <v>https://www.youtube.com/channel/UCUg8hBVHY4N2X2f859AA-5Q</v>
      </c>
      <c r="AU258" s="80" t="str">
        <f>REPLACE(INDEX(GroupVertices[Group],MATCH(Vertices[[#This Row],[Vertex]],GroupVertices[Vertex],0)),1,1,"")</f>
        <v>1</v>
      </c>
      <c r="AV258" s="49">
        <v>2</v>
      </c>
      <c r="AW258" s="50">
        <v>7.6923076923076925</v>
      </c>
      <c r="AX258" s="49">
        <v>0</v>
      </c>
      <c r="AY258" s="50">
        <v>0</v>
      </c>
      <c r="AZ258" s="49">
        <v>0</v>
      </c>
      <c r="BA258" s="50">
        <v>0</v>
      </c>
      <c r="BB258" s="49">
        <v>24</v>
      </c>
      <c r="BC258" s="50">
        <v>92.3076923076923</v>
      </c>
      <c r="BD258" s="49">
        <v>26</v>
      </c>
      <c r="BE258" s="49"/>
      <c r="BF258" s="49"/>
      <c r="BG258" s="49"/>
      <c r="BH258" s="49"/>
      <c r="BI258" s="49"/>
      <c r="BJ258" s="49"/>
      <c r="BK258" s="111" t="s">
        <v>4624</v>
      </c>
      <c r="BL258" s="111" t="s">
        <v>4624</v>
      </c>
      <c r="BM258" s="111" t="s">
        <v>5098</v>
      </c>
      <c r="BN258" s="111" t="s">
        <v>5098</v>
      </c>
      <c r="BO258" s="2"/>
      <c r="BP258" s="3"/>
      <c r="BQ258" s="3"/>
      <c r="BR258" s="3"/>
      <c r="BS258" s="3"/>
    </row>
    <row r="259" spans="1:71" ht="15">
      <c r="A259" s="65" t="s">
        <v>483</v>
      </c>
      <c r="B259" s="66"/>
      <c r="C259" s="66"/>
      <c r="D259" s="67">
        <v>150</v>
      </c>
      <c r="E259" s="69"/>
      <c r="F259" s="103" t="str">
        <f>HYPERLINK("https://yt3.ggpht.com/ytc/AKedOLQxjIPXosDGdqmRxjIQRPiD1U2PPZoeaPzK-w=s88-c-k-c0x00ffffff-no-rj")</f>
        <v>https://yt3.ggpht.com/ytc/AKedOLQxjIPXosDGdqmRxjIQRPiD1U2PPZoeaPzK-w=s88-c-k-c0x00ffffff-no-rj</v>
      </c>
      <c r="G259" s="66"/>
      <c r="H259" s="70" t="s">
        <v>1812</v>
      </c>
      <c r="I259" s="71"/>
      <c r="J259" s="71" t="s">
        <v>159</v>
      </c>
      <c r="K259" s="70" t="s">
        <v>1812</v>
      </c>
      <c r="L259" s="74">
        <v>1</v>
      </c>
      <c r="M259" s="75">
        <v>5918.73388671875</v>
      </c>
      <c r="N259" s="75">
        <v>8723.037109375</v>
      </c>
      <c r="O259" s="76"/>
      <c r="P259" s="77"/>
      <c r="Q259" s="77"/>
      <c r="R259" s="89"/>
      <c r="S259" s="49">
        <v>0</v>
      </c>
      <c r="T259" s="49">
        <v>1</v>
      </c>
      <c r="U259" s="50">
        <v>0</v>
      </c>
      <c r="V259" s="50">
        <v>0.002597</v>
      </c>
      <c r="W259" s="50">
        <v>0.00486</v>
      </c>
      <c r="X259" s="50">
        <v>0.526148</v>
      </c>
      <c r="Y259" s="50">
        <v>0</v>
      </c>
      <c r="Z259" s="50">
        <v>0</v>
      </c>
      <c r="AA259" s="72">
        <v>259</v>
      </c>
      <c r="AB259" s="72"/>
      <c r="AC259" s="73"/>
      <c r="AD259" s="80" t="s">
        <v>1812</v>
      </c>
      <c r="AE259" s="80"/>
      <c r="AF259" s="80"/>
      <c r="AG259" s="80"/>
      <c r="AH259" s="80"/>
      <c r="AI259" s="80"/>
      <c r="AJ259" s="80" t="s">
        <v>3245</v>
      </c>
      <c r="AK259" s="85" t="str">
        <f>HYPERLINK("https://yt3.ggpht.com/ytc/AKedOLQxjIPXosDGdqmRxjIQRPiD1U2PPZoeaPzK-w=s88-c-k-c0x00ffffff-no-rj")</f>
        <v>https://yt3.ggpht.com/ytc/AKedOLQxjIPXosDGdqmRxjIQRPiD1U2PPZoeaPzK-w=s88-c-k-c0x00ffffff-no-rj</v>
      </c>
      <c r="AL259" s="80">
        <v>0</v>
      </c>
      <c r="AM259" s="80">
        <v>0</v>
      </c>
      <c r="AN259" s="80">
        <v>0</v>
      </c>
      <c r="AO259" s="80" t="b">
        <v>0</v>
      </c>
      <c r="AP259" s="80">
        <v>0</v>
      </c>
      <c r="AQ259" s="80"/>
      <c r="AR259" s="80"/>
      <c r="AS259" s="80" t="s">
        <v>3412</v>
      </c>
      <c r="AT259" s="85" t="str">
        <f>HYPERLINK("https://www.youtube.com/channel/UCXFP5f4JprzOQrvzciTAuGw")</f>
        <v>https://www.youtube.com/channel/UCXFP5f4JprzOQrvzciTAuGw</v>
      </c>
      <c r="AU259" s="80" t="str">
        <f>REPLACE(INDEX(GroupVertices[Group],MATCH(Vertices[[#This Row],[Vertex]],GroupVertices[Vertex],0)),1,1,"")</f>
        <v>1</v>
      </c>
      <c r="AV259" s="49">
        <v>4</v>
      </c>
      <c r="AW259" s="50">
        <v>14.285714285714286</v>
      </c>
      <c r="AX259" s="49">
        <v>0</v>
      </c>
      <c r="AY259" s="50">
        <v>0</v>
      </c>
      <c r="AZ259" s="49">
        <v>0</v>
      </c>
      <c r="BA259" s="50">
        <v>0</v>
      </c>
      <c r="BB259" s="49">
        <v>24</v>
      </c>
      <c r="BC259" s="50">
        <v>85.71428571428571</v>
      </c>
      <c r="BD259" s="49">
        <v>28</v>
      </c>
      <c r="BE259" s="49"/>
      <c r="BF259" s="49"/>
      <c r="BG259" s="49"/>
      <c r="BH259" s="49"/>
      <c r="BI259" s="49"/>
      <c r="BJ259" s="49"/>
      <c r="BK259" s="111" t="s">
        <v>4625</v>
      </c>
      <c r="BL259" s="111" t="s">
        <v>4625</v>
      </c>
      <c r="BM259" s="111" t="s">
        <v>5099</v>
      </c>
      <c r="BN259" s="111" t="s">
        <v>5099</v>
      </c>
      <c r="BO259" s="2"/>
      <c r="BP259" s="3"/>
      <c r="BQ259" s="3"/>
      <c r="BR259" s="3"/>
      <c r="BS259" s="3"/>
    </row>
    <row r="260" spans="1:71" ht="15">
      <c r="A260" s="65" t="s">
        <v>484</v>
      </c>
      <c r="B260" s="66"/>
      <c r="C260" s="66"/>
      <c r="D260" s="67">
        <v>150</v>
      </c>
      <c r="E260" s="69"/>
      <c r="F260" s="103" t="str">
        <f>HYPERLINK("https://yt3.ggpht.com/ytc/AKedOLSdlvj1fyQIMg1xF0gXYi1Nz98IlMkJkZ5Mxqcljg=s88-c-k-c0x00ffffff-no-rj")</f>
        <v>https://yt3.ggpht.com/ytc/AKedOLSdlvj1fyQIMg1xF0gXYi1Nz98IlMkJkZ5Mxqcljg=s88-c-k-c0x00ffffff-no-rj</v>
      </c>
      <c r="G260" s="66"/>
      <c r="H260" s="70" t="s">
        <v>1813</v>
      </c>
      <c r="I260" s="71"/>
      <c r="J260" s="71" t="s">
        <v>159</v>
      </c>
      <c r="K260" s="70" t="s">
        <v>1813</v>
      </c>
      <c r="L260" s="74">
        <v>1</v>
      </c>
      <c r="M260" s="75">
        <v>4399.30419921875</v>
      </c>
      <c r="N260" s="75">
        <v>8368.572265625</v>
      </c>
      <c r="O260" s="76"/>
      <c r="P260" s="77"/>
      <c r="Q260" s="77"/>
      <c r="R260" s="89"/>
      <c r="S260" s="49">
        <v>0</v>
      </c>
      <c r="T260" s="49">
        <v>1</v>
      </c>
      <c r="U260" s="50">
        <v>0</v>
      </c>
      <c r="V260" s="50">
        <v>0.002597</v>
      </c>
      <c r="W260" s="50">
        <v>0.00486</v>
      </c>
      <c r="X260" s="50">
        <v>0.526148</v>
      </c>
      <c r="Y260" s="50">
        <v>0</v>
      </c>
      <c r="Z260" s="50">
        <v>0</v>
      </c>
      <c r="AA260" s="72">
        <v>260</v>
      </c>
      <c r="AB260" s="72"/>
      <c r="AC260" s="73"/>
      <c r="AD260" s="80" t="s">
        <v>1813</v>
      </c>
      <c r="AE260" s="80"/>
      <c r="AF260" s="80"/>
      <c r="AG260" s="80"/>
      <c r="AH260" s="80"/>
      <c r="AI260" s="80"/>
      <c r="AJ260" s="80" t="s">
        <v>3246</v>
      </c>
      <c r="AK260" s="85" t="str">
        <f>HYPERLINK("https://yt3.ggpht.com/ytc/AKedOLSdlvj1fyQIMg1xF0gXYi1Nz98IlMkJkZ5Mxqcljg=s88-c-k-c0x00ffffff-no-rj")</f>
        <v>https://yt3.ggpht.com/ytc/AKedOLSdlvj1fyQIMg1xF0gXYi1Nz98IlMkJkZ5Mxqcljg=s88-c-k-c0x00ffffff-no-rj</v>
      </c>
      <c r="AL260" s="80">
        <v>0</v>
      </c>
      <c r="AM260" s="80">
        <v>0</v>
      </c>
      <c r="AN260" s="80">
        <v>0</v>
      </c>
      <c r="AO260" s="80" t="b">
        <v>0</v>
      </c>
      <c r="AP260" s="80">
        <v>0</v>
      </c>
      <c r="AQ260" s="80"/>
      <c r="AR260" s="80"/>
      <c r="AS260" s="80" t="s">
        <v>3412</v>
      </c>
      <c r="AT260" s="85" t="str">
        <f>HYPERLINK("https://www.youtube.com/channel/UCZxOj1AIgTdqXkAESHgBxHQ")</f>
        <v>https://www.youtube.com/channel/UCZxOj1AIgTdqXkAESHgBxHQ</v>
      </c>
      <c r="AU260" s="80" t="str">
        <f>REPLACE(INDEX(GroupVertices[Group],MATCH(Vertices[[#This Row],[Vertex]],GroupVertices[Vertex],0)),1,1,"")</f>
        <v>1</v>
      </c>
      <c r="AV260" s="49">
        <v>2</v>
      </c>
      <c r="AW260" s="50">
        <v>28.571428571428573</v>
      </c>
      <c r="AX260" s="49">
        <v>0</v>
      </c>
      <c r="AY260" s="50">
        <v>0</v>
      </c>
      <c r="AZ260" s="49">
        <v>0</v>
      </c>
      <c r="BA260" s="50">
        <v>0</v>
      </c>
      <c r="BB260" s="49">
        <v>5</v>
      </c>
      <c r="BC260" s="50">
        <v>71.42857142857143</v>
      </c>
      <c r="BD260" s="49">
        <v>7</v>
      </c>
      <c r="BE260" s="49"/>
      <c r="BF260" s="49"/>
      <c r="BG260" s="49"/>
      <c r="BH260" s="49"/>
      <c r="BI260" s="49"/>
      <c r="BJ260" s="49"/>
      <c r="BK260" s="111" t="s">
        <v>4626</v>
      </c>
      <c r="BL260" s="111" t="s">
        <v>4626</v>
      </c>
      <c r="BM260" s="111" t="s">
        <v>5100</v>
      </c>
      <c r="BN260" s="111" t="s">
        <v>5100</v>
      </c>
      <c r="BO260" s="2"/>
      <c r="BP260" s="3"/>
      <c r="BQ260" s="3"/>
      <c r="BR260" s="3"/>
      <c r="BS260" s="3"/>
    </row>
    <row r="261" spans="1:71" ht="15">
      <c r="A261" s="65" t="s">
        <v>485</v>
      </c>
      <c r="B261" s="66"/>
      <c r="C261" s="66"/>
      <c r="D261" s="67">
        <v>150</v>
      </c>
      <c r="E261" s="69"/>
      <c r="F261" s="103" t="str">
        <f>HYPERLINK("https://yt3.ggpht.com/ytc/AKedOLTfqvHwNx2TAjQcwZfUSIXR-FZMUbdUquAKIw=s88-c-k-c0x00ffffff-no-rj")</f>
        <v>https://yt3.ggpht.com/ytc/AKedOLTfqvHwNx2TAjQcwZfUSIXR-FZMUbdUquAKIw=s88-c-k-c0x00ffffff-no-rj</v>
      </c>
      <c r="G261" s="66"/>
      <c r="H261" s="70" t="s">
        <v>1814</v>
      </c>
      <c r="I261" s="71"/>
      <c r="J261" s="71" t="s">
        <v>159</v>
      </c>
      <c r="K261" s="70" t="s">
        <v>1814</v>
      </c>
      <c r="L261" s="74">
        <v>1</v>
      </c>
      <c r="M261" s="75">
        <v>8391.55859375</v>
      </c>
      <c r="N261" s="75">
        <v>7499.18310546875</v>
      </c>
      <c r="O261" s="76"/>
      <c r="P261" s="77"/>
      <c r="Q261" s="77"/>
      <c r="R261" s="89"/>
      <c r="S261" s="49">
        <v>1</v>
      </c>
      <c r="T261" s="49">
        <v>1</v>
      </c>
      <c r="U261" s="50">
        <v>0</v>
      </c>
      <c r="V261" s="50">
        <v>0.002597</v>
      </c>
      <c r="W261" s="50">
        <v>0.00486</v>
      </c>
      <c r="X261" s="50">
        <v>0.526148</v>
      </c>
      <c r="Y261" s="50">
        <v>0</v>
      </c>
      <c r="Z261" s="50">
        <v>1</v>
      </c>
      <c r="AA261" s="72">
        <v>261</v>
      </c>
      <c r="AB261" s="72"/>
      <c r="AC261" s="73"/>
      <c r="AD261" s="80" t="s">
        <v>1814</v>
      </c>
      <c r="AE261" s="80"/>
      <c r="AF261" s="80"/>
      <c r="AG261" s="80"/>
      <c r="AH261" s="80"/>
      <c r="AI261" s="80"/>
      <c r="AJ261" s="80" t="s">
        <v>3247</v>
      </c>
      <c r="AK261" s="85" t="str">
        <f>HYPERLINK("https://yt3.ggpht.com/ytc/AKedOLTfqvHwNx2TAjQcwZfUSIXR-FZMUbdUquAKIw=s88-c-k-c0x00ffffff-no-rj")</f>
        <v>https://yt3.ggpht.com/ytc/AKedOLTfqvHwNx2TAjQcwZfUSIXR-FZMUbdUquAKIw=s88-c-k-c0x00ffffff-no-rj</v>
      </c>
      <c r="AL261" s="80">
        <v>0</v>
      </c>
      <c r="AM261" s="80">
        <v>0</v>
      </c>
      <c r="AN261" s="80">
        <v>0</v>
      </c>
      <c r="AO261" s="80" t="b">
        <v>0</v>
      </c>
      <c r="AP261" s="80">
        <v>0</v>
      </c>
      <c r="AQ261" s="80"/>
      <c r="AR261" s="80"/>
      <c r="AS261" s="80" t="s">
        <v>3412</v>
      </c>
      <c r="AT261" s="85" t="str">
        <f>HYPERLINK("https://www.youtube.com/channel/UCaIn892iPqdSFSzgkJR95sA")</f>
        <v>https://www.youtube.com/channel/UCaIn892iPqdSFSzgkJR95sA</v>
      </c>
      <c r="AU261" s="80" t="str">
        <f>REPLACE(INDEX(GroupVertices[Group],MATCH(Vertices[[#This Row],[Vertex]],GroupVertices[Vertex],0)),1,1,"")</f>
        <v>1</v>
      </c>
      <c r="AV261" s="49">
        <v>1</v>
      </c>
      <c r="AW261" s="50">
        <v>10</v>
      </c>
      <c r="AX261" s="49">
        <v>0</v>
      </c>
      <c r="AY261" s="50">
        <v>0</v>
      </c>
      <c r="AZ261" s="49">
        <v>0</v>
      </c>
      <c r="BA261" s="50">
        <v>0</v>
      </c>
      <c r="BB261" s="49">
        <v>9</v>
      </c>
      <c r="BC261" s="50">
        <v>90</v>
      </c>
      <c r="BD261" s="49">
        <v>10</v>
      </c>
      <c r="BE261" s="49"/>
      <c r="BF261" s="49"/>
      <c r="BG261" s="49"/>
      <c r="BH261" s="49"/>
      <c r="BI261" s="49"/>
      <c r="BJ261" s="49"/>
      <c r="BK261" s="111" t="s">
        <v>4627</v>
      </c>
      <c r="BL261" s="111" t="s">
        <v>4627</v>
      </c>
      <c r="BM261" s="111" t="s">
        <v>5101</v>
      </c>
      <c r="BN261" s="111" t="s">
        <v>5101</v>
      </c>
      <c r="BO261" s="2"/>
      <c r="BP261" s="3"/>
      <c r="BQ261" s="3"/>
      <c r="BR261" s="3"/>
      <c r="BS261" s="3"/>
    </row>
    <row r="262" spans="1:71" ht="15">
      <c r="A262" s="65" t="s">
        <v>486</v>
      </c>
      <c r="B262" s="66"/>
      <c r="C262" s="66"/>
      <c r="D262" s="67">
        <v>150</v>
      </c>
      <c r="E262" s="69"/>
      <c r="F262" s="103" t="str">
        <f>HYPERLINK("https://yt3.ggpht.com/ytc/AKedOLS70peIsyspLnQcWqvcJI9DSkWR5wfTdwmy9CwZwA=s88-c-k-c0x00ffffff-no-rj")</f>
        <v>https://yt3.ggpht.com/ytc/AKedOLS70peIsyspLnQcWqvcJI9DSkWR5wfTdwmy9CwZwA=s88-c-k-c0x00ffffff-no-rj</v>
      </c>
      <c r="G262" s="66"/>
      <c r="H262" s="70" t="s">
        <v>1815</v>
      </c>
      <c r="I262" s="71"/>
      <c r="J262" s="71" t="s">
        <v>159</v>
      </c>
      <c r="K262" s="70" t="s">
        <v>1815</v>
      </c>
      <c r="L262" s="74">
        <v>1</v>
      </c>
      <c r="M262" s="75">
        <v>5357.97998046875</v>
      </c>
      <c r="N262" s="75">
        <v>8927.4833984375</v>
      </c>
      <c r="O262" s="76"/>
      <c r="P262" s="77"/>
      <c r="Q262" s="77"/>
      <c r="R262" s="89"/>
      <c r="S262" s="49">
        <v>1</v>
      </c>
      <c r="T262" s="49">
        <v>1</v>
      </c>
      <c r="U262" s="50">
        <v>0</v>
      </c>
      <c r="V262" s="50">
        <v>0.002597</v>
      </c>
      <c r="W262" s="50">
        <v>0.00486</v>
      </c>
      <c r="X262" s="50">
        <v>0.526148</v>
      </c>
      <c r="Y262" s="50">
        <v>0</v>
      </c>
      <c r="Z262" s="50">
        <v>1</v>
      </c>
      <c r="AA262" s="72">
        <v>262</v>
      </c>
      <c r="AB262" s="72"/>
      <c r="AC262" s="73"/>
      <c r="AD262" s="80" t="s">
        <v>1815</v>
      </c>
      <c r="AE262" s="80" t="s">
        <v>2888</v>
      </c>
      <c r="AF262" s="80"/>
      <c r="AG262" s="80"/>
      <c r="AH262" s="80"/>
      <c r="AI262" s="80" t="s">
        <v>3045</v>
      </c>
      <c r="AJ262" s="87">
        <v>42955.87930555556</v>
      </c>
      <c r="AK262" s="85" t="str">
        <f>HYPERLINK("https://yt3.ggpht.com/ytc/AKedOLS70peIsyspLnQcWqvcJI9DSkWR5wfTdwmy9CwZwA=s88-c-k-c0x00ffffff-no-rj")</f>
        <v>https://yt3.ggpht.com/ytc/AKedOLS70peIsyspLnQcWqvcJI9DSkWR5wfTdwmy9CwZwA=s88-c-k-c0x00ffffff-no-rj</v>
      </c>
      <c r="AL262" s="80">
        <v>209032</v>
      </c>
      <c r="AM262" s="80">
        <v>0</v>
      </c>
      <c r="AN262" s="80">
        <v>2070</v>
      </c>
      <c r="AO262" s="80" t="b">
        <v>0</v>
      </c>
      <c r="AP262" s="80">
        <v>238</v>
      </c>
      <c r="AQ262" s="80"/>
      <c r="AR262" s="80"/>
      <c r="AS262" s="80" t="s">
        <v>3412</v>
      </c>
      <c r="AT262" s="85" t="str">
        <f>HYPERLINK("https://www.youtube.com/channel/UCIAvm6sRGrMs_VAleaUaAGA")</f>
        <v>https://www.youtube.com/channel/UCIAvm6sRGrMs_VAleaUaAGA</v>
      </c>
      <c r="AU262" s="80" t="str">
        <f>REPLACE(INDEX(GroupVertices[Group],MATCH(Vertices[[#This Row],[Vertex]],GroupVertices[Vertex],0)),1,1,"")</f>
        <v>1</v>
      </c>
      <c r="AV262" s="49">
        <v>4</v>
      </c>
      <c r="AW262" s="50">
        <v>14.814814814814815</v>
      </c>
      <c r="AX262" s="49">
        <v>0</v>
      </c>
      <c r="AY262" s="50">
        <v>0</v>
      </c>
      <c r="AZ262" s="49">
        <v>0</v>
      </c>
      <c r="BA262" s="50">
        <v>0</v>
      </c>
      <c r="BB262" s="49">
        <v>23</v>
      </c>
      <c r="BC262" s="50">
        <v>85.18518518518519</v>
      </c>
      <c r="BD262" s="49">
        <v>27</v>
      </c>
      <c r="BE262" s="49"/>
      <c r="BF262" s="49"/>
      <c r="BG262" s="49"/>
      <c r="BH262" s="49"/>
      <c r="BI262" s="49"/>
      <c r="BJ262" s="49"/>
      <c r="BK262" s="111" t="s">
        <v>4628</v>
      </c>
      <c r="BL262" s="111" t="s">
        <v>4628</v>
      </c>
      <c r="BM262" s="111" t="s">
        <v>5102</v>
      </c>
      <c r="BN262" s="111" t="s">
        <v>5102</v>
      </c>
      <c r="BO262" s="2"/>
      <c r="BP262" s="3"/>
      <c r="BQ262" s="3"/>
      <c r="BR262" s="3"/>
      <c r="BS262" s="3"/>
    </row>
    <row r="263" spans="1:71" ht="15">
      <c r="A263" s="65" t="s">
        <v>487</v>
      </c>
      <c r="B263" s="66"/>
      <c r="C263" s="66"/>
      <c r="D263" s="67">
        <v>150</v>
      </c>
      <c r="E263" s="69"/>
      <c r="F263" s="103" t="str">
        <f>HYPERLINK("https://yt3.ggpht.com/ytc/AKedOLQ4NqjmiO6QZcMmPRIvDX73STu_JsbhPq__iK-A9aA=s88-c-k-c0x00ffffff-no-rj")</f>
        <v>https://yt3.ggpht.com/ytc/AKedOLQ4NqjmiO6QZcMmPRIvDX73STu_JsbhPq__iK-A9aA=s88-c-k-c0x00ffffff-no-rj</v>
      </c>
      <c r="G263" s="66"/>
      <c r="H263" s="70" t="s">
        <v>1816</v>
      </c>
      <c r="I263" s="71"/>
      <c r="J263" s="71" t="s">
        <v>159</v>
      </c>
      <c r="K263" s="70" t="s">
        <v>1816</v>
      </c>
      <c r="L263" s="74">
        <v>1</v>
      </c>
      <c r="M263" s="75">
        <v>3368.22607421875</v>
      </c>
      <c r="N263" s="75">
        <v>9050.0224609375</v>
      </c>
      <c r="O263" s="76"/>
      <c r="P263" s="77"/>
      <c r="Q263" s="77"/>
      <c r="R263" s="89"/>
      <c r="S263" s="49">
        <v>0</v>
      </c>
      <c r="T263" s="49">
        <v>1</v>
      </c>
      <c r="U263" s="50">
        <v>0</v>
      </c>
      <c r="V263" s="50">
        <v>0.002597</v>
      </c>
      <c r="W263" s="50">
        <v>0.00486</v>
      </c>
      <c r="X263" s="50">
        <v>0.526148</v>
      </c>
      <c r="Y263" s="50">
        <v>0</v>
      </c>
      <c r="Z263" s="50">
        <v>0</v>
      </c>
      <c r="AA263" s="72">
        <v>263</v>
      </c>
      <c r="AB263" s="72"/>
      <c r="AC263" s="73"/>
      <c r="AD263" s="80" t="s">
        <v>1816</v>
      </c>
      <c r="AE263" s="80"/>
      <c r="AF263" s="80"/>
      <c r="AG263" s="80"/>
      <c r="AH263" s="80"/>
      <c r="AI263" s="80"/>
      <c r="AJ263" s="87">
        <v>39570.66869212963</v>
      </c>
      <c r="AK263" s="85" t="str">
        <f>HYPERLINK("https://yt3.ggpht.com/ytc/AKedOLQ4NqjmiO6QZcMmPRIvDX73STu_JsbhPq__iK-A9aA=s88-c-k-c0x00ffffff-no-rj")</f>
        <v>https://yt3.ggpht.com/ytc/AKedOLQ4NqjmiO6QZcMmPRIvDX73STu_JsbhPq__iK-A9aA=s88-c-k-c0x00ffffff-no-rj</v>
      </c>
      <c r="AL263" s="80">
        <v>0</v>
      </c>
      <c r="AM263" s="80">
        <v>0</v>
      </c>
      <c r="AN263" s="80">
        <v>123</v>
      </c>
      <c r="AO263" s="80" t="b">
        <v>0</v>
      </c>
      <c r="AP263" s="80">
        <v>0</v>
      </c>
      <c r="AQ263" s="80"/>
      <c r="AR263" s="80"/>
      <c r="AS263" s="80" t="s">
        <v>3412</v>
      </c>
      <c r="AT263" s="85" t="str">
        <f>HYPERLINK("https://www.youtube.com/channel/UCxh7z3TW1pLMmTZZDrhHIYg")</f>
        <v>https://www.youtube.com/channel/UCxh7z3TW1pLMmTZZDrhHIYg</v>
      </c>
      <c r="AU263" s="80" t="str">
        <f>REPLACE(INDEX(GroupVertices[Group],MATCH(Vertices[[#This Row],[Vertex]],GroupVertices[Vertex],0)),1,1,"")</f>
        <v>1</v>
      </c>
      <c r="AV263" s="49">
        <v>3</v>
      </c>
      <c r="AW263" s="50">
        <v>14.285714285714286</v>
      </c>
      <c r="AX263" s="49">
        <v>0</v>
      </c>
      <c r="AY263" s="50">
        <v>0</v>
      </c>
      <c r="AZ263" s="49">
        <v>0</v>
      </c>
      <c r="BA263" s="50">
        <v>0</v>
      </c>
      <c r="BB263" s="49">
        <v>18</v>
      </c>
      <c r="BC263" s="50">
        <v>85.71428571428571</v>
      </c>
      <c r="BD263" s="49">
        <v>21</v>
      </c>
      <c r="BE263" s="49"/>
      <c r="BF263" s="49"/>
      <c r="BG263" s="49"/>
      <c r="BH263" s="49"/>
      <c r="BI263" s="49"/>
      <c r="BJ263" s="49"/>
      <c r="BK263" s="111" t="s">
        <v>4629</v>
      </c>
      <c r="BL263" s="111" t="s">
        <v>4629</v>
      </c>
      <c r="BM263" s="111" t="s">
        <v>5103</v>
      </c>
      <c r="BN263" s="111" t="s">
        <v>5103</v>
      </c>
      <c r="BO263" s="2"/>
      <c r="BP263" s="3"/>
      <c r="BQ263" s="3"/>
      <c r="BR263" s="3"/>
      <c r="BS263" s="3"/>
    </row>
    <row r="264" spans="1:71" ht="15">
      <c r="A264" s="65" t="s">
        <v>488</v>
      </c>
      <c r="B264" s="66"/>
      <c r="C264" s="66"/>
      <c r="D264" s="67">
        <v>150</v>
      </c>
      <c r="E264" s="69"/>
      <c r="F264" s="103" t="str">
        <f>HYPERLINK("https://yt3.ggpht.com/ytc/AKedOLRdhbBmdZD9gy5PyfpNc74G4XHazGrX9tlxy6VGmA=s88-c-k-c0x00ffffff-no-rj")</f>
        <v>https://yt3.ggpht.com/ytc/AKedOLRdhbBmdZD9gy5PyfpNc74G4XHazGrX9tlxy6VGmA=s88-c-k-c0x00ffffff-no-rj</v>
      </c>
      <c r="G264" s="66"/>
      <c r="H264" s="70" t="s">
        <v>1817</v>
      </c>
      <c r="I264" s="71"/>
      <c r="J264" s="71" t="s">
        <v>159</v>
      </c>
      <c r="K264" s="70" t="s">
        <v>1817</v>
      </c>
      <c r="L264" s="74">
        <v>1</v>
      </c>
      <c r="M264" s="75">
        <v>7723.09521484375</v>
      </c>
      <c r="N264" s="75">
        <v>7458.25634765625</v>
      </c>
      <c r="O264" s="76"/>
      <c r="P264" s="77"/>
      <c r="Q264" s="77"/>
      <c r="R264" s="89"/>
      <c r="S264" s="49">
        <v>0</v>
      </c>
      <c r="T264" s="49">
        <v>1</v>
      </c>
      <c r="U264" s="50">
        <v>0</v>
      </c>
      <c r="V264" s="50">
        <v>0.002597</v>
      </c>
      <c r="W264" s="50">
        <v>0.00486</v>
      </c>
      <c r="X264" s="50">
        <v>0.526148</v>
      </c>
      <c r="Y264" s="50">
        <v>0</v>
      </c>
      <c r="Z264" s="50">
        <v>0</v>
      </c>
      <c r="AA264" s="72">
        <v>264</v>
      </c>
      <c r="AB264" s="72"/>
      <c r="AC264" s="73"/>
      <c r="AD264" s="80" t="s">
        <v>1817</v>
      </c>
      <c r="AE264" s="80" t="s">
        <v>2889</v>
      </c>
      <c r="AF264" s="80"/>
      <c r="AG264" s="80"/>
      <c r="AH264" s="80"/>
      <c r="AI264" s="80"/>
      <c r="AJ264" s="80" t="s">
        <v>3248</v>
      </c>
      <c r="AK264" s="85" t="str">
        <f>HYPERLINK("https://yt3.ggpht.com/ytc/AKedOLRdhbBmdZD9gy5PyfpNc74G4XHazGrX9tlxy6VGmA=s88-c-k-c0x00ffffff-no-rj")</f>
        <v>https://yt3.ggpht.com/ytc/AKedOLRdhbBmdZD9gy5PyfpNc74G4XHazGrX9tlxy6VGmA=s88-c-k-c0x00ffffff-no-rj</v>
      </c>
      <c r="AL264" s="80">
        <v>1531563</v>
      </c>
      <c r="AM264" s="80">
        <v>0</v>
      </c>
      <c r="AN264" s="80">
        <v>13200</v>
      </c>
      <c r="AO264" s="80" t="b">
        <v>0</v>
      </c>
      <c r="AP264" s="80">
        <v>146</v>
      </c>
      <c r="AQ264" s="80"/>
      <c r="AR264" s="80"/>
      <c r="AS264" s="80" t="s">
        <v>3412</v>
      </c>
      <c r="AT264" s="85" t="str">
        <f>HYPERLINK("https://www.youtube.com/channel/UCYfvr_CkCmi4HwFkAAQU10w")</f>
        <v>https://www.youtube.com/channel/UCYfvr_CkCmi4HwFkAAQU10w</v>
      </c>
      <c r="AU264" s="80" t="str">
        <f>REPLACE(INDEX(GroupVertices[Group],MATCH(Vertices[[#This Row],[Vertex]],GroupVertices[Vertex],0)),1,1,"")</f>
        <v>1</v>
      </c>
      <c r="AV264" s="49">
        <v>1</v>
      </c>
      <c r="AW264" s="50">
        <v>50</v>
      </c>
      <c r="AX264" s="49">
        <v>0</v>
      </c>
      <c r="AY264" s="50">
        <v>0</v>
      </c>
      <c r="AZ264" s="49">
        <v>0</v>
      </c>
      <c r="BA264" s="50">
        <v>0</v>
      </c>
      <c r="BB264" s="49">
        <v>1</v>
      </c>
      <c r="BC264" s="50">
        <v>50</v>
      </c>
      <c r="BD264" s="49">
        <v>2</v>
      </c>
      <c r="BE264" s="49"/>
      <c r="BF264" s="49"/>
      <c r="BG264" s="49"/>
      <c r="BH264" s="49"/>
      <c r="BI264" s="49"/>
      <c r="BJ264" s="49"/>
      <c r="BK264" s="111" t="s">
        <v>3460</v>
      </c>
      <c r="BL264" s="111" t="s">
        <v>3460</v>
      </c>
      <c r="BM264" s="111" t="s">
        <v>2782</v>
      </c>
      <c r="BN264" s="111" t="s">
        <v>2782</v>
      </c>
      <c r="BO264" s="2"/>
      <c r="BP264" s="3"/>
      <c r="BQ264" s="3"/>
      <c r="BR264" s="3"/>
      <c r="BS264" s="3"/>
    </row>
    <row r="265" spans="1:71" ht="15">
      <c r="A265" s="65" t="s">
        <v>489</v>
      </c>
      <c r="B265" s="66"/>
      <c r="C265" s="66"/>
      <c r="D265" s="67">
        <v>150</v>
      </c>
      <c r="E265" s="69"/>
      <c r="F265" s="103" t="str">
        <f>HYPERLINK("https://yt3.ggpht.com/ytc/AKedOLSPFMqRIOdWKVuY_GyPDG8Tq2_cholVegEG2A=s88-c-k-c0x00ffffff-no-rj")</f>
        <v>https://yt3.ggpht.com/ytc/AKedOLSPFMqRIOdWKVuY_GyPDG8Tq2_cholVegEG2A=s88-c-k-c0x00ffffff-no-rj</v>
      </c>
      <c r="G265" s="66"/>
      <c r="H265" s="70" t="s">
        <v>1818</v>
      </c>
      <c r="I265" s="71"/>
      <c r="J265" s="71" t="s">
        <v>159</v>
      </c>
      <c r="K265" s="70" t="s">
        <v>1818</v>
      </c>
      <c r="L265" s="74">
        <v>1</v>
      </c>
      <c r="M265" s="75">
        <v>8886.193359375</v>
      </c>
      <c r="N265" s="75">
        <v>9294.8095703125</v>
      </c>
      <c r="O265" s="76"/>
      <c r="P265" s="77"/>
      <c r="Q265" s="77"/>
      <c r="R265" s="89"/>
      <c r="S265" s="49">
        <v>1</v>
      </c>
      <c r="T265" s="49">
        <v>1</v>
      </c>
      <c r="U265" s="50">
        <v>0</v>
      </c>
      <c r="V265" s="50">
        <v>0.002597</v>
      </c>
      <c r="W265" s="50">
        <v>0.00486</v>
      </c>
      <c r="X265" s="50">
        <v>0.526148</v>
      </c>
      <c r="Y265" s="50">
        <v>0</v>
      </c>
      <c r="Z265" s="50">
        <v>1</v>
      </c>
      <c r="AA265" s="72">
        <v>265</v>
      </c>
      <c r="AB265" s="72"/>
      <c r="AC265" s="73"/>
      <c r="AD265" s="80" t="s">
        <v>1818</v>
      </c>
      <c r="AE265" s="80"/>
      <c r="AF265" s="80"/>
      <c r="AG265" s="80"/>
      <c r="AH265" s="80"/>
      <c r="AI265" s="80"/>
      <c r="AJ265" s="80" t="s">
        <v>3249</v>
      </c>
      <c r="AK265" s="85" t="str">
        <f>HYPERLINK("https://yt3.ggpht.com/ytc/AKedOLSPFMqRIOdWKVuY_GyPDG8Tq2_cholVegEG2A=s88-c-k-c0x00ffffff-no-rj")</f>
        <v>https://yt3.ggpht.com/ytc/AKedOLSPFMqRIOdWKVuY_GyPDG8Tq2_cholVegEG2A=s88-c-k-c0x00ffffff-no-rj</v>
      </c>
      <c r="AL265" s="80">
        <v>0</v>
      </c>
      <c r="AM265" s="80">
        <v>0</v>
      </c>
      <c r="AN265" s="80">
        <v>8</v>
      </c>
      <c r="AO265" s="80" t="b">
        <v>0</v>
      </c>
      <c r="AP265" s="80">
        <v>0</v>
      </c>
      <c r="AQ265" s="80"/>
      <c r="AR265" s="80"/>
      <c r="AS265" s="80" t="s">
        <v>3412</v>
      </c>
      <c r="AT265" s="85" t="str">
        <f>HYPERLINK("https://www.youtube.com/channel/UCrisv1bev37OgRi0XO-F_rQ")</f>
        <v>https://www.youtube.com/channel/UCrisv1bev37OgRi0XO-F_rQ</v>
      </c>
      <c r="AU265" s="80" t="str">
        <f>REPLACE(INDEX(GroupVertices[Group],MATCH(Vertices[[#This Row],[Vertex]],GroupVertices[Vertex],0)),1,1,"")</f>
        <v>1</v>
      </c>
      <c r="AV265" s="49">
        <v>3</v>
      </c>
      <c r="AW265" s="50">
        <v>13.043478260869565</v>
      </c>
      <c r="AX265" s="49">
        <v>0</v>
      </c>
      <c r="AY265" s="50">
        <v>0</v>
      </c>
      <c r="AZ265" s="49">
        <v>0</v>
      </c>
      <c r="BA265" s="50">
        <v>0</v>
      </c>
      <c r="BB265" s="49">
        <v>20</v>
      </c>
      <c r="BC265" s="50">
        <v>86.95652173913044</v>
      </c>
      <c r="BD265" s="49">
        <v>23</v>
      </c>
      <c r="BE265" s="49"/>
      <c r="BF265" s="49"/>
      <c r="BG265" s="49"/>
      <c r="BH265" s="49"/>
      <c r="BI265" s="49"/>
      <c r="BJ265" s="49"/>
      <c r="BK265" s="111" t="s">
        <v>4630</v>
      </c>
      <c r="BL265" s="111" t="s">
        <v>4630</v>
      </c>
      <c r="BM265" s="111" t="s">
        <v>5104</v>
      </c>
      <c r="BN265" s="111" t="s">
        <v>5104</v>
      </c>
      <c r="BO265" s="2"/>
      <c r="BP265" s="3"/>
      <c r="BQ265" s="3"/>
      <c r="BR265" s="3"/>
      <c r="BS265" s="3"/>
    </row>
    <row r="266" spans="1:71" ht="15">
      <c r="A266" s="65" t="s">
        <v>490</v>
      </c>
      <c r="B266" s="66"/>
      <c r="C266" s="66"/>
      <c r="D266" s="67">
        <v>150</v>
      </c>
      <c r="E266" s="69"/>
      <c r="F266" s="103" t="str">
        <f>HYPERLINK("https://yt3.ggpht.com/ytc/AKedOLQYPzRpFedlxuofonRlcegYFSFtBn6HwWzC8w=s88-c-k-c0x00ffffff-no-rj")</f>
        <v>https://yt3.ggpht.com/ytc/AKedOLQYPzRpFedlxuofonRlcegYFSFtBn6HwWzC8w=s88-c-k-c0x00ffffff-no-rj</v>
      </c>
      <c r="G266" s="66"/>
      <c r="H266" s="70" t="s">
        <v>1819</v>
      </c>
      <c r="I266" s="71"/>
      <c r="J266" s="71" t="s">
        <v>159</v>
      </c>
      <c r="K266" s="70" t="s">
        <v>1819</v>
      </c>
      <c r="L266" s="74">
        <v>1</v>
      </c>
      <c r="M266" s="75">
        <v>5566.4541015625</v>
      </c>
      <c r="N266" s="75">
        <v>7975.81201171875</v>
      </c>
      <c r="O266" s="76"/>
      <c r="P266" s="77"/>
      <c r="Q266" s="77"/>
      <c r="R266" s="89"/>
      <c r="S266" s="49">
        <v>1</v>
      </c>
      <c r="T266" s="49">
        <v>1</v>
      </c>
      <c r="U266" s="50">
        <v>0</v>
      </c>
      <c r="V266" s="50">
        <v>0.002597</v>
      </c>
      <c r="W266" s="50">
        <v>0.00486</v>
      </c>
      <c r="X266" s="50">
        <v>0.526148</v>
      </c>
      <c r="Y266" s="50">
        <v>0</v>
      </c>
      <c r="Z266" s="50">
        <v>1</v>
      </c>
      <c r="AA266" s="72">
        <v>266</v>
      </c>
      <c r="AB266" s="72"/>
      <c r="AC266" s="73"/>
      <c r="AD266" s="80" t="s">
        <v>1819</v>
      </c>
      <c r="AE266" s="80"/>
      <c r="AF266" s="80"/>
      <c r="AG266" s="80"/>
      <c r="AH266" s="80"/>
      <c r="AI266" s="80"/>
      <c r="AJ266" s="87">
        <v>40612.544756944444</v>
      </c>
      <c r="AK266" s="85" t="str">
        <f>HYPERLINK("https://yt3.ggpht.com/ytc/AKedOLQYPzRpFedlxuofonRlcegYFSFtBn6HwWzC8w=s88-c-k-c0x00ffffff-no-rj")</f>
        <v>https://yt3.ggpht.com/ytc/AKedOLQYPzRpFedlxuofonRlcegYFSFtBn6HwWzC8w=s88-c-k-c0x00ffffff-no-rj</v>
      </c>
      <c r="AL266" s="80">
        <v>0</v>
      </c>
      <c r="AM266" s="80">
        <v>0</v>
      </c>
      <c r="AN266" s="80">
        <v>0</v>
      </c>
      <c r="AO266" s="80" t="b">
        <v>0</v>
      </c>
      <c r="AP266" s="80">
        <v>0</v>
      </c>
      <c r="AQ266" s="80"/>
      <c r="AR266" s="80"/>
      <c r="AS266" s="80" t="s">
        <v>3412</v>
      </c>
      <c r="AT266" s="85" t="str">
        <f>HYPERLINK("https://www.youtube.com/channel/UCP_MxwcX7WrV4KMPUk8E7RQ")</f>
        <v>https://www.youtube.com/channel/UCP_MxwcX7WrV4KMPUk8E7RQ</v>
      </c>
      <c r="AU266" s="80" t="str">
        <f>REPLACE(INDEX(GroupVertices[Group],MATCH(Vertices[[#This Row],[Vertex]],GroupVertices[Vertex],0)),1,1,"")</f>
        <v>1</v>
      </c>
      <c r="AV266" s="49">
        <v>2</v>
      </c>
      <c r="AW266" s="50">
        <v>7.142857142857143</v>
      </c>
      <c r="AX266" s="49">
        <v>0</v>
      </c>
      <c r="AY266" s="50">
        <v>0</v>
      </c>
      <c r="AZ266" s="49">
        <v>0</v>
      </c>
      <c r="BA266" s="50">
        <v>0</v>
      </c>
      <c r="BB266" s="49">
        <v>26</v>
      </c>
      <c r="BC266" s="50">
        <v>92.85714285714286</v>
      </c>
      <c r="BD266" s="49">
        <v>28</v>
      </c>
      <c r="BE266" s="49" t="s">
        <v>4216</v>
      </c>
      <c r="BF266" s="49" t="s">
        <v>4216</v>
      </c>
      <c r="BG266" s="49" t="s">
        <v>2772</v>
      </c>
      <c r="BH266" s="49" t="s">
        <v>2772</v>
      </c>
      <c r="BI266" s="49"/>
      <c r="BJ266" s="49"/>
      <c r="BK266" s="111" t="s">
        <v>4631</v>
      </c>
      <c r="BL266" s="111" t="s">
        <v>4631</v>
      </c>
      <c r="BM266" s="111" t="s">
        <v>5105</v>
      </c>
      <c r="BN266" s="111" t="s">
        <v>5105</v>
      </c>
      <c r="BO266" s="2"/>
      <c r="BP266" s="3"/>
      <c r="BQ266" s="3"/>
      <c r="BR266" s="3"/>
      <c r="BS266" s="3"/>
    </row>
    <row r="267" spans="1:71" ht="15">
      <c r="A267" s="65" t="s">
        <v>491</v>
      </c>
      <c r="B267" s="66"/>
      <c r="C267" s="66"/>
      <c r="D267" s="67">
        <v>150</v>
      </c>
      <c r="E267" s="69"/>
      <c r="F267" s="103" t="str">
        <f>HYPERLINK("https://yt3.ggpht.com/ytc/AKedOLQNW1L42iJRPHIx_Vu7ovGqNNVh6WBjelI1Aw=s88-c-k-c0x00ffffff-no-rj")</f>
        <v>https://yt3.ggpht.com/ytc/AKedOLQNW1L42iJRPHIx_Vu7ovGqNNVh6WBjelI1Aw=s88-c-k-c0x00ffffff-no-rj</v>
      </c>
      <c r="G267" s="66"/>
      <c r="H267" s="70" t="s">
        <v>1820</v>
      </c>
      <c r="I267" s="71"/>
      <c r="J267" s="71" t="s">
        <v>159</v>
      </c>
      <c r="K267" s="70" t="s">
        <v>1820</v>
      </c>
      <c r="L267" s="74">
        <v>1</v>
      </c>
      <c r="M267" s="75">
        <v>7975.13134765625</v>
      </c>
      <c r="N267" s="75">
        <v>8663.3681640625</v>
      </c>
      <c r="O267" s="76"/>
      <c r="P267" s="77"/>
      <c r="Q267" s="77"/>
      <c r="R267" s="89"/>
      <c r="S267" s="49">
        <v>1</v>
      </c>
      <c r="T267" s="49">
        <v>1</v>
      </c>
      <c r="U267" s="50">
        <v>0</v>
      </c>
      <c r="V267" s="50">
        <v>0.002597</v>
      </c>
      <c r="W267" s="50">
        <v>0.00486</v>
      </c>
      <c r="X267" s="50">
        <v>0.526148</v>
      </c>
      <c r="Y267" s="50">
        <v>0</v>
      </c>
      <c r="Z267" s="50">
        <v>1</v>
      </c>
      <c r="AA267" s="72">
        <v>267</v>
      </c>
      <c r="AB267" s="72"/>
      <c r="AC267" s="73"/>
      <c r="AD267" s="80" t="s">
        <v>1820</v>
      </c>
      <c r="AE267" s="80"/>
      <c r="AF267" s="80"/>
      <c r="AG267" s="80"/>
      <c r="AH267" s="80"/>
      <c r="AI267" s="80"/>
      <c r="AJ267" s="80" t="s">
        <v>3250</v>
      </c>
      <c r="AK267" s="85" t="str">
        <f>HYPERLINK("https://yt3.ggpht.com/ytc/AKedOLQNW1L42iJRPHIx_Vu7ovGqNNVh6WBjelI1Aw=s88-c-k-c0x00ffffff-no-rj")</f>
        <v>https://yt3.ggpht.com/ytc/AKedOLQNW1L42iJRPHIx_Vu7ovGqNNVh6WBjelI1Aw=s88-c-k-c0x00ffffff-no-rj</v>
      </c>
      <c r="AL267" s="80">
        <v>0</v>
      </c>
      <c r="AM267" s="80">
        <v>0</v>
      </c>
      <c r="AN267" s="80">
        <v>2</v>
      </c>
      <c r="AO267" s="80" t="b">
        <v>0</v>
      </c>
      <c r="AP267" s="80">
        <v>0</v>
      </c>
      <c r="AQ267" s="80"/>
      <c r="AR267" s="80"/>
      <c r="AS267" s="80" t="s">
        <v>3412</v>
      </c>
      <c r="AT267" s="85" t="str">
        <f>HYPERLINK("https://www.youtube.com/channel/UCA0hntGYUqnUbs8CsyYiu2Q")</f>
        <v>https://www.youtube.com/channel/UCA0hntGYUqnUbs8CsyYiu2Q</v>
      </c>
      <c r="AU267" s="80" t="str">
        <f>REPLACE(INDEX(GroupVertices[Group],MATCH(Vertices[[#This Row],[Vertex]],GroupVertices[Vertex],0)),1,1,"")</f>
        <v>1</v>
      </c>
      <c r="AV267" s="49">
        <v>8</v>
      </c>
      <c r="AW267" s="50">
        <v>6.666666666666667</v>
      </c>
      <c r="AX267" s="49">
        <v>3</v>
      </c>
      <c r="AY267" s="50">
        <v>2.5</v>
      </c>
      <c r="AZ267" s="49">
        <v>0</v>
      </c>
      <c r="BA267" s="50">
        <v>0</v>
      </c>
      <c r="BB267" s="49">
        <v>109</v>
      </c>
      <c r="BC267" s="50">
        <v>90.83333333333333</v>
      </c>
      <c r="BD267" s="49">
        <v>120</v>
      </c>
      <c r="BE267" s="49"/>
      <c r="BF267" s="49"/>
      <c r="BG267" s="49"/>
      <c r="BH267" s="49"/>
      <c r="BI267" s="49"/>
      <c r="BJ267" s="49"/>
      <c r="BK267" s="111" t="s">
        <v>4632</v>
      </c>
      <c r="BL267" s="111" t="s">
        <v>4632</v>
      </c>
      <c r="BM267" s="111" t="s">
        <v>5106</v>
      </c>
      <c r="BN267" s="111" t="s">
        <v>5106</v>
      </c>
      <c r="BO267" s="2"/>
      <c r="BP267" s="3"/>
      <c r="BQ267" s="3"/>
      <c r="BR267" s="3"/>
      <c r="BS267" s="3"/>
    </row>
    <row r="268" spans="1:71" ht="15">
      <c r="A268" s="65" t="s">
        <v>492</v>
      </c>
      <c r="B268" s="66"/>
      <c r="C268" s="66"/>
      <c r="D268" s="67">
        <v>150</v>
      </c>
      <c r="E268" s="69"/>
      <c r="F268" s="103" t="str">
        <f>HYPERLINK("https://yt3.ggpht.com/ytc/AKedOLQ7RFa28a_1k3W-hjA5jyCCVUpFQFnLwrk8iowo=s88-c-k-c0x00ffffff-no-rj")</f>
        <v>https://yt3.ggpht.com/ytc/AKedOLQ7RFa28a_1k3W-hjA5jyCCVUpFQFnLwrk8iowo=s88-c-k-c0x00ffffff-no-rj</v>
      </c>
      <c r="G268" s="66"/>
      <c r="H268" s="70" t="s">
        <v>1821</v>
      </c>
      <c r="I268" s="71"/>
      <c r="J268" s="71" t="s">
        <v>159</v>
      </c>
      <c r="K268" s="70" t="s">
        <v>1821</v>
      </c>
      <c r="L268" s="74">
        <v>1</v>
      </c>
      <c r="M268" s="75">
        <v>9275.6357421875</v>
      </c>
      <c r="N268" s="75">
        <v>8048.798828125</v>
      </c>
      <c r="O268" s="76"/>
      <c r="P268" s="77"/>
      <c r="Q268" s="77"/>
      <c r="R268" s="89"/>
      <c r="S268" s="49">
        <v>1</v>
      </c>
      <c r="T268" s="49">
        <v>1</v>
      </c>
      <c r="U268" s="50">
        <v>0</v>
      </c>
      <c r="V268" s="50">
        <v>0.002597</v>
      </c>
      <c r="W268" s="50">
        <v>0.00486</v>
      </c>
      <c r="X268" s="50">
        <v>0.526148</v>
      </c>
      <c r="Y268" s="50">
        <v>0</v>
      </c>
      <c r="Z268" s="50">
        <v>1</v>
      </c>
      <c r="AA268" s="72">
        <v>268</v>
      </c>
      <c r="AB268" s="72"/>
      <c r="AC268" s="73"/>
      <c r="AD268" s="80" t="s">
        <v>1821</v>
      </c>
      <c r="AE268" s="80" t="s">
        <v>2890</v>
      </c>
      <c r="AF268" s="80"/>
      <c r="AG268" s="80"/>
      <c r="AH268" s="80"/>
      <c r="AI268" s="80"/>
      <c r="AJ268" s="87">
        <v>40401.13569444444</v>
      </c>
      <c r="AK268" s="85" t="str">
        <f>HYPERLINK("https://yt3.ggpht.com/ytc/AKedOLQ7RFa28a_1k3W-hjA5jyCCVUpFQFnLwrk8iowo=s88-c-k-c0x00ffffff-no-rj")</f>
        <v>https://yt3.ggpht.com/ytc/AKedOLQ7RFa28a_1k3W-hjA5jyCCVUpFQFnLwrk8iowo=s88-c-k-c0x00ffffff-no-rj</v>
      </c>
      <c r="AL268" s="80">
        <v>0</v>
      </c>
      <c r="AM268" s="80">
        <v>0</v>
      </c>
      <c r="AN268" s="80">
        <v>294</v>
      </c>
      <c r="AO268" s="80" t="b">
        <v>0</v>
      </c>
      <c r="AP268" s="80">
        <v>0</v>
      </c>
      <c r="AQ268" s="80"/>
      <c r="AR268" s="80"/>
      <c r="AS268" s="80" t="s">
        <v>3412</v>
      </c>
      <c r="AT268" s="85" t="str">
        <f>HYPERLINK("https://www.youtube.com/channel/UCenSUdXxawgdpTksQvH5d4A")</f>
        <v>https://www.youtube.com/channel/UCenSUdXxawgdpTksQvH5d4A</v>
      </c>
      <c r="AU268" s="80" t="str">
        <f>REPLACE(INDEX(GroupVertices[Group],MATCH(Vertices[[#This Row],[Vertex]],GroupVertices[Vertex],0)),1,1,"")</f>
        <v>1</v>
      </c>
      <c r="AV268" s="49">
        <v>4</v>
      </c>
      <c r="AW268" s="50">
        <v>12.903225806451612</v>
      </c>
      <c r="AX268" s="49">
        <v>0</v>
      </c>
      <c r="AY268" s="50">
        <v>0</v>
      </c>
      <c r="AZ268" s="49">
        <v>0</v>
      </c>
      <c r="BA268" s="50">
        <v>0</v>
      </c>
      <c r="BB268" s="49">
        <v>27</v>
      </c>
      <c r="BC268" s="50">
        <v>87.09677419354838</v>
      </c>
      <c r="BD268" s="49">
        <v>31</v>
      </c>
      <c r="BE268" s="49"/>
      <c r="BF268" s="49"/>
      <c r="BG268" s="49"/>
      <c r="BH268" s="49"/>
      <c r="BI268" s="49"/>
      <c r="BJ268" s="49"/>
      <c r="BK268" s="111" t="s">
        <v>4633</v>
      </c>
      <c r="BL268" s="111" t="s">
        <v>4874</v>
      </c>
      <c r="BM268" s="111" t="s">
        <v>5107</v>
      </c>
      <c r="BN268" s="111" t="s">
        <v>5107</v>
      </c>
      <c r="BO268" s="2"/>
      <c r="BP268" s="3"/>
      <c r="BQ268" s="3"/>
      <c r="BR268" s="3"/>
      <c r="BS268" s="3"/>
    </row>
    <row r="269" spans="1:71" ht="15">
      <c r="A269" s="65" t="s">
        <v>493</v>
      </c>
      <c r="B269" s="66"/>
      <c r="C269" s="66"/>
      <c r="D269" s="67">
        <v>150</v>
      </c>
      <c r="E269" s="69"/>
      <c r="F269" s="103" t="str">
        <f>HYPERLINK("https://yt3.ggpht.com/ytc/AKedOLTuK66uHUtdd9yWVprLbkXhC3c2Me9AMz9SpA=s88-c-k-c0x00ffffff-no-rj")</f>
        <v>https://yt3.ggpht.com/ytc/AKedOLTuK66uHUtdd9yWVprLbkXhC3c2Me9AMz9SpA=s88-c-k-c0x00ffffff-no-rj</v>
      </c>
      <c r="G269" s="66"/>
      <c r="H269" s="70" t="s">
        <v>1822</v>
      </c>
      <c r="I269" s="71"/>
      <c r="J269" s="71" t="s">
        <v>159</v>
      </c>
      <c r="K269" s="70" t="s">
        <v>1822</v>
      </c>
      <c r="L269" s="74">
        <v>1</v>
      </c>
      <c r="M269" s="75">
        <v>8183.7060546875</v>
      </c>
      <c r="N269" s="75">
        <v>9183.78125</v>
      </c>
      <c r="O269" s="76"/>
      <c r="P269" s="77"/>
      <c r="Q269" s="77"/>
      <c r="R269" s="89"/>
      <c r="S269" s="49">
        <v>0</v>
      </c>
      <c r="T269" s="49">
        <v>1</v>
      </c>
      <c r="U269" s="50">
        <v>0</v>
      </c>
      <c r="V269" s="50">
        <v>0.002597</v>
      </c>
      <c r="W269" s="50">
        <v>0.00486</v>
      </c>
      <c r="X269" s="50">
        <v>0.526148</v>
      </c>
      <c r="Y269" s="50">
        <v>0</v>
      </c>
      <c r="Z269" s="50">
        <v>0</v>
      </c>
      <c r="AA269" s="72">
        <v>269</v>
      </c>
      <c r="AB269" s="72"/>
      <c r="AC269" s="73"/>
      <c r="AD269" s="80" t="s">
        <v>1822</v>
      </c>
      <c r="AE269" s="80"/>
      <c r="AF269" s="80"/>
      <c r="AG269" s="80"/>
      <c r="AH269" s="80"/>
      <c r="AI269" s="80"/>
      <c r="AJ269" s="87">
        <v>40553.8637962963</v>
      </c>
      <c r="AK269" s="85" t="str">
        <f>HYPERLINK("https://yt3.ggpht.com/ytc/AKedOLTuK66uHUtdd9yWVprLbkXhC3c2Me9AMz9SpA=s88-c-k-c0x00ffffff-no-rj")</f>
        <v>https://yt3.ggpht.com/ytc/AKedOLTuK66uHUtdd9yWVprLbkXhC3c2Me9AMz9SpA=s88-c-k-c0x00ffffff-no-rj</v>
      </c>
      <c r="AL269" s="80">
        <v>0</v>
      </c>
      <c r="AM269" s="80">
        <v>0</v>
      </c>
      <c r="AN269" s="80">
        <v>0</v>
      </c>
      <c r="AO269" s="80" t="b">
        <v>0</v>
      </c>
      <c r="AP269" s="80">
        <v>0</v>
      </c>
      <c r="AQ269" s="80"/>
      <c r="AR269" s="80"/>
      <c r="AS269" s="80" t="s">
        <v>3412</v>
      </c>
      <c r="AT269" s="85" t="str">
        <f>HYPERLINK("https://www.youtube.com/channel/UCmTHNck_QjDOp-u4jxohPmQ")</f>
        <v>https://www.youtube.com/channel/UCmTHNck_QjDOp-u4jxohPmQ</v>
      </c>
      <c r="AU269" s="80" t="str">
        <f>REPLACE(INDEX(GroupVertices[Group],MATCH(Vertices[[#This Row],[Vertex]],GroupVertices[Vertex],0)),1,1,"")</f>
        <v>1</v>
      </c>
      <c r="AV269" s="49">
        <v>6</v>
      </c>
      <c r="AW269" s="50">
        <v>12.244897959183673</v>
      </c>
      <c r="AX269" s="49">
        <v>0</v>
      </c>
      <c r="AY269" s="50">
        <v>0</v>
      </c>
      <c r="AZ269" s="49">
        <v>0</v>
      </c>
      <c r="BA269" s="50">
        <v>0</v>
      </c>
      <c r="BB269" s="49">
        <v>43</v>
      </c>
      <c r="BC269" s="50">
        <v>87.75510204081633</v>
      </c>
      <c r="BD269" s="49">
        <v>49</v>
      </c>
      <c r="BE269" s="49"/>
      <c r="BF269" s="49"/>
      <c r="BG269" s="49"/>
      <c r="BH269" s="49"/>
      <c r="BI269" s="49"/>
      <c r="BJ269" s="49"/>
      <c r="BK269" s="111" t="s">
        <v>4634</v>
      </c>
      <c r="BL269" s="111" t="s">
        <v>4634</v>
      </c>
      <c r="BM269" s="111" t="s">
        <v>5108</v>
      </c>
      <c r="BN269" s="111" t="s">
        <v>5108</v>
      </c>
      <c r="BO269" s="2"/>
      <c r="BP269" s="3"/>
      <c r="BQ269" s="3"/>
      <c r="BR269" s="3"/>
      <c r="BS269" s="3"/>
    </row>
    <row r="270" spans="1:71" ht="15">
      <c r="A270" s="65" t="s">
        <v>494</v>
      </c>
      <c r="B270" s="66"/>
      <c r="C270" s="66"/>
      <c r="D270" s="67">
        <v>150</v>
      </c>
      <c r="E270" s="69"/>
      <c r="F270" s="103" t="str">
        <f>HYPERLINK("https://yt3.ggpht.com/ytc/AKedOLSfcLtqA2N_TLg1qIpA15moavi9Z4rMBpqwLMWvNPU_SNEnvxfFPLyHE3Tibj-E=s88-c-k-c0x00ffffff-no-rj")</f>
        <v>https://yt3.ggpht.com/ytc/AKedOLSfcLtqA2N_TLg1qIpA15moavi9Z4rMBpqwLMWvNPU_SNEnvxfFPLyHE3Tibj-E=s88-c-k-c0x00ffffff-no-rj</v>
      </c>
      <c r="G270" s="66"/>
      <c r="H270" s="70" t="s">
        <v>1823</v>
      </c>
      <c r="I270" s="71"/>
      <c r="J270" s="71" t="s">
        <v>159</v>
      </c>
      <c r="K270" s="70" t="s">
        <v>1823</v>
      </c>
      <c r="L270" s="74">
        <v>1</v>
      </c>
      <c r="M270" s="75">
        <v>5528.49951171875</v>
      </c>
      <c r="N270" s="75">
        <v>7233.66259765625</v>
      </c>
      <c r="O270" s="76"/>
      <c r="P270" s="77"/>
      <c r="Q270" s="77"/>
      <c r="R270" s="89"/>
      <c r="S270" s="49">
        <v>0</v>
      </c>
      <c r="T270" s="49">
        <v>1</v>
      </c>
      <c r="U270" s="50">
        <v>0</v>
      </c>
      <c r="V270" s="50">
        <v>0.002597</v>
      </c>
      <c r="W270" s="50">
        <v>0.00486</v>
      </c>
      <c r="X270" s="50">
        <v>0.526148</v>
      </c>
      <c r="Y270" s="50">
        <v>0</v>
      </c>
      <c r="Z270" s="50">
        <v>0</v>
      </c>
      <c r="AA270" s="72">
        <v>270</v>
      </c>
      <c r="AB270" s="72"/>
      <c r="AC270" s="73"/>
      <c r="AD270" s="80" t="s">
        <v>1823</v>
      </c>
      <c r="AE270" s="80"/>
      <c r="AF270" s="80"/>
      <c r="AG270" s="80"/>
      <c r="AH270" s="80"/>
      <c r="AI270" s="80"/>
      <c r="AJ270" s="87">
        <v>41949.97865740741</v>
      </c>
      <c r="AK270" s="85" t="str">
        <f>HYPERLINK("https://yt3.ggpht.com/ytc/AKedOLSfcLtqA2N_TLg1qIpA15moavi9Z4rMBpqwLMWvNPU_SNEnvxfFPLyHE3Tibj-E=s88-c-k-c0x00ffffff-no-rj")</f>
        <v>https://yt3.ggpht.com/ytc/AKedOLSfcLtqA2N_TLg1qIpA15moavi9Z4rMBpqwLMWvNPU_SNEnvxfFPLyHE3Tibj-E=s88-c-k-c0x00ffffff-no-rj</v>
      </c>
      <c r="AL270" s="80">
        <v>2</v>
      </c>
      <c r="AM270" s="80">
        <v>0</v>
      </c>
      <c r="AN270" s="80">
        <v>1</v>
      </c>
      <c r="AO270" s="80" t="b">
        <v>0</v>
      </c>
      <c r="AP270" s="80">
        <v>1</v>
      </c>
      <c r="AQ270" s="80"/>
      <c r="AR270" s="80"/>
      <c r="AS270" s="80" t="s">
        <v>3412</v>
      </c>
      <c r="AT270" s="85" t="str">
        <f>HYPERLINK("https://www.youtube.com/channel/UCXUUZx5-qkFC7FT1HY57vVA")</f>
        <v>https://www.youtube.com/channel/UCXUUZx5-qkFC7FT1HY57vVA</v>
      </c>
      <c r="AU270" s="80" t="str">
        <f>REPLACE(INDEX(GroupVertices[Group],MATCH(Vertices[[#This Row],[Vertex]],GroupVertices[Vertex],0)),1,1,"")</f>
        <v>1</v>
      </c>
      <c r="AV270" s="49">
        <v>1</v>
      </c>
      <c r="AW270" s="50">
        <v>20</v>
      </c>
      <c r="AX270" s="49">
        <v>0</v>
      </c>
      <c r="AY270" s="50">
        <v>0</v>
      </c>
      <c r="AZ270" s="49">
        <v>0</v>
      </c>
      <c r="BA270" s="50">
        <v>0</v>
      </c>
      <c r="BB270" s="49">
        <v>4</v>
      </c>
      <c r="BC270" s="50">
        <v>80</v>
      </c>
      <c r="BD270" s="49">
        <v>5</v>
      </c>
      <c r="BE270" s="49"/>
      <c r="BF270" s="49"/>
      <c r="BG270" s="49"/>
      <c r="BH270" s="49"/>
      <c r="BI270" s="49"/>
      <c r="BJ270" s="49"/>
      <c r="BK270" s="111" t="s">
        <v>4635</v>
      </c>
      <c r="BL270" s="111" t="s">
        <v>4635</v>
      </c>
      <c r="BM270" s="111" t="s">
        <v>5109</v>
      </c>
      <c r="BN270" s="111" t="s">
        <v>5109</v>
      </c>
      <c r="BO270" s="2"/>
      <c r="BP270" s="3"/>
      <c r="BQ270" s="3"/>
      <c r="BR270" s="3"/>
      <c r="BS270" s="3"/>
    </row>
    <row r="271" spans="1:71" ht="15">
      <c r="A271" s="65" t="s">
        <v>495</v>
      </c>
      <c r="B271" s="66"/>
      <c r="C271" s="66"/>
      <c r="D271" s="67">
        <v>150</v>
      </c>
      <c r="E271" s="69"/>
      <c r="F271" s="103" t="str">
        <f>HYPERLINK("https://yt3.ggpht.com/ytc/AKedOLSKMkGbxZ2Dl7F1bdCLXZ-0qEzFUVwFuONCZg=s88-c-k-c0x00ffffff-no-rj")</f>
        <v>https://yt3.ggpht.com/ytc/AKedOLSKMkGbxZ2Dl7F1bdCLXZ-0qEzFUVwFuONCZg=s88-c-k-c0x00ffffff-no-rj</v>
      </c>
      <c r="G271" s="66"/>
      <c r="H271" s="70" t="s">
        <v>1824</v>
      </c>
      <c r="I271" s="71"/>
      <c r="J271" s="71" t="s">
        <v>159</v>
      </c>
      <c r="K271" s="70" t="s">
        <v>1824</v>
      </c>
      <c r="L271" s="74">
        <v>1</v>
      </c>
      <c r="M271" s="75">
        <v>4869.92431640625</v>
      </c>
      <c r="N271" s="75">
        <v>7670.80712890625</v>
      </c>
      <c r="O271" s="76"/>
      <c r="P271" s="77"/>
      <c r="Q271" s="77"/>
      <c r="R271" s="89"/>
      <c r="S271" s="49">
        <v>1</v>
      </c>
      <c r="T271" s="49">
        <v>1</v>
      </c>
      <c r="U271" s="50">
        <v>0</v>
      </c>
      <c r="V271" s="50">
        <v>0.002597</v>
      </c>
      <c r="W271" s="50">
        <v>0.00486</v>
      </c>
      <c r="X271" s="50">
        <v>0.526148</v>
      </c>
      <c r="Y271" s="50">
        <v>0</v>
      </c>
      <c r="Z271" s="50">
        <v>1</v>
      </c>
      <c r="AA271" s="72">
        <v>271</v>
      </c>
      <c r="AB271" s="72"/>
      <c r="AC271" s="73"/>
      <c r="AD271" s="80" t="s">
        <v>1824</v>
      </c>
      <c r="AE271" s="80"/>
      <c r="AF271" s="80"/>
      <c r="AG271" s="80"/>
      <c r="AH271" s="80"/>
      <c r="AI271" s="80"/>
      <c r="AJ271" s="80" t="s">
        <v>3251</v>
      </c>
      <c r="AK271" s="85" t="str">
        <f>HYPERLINK("https://yt3.ggpht.com/ytc/AKedOLSKMkGbxZ2Dl7F1bdCLXZ-0qEzFUVwFuONCZg=s88-c-k-c0x00ffffff-no-rj")</f>
        <v>https://yt3.ggpht.com/ytc/AKedOLSKMkGbxZ2Dl7F1bdCLXZ-0qEzFUVwFuONCZg=s88-c-k-c0x00ffffff-no-rj</v>
      </c>
      <c r="AL271" s="80">
        <v>0</v>
      </c>
      <c r="AM271" s="80">
        <v>0</v>
      </c>
      <c r="AN271" s="80">
        <v>0</v>
      </c>
      <c r="AO271" s="80" t="b">
        <v>0</v>
      </c>
      <c r="AP271" s="80">
        <v>0</v>
      </c>
      <c r="AQ271" s="80"/>
      <c r="AR271" s="80"/>
      <c r="AS271" s="80" t="s">
        <v>3412</v>
      </c>
      <c r="AT271" s="85" t="str">
        <f>HYPERLINK("https://www.youtube.com/channel/UCEgTYCufJRBb3RUzQG8kzcQ")</f>
        <v>https://www.youtube.com/channel/UCEgTYCufJRBb3RUzQG8kzcQ</v>
      </c>
      <c r="AU271" s="80" t="str">
        <f>REPLACE(INDEX(GroupVertices[Group],MATCH(Vertices[[#This Row],[Vertex]],GroupVertices[Vertex],0)),1,1,"")</f>
        <v>1</v>
      </c>
      <c r="AV271" s="49">
        <v>2</v>
      </c>
      <c r="AW271" s="50">
        <v>25</v>
      </c>
      <c r="AX271" s="49">
        <v>0</v>
      </c>
      <c r="AY271" s="50">
        <v>0</v>
      </c>
      <c r="AZ271" s="49">
        <v>0</v>
      </c>
      <c r="BA271" s="50">
        <v>0</v>
      </c>
      <c r="BB271" s="49">
        <v>6</v>
      </c>
      <c r="BC271" s="50">
        <v>75</v>
      </c>
      <c r="BD271" s="49">
        <v>8</v>
      </c>
      <c r="BE271" s="49"/>
      <c r="BF271" s="49"/>
      <c r="BG271" s="49"/>
      <c r="BH271" s="49"/>
      <c r="BI271" s="49"/>
      <c r="BJ271" s="49"/>
      <c r="BK271" s="111" t="s">
        <v>4636</v>
      </c>
      <c r="BL271" s="111" t="s">
        <v>4636</v>
      </c>
      <c r="BM271" s="111" t="s">
        <v>5110</v>
      </c>
      <c r="BN271" s="111" t="s">
        <v>5110</v>
      </c>
      <c r="BO271" s="2"/>
      <c r="BP271" s="3"/>
      <c r="BQ271" s="3"/>
      <c r="BR271" s="3"/>
      <c r="BS271" s="3"/>
    </row>
    <row r="272" spans="1:71" ht="15">
      <c r="A272" s="65" t="s">
        <v>496</v>
      </c>
      <c r="B272" s="66"/>
      <c r="C272" s="66"/>
      <c r="D272" s="67">
        <v>150</v>
      </c>
      <c r="E272" s="69"/>
      <c r="F272" s="103" t="str">
        <f>HYPERLINK("https://yt3.ggpht.com/ytc/AKedOLR1QWEZN5oHETEZlvQxEEG9VQalVuJaQ3T-88v5=s88-c-k-c0x00ffffff-no-rj")</f>
        <v>https://yt3.ggpht.com/ytc/AKedOLR1QWEZN5oHETEZlvQxEEG9VQalVuJaQ3T-88v5=s88-c-k-c0x00ffffff-no-rj</v>
      </c>
      <c r="G272" s="66"/>
      <c r="H272" s="70" t="s">
        <v>1825</v>
      </c>
      <c r="I272" s="71"/>
      <c r="J272" s="71" t="s">
        <v>159</v>
      </c>
      <c r="K272" s="70" t="s">
        <v>1825</v>
      </c>
      <c r="L272" s="74">
        <v>1</v>
      </c>
      <c r="M272" s="75">
        <v>7507.23876953125</v>
      </c>
      <c r="N272" s="75">
        <v>9579.3876953125</v>
      </c>
      <c r="O272" s="76"/>
      <c r="P272" s="77"/>
      <c r="Q272" s="77"/>
      <c r="R272" s="89"/>
      <c r="S272" s="49">
        <v>1</v>
      </c>
      <c r="T272" s="49">
        <v>1</v>
      </c>
      <c r="U272" s="50">
        <v>0</v>
      </c>
      <c r="V272" s="50">
        <v>0.002597</v>
      </c>
      <c r="W272" s="50">
        <v>0.00486</v>
      </c>
      <c r="X272" s="50">
        <v>0.526148</v>
      </c>
      <c r="Y272" s="50">
        <v>0</v>
      </c>
      <c r="Z272" s="50">
        <v>1</v>
      </c>
      <c r="AA272" s="72">
        <v>272</v>
      </c>
      <c r="AB272" s="72"/>
      <c r="AC272" s="73"/>
      <c r="AD272" s="80" t="s">
        <v>1825</v>
      </c>
      <c r="AE272" s="80" t="s">
        <v>2891</v>
      </c>
      <c r="AF272" s="80"/>
      <c r="AG272" s="80"/>
      <c r="AH272" s="80"/>
      <c r="AI272" s="80" t="s">
        <v>3046</v>
      </c>
      <c r="AJ272" s="80" t="s">
        <v>3252</v>
      </c>
      <c r="AK272" s="85" t="str">
        <f>HYPERLINK("https://yt3.ggpht.com/ytc/AKedOLR1QWEZN5oHETEZlvQxEEG9VQalVuJaQ3T-88v5=s88-c-k-c0x00ffffff-no-rj")</f>
        <v>https://yt3.ggpht.com/ytc/AKedOLR1QWEZN5oHETEZlvQxEEG9VQalVuJaQ3T-88v5=s88-c-k-c0x00ffffff-no-rj</v>
      </c>
      <c r="AL272" s="80">
        <v>132090</v>
      </c>
      <c r="AM272" s="80">
        <v>0</v>
      </c>
      <c r="AN272" s="80">
        <v>1480</v>
      </c>
      <c r="AO272" s="80" t="b">
        <v>0</v>
      </c>
      <c r="AP272" s="80">
        <v>56</v>
      </c>
      <c r="AQ272" s="80"/>
      <c r="AR272" s="80"/>
      <c r="AS272" s="80" t="s">
        <v>3412</v>
      </c>
      <c r="AT272" s="85" t="str">
        <f>HYPERLINK("https://www.youtube.com/channel/UCYapclnqWCYdJ9UA0MBCXeQ")</f>
        <v>https://www.youtube.com/channel/UCYapclnqWCYdJ9UA0MBCXeQ</v>
      </c>
      <c r="AU272" s="80" t="str">
        <f>REPLACE(INDEX(GroupVertices[Group],MATCH(Vertices[[#This Row],[Vertex]],GroupVertices[Vertex],0)),1,1,"")</f>
        <v>1</v>
      </c>
      <c r="AV272" s="49">
        <v>2</v>
      </c>
      <c r="AW272" s="50">
        <v>2.127659574468085</v>
      </c>
      <c r="AX272" s="49">
        <v>0</v>
      </c>
      <c r="AY272" s="50">
        <v>0</v>
      </c>
      <c r="AZ272" s="49">
        <v>0</v>
      </c>
      <c r="BA272" s="50">
        <v>0</v>
      </c>
      <c r="BB272" s="49">
        <v>92</v>
      </c>
      <c r="BC272" s="50">
        <v>97.87234042553192</v>
      </c>
      <c r="BD272" s="49">
        <v>94</v>
      </c>
      <c r="BE272" s="49"/>
      <c r="BF272" s="49"/>
      <c r="BG272" s="49"/>
      <c r="BH272" s="49"/>
      <c r="BI272" s="49"/>
      <c r="BJ272" s="49"/>
      <c r="BK272" s="111" t="s">
        <v>4637</v>
      </c>
      <c r="BL272" s="111" t="s">
        <v>4637</v>
      </c>
      <c r="BM272" s="111" t="s">
        <v>5111</v>
      </c>
      <c r="BN272" s="111" t="s">
        <v>5111</v>
      </c>
      <c r="BO272" s="2"/>
      <c r="BP272" s="3"/>
      <c r="BQ272" s="3"/>
      <c r="BR272" s="3"/>
      <c r="BS272" s="3"/>
    </row>
    <row r="273" spans="1:71" ht="15">
      <c r="A273" s="65" t="s">
        <v>497</v>
      </c>
      <c r="B273" s="66"/>
      <c r="C273" s="66"/>
      <c r="D273" s="67">
        <v>150</v>
      </c>
      <c r="E273" s="69"/>
      <c r="F273" s="103" t="str">
        <f>HYPERLINK("https://yt3.ggpht.com/ytc/AKedOLSKMUWw6hUUMlDJ61iARXoHUuRH4g9yFoKNG_9Jxw=s88-c-k-c0x00ffffff-no-rj")</f>
        <v>https://yt3.ggpht.com/ytc/AKedOLSKMUWw6hUUMlDJ61iARXoHUuRH4g9yFoKNG_9Jxw=s88-c-k-c0x00ffffff-no-rj</v>
      </c>
      <c r="G273" s="66"/>
      <c r="H273" s="70" t="s">
        <v>1826</v>
      </c>
      <c r="I273" s="71"/>
      <c r="J273" s="71" t="s">
        <v>159</v>
      </c>
      <c r="K273" s="70" t="s">
        <v>1826</v>
      </c>
      <c r="L273" s="74">
        <v>1</v>
      </c>
      <c r="M273" s="75">
        <v>4455.7900390625</v>
      </c>
      <c r="N273" s="75">
        <v>8838.0068359375</v>
      </c>
      <c r="O273" s="76"/>
      <c r="P273" s="77"/>
      <c r="Q273" s="77"/>
      <c r="R273" s="89"/>
      <c r="S273" s="49">
        <v>1</v>
      </c>
      <c r="T273" s="49">
        <v>1</v>
      </c>
      <c r="U273" s="50">
        <v>0</v>
      </c>
      <c r="V273" s="50">
        <v>0.002597</v>
      </c>
      <c r="W273" s="50">
        <v>0.00486</v>
      </c>
      <c r="X273" s="50">
        <v>0.526148</v>
      </c>
      <c r="Y273" s="50">
        <v>0</v>
      </c>
      <c r="Z273" s="50">
        <v>1</v>
      </c>
      <c r="AA273" s="72">
        <v>273</v>
      </c>
      <c r="AB273" s="72"/>
      <c r="AC273" s="73"/>
      <c r="AD273" s="80" t="s">
        <v>1826</v>
      </c>
      <c r="AE273" s="80" t="s">
        <v>2892</v>
      </c>
      <c r="AF273" s="80"/>
      <c r="AG273" s="80"/>
      <c r="AH273" s="80"/>
      <c r="AI273" s="80"/>
      <c r="AJ273" s="80" t="s">
        <v>3253</v>
      </c>
      <c r="AK273" s="85" t="str">
        <f>HYPERLINK("https://yt3.ggpht.com/ytc/AKedOLSKMUWw6hUUMlDJ61iARXoHUuRH4g9yFoKNG_9Jxw=s88-c-k-c0x00ffffff-no-rj")</f>
        <v>https://yt3.ggpht.com/ytc/AKedOLSKMUWw6hUUMlDJ61iARXoHUuRH4g9yFoKNG_9Jxw=s88-c-k-c0x00ffffff-no-rj</v>
      </c>
      <c r="AL273" s="80">
        <v>0</v>
      </c>
      <c r="AM273" s="80">
        <v>0</v>
      </c>
      <c r="AN273" s="80">
        <v>15</v>
      </c>
      <c r="AO273" s="80" t="b">
        <v>0</v>
      </c>
      <c r="AP273" s="80">
        <v>0</v>
      </c>
      <c r="AQ273" s="80"/>
      <c r="AR273" s="80"/>
      <c r="AS273" s="80" t="s">
        <v>3412</v>
      </c>
      <c r="AT273" s="85" t="str">
        <f>HYPERLINK("https://www.youtube.com/channel/UCoY9fSo-VCbx-X5IALS-KRg")</f>
        <v>https://www.youtube.com/channel/UCoY9fSo-VCbx-X5IALS-KRg</v>
      </c>
      <c r="AU273" s="80" t="str">
        <f>REPLACE(INDEX(GroupVertices[Group],MATCH(Vertices[[#This Row],[Vertex]],GroupVertices[Vertex],0)),1,1,"")</f>
        <v>1</v>
      </c>
      <c r="AV273" s="49">
        <v>1</v>
      </c>
      <c r="AW273" s="50">
        <v>100</v>
      </c>
      <c r="AX273" s="49">
        <v>0</v>
      </c>
      <c r="AY273" s="50">
        <v>0</v>
      </c>
      <c r="AZ273" s="49">
        <v>0</v>
      </c>
      <c r="BA273" s="50">
        <v>0</v>
      </c>
      <c r="BB273" s="49">
        <v>0</v>
      </c>
      <c r="BC273" s="50">
        <v>0</v>
      </c>
      <c r="BD273" s="49">
        <v>1</v>
      </c>
      <c r="BE273" s="49"/>
      <c r="BF273" s="49"/>
      <c r="BG273" s="49"/>
      <c r="BH273" s="49"/>
      <c r="BI273" s="49"/>
      <c r="BJ273" s="49"/>
      <c r="BK273" s="111" t="s">
        <v>3520</v>
      </c>
      <c r="BL273" s="111" t="s">
        <v>3520</v>
      </c>
      <c r="BM273" s="111" t="s">
        <v>2782</v>
      </c>
      <c r="BN273" s="111" t="s">
        <v>2782</v>
      </c>
      <c r="BO273" s="2"/>
      <c r="BP273" s="3"/>
      <c r="BQ273" s="3"/>
      <c r="BR273" s="3"/>
      <c r="BS273" s="3"/>
    </row>
    <row r="274" spans="1:71" ht="15">
      <c r="A274" s="65" t="s">
        <v>498</v>
      </c>
      <c r="B274" s="66"/>
      <c r="C274" s="66"/>
      <c r="D274" s="67">
        <v>150</v>
      </c>
      <c r="E274" s="69"/>
      <c r="F274" s="103" t="str">
        <f>HYPERLINK("https://yt3.ggpht.com/ytc/AKedOLQ7LuQMHDNz1rzXIorLxvYJzS9UpRpuUKM6fMnI=s88-c-k-c0x00ffffff-no-rj")</f>
        <v>https://yt3.ggpht.com/ytc/AKedOLQ7LuQMHDNz1rzXIorLxvYJzS9UpRpuUKM6fMnI=s88-c-k-c0x00ffffff-no-rj</v>
      </c>
      <c r="G274" s="66"/>
      <c r="H274" s="70" t="s">
        <v>1827</v>
      </c>
      <c r="I274" s="71"/>
      <c r="J274" s="71" t="s">
        <v>159</v>
      </c>
      <c r="K274" s="70" t="s">
        <v>1827</v>
      </c>
      <c r="L274" s="74">
        <v>1</v>
      </c>
      <c r="M274" s="75">
        <v>4943.77880859375</v>
      </c>
      <c r="N274" s="75">
        <v>8512.576171875</v>
      </c>
      <c r="O274" s="76"/>
      <c r="P274" s="77"/>
      <c r="Q274" s="77"/>
      <c r="R274" s="89"/>
      <c r="S274" s="49">
        <v>0</v>
      </c>
      <c r="T274" s="49">
        <v>1</v>
      </c>
      <c r="U274" s="50">
        <v>0</v>
      </c>
      <c r="V274" s="50">
        <v>0.002597</v>
      </c>
      <c r="W274" s="50">
        <v>0.00486</v>
      </c>
      <c r="X274" s="50">
        <v>0.526148</v>
      </c>
      <c r="Y274" s="50">
        <v>0</v>
      </c>
      <c r="Z274" s="50">
        <v>0</v>
      </c>
      <c r="AA274" s="72">
        <v>274</v>
      </c>
      <c r="AB274" s="72"/>
      <c r="AC274" s="73"/>
      <c r="AD274" s="80" t="s">
        <v>1827</v>
      </c>
      <c r="AE274" s="80"/>
      <c r="AF274" s="80"/>
      <c r="AG274" s="80"/>
      <c r="AH274" s="80"/>
      <c r="AI274" s="80"/>
      <c r="AJ274" s="80" t="s">
        <v>3254</v>
      </c>
      <c r="AK274" s="85" t="str">
        <f>HYPERLINK("https://yt3.ggpht.com/ytc/AKedOLQ7LuQMHDNz1rzXIorLxvYJzS9UpRpuUKM6fMnI=s88-c-k-c0x00ffffff-no-rj")</f>
        <v>https://yt3.ggpht.com/ytc/AKedOLQ7LuQMHDNz1rzXIorLxvYJzS9UpRpuUKM6fMnI=s88-c-k-c0x00ffffff-no-rj</v>
      </c>
      <c r="AL274" s="80">
        <v>0</v>
      </c>
      <c r="AM274" s="80">
        <v>0</v>
      </c>
      <c r="AN274" s="80">
        <v>2</v>
      </c>
      <c r="AO274" s="80" t="b">
        <v>0</v>
      </c>
      <c r="AP274" s="80">
        <v>0</v>
      </c>
      <c r="AQ274" s="80"/>
      <c r="AR274" s="80"/>
      <c r="AS274" s="80" t="s">
        <v>3412</v>
      </c>
      <c r="AT274" s="85" t="str">
        <f>HYPERLINK("https://www.youtube.com/channel/UCUGYNSGc5NL6y1g8jvaZ8Ig")</f>
        <v>https://www.youtube.com/channel/UCUGYNSGc5NL6y1g8jvaZ8Ig</v>
      </c>
      <c r="AU274" s="80" t="str">
        <f>REPLACE(INDEX(GroupVertices[Group],MATCH(Vertices[[#This Row],[Vertex]],GroupVertices[Vertex],0)),1,1,"")</f>
        <v>1</v>
      </c>
      <c r="AV274" s="49">
        <v>2</v>
      </c>
      <c r="AW274" s="50">
        <v>9.523809523809524</v>
      </c>
      <c r="AX274" s="49">
        <v>0</v>
      </c>
      <c r="AY274" s="50">
        <v>0</v>
      </c>
      <c r="AZ274" s="49">
        <v>0</v>
      </c>
      <c r="BA274" s="50">
        <v>0</v>
      </c>
      <c r="BB274" s="49">
        <v>19</v>
      </c>
      <c r="BC274" s="50">
        <v>90.47619047619048</v>
      </c>
      <c r="BD274" s="49">
        <v>21</v>
      </c>
      <c r="BE274" s="49"/>
      <c r="BF274" s="49"/>
      <c r="BG274" s="49"/>
      <c r="BH274" s="49"/>
      <c r="BI274" s="49"/>
      <c r="BJ274" s="49"/>
      <c r="BK274" s="111" t="s">
        <v>4638</v>
      </c>
      <c r="BL274" s="111" t="s">
        <v>4638</v>
      </c>
      <c r="BM274" s="111" t="s">
        <v>5112</v>
      </c>
      <c r="BN274" s="111" t="s">
        <v>5112</v>
      </c>
      <c r="BO274" s="2"/>
      <c r="BP274" s="3"/>
      <c r="BQ274" s="3"/>
      <c r="BR274" s="3"/>
      <c r="BS274" s="3"/>
    </row>
    <row r="275" spans="1:71" ht="15">
      <c r="A275" s="65" t="s">
        <v>499</v>
      </c>
      <c r="B275" s="66"/>
      <c r="C275" s="66"/>
      <c r="D275" s="67">
        <v>150</v>
      </c>
      <c r="E275" s="69"/>
      <c r="F275" s="103" t="str">
        <f>HYPERLINK("https://yt3.ggpht.com/ytc/AKedOLRbJgddw2RlEhbxGd8ZdfJajCMQdc6p87JM7A=s88-c-k-c0x00ffffff-no-rj")</f>
        <v>https://yt3.ggpht.com/ytc/AKedOLRbJgddw2RlEhbxGd8ZdfJajCMQdc6p87JM7A=s88-c-k-c0x00ffffff-no-rj</v>
      </c>
      <c r="G275" s="66"/>
      <c r="H275" s="70" t="s">
        <v>1828</v>
      </c>
      <c r="I275" s="71"/>
      <c r="J275" s="71" t="s">
        <v>159</v>
      </c>
      <c r="K275" s="70" t="s">
        <v>1828</v>
      </c>
      <c r="L275" s="74">
        <v>1</v>
      </c>
      <c r="M275" s="75">
        <v>5565.21337890625</v>
      </c>
      <c r="N275" s="75">
        <v>9653.857421875</v>
      </c>
      <c r="O275" s="76"/>
      <c r="P275" s="77"/>
      <c r="Q275" s="77"/>
      <c r="R275" s="89"/>
      <c r="S275" s="49">
        <v>0</v>
      </c>
      <c r="T275" s="49">
        <v>1</v>
      </c>
      <c r="U275" s="50">
        <v>0</v>
      </c>
      <c r="V275" s="50">
        <v>0.002597</v>
      </c>
      <c r="W275" s="50">
        <v>0.00486</v>
      </c>
      <c r="X275" s="50">
        <v>0.526148</v>
      </c>
      <c r="Y275" s="50">
        <v>0</v>
      </c>
      <c r="Z275" s="50">
        <v>0</v>
      </c>
      <c r="AA275" s="72">
        <v>275</v>
      </c>
      <c r="AB275" s="72"/>
      <c r="AC275" s="73"/>
      <c r="AD275" s="80" t="s">
        <v>1828</v>
      </c>
      <c r="AE275" s="80"/>
      <c r="AF275" s="80"/>
      <c r="AG275" s="80"/>
      <c r="AH275" s="80"/>
      <c r="AI275" s="80"/>
      <c r="AJ275" s="80" t="s">
        <v>3255</v>
      </c>
      <c r="AK275" s="85" t="str">
        <f>HYPERLINK("https://yt3.ggpht.com/ytc/AKedOLRbJgddw2RlEhbxGd8ZdfJajCMQdc6p87JM7A=s88-c-k-c0x00ffffff-no-rj")</f>
        <v>https://yt3.ggpht.com/ytc/AKedOLRbJgddw2RlEhbxGd8ZdfJajCMQdc6p87JM7A=s88-c-k-c0x00ffffff-no-rj</v>
      </c>
      <c r="AL275" s="80">
        <v>0</v>
      </c>
      <c r="AM275" s="80">
        <v>0</v>
      </c>
      <c r="AN275" s="80">
        <v>14</v>
      </c>
      <c r="AO275" s="80" t="b">
        <v>0</v>
      </c>
      <c r="AP275" s="80">
        <v>0</v>
      </c>
      <c r="AQ275" s="80"/>
      <c r="AR275" s="80"/>
      <c r="AS275" s="80" t="s">
        <v>3412</v>
      </c>
      <c r="AT275" s="85" t="str">
        <f>HYPERLINK("https://www.youtube.com/channel/UCb1CDQZ1SMWhRdNPBpjqk_A")</f>
        <v>https://www.youtube.com/channel/UCb1CDQZ1SMWhRdNPBpjqk_A</v>
      </c>
      <c r="AU275" s="80" t="str">
        <f>REPLACE(INDEX(GroupVertices[Group],MATCH(Vertices[[#This Row],[Vertex]],GroupVertices[Vertex],0)),1,1,"")</f>
        <v>1</v>
      </c>
      <c r="AV275" s="49">
        <v>1</v>
      </c>
      <c r="AW275" s="50">
        <v>2.272727272727273</v>
      </c>
      <c r="AX275" s="49">
        <v>3</v>
      </c>
      <c r="AY275" s="50">
        <v>6.818181818181818</v>
      </c>
      <c r="AZ275" s="49">
        <v>0</v>
      </c>
      <c r="BA275" s="50">
        <v>0</v>
      </c>
      <c r="BB275" s="49">
        <v>40</v>
      </c>
      <c r="BC275" s="50">
        <v>90.9090909090909</v>
      </c>
      <c r="BD275" s="49">
        <v>44</v>
      </c>
      <c r="BE275" s="49"/>
      <c r="BF275" s="49"/>
      <c r="BG275" s="49"/>
      <c r="BH275" s="49"/>
      <c r="BI275" s="49"/>
      <c r="BJ275" s="49"/>
      <c r="BK275" s="111" t="s">
        <v>4639</v>
      </c>
      <c r="BL275" s="111" t="s">
        <v>4639</v>
      </c>
      <c r="BM275" s="111" t="s">
        <v>5113</v>
      </c>
      <c r="BN275" s="111" t="s">
        <v>5113</v>
      </c>
      <c r="BO275" s="2"/>
      <c r="BP275" s="3"/>
      <c r="BQ275" s="3"/>
      <c r="BR275" s="3"/>
      <c r="BS275" s="3"/>
    </row>
    <row r="276" spans="1:71" ht="15">
      <c r="A276" s="65" t="s">
        <v>500</v>
      </c>
      <c r="B276" s="66"/>
      <c r="C276" s="66"/>
      <c r="D276" s="67">
        <v>150</v>
      </c>
      <c r="E276" s="69"/>
      <c r="F276" s="103" t="str">
        <f>HYPERLINK("https://yt3.ggpht.com/ytc/AKedOLSDNfKU54kiaAUg_jGi2Lg4nLIPAV5UrVQUpg=s88-c-k-c0x00ffffff-no-rj")</f>
        <v>https://yt3.ggpht.com/ytc/AKedOLSDNfKU54kiaAUg_jGi2Lg4nLIPAV5UrVQUpg=s88-c-k-c0x00ffffff-no-rj</v>
      </c>
      <c r="G276" s="66"/>
      <c r="H276" s="70" t="s">
        <v>1829</v>
      </c>
      <c r="I276" s="71"/>
      <c r="J276" s="71" t="s">
        <v>159</v>
      </c>
      <c r="K276" s="70" t="s">
        <v>1829</v>
      </c>
      <c r="L276" s="74">
        <v>1</v>
      </c>
      <c r="M276" s="75">
        <v>5064.95263671875</v>
      </c>
      <c r="N276" s="75">
        <v>7983.25537109375</v>
      </c>
      <c r="O276" s="76"/>
      <c r="P276" s="77"/>
      <c r="Q276" s="77"/>
      <c r="R276" s="89"/>
      <c r="S276" s="49">
        <v>0</v>
      </c>
      <c r="T276" s="49">
        <v>1</v>
      </c>
      <c r="U276" s="50">
        <v>0</v>
      </c>
      <c r="V276" s="50">
        <v>0.002597</v>
      </c>
      <c r="W276" s="50">
        <v>0.00486</v>
      </c>
      <c r="X276" s="50">
        <v>0.526148</v>
      </c>
      <c r="Y276" s="50">
        <v>0</v>
      </c>
      <c r="Z276" s="50">
        <v>0</v>
      </c>
      <c r="AA276" s="72">
        <v>276</v>
      </c>
      <c r="AB276" s="72"/>
      <c r="AC276" s="73"/>
      <c r="AD276" s="80" t="s">
        <v>1829</v>
      </c>
      <c r="AE276" s="80"/>
      <c r="AF276" s="80"/>
      <c r="AG276" s="80"/>
      <c r="AH276" s="80"/>
      <c r="AI276" s="80"/>
      <c r="AJ276" s="80" t="s">
        <v>3256</v>
      </c>
      <c r="AK276" s="85" t="str">
        <f>HYPERLINK("https://yt3.ggpht.com/ytc/AKedOLSDNfKU54kiaAUg_jGi2Lg4nLIPAV5UrVQUpg=s88-c-k-c0x00ffffff-no-rj")</f>
        <v>https://yt3.ggpht.com/ytc/AKedOLSDNfKU54kiaAUg_jGi2Lg4nLIPAV5UrVQUpg=s88-c-k-c0x00ffffff-no-rj</v>
      </c>
      <c r="AL276" s="80">
        <v>0</v>
      </c>
      <c r="AM276" s="80">
        <v>0</v>
      </c>
      <c r="AN276" s="80">
        <v>0</v>
      </c>
      <c r="AO276" s="80" t="b">
        <v>0</v>
      </c>
      <c r="AP276" s="80">
        <v>0</v>
      </c>
      <c r="AQ276" s="80"/>
      <c r="AR276" s="80"/>
      <c r="AS276" s="80" t="s">
        <v>3412</v>
      </c>
      <c r="AT276" s="85" t="str">
        <f>HYPERLINK("https://www.youtube.com/channel/UCC7sJIpRIAYS5Ve_iqzMwHA")</f>
        <v>https://www.youtube.com/channel/UCC7sJIpRIAYS5Ve_iqzMwHA</v>
      </c>
      <c r="AU276" s="80" t="str">
        <f>REPLACE(INDEX(GroupVertices[Group],MATCH(Vertices[[#This Row],[Vertex]],GroupVertices[Vertex],0)),1,1,"")</f>
        <v>1</v>
      </c>
      <c r="AV276" s="49">
        <v>3</v>
      </c>
      <c r="AW276" s="50">
        <v>9.090909090909092</v>
      </c>
      <c r="AX276" s="49">
        <v>1</v>
      </c>
      <c r="AY276" s="50">
        <v>3.0303030303030303</v>
      </c>
      <c r="AZ276" s="49">
        <v>0</v>
      </c>
      <c r="BA276" s="50">
        <v>0</v>
      </c>
      <c r="BB276" s="49">
        <v>29</v>
      </c>
      <c r="BC276" s="50">
        <v>87.87878787878788</v>
      </c>
      <c r="BD276" s="49">
        <v>33</v>
      </c>
      <c r="BE276" s="49"/>
      <c r="BF276" s="49"/>
      <c r="BG276" s="49"/>
      <c r="BH276" s="49"/>
      <c r="BI276" s="49"/>
      <c r="BJ276" s="49"/>
      <c r="BK276" s="111" t="s">
        <v>4640</v>
      </c>
      <c r="BL276" s="111" t="s">
        <v>4640</v>
      </c>
      <c r="BM276" s="111" t="s">
        <v>5114</v>
      </c>
      <c r="BN276" s="111" t="s">
        <v>5114</v>
      </c>
      <c r="BO276" s="2"/>
      <c r="BP276" s="3"/>
      <c r="BQ276" s="3"/>
      <c r="BR276" s="3"/>
      <c r="BS276" s="3"/>
    </row>
    <row r="277" spans="1:71" ht="15">
      <c r="A277" s="65" t="s">
        <v>501</v>
      </c>
      <c r="B277" s="66"/>
      <c r="C277" s="66"/>
      <c r="D277" s="67">
        <v>150</v>
      </c>
      <c r="E277" s="69"/>
      <c r="F277" s="103" t="str">
        <f>HYPERLINK("https://yt3.ggpht.com/ytc/AKedOLSyvlzaecAlb9QLf5QvqIGazVDMQwblUah0Xn5n=s88-c-k-c0x00ffffff-no-rj")</f>
        <v>https://yt3.ggpht.com/ytc/AKedOLSyvlzaecAlb9QLf5QvqIGazVDMQwblUah0Xn5n=s88-c-k-c0x00ffffff-no-rj</v>
      </c>
      <c r="G277" s="66"/>
      <c r="H277" s="70" t="s">
        <v>1830</v>
      </c>
      <c r="I277" s="71"/>
      <c r="J277" s="71" t="s">
        <v>159</v>
      </c>
      <c r="K277" s="70" t="s">
        <v>1830</v>
      </c>
      <c r="L277" s="74">
        <v>1</v>
      </c>
      <c r="M277" s="75">
        <v>5953.7763671875</v>
      </c>
      <c r="N277" s="75">
        <v>8507.8037109375</v>
      </c>
      <c r="O277" s="76"/>
      <c r="P277" s="77"/>
      <c r="Q277" s="77"/>
      <c r="R277" s="89"/>
      <c r="S277" s="49">
        <v>0</v>
      </c>
      <c r="T277" s="49">
        <v>1</v>
      </c>
      <c r="U277" s="50">
        <v>0</v>
      </c>
      <c r="V277" s="50">
        <v>0.002597</v>
      </c>
      <c r="W277" s="50">
        <v>0.00486</v>
      </c>
      <c r="X277" s="50">
        <v>0.526148</v>
      </c>
      <c r="Y277" s="50">
        <v>0</v>
      </c>
      <c r="Z277" s="50">
        <v>0</v>
      </c>
      <c r="AA277" s="72">
        <v>277</v>
      </c>
      <c r="AB277" s="72"/>
      <c r="AC277" s="73"/>
      <c r="AD277" s="80" t="s">
        <v>1830</v>
      </c>
      <c r="AE277" s="80"/>
      <c r="AF277" s="80"/>
      <c r="AG277" s="80"/>
      <c r="AH277" s="80"/>
      <c r="AI277" s="80"/>
      <c r="AJ277" s="80" t="s">
        <v>3257</v>
      </c>
      <c r="AK277" s="85" t="str">
        <f>HYPERLINK("https://yt3.ggpht.com/ytc/AKedOLSyvlzaecAlb9QLf5QvqIGazVDMQwblUah0Xn5n=s88-c-k-c0x00ffffff-no-rj")</f>
        <v>https://yt3.ggpht.com/ytc/AKedOLSyvlzaecAlb9QLf5QvqIGazVDMQwblUah0Xn5n=s88-c-k-c0x00ffffff-no-rj</v>
      </c>
      <c r="AL277" s="80">
        <v>0</v>
      </c>
      <c r="AM277" s="80">
        <v>0</v>
      </c>
      <c r="AN277" s="80">
        <v>4</v>
      </c>
      <c r="AO277" s="80" t="b">
        <v>0</v>
      </c>
      <c r="AP277" s="80">
        <v>0</v>
      </c>
      <c r="AQ277" s="80"/>
      <c r="AR277" s="80"/>
      <c r="AS277" s="80" t="s">
        <v>3412</v>
      </c>
      <c r="AT277" s="85" t="str">
        <f>HYPERLINK("https://www.youtube.com/channel/UC4V_OcROgwAITFs46GdU0Hw")</f>
        <v>https://www.youtube.com/channel/UC4V_OcROgwAITFs46GdU0Hw</v>
      </c>
      <c r="AU277" s="80" t="str">
        <f>REPLACE(INDEX(GroupVertices[Group],MATCH(Vertices[[#This Row],[Vertex]],GroupVertices[Vertex],0)),1,1,"")</f>
        <v>1</v>
      </c>
      <c r="AV277" s="49">
        <v>4</v>
      </c>
      <c r="AW277" s="50">
        <v>40</v>
      </c>
      <c r="AX277" s="49">
        <v>0</v>
      </c>
      <c r="AY277" s="50">
        <v>0</v>
      </c>
      <c r="AZ277" s="49">
        <v>0</v>
      </c>
      <c r="BA277" s="50">
        <v>0</v>
      </c>
      <c r="BB277" s="49">
        <v>6</v>
      </c>
      <c r="BC277" s="50">
        <v>60</v>
      </c>
      <c r="BD277" s="49">
        <v>10</v>
      </c>
      <c r="BE277" s="49"/>
      <c r="BF277" s="49"/>
      <c r="BG277" s="49"/>
      <c r="BH277" s="49"/>
      <c r="BI277" s="49"/>
      <c r="BJ277" s="49"/>
      <c r="BK277" s="111" t="s">
        <v>4641</v>
      </c>
      <c r="BL277" s="111" t="s">
        <v>4641</v>
      </c>
      <c r="BM277" s="111" t="s">
        <v>5115</v>
      </c>
      <c r="BN277" s="111" t="s">
        <v>5115</v>
      </c>
      <c r="BO277" s="2"/>
      <c r="BP277" s="3"/>
      <c r="BQ277" s="3"/>
      <c r="BR277" s="3"/>
      <c r="BS277" s="3"/>
    </row>
    <row r="278" spans="1:71" ht="15">
      <c r="A278" s="65" t="s">
        <v>502</v>
      </c>
      <c r="B278" s="66"/>
      <c r="C278" s="66"/>
      <c r="D278" s="67">
        <v>150</v>
      </c>
      <c r="E278" s="69"/>
      <c r="F278" s="103" t="str">
        <f>HYPERLINK("https://yt3.ggpht.com/ytc/AKedOLTSM_TtyYm2PG_x-sXoeEzUYX2gXGIpngr2aA=s88-c-k-c0x00ffffff-no-rj")</f>
        <v>https://yt3.ggpht.com/ytc/AKedOLTSM_TtyYm2PG_x-sXoeEzUYX2gXGIpngr2aA=s88-c-k-c0x00ffffff-no-rj</v>
      </c>
      <c r="G278" s="66"/>
      <c r="H278" s="70" t="s">
        <v>1831</v>
      </c>
      <c r="I278" s="71"/>
      <c r="J278" s="71" t="s">
        <v>159</v>
      </c>
      <c r="K278" s="70" t="s">
        <v>1831</v>
      </c>
      <c r="L278" s="74">
        <v>1</v>
      </c>
      <c r="M278" s="75">
        <v>4867.7490234375</v>
      </c>
      <c r="N278" s="75">
        <v>9502.3369140625</v>
      </c>
      <c r="O278" s="76"/>
      <c r="P278" s="77"/>
      <c r="Q278" s="77"/>
      <c r="R278" s="89"/>
      <c r="S278" s="49">
        <v>0</v>
      </c>
      <c r="T278" s="49">
        <v>1</v>
      </c>
      <c r="U278" s="50">
        <v>0</v>
      </c>
      <c r="V278" s="50">
        <v>0.002597</v>
      </c>
      <c r="W278" s="50">
        <v>0.00486</v>
      </c>
      <c r="X278" s="50">
        <v>0.526148</v>
      </c>
      <c r="Y278" s="50">
        <v>0</v>
      </c>
      <c r="Z278" s="50">
        <v>0</v>
      </c>
      <c r="AA278" s="72">
        <v>278</v>
      </c>
      <c r="AB278" s="72"/>
      <c r="AC278" s="73"/>
      <c r="AD278" s="80" t="s">
        <v>1831</v>
      </c>
      <c r="AE278" s="80"/>
      <c r="AF278" s="80"/>
      <c r="AG278" s="80"/>
      <c r="AH278" s="80"/>
      <c r="AI278" s="80"/>
      <c r="AJ278" s="80" t="s">
        <v>3258</v>
      </c>
      <c r="AK278" s="85" t="str">
        <f>HYPERLINK("https://yt3.ggpht.com/ytc/AKedOLTSM_TtyYm2PG_x-sXoeEzUYX2gXGIpngr2aA=s88-c-k-c0x00ffffff-no-rj")</f>
        <v>https://yt3.ggpht.com/ytc/AKedOLTSM_TtyYm2PG_x-sXoeEzUYX2gXGIpngr2aA=s88-c-k-c0x00ffffff-no-rj</v>
      </c>
      <c r="AL278" s="80">
        <v>0</v>
      </c>
      <c r="AM278" s="80">
        <v>0</v>
      </c>
      <c r="AN278" s="80">
        <v>6</v>
      </c>
      <c r="AO278" s="80" t="b">
        <v>0</v>
      </c>
      <c r="AP278" s="80">
        <v>0</v>
      </c>
      <c r="AQ278" s="80"/>
      <c r="AR278" s="80"/>
      <c r="AS278" s="80" t="s">
        <v>3412</v>
      </c>
      <c r="AT278" s="85" t="str">
        <f>HYPERLINK("https://www.youtube.com/channel/UCJKBWpRL_vVj9nNbVGa9t7g")</f>
        <v>https://www.youtube.com/channel/UCJKBWpRL_vVj9nNbVGa9t7g</v>
      </c>
      <c r="AU278" s="80" t="str">
        <f>REPLACE(INDEX(GroupVertices[Group],MATCH(Vertices[[#This Row],[Vertex]],GroupVertices[Vertex],0)),1,1,"")</f>
        <v>1</v>
      </c>
      <c r="AV278" s="49">
        <v>1</v>
      </c>
      <c r="AW278" s="50">
        <v>7.6923076923076925</v>
      </c>
      <c r="AX278" s="49">
        <v>0</v>
      </c>
      <c r="AY278" s="50">
        <v>0</v>
      </c>
      <c r="AZ278" s="49">
        <v>0</v>
      </c>
      <c r="BA278" s="50">
        <v>0</v>
      </c>
      <c r="BB278" s="49">
        <v>12</v>
      </c>
      <c r="BC278" s="50">
        <v>92.3076923076923</v>
      </c>
      <c r="BD278" s="49">
        <v>13</v>
      </c>
      <c r="BE278" s="49"/>
      <c r="BF278" s="49"/>
      <c r="BG278" s="49"/>
      <c r="BH278" s="49"/>
      <c r="BI278" s="49"/>
      <c r="BJ278" s="49"/>
      <c r="BK278" s="111" t="s">
        <v>4642</v>
      </c>
      <c r="BL278" s="111" t="s">
        <v>4642</v>
      </c>
      <c r="BM278" s="111" t="s">
        <v>5116</v>
      </c>
      <c r="BN278" s="111" t="s">
        <v>5116</v>
      </c>
      <c r="BO278" s="2"/>
      <c r="BP278" s="3"/>
      <c r="BQ278" s="3"/>
      <c r="BR278" s="3"/>
      <c r="BS278" s="3"/>
    </row>
    <row r="279" spans="1:71" ht="15">
      <c r="A279" s="65" t="s">
        <v>503</v>
      </c>
      <c r="B279" s="66"/>
      <c r="C279" s="66"/>
      <c r="D279" s="67">
        <v>150</v>
      </c>
      <c r="E279" s="69"/>
      <c r="F279" s="103" t="str">
        <f>HYPERLINK("https://yt3.ggpht.com/ytc/AKedOLTeoPHNREcmMf4ot3Q4lGyWFyKjAkAuGBFdItf1lA=s88-c-k-c0x00ffffff-no-rj")</f>
        <v>https://yt3.ggpht.com/ytc/AKedOLTeoPHNREcmMf4ot3Q4lGyWFyKjAkAuGBFdItf1lA=s88-c-k-c0x00ffffff-no-rj</v>
      </c>
      <c r="G279" s="66"/>
      <c r="H279" s="70" t="s">
        <v>1832</v>
      </c>
      <c r="I279" s="71"/>
      <c r="J279" s="71" t="s">
        <v>159</v>
      </c>
      <c r="K279" s="70" t="s">
        <v>1832</v>
      </c>
      <c r="L279" s="74">
        <v>1</v>
      </c>
      <c r="M279" s="75">
        <v>8409.638671875</v>
      </c>
      <c r="N279" s="75">
        <v>7959.44677734375</v>
      </c>
      <c r="O279" s="76"/>
      <c r="P279" s="77"/>
      <c r="Q279" s="77"/>
      <c r="R279" s="89"/>
      <c r="S279" s="49">
        <v>1</v>
      </c>
      <c r="T279" s="49">
        <v>1</v>
      </c>
      <c r="U279" s="50">
        <v>0</v>
      </c>
      <c r="V279" s="50">
        <v>0.002597</v>
      </c>
      <c r="W279" s="50">
        <v>0.00486</v>
      </c>
      <c r="X279" s="50">
        <v>0.526148</v>
      </c>
      <c r="Y279" s="50">
        <v>0</v>
      </c>
      <c r="Z279" s="50">
        <v>1</v>
      </c>
      <c r="AA279" s="72">
        <v>279</v>
      </c>
      <c r="AB279" s="72"/>
      <c r="AC279" s="73"/>
      <c r="AD279" s="80" t="s">
        <v>1832</v>
      </c>
      <c r="AE279" s="80"/>
      <c r="AF279" s="80"/>
      <c r="AG279" s="80"/>
      <c r="AH279" s="80"/>
      <c r="AI279" s="80"/>
      <c r="AJ279" s="80" t="s">
        <v>3259</v>
      </c>
      <c r="AK279" s="85" t="str">
        <f>HYPERLINK("https://yt3.ggpht.com/ytc/AKedOLTeoPHNREcmMf4ot3Q4lGyWFyKjAkAuGBFdItf1lA=s88-c-k-c0x00ffffff-no-rj")</f>
        <v>https://yt3.ggpht.com/ytc/AKedOLTeoPHNREcmMf4ot3Q4lGyWFyKjAkAuGBFdItf1lA=s88-c-k-c0x00ffffff-no-rj</v>
      </c>
      <c r="AL279" s="80">
        <v>0</v>
      </c>
      <c r="AM279" s="80">
        <v>0</v>
      </c>
      <c r="AN279" s="80">
        <v>0</v>
      </c>
      <c r="AO279" s="80" t="b">
        <v>0</v>
      </c>
      <c r="AP279" s="80">
        <v>0</v>
      </c>
      <c r="AQ279" s="80"/>
      <c r="AR279" s="80"/>
      <c r="AS279" s="80" t="s">
        <v>3412</v>
      </c>
      <c r="AT279" s="85" t="str">
        <f>HYPERLINK("https://www.youtube.com/channel/UCibEJyV5uJFMXGFqdk3sV2w")</f>
        <v>https://www.youtube.com/channel/UCibEJyV5uJFMXGFqdk3sV2w</v>
      </c>
      <c r="AU279" s="80" t="str">
        <f>REPLACE(INDEX(GroupVertices[Group],MATCH(Vertices[[#This Row],[Vertex]],GroupVertices[Vertex],0)),1,1,"")</f>
        <v>1</v>
      </c>
      <c r="AV279" s="49">
        <v>5</v>
      </c>
      <c r="AW279" s="50">
        <v>8.771929824561404</v>
      </c>
      <c r="AX279" s="49">
        <v>0</v>
      </c>
      <c r="AY279" s="50">
        <v>0</v>
      </c>
      <c r="AZ279" s="49">
        <v>0</v>
      </c>
      <c r="BA279" s="50">
        <v>0</v>
      </c>
      <c r="BB279" s="49">
        <v>52</v>
      </c>
      <c r="BC279" s="50">
        <v>91.2280701754386</v>
      </c>
      <c r="BD279" s="49">
        <v>57</v>
      </c>
      <c r="BE279" s="49"/>
      <c r="BF279" s="49"/>
      <c r="BG279" s="49"/>
      <c r="BH279" s="49"/>
      <c r="BI279" s="49"/>
      <c r="BJ279" s="49"/>
      <c r="BK279" s="111" t="s">
        <v>4643</v>
      </c>
      <c r="BL279" s="111" t="s">
        <v>4643</v>
      </c>
      <c r="BM279" s="111" t="s">
        <v>5117</v>
      </c>
      <c r="BN279" s="111" t="s">
        <v>5117</v>
      </c>
      <c r="BO279" s="2"/>
      <c r="BP279" s="3"/>
      <c r="BQ279" s="3"/>
      <c r="BR279" s="3"/>
      <c r="BS279" s="3"/>
    </row>
    <row r="280" spans="1:71" ht="15">
      <c r="A280" s="65" t="s">
        <v>504</v>
      </c>
      <c r="B280" s="66"/>
      <c r="C280" s="66"/>
      <c r="D280" s="67">
        <v>150</v>
      </c>
      <c r="E280" s="69"/>
      <c r="F280" s="103" t="str">
        <f>HYPERLINK("https://yt3.ggpht.com/ytc/AKedOLRw_SpTwm2G43GyCUBLN4KE2fvSh9CI7afu4FW8=s88-c-k-c0x00ffffff-no-rj")</f>
        <v>https://yt3.ggpht.com/ytc/AKedOLRw_SpTwm2G43GyCUBLN4KE2fvSh9CI7afu4FW8=s88-c-k-c0x00ffffff-no-rj</v>
      </c>
      <c r="G280" s="66"/>
      <c r="H280" s="70" t="s">
        <v>1833</v>
      </c>
      <c r="I280" s="71"/>
      <c r="J280" s="71" t="s">
        <v>159</v>
      </c>
      <c r="K280" s="70" t="s">
        <v>1833</v>
      </c>
      <c r="L280" s="74">
        <v>1</v>
      </c>
      <c r="M280" s="75">
        <v>8016.70654296875</v>
      </c>
      <c r="N280" s="75">
        <v>8583.392578125</v>
      </c>
      <c r="O280" s="76"/>
      <c r="P280" s="77"/>
      <c r="Q280" s="77"/>
      <c r="R280" s="89"/>
      <c r="S280" s="49">
        <v>0</v>
      </c>
      <c r="T280" s="49">
        <v>2</v>
      </c>
      <c r="U280" s="50">
        <v>0</v>
      </c>
      <c r="V280" s="50">
        <v>0.002604</v>
      </c>
      <c r="W280" s="50">
        <v>0.005224</v>
      </c>
      <c r="X280" s="50">
        <v>0.915039</v>
      </c>
      <c r="Y280" s="50">
        <v>0.5</v>
      </c>
      <c r="Z280" s="50">
        <v>0</v>
      </c>
      <c r="AA280" s="72">
        <v>280</v>
      </c>
      <c r="AB280" s="72"/>
      <c r="AC280" s="73"/>
      <c r="AD280" s="80" t="s">
        <v>1833</v>
      </c>
      <c r="AE280" s="80" t="s">
        <v>2893</v>
      </c>
      <c r="AF280" s="80"/>
      <c r="AG280" s="80"/>
      <c r="AH280" s="80"/>
      <c r="AI280" s="80" t="s">
        <v>3047</v>
      </c>
      <c r="AJ280" s="87">
        <v>40189.695023148146</v>
      </c>
      <c r="AK280" s="85" t="str">
        <f>HYPERLINK("https://yt3.ggpht.com/ytc/AKedOLRw_SpTwm2G43GyCUBLN4KE2fvSh9CI7afu4FW8=s88-c-k-c0x00ffffff-no-rj")</f>
        <v>https://yt3.ggpht.com/ytc/AKedOLRw_SpTwm2G43GyCUBLN4KE2fvSh9CI7afu4FW8=s88-c-k-c0x00ffffff-no-rj</v>
      </c>
      <c r="AL280" s="80">
        <v>729884</v>
      </c>
      <c r="AM280" s="80">
        <v>0</v>
      </c>
      <c r="AN280" s="80">
        <v>10300</v>
      </c>
      <c r="AO280" s="80" t="b">
        <v>0</v>
      </c>
      <c r="AP280" s="80">
        <v>48</v>
      </c>
      <c r="AQ280" s="80"/>
      <c r="AR280" s="80"/>
      <c r="AS280" s="80" t="s">
        <v>3412</v>
      </c>
      <c r="AT280" s="85" t="str">
        <f>HYPERLINK("https://www.youtube.com/channel/UCzI_ZR5-_HfCNwfMC7YQnsw")</f>
        <v>https://www.youtube.com/channel/UCzI_ZR5-_HfCNwfMC7YQnsw</v>
      </c>
      <c r="AU280" s="80" t="str">
        <f>REPLACE(INDEX(GroupVertices[Group],MATCH(Vertices[[#This Row],[Vertex]],GroupVertices[Vertex],0)),1,1,"")</f>
        <v>1</v>
      </c>
      <c r="AV280" s="49">
        <v>4</v>
      </c>
      <c r="AW280" s="50">
        <v>50</v>
      </c>
      <c r="AX280" s="49">
        <v>0</v>
      </c>
      <c r="AY280" s="50">
        <v>0</v>
      </c>
      <c r="AZ280" s="49">
        <v>0</v>
      </c>
      <c r="BA280" s="50">
        <v>0</v>
      </c>
      <c r="BB280" s="49">
        <v>4</v>
      </c>
      <c r="BC280" s="50">
        <v>50</v>
      </c>
      <c r="BD280" s="49">
        <v>8</v>
      </c>
      <c r="BE280" s="49"/>
      <c r="BF280" s="49"/>
      <c r="BG280" s="49"/>
      <c r="BH280" s="49"/>
      <c r="BI280" s="49"/>
      <c r="BJ280" s="49"/>
      <c r="BK280" s="111" t="s">
        <v>4644</v>
      </c>
      <c r="BL280" s="111" t="s">
        <v>4644</v>
      </c>
      <c r="BM280" s="111" t="s">
        <v>5118</v>
      </c>
      <c r="BN280" s="111" t="s">
        <v>5118</v>
      </c>
      <c r="BO280" s="2"/>
      <c r="BP280" s="3"/>
      <c r="BQ280" s="3"/>
      <c r="BR280" s="3"/>
      <c r="BS280" s="3"/>
    </row>
    <row r="281" spans="1:71" ht="15">
      <c r="A281" s="65" t="s">
        <v>505</v>
      </c>
      <c r="B281" s="66"/>
      <c r="C281" s="66"/>
      <c r="D281" s="67">
        <v>150</v>
      </c>
      <c r="E281" s="69"/>
      <c r="F281" s="103" t="str">
        <f>HYPERLINK("https://yt3.ggpht.com/ytc/AKedOLTYLkqe937JKUvpMLxkFPnZQz6B1RMIzvuB3GZK8Kc=s88-c-k-c0x00ffffff-no-rj")</f>
        <v>https://yt3.ggpht.com/ytc/AKedOLTYLkqe937JKUvpMLxkFPnZQz6B1RMIzvuB3GZK8Kc=s88-c-k-c0x00ffffff-no-rj</v>
      </c>
      <c r="G281" s="66"/>
      <c r="H281" s="70" t="s">
        <v>1834</v>
      </c>
      <c r="I281" s="71"/>
      <c r="J281" s="71" t="s">
        <v>159</v>
      </c>
      <c r="K281" s="70" t="s">
        <v>1834</v>
      </c>
      <c r="L281" s="74">
        <v>1</v>
      </c>
      <c r="M281" s="75">
        <v>9105.794921875</v>
      </c>
      <c r="N281" s="75">
        <v>8474.80078125</v>
      </c>
      <c r="O281" s="76"/>
      <c r="P281" s="77"/>
      <c r="Q281" s="77"/>
      <c r="R281" s="89"/>
      <c r="S281" s="49">
        <v>1</v>
      </c>
      <c r="T281" s="49">
        <v>1</v>
      </c>
      <c r="U281" s="50">
        <v>0</v>
      </c>
      <c r="V281" s="50">
        <v>0.002604</v>
      </c>
      <c r="W281" s="50">
        <v>0.005224</v>
      </c>
      <c r="X281" s="50">
        <v>0.915039</v>
      </c>
      <c r="Y281" s="50">
        <v>0.5</v>
      </c>
      <c r="Z281" s="50">
        <v>0</v>
      </c>
      <c r="AA281" s="72">
        <v>281</v>
      </c>
      <c r="AB281" s="72"/>
      <c r="AC281" s="73"/>
      <c r="AD281" s="80" t="s">
        <v>1834</v>
      </c>
      <c r="AE281" s="80" t="s">
        <v>2894</v>
      </c>
      <c r="AF281" s="80"/>
      <c r="AG281" s="80"/>
      <c r="AH281" s="80"/>
      <c r="AI281" s="80"/>
      <c r="AJ281" s="87">
        <v>41828.838229166664</v>
      </c>
      <c r="AK281" s="85" t="str">
        <f>HYPERLINK("https://yt3.ggpht.com/ytc/AKedOLTYLkqe937JKUvpMLxkFPnZQz6B1RMIzvuB3GZK8Kc=s88-c-k-c0x00ffffff-no-rj")</f>
        <v>https://yt3.ggpht.com/ytc/AKedOLTYLkqe937JKUvpMLxkFPnZQz6B1RMIzvuB3GZK8Kc=s88-c-k-c0x00ffffff-no-rj</v>
      </c>
      <c r="AL281" s="80">
        <v>8831400</v>
      </c>
      <c r="AM281" s="80">
        <v>0</v>
      </c>
      <c r="AN281" s="80">
        <v>82000</v>
      </c>
      <c r="AO281" s="80" t="b">
        <v>0</v>
      </c>
      <c r="AP281" s="80">
        <v>225</v>
      </c>
      <c r="AQ281" s="80"/>
      <c r="AR281" s="80"/>
      <c r="AS281" s="80" t="s">
        <v>3412</v>
      </c>
      <c r="AT281" s="85" t="str">
        <f>HYPERLINK("https://www.youtube.com/channel/UCKxZWXwLzbbcdYQCEiDEgjg")</f>
        <v>https://www.youtube.com/channel/UCKxZWXwLzbbcdYQCEiDEgjg</v>
      </c>
      <c r="AU281" s="80" t="str">
        <f>REPLACE(INDEX(GroupVertices[Group],MATCH(Vertices[[#This Row],[Vertex]],GroupVertices[Vertex],0)),1,1,"")</f>
        <v>1</v>
      </c>
      <c r="AV281" s="49">
        <v>3</v>
      </c>
      <c r="AW281" s="50">
        <v>30</v>
      </c>
      <c r="AX281" s="49">
        <v>0</v>
      </c>
      <c r="AY281" s="50">
        <v>0</v>
      </c>
      <c r="AZ281" s="49">
        <v>0</v>
      </c>
      <c r="BA281" s="50">
        <v>0</v>
      </c>
      <c r="BB281" s="49">
        <v>7</v>
      </c>
      <c r="BC281" s="50">
        <v>70</v>
      </c>
      <c r="BD281" s="49">
        <v>10</v>
      </c>
      <c r="BE281" s="49"/>
      <c r="BF281" s="49"/>
      <c r="BG281" s="49"/>
      <c r="BH281" s="49"/>
      <c r="BI281" s="49"/>
      <c r="BJ281" s="49"/>
      <c r="BK281" s="111" t="s">
        <v>4645</v>
      </c>
      <c r="BL281" s="111" t="s">
        <v>4645</v>
      </c>
      <c r="BM281" s="111" t="s">
        <v>5119</v>
      </c>
      <c r="BN281" s="111" t="s">
        <v>5119</v>
      </c>
      <c r="BO281" s="2"/>
      <c r="BP281" s="3"/>
      <c r="BQ281" s="3"/>
      <c r="BR281" s="3"/>
      <c r="BS281" s="3"/>
    </row>
    <row r="282" spans="1:71" ht="15">
      <c r="A282" s="65" t="s">
        <v>506</v>
      </c>
      <c r="B282" s="66"/>
      <c r="C282" s="66"/>
      <c r="D282" s="67">
        <v>150</v>
      </c>
      <c r="E282" s="69"/>
      <c r="F282" s="103" t="str">
        <f>HYPERLINK("https://yt3.ggpht.com/ytc/AKedOLTyQZ8dLXoSe4GKk_w7Yto5s96XYhiMxHdsAA=s88-c-k-c0x00ffffff-no-rj")</f>
        <v>https://yt3.ggpht.com/ytc/AKedOLTyQZ8dLXoSe4GKk_w7Yto5s96XYhiMxHdsAA=s88-c-k-c0x00ffffff-no-rj</v>
      </c>
      <c r="G282" s="66"/>
      <c r="H282" s="70" t="s">
        <v>1835</v>
      </c>
      <c r="I282" s="71"/>
      <c r="J282" s="71" t="s">
        <v>159</v>
      </c>
      <c r="K282" s="70" t="s">
        <v>1835</v>
      </c>
      <c r="L282" s="74">
        <v>1</v>
      </c>
      <c r="M282" s="75">
        <v>7810.8408203125</v>
      </c>
      <c r="N282" s="75">
        <v>7673.77880859375</v>
      </c>
      <c r="O282" s="76"/>
      <c r="P282" s="77"/>
      <c r="Q282" s="77"/>
      <c r="R282" s="89"/>
      <c r="S282" s="49">
        <v>0</v>
      </c>
      <c r="T282" s="49">
        <v>1</v>
      </c>
      <c r="U282" s="50">
        <v>0</v>
      </c>
      <c r="V282" s="50">
        <v>0.002597</v>
      </c>
      <c r="W282" s="50">
        <v>0.00486</v>
      </c>
      <c r="X282" s="50">
        <v>0.526148</v>
      </c>
      <c r="Y282" s="50">
        <v>0</v>
      </c>
      <c r="Z282" s="50">
        <v>0</v>
      </c>
      <c r="AA282" s="72">
        <v>282</v>
      </c>
      <c r="AB282" s="72"/>
      <c r="AC282" s="73"/>
      <c r="AD282" s="80" t="s">
        <v>1835</v>
      </c>
      <c r="AE282" s="80"/>
      <c r="AF282" s="80"/>
      <c r="AG282" s="80"/>
      <c r="AH282" s="80"/>
      <c r="AI282" s="80"/>
      <c r="AJ282" s="87">
        <v>41892.80063657407</v>
      </c>
      <c r="AK282" s="85" t="str">
        <f>HYPERLINK("https://yt3.ggpht.com/ytc/AKedOLTyQZ8dLXoSe4GKk_w7Yto5s96XYhiMxHdsAA=s88-c-k-c0x00ffffff-no-rj")</f>
        <v>https://yt3.ggpht.com/ytc/AKedOLTyQZ8dLXoSe4GKk_w7Yto5s96XYhiMxHdsAA=s88-c-k-c0x00ffffff-no-rj</v>
      </c>
      <c r="AL282" s="80">
        <v>0</v>
      </c>
      <c r="AM282" s="80">
        <v>0</v>
      </c>
      <c r="AN282" s="80">
        <v>0</v>
      </c>
      <c r="AO282" s="80" t="b">
        <v>0</v>
      </c>
      <c r="AP282" s="80">
        <v>0</v>
      </c>
      <c r="AQ282" s="80"/>
      <c r="AR282" s="80"/>
      <c r="AS282" s="80" t="s">
        <v>3412</v>
      </c>
      <c r="AT282" s="85" t="str">
        <f>HYPERLINK("https://www.youtube.com/channel/UCAYthKrlL2P6lIbcFwm4a-g")</f>
        <v>https://www.youtube.com/channel/UCAYthKrlL2P6lIbcFwm4a-g</v>
      </c>
      <c r="AU282" s="80" t="str">
        <f>REPLACE(INDEX(GroupVertices[Group],MATCH(Vertices[[#This Row],[Vertex]],GroupVertices[Vertex],0)),1,1,"")</f>
        <v>1</v>
      </c>
      <c r="AV282" s="49">
        <v>2</v>
      </c>
      <c r="AW282" s="50">
        <v>18.181818181818183</v>
      </c>
      <c r="AX282" s="49">
        <v>0</v>
      </c>
      <c r="AY282" s="50">
        <v>0</v>
      </c>
      <c r="AZ282" s="49">
        <v>0</v>
      </c>
      <c r="BA282" s="50">
        <v>0</v>
      </c>
      <c r="BB282" s="49">
        <v>9</v>
      </c>
      <c r="BC282" s="50">
        <v>81.81818181818181</v>
      </c>
      <c r="BD282" s="49">
        <v>11</v>
      </c>
      <c r="BE282" s="49"/>
      <c r="BF282" s="49"/>
      <c r="BG282" s="49"/>
      <c r="BH282" s="49"/>
      <c r="BI282" s="49"/>
      <c r="BJ282" s="49"/>
      <c r="BK282" s="111" t="s">
        <v>4646</v>
      </c>
      <c r="BL282" s="111" t="s">
        <v>4646</v>
      </c>
      <c r="BM282" s="111" t="s">
        <v>5120</v>
      </c>
      <c r="BN282" s="111" t="s">
        <v>5120</v>
      </c>
      <c r="BO282" s="2"/>
      <c r="BP282" s="3"/>
      <c r="BQ282" s="3"/>
      <c r="BR282" s="3"/>
      <c r="BS282" s="3"/>
    </row>
    <row r="283" spans="1:71" ht="15">
      <c r="A283" s="65" t="s">
        <v>507</v>
      </c>
      <c r="B283" s="66"/>
      <c r="C283" s="66"/>
      <c r="D283" s="67">
        <v>150</v>
      </c>
      <c r="E283" s="69"/>
      <c r="F283" s="103" t="str">
        <f>HYPERLINK("https://yt3.ggpht.com/ytc/AKedOLQiOkEO_rpJ-TDc_2IPhCsv01ADih6MswsQfA=s88-c-k-c0x00ffffff-no-rj")</f>
        <v>https://yt3.ggpht.com/ytc/AKedOLQiOkEO_rpJ-TDc_2IPhCsv01ADih6MswsQfA=s88-c-k-c0x00ffffff-no-rj</v>
      </c>
      <c r="G283" s="66"/>
      <c r="H283" s="70" t="s">
        <v>1836</v>
      </c>
      <c r="I283" s="71"/>
      <c r="J283" s="71" t="s">
        <v>159</v>
      </c>
      <c r="K283" s="70" t="s">
        <v>1836</v>
      </c>
      <c r="L283" s="74">
        <v>1</v>
      </c>
      <c r="M283" s="75">
        <v>2708.928466796875</v>
      </c>
      <c r="N283" s="75">
        <v>8398.28515625</v>
      </c>
      <c r="O283" s="76"/>
      <c r="P283" s="77"/>
      <c r="Q283" s="77"/>
      <c r="R283" s="89"/>
      <c r="S283" s="49">
        <v>0</v>
      </c>
      <c r="T283" s="49">
        <v>1</v>
      </c>
      <c r="U283" s="50">
        <v>0</v>
      </c>
      <c r="V283" s="50">
        <v>0.002597</v>
      </c>
      <c r="W283" s="50">
        <v>0.00486</v>
      </c>
      <c r="X283" s="50">
        <v>0.526148</v>
      </c>
      <c r="Y283" s="50">
        <v>0</v>
      </c>
      <c r="Z283" s="50">
        <v>0</v>
      </c>
      <c r="AA283" s="72">
        <v>283</v>
      </c>
      <c r="AB283" s="72"/>
      <c r="AC283" s="73"/>
      <c r="AD283" s="80" t="s">
        <v>1836</v>
      </c>
      <c r="AE283" s="80"/>
      <c r="AF283" s="80"/>
      <c r="AG283" s="80"/>
      <c r="AH283" s="80"/>
      <c r="AI283" s="80"/>
      <c r="AJ283" s="80" t="s">
        <v>3260</v>
      </c>
      <c r="AK283" s="85" t="str">
        <f>HYPERLINK("https://yt3.ggpht.com/ytc/AKedOLQiOkEO_rpJ-TDc_2IPhCsv01ADih6MswsQfA=s88-c-k-c0x00ffffff-no-rj")</f>
        <v>https://yt3.ggpht.com/ytc/AKedOLQiOkEO_rpJ-TDc_2IPhCsv01ADih6MswsQfA=s88-c-k-c0x00ffffff-no-rj</v>
      </c>
      <c r="AL283" s="80">
        <v>0</v>
      </c>
      <c r="AM283" s="80">
        <v>0</v>
      </c>
      <c r="AN283" s="80">
        <v>0</v>
      </c>
      <c r="AO283" s="80" t="b">
        <v>0</v>
      </c>
      <c r="AP283" s="80">
        <v>0</v>
      </c>
      <c r="AQ283" s="80"/>
      <c r="AR283" s="80"/>
      <c r="AS283" s="80" t="s">
        <v>3412</v>
      </c>
      <c r="AT283" s="85" t="str">
        <f>HYPERLINK("https://www.youtube.com/channel/UCB17WVp6uTPzs45LXvQb2qQ")</f>
        <v>https://www.youtube.com/channel/UCB17WVp6uTPzs45LXvQb2qQ</v>
      </c>
      <c r="AU283" s="80" t="str">
        <f>REPLACE(INDEX(GroupVertices[Group],MATCH(Vertices[[#This Row],[Vertex]],GroupVertices[Vertex],0)),1,1,"")</f>
        <v>1</v>
      </c>
      <c r="AV283" s="49">
        <v>4</v>
      </c>
      <c r="AW283" s="50">
        <v>17.391304347826086</v>
      </c>
      <c r="AX283" s="49">
        <v>0</v>
      </c>
      <c r="AY283" s="50">
        <v>0</v>
      </c>
      <c r="AZ283" s="49">
        <v>0</v>
      </c>
      <c r="BA283" s="50">
        <v>0</v>
      </c>
      <c r="BB283" s="49">
        <v>19</v>
      </c>
      <c r="BC283" s="50">
        <v>82.6086956521739</v>
      </c>
      <c r="BD283" s="49">
        <v>23</v>
      </c>
      <c r="BE283" s="49"/>
      <c r="BF283" s="49"/>
      <c r="BG283" s="49"/>
      <c r="BH283" s="49"/>
      <c r="BI283" s="49"/>
      <c r="BJ283" s="49"/>
      <c r="BK283" s="111" t="s">
        <v>4647</v>
      </c>
      <c r="BL283" s="111" t="s">
        <v>4647</v>
      </c>
      <c r="BM283" s="111" t="s">
        <v>5121</v>
      </c>
      <c r="BN283" s="111" t="s">
        <v>5121</v>
      </c>
      <c r="BO283" s="2"/>
      <c r="BP283" s="3"/>
      <c r="BQ283" s="3"/>
      <c r="BR283" s="3"/>
      <c r="BS283" s="3"/>
    </row>
    <row r="284" spans="1:71" ht="15">
      <c r="A284" s="65" t="s">
        <v>508</v>
      </c>
      <c r="B284" s="66"/>
      <c r="C284" s="66"/>
      <c r="D284" s="67">
        <v>150</v>
      </c>
      <c r="E284" s="69"/>
      <c r="F284" s="103" t="str">
        <f>HYPERLINK("https://yt3.ggpht.com/ytc/AKedOLQL7AbEUJiPR7ggzhoYD_Z8CUAQLy_piw0CZA=s88-c-k-c0x00ffffff-no-rj")</f>
        <v>https://yt3.ggpht.com/ytc/AKedOLQL7AbEUJiPR7ggzhoYD_Z8CUAQLy_piw0CZA=s88-c-k-c0x00ffffff-no-rj</v>
      </c>
      <c r="G284" s="66"/>
      <c r="H284" s="70" t="s">
        <v>1837</v>
      </c>
      <c r="I284" s="71"/>
      <c r="J284" s="71" t="s">
        <v>159</v>
      </c>
      <c r="K284" s="70" t="s">
        <v>1837</v>
      </c>
      <c r="L284" s="74">
        <v>1</v>
      </c>
      <c r="M284" s="75">
        <v>7910.828125</v>
      </c>
      <c r="N284" s="75">
        <v>7366.82421875</v>
      </c>
      <c r="O284" s="76"/>
      <c r="P284" s="77"/>
      <c r="Q284" s="77"/>
      <c r="R284" s="89"/>
      <c r="S284" s="49">
        <v>0</v>
      </c>
      <c r="T284" s="49">
        <v>1</v>
      </c>
      <c r="U284" s="50">
        <v>0</v>
      </c>
      <c r="V284" s="50">
        <v>0.002597</v>
      </c>
      <c r="W284" s="50">
        <v>0.00486</v>
      </c>
      <c r="X284" s="50">
        <v>0.526148</v>
      </c>
      <c r="Y284" s="50">
        <v>0</v>
      </c>
      <c r="Z284" s="50">
        <v>0</v>
      </c>
      <c r="AA284" s="72">
        <v>284</v>
      </c>
      <c r="AB284" s="72"/>
      <c r="AC284" s="73"/>
      <c r="AD284" s="80" t="s">
        <v>1837</v>
      </c>
      <c r="AE284" s="80"/>
      <c r="AF284" s="80"/>
      <c r="AG284" s="80"/>
      <c r="AH284" s="80"/>
      <c r="AI284" s="80"/>
      <c r="AJ284" s="80" t="s">
        <v>3261</v>
      </c>
      <c r="AK284" s="85" t="str">
        <f>HYPERLINK("https://yt3.ggpht.com/ytc/AKedOLQL7AbEUJiPR7ggzhoYD_Z8CUAQLy_piw0CZA=s88-c-k-c0x00ffffff-no-rj")</f>
        <v>https://yt3.ggpht.com/ytc/AKedOLQL7AbEUJiPR7ggzhoYD_Z8CUAQLy_piw0CZA=s88-c-k-c0x00ffffff-no-rj</v>
      </c>
      <c r="AL284" s="80">
        <v>0</v>
      </c>
      <c r="AM284" s="80">
        <v>0</v>
      </c>
      <c r="AN284" s="80">
        <v>0</v>
      </c>
      <c r="AO284" s="80" t="b">
        <v>0</v>
      </c>
      <c r="AP284" s="80">
        <v>0</v>
      </c>
      <c r="AQ284" s="80"/>
      <c r="AR284" s="80"/>
      <c r="AS284" s="80" t="s">
        <v>3412</v>
      </c>
      <c r="AT284" s="85" t="str">
        <f>HYPERLINK("https://www.youtube.com/channel/UCzyr4fDlXYgfKzLSmfpOwiw")</f>
        <v>https://www.youtube.com/channel/UCzyr4fDlXYgfKzLSmfpOwiw</v>
      </c>
      <c r="AU284" s="80" t="str">
        <f>REPLACE(INDEX(GroupVertices[Group],MATCH(Vertices[[#This Row],[Vertex]],GroupVertices[Vertex],0)),1,1,"")</f>
        <v>1</v>
      </c>
      <c r="AV284" s="49">
        <v>5</v>
      </c>
      <c r="AW284" s="50">
        <v>16.666666666666668</v>
      </c>
      <c r="AX284" s="49">
        <v>0</v>
      </c>
      <c r="AY284" s="50">
        <v>0</v>
      </c>
      <c r="AZ284" s="49">
        <v>0</v>
      </c>
      <c r="BA284" s="50">
        <v>0</v>
      </c>
      <c r="BB284" s="49">
        <v>25</v>
      </c>
      <c r="BC284" s="50">
        <v>83.33333333333333</v>
      </c>
      <c r="BD284" s="49">
        <v>30</v>
      </c>
      <c r="BE284" s="49"/>
      <c r="BF284" s="49"/>
      <c r="BG284" s="49"/>
      <c r="BH284" s="49"/>
      <c r="BI284" s="49"/>
      <c r="BJ284" s="49"/>
      <c r="BK284" s="111" t="s">
        <v>4648</v>
      </c>
      <c r="BL284" s="111" t="s">
        <v>4648</v>
      </c>
      <c r="BM284" s="111" t="s">
        <v>5122</v>
      </c>
      <c r="BN284" s="111" t="s">
        <v>5122</v>
      </c>
      <c r="BO284" s="2"/>
      <c r="BP284" s="3"/>
      <c r="BQ284" s="3"/>
      <c r="BR284" s="3"/>
      <c r="BS284" s="3"/>
    </row>
    <row r="285" spans="1:71" ht="15">
      <c r="A285" s="65" t="s">
        <v>509</v>
      </c>
      <c r="B285" s="66"/>
      <c r="C285" s="66"/>
      <c r="D285" s="67">
        <v>150</v>
      </c>
      <c r="E285" s="69"/>
      <c r="F285" s="103" t="str">
        <f>HYPERLINK("https://yt3.ggpht.com/ytc/AKedOLS9vGLIHzwD40E-HhLop9AzdQaB8gy_v3NqAQ=s88-c-k-c0x00ffffff-no-rj")</f>
        <v>https://yt3.ggpht.com/ytc/AKedOLS9vGLIHzwD40E-HhLop9AzdQaB8gy_v3NqAQ=s88-c-k-c0x00ffffff-no-rj</v>
      </c>
      <c r="G285" s="66"/>
      <c r="H285" s="70" t="s">
        <v>1838</v>
      </c>
      <c r="I285" s="71"/>
      <c r="J285" s="71" t="s">
        <v>159</v>
      </c>
      <c r="K285" s="70" t="s">
        <v>1838</v>
      </c>
      <c r="L285" s="74">
        <v>1</v>
      </c>
      <c r="M285" s="75">
        <v>9342.2373046875</v>
      </c>
      <c r="N285" s="75">
        <v>7761.62353515625</v>
      </c>
      <c r="O285" s="76"/>
      <c r="P285" s="77"/>
      <c r="Q285" s="77"/>
      <c r="R285" s="89"/>
      <c r="S285" s="49">
        <v>0</v>
      </c>
      <c r="T285" s="49">
        <v>1</v>
      </c>
      <c r="U285" s="50">
        <v>0</v>
      </c>
      <c r="V285" s="50">
        <v>0.002597</v>
      </c>
      <c r="W285" s="50">
        <v>0.00486</v>
      </c>
      <c r="X285" s="50">
        <v>0.526148</v>
      </c>
      <c r="Y285" s="50">
        <v>0</v>
      </c>
      <c r="Z285" s="50">
        <v>0</v>
      </c>
      <c r="AA285" s="72">
        <v>285</v>
      </c>
      <c r="AB285" s="72"/>
      <c r="AC285" s="73"/>
      <c r="AD285" s="80" t="s">
        <v>1838</v>
      </c>
      <c r="AE285" s="80"/>
      <c r="AF285" s="80"/>
      <c r="AG285" s="80"/>
      <c r="AH285" s="80"/>
      <c r="AI285" s="80"/>
      <c r="AJ285" s="80" t="s">
        <v>3262</v>
      </c>
      <c r="AK285" s="85" t="str">
        <f>HYPERLINK("https://yt3.ggpht.com/ytc/AKedOLS9vGLIHzwD40E-HhLop9AzdQaB8gy_v3NqAQ=s88-c-k-c0x00ffffff-no-rj")</f>
        <v>https://yt3.ggpht.com/ytc/AKedOLS9vGLIHzwD40E-HhLop9AzdQaB8gy_v3NqAQ=s88-c-k-c0x00ffffff-no-rj</v>
      </c>
      <c r="AL285" s="80">
        <v>482</v>
      </c>
      <c r="AM285" s="80">
        <v>0</v>
      </c>
      <c r="AN285" s="80">
        <v>3</v>
      </c>
      <c r="AO285" s="80" t="b">
        <v>0</v>
      </c>
      <c r="AP285" s="80">
        <v>1</v>
      </c>
      <c r="AQ285" s="80"/>
      <c r="AR285" s="80"/>
      <c r="AS285" s="80" t="s">
        <v>3412</v>
      </c>
      <c r="AT285" s="85" t="str">
        <f>HYPERLINK("https://www.youtube.com/channel/UCgRYrZYHz9U_iYHnKVpN6Gw")</f>
        <v>https://www.youtube.com/channel/UCgRYrZYHz9U_iYHnKVpN6Gw</v>
      </c>
      <c r="AU285" s="80" t="str">
        <f>REPLACE(INDEX(GroupVertices[Group],MATCH(Vertices[[#This Row],[Vertex]],GroupVertices[Vertex],0)),1,1,"")</f>
        <v>1</v>
      </c>
      <c r="AV285" s="49">
        <v>1</v>
      </c>
      <c r="AW285" s="50">
        <v>50</v>
      </c>
      <c r="AX285" s="49">
        <v>0</v>
      </c>
      <c r="AY285" s="50">
        <v>0</v>
      </c>
      <c r="AZ285" s="49">
        <v>0</v>
      </c>
      <c r="BA285" s="50">
        <v>0</v>
      </c>
      <c r="BB285" s="49">
        <v>1</v>
      </c>
      <c r="BC285" s="50">
        <v>50</v>
      </c>
      <c r="BD285" s="49">
        <v>2</v>
      </c>
      <c r="BE285" s="49"/>
      <c r="BF285" s="49"/>
      <c r="BG285" s="49"/>
      <c r="BH285" s="49"/>
      <c r="BI285" s="49"/>
      <c r="BJ285" s="49"/>
      <c r="BK285" s="111" t="s">
        <v>3456</v>
      </c>
      <c r="BL285" s="111" t="s">
        <v>3456</v>
      </c>
      <c r="BM285" s="111" t="s">
        <v>2782</v>
      </c>
      <c r="BN285" s="111" t="s">
        <v>2782</v>
      </c>
      <c r="BO285" s="2"/>
      <c r="BP285" s="3"/>
      <c r="BQ285" s="3"/>
      <c r="BR285" s="3"/>
      <c r="BS285" s="3"/>
    </row>
    <row r="286" spans="1:71" ht="15">
      <c r="A286" s="65" t="s">
        <v>510</v>
      </c>
      <c r="B286" s="66"/>
      <c r="C286" s="66"/>
      <c r="D286" s="67">
        <v>150</v>
      </c>
      <c r="E286" s="69"/>
      <c r="F286" s="103" t="str">
        <f>HYPERLINK("https://yt3.ggpht.com/9rBa27LCtOlYN3aGYwRX9DBLQcNL87KGB0uCiotRLL4mgUjaycXf-xYCmbBCmRtOcVD-7alHTxA=s88-c-k-c0x00ffffff-no-rj")</f>
        <v>https://yt3.ggpht.com/9rBa27LCtOlYN3aGYwRX9DBLQcNL87KGB0uCiotRLL4mgUjaycXf-xYCmbBCmRtOcVD-7alHTxA=s88-c-k-c0x00ffffff-no-rj</v>
      </c>
      <c r="G286" s="66"/>
      <c r="H286" s="70" t="s">
        <v>1839</v>
      </c>
      <c r="I286" s="71"/>
      <c r="J286" s="71" t="s">
        <v>159</v>
      </c>
      <c r="K286" s="70" t="s">
        <v>1839</v>
      </c>
      <c r="L286" s="74">
        <v>1</v>
      </c>
      <c r="M286" s="75">
        <v>4954.17626953125</v>
      </c>
      <c r="N286" s="75">
        <v>7624.83154296875</v>
      </c>
      <c r="O286" s="76"/>
      <c r="P286" s="77"/>
      <c r="Q286" s="77"/>
      <c r="R286" s="89"/>
      <c r="S286" s="49">
        <v>0</v>
      </c>
      <c r="T286" s="49">
        <v>1</v>
      </c>
      <c r="U286" s="50">
        <v>0</v>
      </c>
      <c r="V286" s="50">
        <v>0.002597</v>
      </c>
      <c r="W286" s="50">
        <v>0.00486</v>
      </c>
      <c r="X286" s="50">
        <v>0.526148</v>
      </c>
      <c r="Y286" s="50">
        <v>0</v>
      </c>
      <c r="Z286" s="50">
        <v>0</v>
      </c>
      <c r="AA286" s="72">
        <v>286</v>
      </c>
      <c r="AB286" s="72"/>
      <c r="AC286" s="73"/>
      <c r="AD286" s="80" t="s">
        <v>1839</v>
      </c>
      <c r="AE286" s="80" t="s">
        <v>2895</v>
      </c>
      <c r="AF286" s="80"/>
      <c r="AG286" s="80"/>
      <c r="AH286" s="80"/>
      <c r="AI286" s="80"/>
      <c r="AJ286" s="80" t="s">
        <v>3263</v>
      </c>
      <c r="AK286" s="85" t="str">
        <f>HYPERLINK("https://yt3.ggpht.com/9rBa27LCtOlYN3aGYwRX9DBLQcNL87KGB0uCiotRLL4mgUjaycXf-xYCmbBCmRtOcVD-7alHTxA=s88-c-k-c0x00ffffff-no-rj")</f>
        <v>https://yt3.ggpht.com/9rBa27LCtOlYN3aGYwRX9DBLQcNL87KGB0uCiotRLL4mgUjaycXf-xYCmbBCmRtOcVD-7alHTxA=s88-c-k-c0x00ffffff-no-rj</v>
      </c>
      <c r="AL286" s="80">
        <v>58973</v>
      </c>
      <c r="AM286" s="80">
        <v>0</v>
      </c>
      <c r="AN286" s="80">
        <v>822</v>
      </c>
      <c r="AO286" s="80" t="b">
        <v>0</v>
      </c>
      <c r="AP286" s="80">
        <v>128</v>
      </c>
      <c r="AQ286" s="80"/>
      <c r="AR286" s="80"/>
      <c r="AS286" s="80" t="s">
        <v>3412</v>
      </c>
      <c r="AT286" s="85" t="str">
        <f>HYPERLINK("https://www.youtube.com/channel/UCjJ5-gw41air_5B1eap2l4g")</f>
        <v>https://www.youtube.com/channel/UCjJ5-gw41air_5B1eap2l4g</v>
      </c>
      <c r="AU286" s="80" t="str">
        <f>REPLACE(INDEX(GroupVertices[Group],MATCH(Vertices[[#This Row],[Vertex]],GroupVertices[Vertex],0)),1,1,"")</f>
        <v>1</v>
      </c>
      <c r="AV286" s="49">
        <v>1</v>
      </c>
      <c r="AW286" s="50">
        <v>100</v>
      </c>
      <c r="AX286" s="49">
        <v>0</v>
      </c>
      <c r="AY286" s="50">
        <v>0</v>
      </c>
      <c r="AZ286" s="49">
        <v>0</v>
      </c>
      <c r="BA286" s="50">
        <v>0</v>
      </c>
      <c r="BB286" s="49">
        <v>0</v>
      </c>
      <c r="BC286" s="50">
        <v>0</v>
      </c>
      <c r="BD286" s="49">
        <v>1</v>
      </c>
      <c r="BE286" s="49"/>
      <c r="BF286" s="49"/>
      <c r="BG286" s="49"/>
      <c r="BH286" s="49"/>
      <c r="BI286" s="49"/>
      <c r="BJ286" s="49"/>
      <c r="BK286" s="111" t="s">
        <v>1152</v>
      </c>
      <c r="BL286" s="111" t="s">
        <v>1152</v>
      </c>
      <c r="BM286" s="111" t="s">
        <v>2782</v>
      </c>
      <c r="BN286" s="111" t="s">
        <v>2782</v>
      </c>
      <c r="BO286" s="2"/>
      <c r="BP286" s="3"/>
      <c r="BQ286" s="3"/>
      <c r="BR286" s="3"/>
      <c r="BS286" s="3"/>
    </row>
    <row r="287" spans="1:71" ht="15">
      <c r="A287" s="65" t="s">
        <v>511</v>
      </c>
      <c r="B287" s="66"/>
      <c r="C287" s="66"/>
      <c r="D287" s="67">
        <v>150</v>
      </c>
      <c r="E287" s="69"/>
      <c r="F287" s="103" t="str">
        <f>HYPERLINK("https://yt3.ggpht.com/ytc/AKedOLSaWbO18j8H40nyGoBWbbAIit1pyOBVR0nmFg=s88-c-k-c0x00ffffff-no-rj")</f>
        <v>https://yt3.ggpht.com/ytc/AKedOLSaWbO18j8H40nyGoBWbbAIit1pyOBVR0nmFg=s88-c-k-c0x00ffffff-no-rj</v>
      </c>
      <c r="G287" s="66"/>
      <c r="H287" s="70" t="s">
        <v>1840</v>
      </c>
      <c r="I287" s="71"/>
      <c r="J287" s="71" t="s">
        <v>159</v>
      </c>
      <c r="K287" s="70" t="s">
        <v>1840</v>
      </c>
      <c r="L287" s="74">
        <v>1</v>
      </c>
      <c r="M287" s="75">
        <v>2935.64892578125</v>
      </c>
      <c r="N287" s="75">
        <v>8888.388671875</v>
      </c>
      <c r="O287" s="76"/>
      <c r="P287" s="77"/>
      <c r="Q287" s="77"/>
      <c r="R287" s="89"/>
      <c r="S287" s="49">
        <v>0</v>
      </c>
      <c r="T287" s="49">
        <v>1</v>
      </c>
      <c r="U287" s="50">
        <v>0</v>
      </c>
      <c r="V287" s="50">
        <v>0.002597</v>
      </c>
      <c r="W287" s="50">
        <v>0.00486</v>
      </c>
      <c r="X287" s="50">
        <v>0.526148</v>
      </c>
      <c r="Y287" s="50">
        <v>0</v>
      </c>
      <c r="Z287" s="50">
        <v>0</v>
      </c>
      <c r="AA287" s="72">
        <v>287</v>
      </c>
      <c r="AB287" s="72"/>
      <c r="AC287" s="73"/>
      <c r="AD287" s="80" t="s">
        <v>1840</v>
      </c>
      <c r="AE287" s="80"/>
      <c r="AF287" s="80"/>
      <c r="AG287" s="80"/>
      <c r="AH287" s="80"/>
      <c r="AI287" s="80"/>
      <c r="AJ287" s="87">
        <v>42950.917233796295</v>
      </c>
      <c r="AK287" s="85" t="str">
        <f>HYPERLINK("https://yt3.ggpht.com/ytc/AKedOLSaWbO18j8H40nyGoBWbbAIit1pyOBVR0nmFg=s88-c-k-c0x00ffffff-no-rj")</f>
        <v>https://yt3.ggpht.com/ytc/AKedOLSaWbO18j8H40nyGoBWbbAIit1pyOBVR0nmFg=s88-c-k-c0x00ffffff-no-rj</v>
      </c>
      <c r="AL287" s="80">
        <v>0</v>
      </c>
      <c r="AM287" s="80">
        <v>0</v>
      </c>
      <c r="AN287" s="80">
        <v>0</v>
      </c>
      <c r="AO287" s="80" t="b">
        <v>0</v>
      </c>
      <c r="AP287" s="80">
        <v>0</v>
      </c>
      <c r="AQ287" s="80"/>
      <c r="AR287" s="80"/>
      <c r="AS287" s="80" t="s">
        <v>3412</v>
      </c>
      <c r="AT287" s="85" t="str">
        <f>HYPERLINK("https://www.youtube.com/channel/UCvH-bUIk7u6SoBYf7TnPkmQ")</f>
        <v>https://www.youtube.com/channel/UCvH-bUIk7u6SoBYf7TnPkmQ</v>
      </c>
      <c r="AU287" s="80" t="str">
        <f>REPLACE(INDEX(GroupVertices[Group],MATCH(Vertices[[#This Row],[Vertex]],GroupVertices[Vertex],0)),1,1,"")</f>
        <v>1</v>
      </c>
      <c r="AV287" s="49">
        <v>2</v>
      </c>
      <c r="AW287" s="50">
        <v>18.181818181818183</v>
      </c>
      <c r="AX287" s="49">
        <v>0</v>
      </c>
      <c r="AY287" s="50">
        <v>0</v>
      </c>
      <c r="AZ287" s="49">
        <v>0</v>
      </c>
      <c r="BA287" s="50">
        <v>0</v>
      </c>
      <c r="BB287" s="49">
        <v>9</v>
      </c>
      <c r="BC287" s="50">
        <v>81.81818181818181</v>
      </c>
      <c r="BD287" s="49">
        <v>11</v>
      </c>
      <c r="BE287" s="49"/>
      <c r="BF287" s="49"/>
      <c r="BG287" s="49"/>
      <c r="BH287" s="49"/>
      <c r="BI287" s="49"/>
      <c r="BJ287" s="49"/>
      <c r="BK287" s="111" t="s">
        <v>4649</v>
      </c>
      <c r="BL287" s="111" t="s">
        <v>4649</v>
      </c>
      <c r="BM287" s="111" t="s">
        <v>5123</v>
      </c>
      <c r="BN287" s="111" t="s">
        <v>5123</v>
      </c>
      <c r="BO287" s="2"/>
      <c r="BP287" s="3"/>
      <c r="BQ287" s="3"/>
      <c r="BR287" s="3"/>
      <c r="BS287" s="3"/>
    </row>
    <row r="288" spans="1:71" ht="15">
      <c r="A288" s="65" t="s">
        <v>512</v>
      </c>
      <c r="B288" s="66"/>
      <c r="C288" s="66"/>
      <c r="D288" s="67">
        <v>150</v>
      </c>
      <c r="E288" s="69"/>
      <c r="F288" s="103" t="str">
        <f>HYPERLINK("https://yt3.ggpht.com/gOb3XrvEc_t_1ZuR05fuvGErB3WTTmkU8W8vPk3vu-z9k_0zFCiWc7lfLiUbYkLCzN5ac0fB-w=s88-c-k-c0x00ffffff-no-rj")</f>
        <v>https://yt3.ggpht.com/gOb3XrvEc_t_1ZuR05fuvGErB3WTTmkU8W8vPk3vu-z9k_0zFCiWc7lfLiUbYkLCzN5ac0fB-w=s88-c-k-c0x00ffffff-no-rj</v>
      </c>
      <c r="G288" s="66"/>
      <c r="H288" s="70" t="s">
        <v>1841</v>
      </c>
      <c r="I288" s="71"/>
      <c r="J288" s="71" t="s">
        <v>159</v>
      </c>
      <c r="K288" s="70" t="s">
        <v>1841</v>
      </c>
      <c r="L288" s="74">
        <v>1</v>
      </c>
      <c r="M288" s="75">
        <v>3163.425537109375</v>
      </c>
      <c r="N288" s="75">
        <v>8850.15234375</v>
      </c>
      <c r="O288" s="76"/>
      <c r="P288" s="77"/>
      <c r="Q288" s="77"/>
      <c r="R288" s="89"/>
      <c r="S288" s="49">
        <v>0</v>
      </c>
      <c r="T288" s="49">
        <v>1</v>
      </c>
      <c r="U288" s="50">
        <v>0</v>
      </c>
      <c r="V288" s="50">
        <v>0.002597</v>
      </c>
      <c r="W288" s="50">
        <v>0.00486</v>
      </c>
      <c r="X288" s="50">
        <v>0.526148</v>
      </c>
      <c r="Y288" s="50">
        <v>0</v>
      </c>
      <c r="Z288" s="50">
        <v>0</v>
      </c>
      <c r="AA288" s="72">
        <v>288</v>
      </c>
      <c r="AB288" s="72"/>
      <c r="AC288" s="73"/>
      <c r="AD288" s="80" t="s">
        <v>1841</v>
      </c>
      <c r="AE288" s="80"/>
      <c r="AF288" s="80"/>
      <c r="AG288" s="80"/>
      <c r="AH288" s="80"/>
      <c r="AI288" s="80"/>
      <c r="AJ288" s="80" t="s">
        <v>3264</v>
      </c>
      <c r="AK288" s="85" t="str">
        <f>HYPERLINK("https://yt3.ggpht.com/gOb3XrvEc_t_1ZuR05fuvGErB3WTTmkU8W8vPk3vu-z9k_0zFCiWc7lfLiUbYkLCzN5ac0fB-w=s88-c-k-c0x00ffffff-no-rj")</f>
        <v>https://yt3.ggpht.com/gOb3XrvEc_t_1ZuR05fuvGErB3WTTmkU8W8vPk3vu-z9k_0zFCiWc7lfLiUbYkLCzN5ac0fB-w=s88-c-k-c0x00ffffff-no-rj</v>
      </c>
      <c r="AL288" s="80">
        <v>171</v>
      </c>
      <c r="AM288" s="80">
        <v>0</v>
      </c>
      <c r="AN288" s="80">
        <v>10</v>
      </c>
      <c r="AO288" s="80" t="b">
        <v>0</v>
      </c>
      <c r="AP288" s="80">
        <v>4</v>
      </c>
      <c r="AQ288" s="80"/>
      <c r="AR288" s="80"/>
      <c r="AS288" s="80" t="s">
        <v>3412</v>
      </c>
      <c r="AT288" s="85" t="str">
        <f>HYPERLINK("https://www.youtube.com/channel/UCirfi9jAYhqMpCrr_Kv_6Yg")</f>
        <v>https://www.youtube.com/channel/UCirfi9jAYhqMpCrr_Kv_6Yg</v>
      </c>
      <c r="AU288" s="80" t="str">
        <f>REPLACE(INDEX(GroupVertices[Group],MATCH(Vertices[[#This Row],[Vertex]],GroupVertices[Vertex],0)),1,1,"")</f>
        <v>1</v>
      </c>
      <c r="AV288" s="49">
        <v>2</v>
      </c>
      <c r="AW288" s="50">
        <v>8.333333333333334</v>
      </c>
      <c r="AX288" s="49">
        <v>1</v>
      </c>
      <c r="AY288" s="50">
        <v>4.166666666666667</v>
      </c>
      <c r="AZ288" s="49">
        <v>0</v>
      </c>
      <c r="BA288" s="50">
        <v>0</v>
      </c>
      <c r="BB288" s="49">
        <v>21</v>
      </c>
      <c r="BC288" s="50">
        <v>87.5</v>
      </c>
      <c r="BD288" s="49">
        <v>24</v>
      </c>
      <c r="BE288" s="49"/>
      <c r="BF288" s="49"/>
      <c r="BG288" s="49"/>
      <c r="BH288" s="49"/>
      <c r="BI288" s="49"/>
      <c r="BJ288" s="49"/>
      <c r="BK288" s="111" t="s">
        <v>4650</v>
      </c>
      <c r="BL288" s="111" t="s">
        <v>4650</v>
      </c>
      <c r="BM288" s="111" t="s">
        <v>5124</v>
      </c>
      <c r="BN288" s="111" t="s">
        <v>5124</v>
      </c>
      <c r="BO288" s="2"/>
      <c r="BP288" s="3"/>
      <c r="BQ288" s="3"/>
      <c r="BR288" s="3"/>
      <c r="BS288" s="3"/>
    </row>
    <row r="289" spans="1:71" ht="15">
      <c r="A289" s="65" t="s">
        <v>513</v>
      </c>
      <c r="B289" s="66"/>
      <c r="C289" s="66"/>
      <c r="D289" s="67">
        <v>150</v>
      </c>
      <c r="E289" s="69"/>
      <c r="F289" s="103" t="str">
        <f>HYPERLINK("https://yt3.ggpht.com/ytc/AKedOLTa7ye5HyWY9ll0FihJsTxuPfY3gIQSWV_9lhZcPDkCxMgeZtqZlosoXBtKRdJU=s88-c-k-c0x00ffffff-no-rj")</f>
        <v>https://yt3.ggpht.com/ytc/AKedOLTa7ye5HyWY9ll0FihJsTxuPfY3gIQSWV_9lhZcPDkCxMgeZtqZlosoXBtKRdJU=s88-c-k-c0x00ffffff-no-rj</v>
      </c>
      <c r="G289" s="66"/>
      <c r="H289" s="70" t="s">
        <v>1842</v>
      </c>
      <c r="I289" s="71"/>
      <c r="J289" s="71" t="s">
        <v>159</v>
      </c>
      <c r="K289" s="70" t="s">
        <v>1842</v>
      </c>
      <c r="L289" s="74">
        <v>1</v>
      </c>
      <c r="M289" s="75">
        <v>7240.92578125</v>
      </c>
      <c r="N289" s="75">
        <v>8189.16064453125</v>
      </c>
      <c r="O289" s="76"/>
      <c r="P289" s="77"/>
      <c r="Q289" s="77"/>
      <c r="R289" s="89"/>
      <c r="S289" s="49">
        <v>0</v>
      </c>
      <c r="T289" s="49">
        <v>1</v>
      </c>
      <c r="U289" s="50">
        <v>0</v>
      </c>
      <c r="V289" s="50">
        <v>0.002597</v>
      </c>
      <c r="W289" s="50">
        <v>0.00486</v>
      </c>
      <c r="X289" s="50">
        <v>0.526148</v>
      </c>
      <c r="Y289" s="50">
        <v>0</v>
      </c>
      <c r="Z289" s="50">
        <v>0</v>
      </c>
      <c r="AA289" s="72">
        <v>289</v>
      </c>
      <c r="AB289" s="72"/>
      <c r="AC289" s="73"/>
      <c r="AD289" s="80" t="s">
        <v>1842</v>
      </c>
      <c r="AE289" s="80"/>
      <c r="AF289" s="80"/>
      <c r="AG289" s="80"/>
      <c r="AH289" s="80"/>
      <c r="AI289" s="80"/>
      <c r="AJ289" s="80" t="s">
        <v>3265</v>
      </c>
      <c r="AK289" s="85" t="str">
        <f>HYPERLINK("https://yt3.ggpht.com/ytc/AKedOLTa7ye5HyWY9ll0FihJsTxuPfY3gIQSWV_9lhZcPDkCxMgeZtqZlosoXBtKRdJU=s88-c-k-c0x00ffffff-no-rj")</f>
        <v>https://yt3.ggpht.com/ytc/AKedOLTa7ye5HyWY9ll0FihJsTxuPfY3gIQSWV_9lhZcPDkCxMgeZtqZlosoXBtKRdJU=s88-c-k-c0x00ffffff-no-rj</v>
      </c>
      <c r="AL289" s="80">
        <v>0</v>
      </c>
      <c r="AM289" s="80">
        <v>0</v>
      </c>
      <c r="AN289" s="80">
        <v>0</v>
      </c>
      <c r="AO289" s="80" t="b">
        <v>0</v>
      </c>
      <c r="AP289" s="80">
        <v>0</v>
      </c>
      <c r="AQ289" s="80"/>
      <c r="AR289" s="80"/>
      <c r="AS289" s="80" t="s">
        <v>3412</v>
      </c>
      <c r="AT289" s="85" t="str">
        <f>HYPERLINK("https://www.youtube.com/channel/UCMIqkaTTTpG9oAj7Qhhviiw")</f>
        <v>https://www.youtube.com/channel/UCMIqkaTTTpG9oAj7Qhhviiw</v>
      </c>
      <c r="AU289" s="80" t="str">
        <f>REPLACE(INDEX(GroupVertices[Group],MATCH(Vertices[[#This Row],[Vertex]],GroupVertices[Vertex],0)),1,1,"")</f>
        <v>1</v>
      </c>
      <c r="AV289" s="49">
        <v>1</v>
      </c>
      <c r="AW289" s="50">
        <v>25</v>
      </c>
      <c r="AX289" s="49">
        <v>0</v>
      </c>
      <c r="AY289" s="50">
        <v>0</v>
      </c>
      <c r="AZ289" s="49">
        <v>0</v>
      </c>
      <c r="BA289" s="50">
        <v>0</v>
      </c>
      <c r="BB289" s="49">
        <v>3</v>
      </c>
      <c r="BC289" s="50">
        <v>75</v>
      </c>
      <c r="BD289" s="49">
        <v>4</v>
      </c>
      <c r="BE289" s="49"/>
      <c r="BF289" s="49"/>
      <c r="BG289" s="49"/>
      <c r="BH289" s="49"/>
      <c r="BI289" s="49"/>
      <c r="BJ289" s="49"/>
      <c r="BK289" s="111" t="s">
        <v>4651</v>
      </c>
      <c r="BL289" s="111" t="s">
        <v>4651</v>
      </c>
      <c r="BM289" s="111" t="s">
        <v>5125</v>
      </c>
      <c r="BN289" s="111" t="s">
        <v>5125</v>
      </c>
      <c r="BO289" s="2"/>
      <c r="BP289" s="3"/>
      <c r="BQ289" s="3"/>
      <c r="BR289" s="3"/>
      <c r="BS289" s="3"/>
    </row>
    <row r="290" spans="1:71" ht="15">
      <c r="A290" s="65" t="s">
        <v>514</v>
      </c>
      <c r="B290" s="66"/>
      <c r="C290" s="66"/>
      <c r="D290" s="67">
        <v>151.01190476190476</v>
      </c>
      <c r="E290" s="69"/>
      <c r="F290" s="103" t="str">
        <f>HYPERLINK("https://yt3.ggpht.com/ytc/AKedOLRs-yLA93q1RghVt6SRKgKIMNzsVFyyxkRSDd6K=s88-c-k-c0x00ffffff-no-rj")</f>
        <v>https://yt3.ggpht.com/ytc/AKedOLRs-yLA93q1RghVt6SRKgKIMNzsVFyyxkRSDd6K=s88-c-k-c0x00ffffff-no-rj</v>
      </c>
      <c r="G290" s="66"/>
      <c r="H290" s="70" t="s">
        <v>1843</v>
      </c>
      <c r="I290" s="71"/>
      <c r="J290" s="71" t="s">
        <v>75</v>
      </c>
      <c r="K290" s="70" t="s">
        <v>1843</v>
      </c>
      <c r="L290" s="74">
        <v>1.5455041466608468</v>
      </c>
      <c r="M290" s="75">
        <v>9033.71875</v>
      </c>
      <c r="N290" s="75">
        <v>433.655517578125</v>
      </c>
      <c r="O290" s="76"/>
      <c r="P290" s="77"/>
      <c r="Q290" s="77"/>
      <c r="R290" s="89"/>
      <c r="S290" s="49">
        <v>3</v>
      </c>
      <c r="T290" s="49">
        <v>3</v>
      </c>
      <c r="U290" s="50">
        <v>2</v>
      </c>
      <c r="V290" s="50">
        <v>0.5</v>
      </c>
      <c r="W290" s="50">
        <v>0</v>
      </c>
      <c r="X290" s="50">
        <v>1.457771</v>
      </c>
      <c r="Y290" s="50">
        <v>0</v>
      </c>
      <c r="Z290" s="50">
        <v>1</v>
      </c>
      <c r="AA290" s="72">
        <v>290</v>
      </c>
      <c r="AB290" s="72"/>
      <c r="AC290" s="73"/>
      <c r="AD290" s="80" t="s">
        <v>1843</v>
      </c>
      <c r="AE290" s="80" t="s">
        <v>2896</v>
      </c>
      <c r="AF290" s="80"/>
      <c r="AG290" s="80"/>
      <c r="AH290" s="80"/>
      <c r="AI290" s="80"/>
      <c r="AJ290" s="87">
        <v>38840.8533912037</v>
      </c>
      <c r="AK290" s="85" t="str">
        <f>HYPERLINK("https://yt3.ggpht.com/ytc/AKedOLRs-yLA93q1RghVt6SRKgKIMNzsVFyyxkRSDd6K=s88-c-k-c0x00ffffff-no-rj")</f>
        <v>https://yt3.ggpht.com/ytc/AKedOLRs-yLA93q1RghVt6SRKgKIMNzsVFyyxkRSDd6K=s88-c-k-c0x00ffffff-no-rj</v>
      </c>
      <c r="AL290" s="80">
        <v>62114</v>
      </c>
      <c r="AM290" s="80">
        <v>0</v>
      </c>
      <c r="AN290" s="80">
        <v>1180</v>
      </c>
      <c r="AO290" s="80" t="b">
        <v>0</v>
      </c>
      <c r="AP290" s="80">
        <v>39</v>
      </c>
      <c r="AQ290" s="80"/>
      <c r="AR290" s="80"/>
      <c r="AS290" s="80" t="s">
        <v>3412</v>
      </c>
      <c r="AT290" s="85" t="str">
        <f>HYPERLINK("https://www.youtube.com/channel/UCgCxFRbrO7_02dw8AYIhDLA")</f>
        <v>https://www.youtube.com/channel/UCgCxFRbrO7_02dw8AYIhDLA</v>
      </c>
      <c r="AU290" s="80" t="str">
        <f>REPLACE(INDEX(GroupVertices[Group],MATCH(Vertices[[#This Row],[Vertex]],GroupVertices[Vertex],0)),1,1,"")</f>
        <v>16</v>
      </c>
      <c r="AV290" s="49">
        <v>0</v>
      </c>
      <c r="AW290" s="50">
        <v>0</v>
      </c>
      <c r="AX290" s="49">
        <v>1</v>
      </c>
      <c r="AY290" s="50">
        <v>6.666666666666667</v>
      </c>
      <c r="AZ290" s="49">
        <v>0</v>
      </c>
      <c r="BA290" s="50">
        <v>0</v>
      </c>
      <c r="BB290" s="49">
        <v>14</v>
      </c>
      <c r="BC290" s="50">
        <v>93.33333333333333</v>
      </c>
      <c r="BD290" s="49">
        <v>15</v>
      </c>
      <c r="BE290" s="49"/>
      <c r="BF290" s="49"/>
      <c r="BG290" s="49"/>
      <c r="BH290" s="49"/>
      <c r="BI290" s="49"/>
      <c r="BJ290" s="49"/>
      <c r="BK290" s="111" t="s">
        <v>4652</v>
      </c>
      <c r="BL290" s="111" t="s">
        <v>4652</v>
      </c>
      <c r="BM290" s="111" t="s">
        <v>5126</v>
      </c>
      <c r="BN290" s="111" t="s">
        <v>5126</v>
      </c>
      <c r="BO290" s="2"/>
      <c r="BP290" s="3"/>
      <c r="BQ290" s="3"/>
      <c r="BR290" s="3"/>
      <c r="BS290" s="3"/>
    </row>
    <row r="291" spans="1:71" ht="15">
      <c r="A291" s="65" t="s">
        <v>515</v>
      </c>
      <c r="B291" s="66"/>
      <c r="C291" s="66"/>
      <c r="D291" s="67">
        <v>150</v>
      </c>
      <c r="E291" s="69"/>
      <c r="F291" s="103" t="str">
        <f>HYPERLINK("https://yt3.ggpht.com/ytc/AKedOLRCpscmXhBQRTzGmlHKfllj9S4KxgIrsec9y5JXNw=s88-c-k-c0x00ffffff-no-rj")</f>
        <v>https://yt3.ggpht.com/ytc/AKedOLRCpscmXhBQRTzGmlHKfllj9S4KxgIrsec9y5JXNw=s88-c-k-c0x00ffffff-no-rj</v>
      </c>
      <c r="G291" s="66"/>
      <c r="H291" s="70" t="s">
        <v>1844</v>
      </c>
      <c r="I291" s="71"/>
      <c r="J291" s="71" t="s">
        <v>159</v>
      </c>
      <c r="K291" s="70" t="s">
        <v>1844</v>
      </c>
      <c r="L291" s="74">
        <v>1</v>
      </c>
      <c r="M291" s="75">
        <v>9320.49609375</v>
      </c>
      <c r="N291" s="75">
        <v>722.4710693359375</v>
      </c>
      <c r="O291" s="76"/>
      <c r="P291" s="77"/>
      <c r="Q291" s="77"/>
      <c r="R291" s="89"/>
      <c r="S291" s="49">
        <v>1</v>
      </c>
      <c r="T291" s="49">
        <v>1</v>
      </c>
      <c r="U291" s="50">
        <v>0</v>
      </c>
      <c r="V291" s="50">
        <v>0.333333</v>
      </c>
      <c r="W291" s="50">
        <v>0</v>
      </c>
      <c r="X291" s="50">
        <v>0.563035</v>
      </c>
      <c r="Y291" s="50">
        <v>0</v>
      </c>
      <c r="Z291" s="50">
        <v>1</v>
      </c>
      <c r="AA291" s="72">
        <v>291</v>
      </c>
      <c r="AB291" s="72"/>
      <c r="AC291" s="73"/>
      <c r="AD291" s="80" t="s">
        <v>1844</v>
      </c>
      <c r="AE291" s="80" t="s">
        <v>2897</v>
      </c>
      <c r="AF291" s="80"/>
      <c r="AG291" s="80"/>
      <c r="AH291" s="80"/>
      <c r="AI291" s="80"/>
      <c r="AJ291" s="80" t="s">
        <v>3266</v>
      </c>
      <c r="AK291" s="85" t="str">
        <f>HYPERLINK("https://yt3.ggpht.com/ytc/AKedOLRCpscmXhBQRTzGmlHKfllj9S4KxgIrsec9y5JXNw=s88-c-k-c0x00ffffff-no-rj")</f>
        <v>https://yt3.ggpht.com/ytc/AKedOLRCpscmXhBQRTzGmlHKfllj9S4KxgIrsec9y5JXNw=s88-c-k-c0x00ffffff-no-rj</v>
      </c>
      <c r="AL291" s="80">
        <v>26</v>
      </c>
      <c r="AM291" s="80">
        <v>0</v>
      </c>
      <c r="AN291" s="80">
        <v>9</v>
      </c>
      <c r="AO291" s="80" t="b">
        <v>0</v>
      </c>
      <c r="AP291" s="80">
        <v>2</v>
      </c>
      <c r="AQ291" s="80"/>
      <c r="AR291" s="80"/>
      <c r="AS291" s="80" t="s">
        <v>3412</v>
      </c>
      <c r="AT291" s="85" t="str">
        <f>HYPERLINK("https://www.youtube.com/channel/UCTOvm9hk4-V6VQz6yjz_FwQ")</f>
        <v>https://www.youtube.com/channel/UCTOvm9hk4-V6VQz6yjz_FwQ</v>
      </c>
      <c r="AU291" s="80" t="str">
        <f>REPLACE(INDEX(GroupVertices[Group],MATCH(Vertices[[#This Row],[Vertex]],GroupVertices[Vertex],0)),1,1,"")</f>
        <v>16</v>
      </c>
      <c r="AV291" s="49">
        <v>0</v>
      </c>
      <c r="AW291" s="50">
        <v>0</v>
      </c>
      <c r="AX291" s="49">
        <v>0</v>
      </c>
      <c r="AY291" s="50">
        <v>0</v>
      </c>
      <c r="AZ291" s="49">
        <v>0</v>
      </c>
      <c r="BA291" s="50">
        <v>0</v>
      </c>
      <c r="BB291" s="49">
        <v>4</v>
      </c>
      <c r="BC291" s="50">
        <v>100</v>
      </c>
      <c r="BD291" s="49">
        <v>4</v>
      </c>
      <c r="BE291" s="49"/>
      <c r="BF291" s="49"/>
      <c r="BG291" s="49"/>
      <c r="BH291" s="49"/>
      <c r="BI291" s="49"/>
      <c r="BJ291" s="49"/>
      <c r="BK291" s="111" t="s">
        <v>2782</v>
      </c>
      <c r="BL291" s="111" t="s">
        <v>2782</v>
      </c>
      <c r="BM291" s="111" t="s">
        <v>2782</v>
      </c>
      <c r="BN291" s="111" t="s">
        <v>2782</v>
      </c>
      <c r="BO291" s="2"/>
      <c r="BP291" s="3"/>
      <c r="BQ291" s="3"/>
      <c r="BR291" s="3"/>
      <c r="BS291" s="3"/>
    </row>
    <row r="292" spans="1:71" ht="15">
      <c r="A292" s="65" t="s">
        <v>516</v>
      </c>
      <c r="B292" s="66"/>
      <c r="C292" s="66"/>
      <c r="D292" s="67">
        <v>150</v>
      </c>
      <c r="E292" s="69"/>
      <c r="F292" s="103" t="str">
        <f>HYPERLINK("https://yt3.ggpht.com/ytc/AKedOLS4neDuGk3gJqoaCUPhyI7sGB7Ed2HvwEnUPc7b=s88-c-k-c0x00ffffff-no-rj")</f>
        <v>https://yt3.ggpht.com/ytc/AKedOLS4neDuGk3gJqoaCUPhyI7sGB7Ed2HvwEnUPc7b=s88-c-k-c0x00ffffff-no-rj</v>
      </c>
      <c r="G292" s="66"/>
      <c r="H292" s="70" t="s">
        <v>1845</v>
      </c>
      <c r="I292" s="71"/>
      <c r="J292" s="71" t="s">
        <v>159</v>
      </c>
      <c r="K292" s="70" t="s">
        <v>1845</v>
      </c>
      <c r="L292" s="74">
        <v>1</v>
      </c>
      <c r="M292" s="75">
        <v>8749.125</v>
      </c>
      <c r="N292" s="75">
        <v>144.4942169189453</v>
      </c>
      <c r="O292" s="76"/>
      <c r="P292" s="77"/>
      <c r="Q292" s="77"/>
      <c r="R292" s="89"/>
      <c r="S292" s="49">
        <v>2</v>
      </c>
      <c r="T292" s="49">
        <v>2</v>
      </c>
      <c r="U292" s="50">
        <v>0</v>
      </c>
      <c r="V292" s="50">
        <v>0.333333</v>
      </c>
      <c r="W292" s="50">
        <v>0</v>
      </c>
      <c r="X292" s="50">
        <v>0.979191</v>
      </c>
      <c r="Y292" s="50">
        <v>0</v>
      </c>
      <c r="Z292" s="50">
        <v>1</v>
      </c>
      <c r="AA292" s="72">
        <v>292</v>
      </c>
      <c r="AB292" s="72"/>
      <c r="AC292" s="73"/>
      <c r="AD292" s="80" t="s">
        <v>1845</v>
      </c>
      <c r="AE292" s="80" t="s">
        <v>2898</v>
      </c>
      <c r="AF292" s="80"/>
      <c r="AG292" s="80"/>
      <c r="AH292" s="80"/>
      <c r="AI292" s="80"/>
      <c r="AJ292" s="80" t="s">
        <v>3267</v>
      </c>
      <c r="AK292" s="85" t="str">
        <f>HYPERLINK("https://yt3.ggpht.com/ytc/AKedOLS4neDuGk3gJqoaCUPhyI7sGB7Ed2HvwEnUPc7b=s88-c-k-c0x00ffffff-no-rj")</f>
        <v>https://yt3.ggpht.com/ytc/AKedOLS4neDuGk3gJqoaCUPhyI7sGB7Ed2HvwEnUPc7b=s88-c-k-c0x00ffffff-no-rj</v>
      </c>
      <c r="AL292" s="80">
        <v>1610</v>
      </c>
      <c r="AM292" s="80">
        <v>0</v>
      </c>
      <c r="AN292" s="80">
        <v>93</v>
      </c>
      <c r="AO292" s="80" t="b">
        <v>0</v>
      </c>
      <c r="AP292" s="80">
        <v>11</v>
      </c>
      <c r="AQ292" s="80"/>
      <c r="AR292" s="80"/>
      <c r="AS292" s="80" t="s">
        <v>3412</v>
      </c>
      <c r="AT292" s="85" t="str">
        <f>HYPERLINK("https://www.youtube.com/channel/UCndW331cxijeCaLHlD6VK-A")</f>
        <v>https://www.youtube.com/channel/UCndW331cxijeCaLHlD6VK-A</v>
      </c>
      <c r="AU292" s="80" t="str">
        <f>REPLACE(INDEX(GroupVertices[Group],MATCH(Vertices[[#This Row],[Vertex]],GroupVertices[Vertex],0)),1,1,"")</f>
        <v>16</v>
      </c>
      <c r="AV292" s="49">
        <v>1</v>
      </c>
      <c r="AW292" s="50">
        <v>6.25</v>
      </c>
      <c r="AX292" s="49">
        <v>1</v>
      </c>
      <c r="AY292" s="50">
        <v>6.25</v>
      </c>
      <c r="AZ292" s="49">
        <v>0</v>
      </c>
      <c r="BA292" s="50">
        <v>0</v>
      </c>
      <c r="BB292" s="49">
        <v>14</v>
      </c>
      <c r="BC292" s="50">
        <v>87.5</v>
      </c>
      <c r="BD292" s="49">
        <v>16</v>
      </c>
      <c r="BE292" s="49"/>
      <c r="BF292" s="49"/>
      <c r="BG292" s="49"/>
      <c r="BH292" s="49"/>
      <c r="BI292" s="49"/>
      <c r="BJ292" s="49"/>
      <c r="BK292" s="111" t="s">
        <v>4653</v>
      </c>
      <c r="BL292" s="111" t="s">
        <v>4875</v>
      </c>
      <c r="BM292" s="111" t="s">
        <v>5127</v>
      </c>
      <c r="BN292" s="111" t="s">
        <v>5127</v>
      </c>
      <c r="BO292" s="2"/>
      <c r="BP292" s="3"/>
      <c r="BQ292" s="3"/>
      <c r="BR292" s="3"/>
      <c r="BS292" s="3"/>
    </row>
    <row r="293" spans="1:71" ht="15">
      <c r="A293" s="65" t="s">
        <v>517</v>
      </c>
      <c r="B293" s="66"/>
      <c r="C293" s="66"/>
      <c r="D293" s="67">
        <v>150</v>
      </c>
      <c r="E293" s="69"/>
      <c r="F293" s="103" t="str">
        <f>HYPERLINK("https://yt3.ggpht.com/ytc/AKedOLSwAcqArpHPaSQSYA-mFsp4xu28ODsXfvdyk6Z4HA=s88-c-k-c0x00ffffff-no-rj")</f>
        <v>https://yt3.ggpht.com/ytc/AKedOLSwAcqArpHPaSQSYA-mFsp4xu28ODsXfvdyk6Z4HA=s88-c-k-c0x00ffffff-no-rj</v>
      </c>
      <c r="G293" s="66"/>
      <c r="H293" s="70" t="s">
        <v>1846</v>
      </c>
      <c r="I293" s="71"/>
      <c r="J293" s="71" t="s">
        <v>159</v>
      </c>
      <c r="K293" s="70" t="s">
        <v>1846</v>
      </c>
      <c r="L293" s="74">
        <v>1</v>
      </c>
      <c r="M293" s="75">
        <v>3946.083984375</v>
      </c>
      <c r="N293" s="75">
        <v>786.7703247070312</v>
      </c>
      <c r="O293" s="76"/>
      <c r="P293" s="77"/>
      <c r="Q293" s="77"/>
      <c r="R293" s="89"/>
      <c r="S293" s="49">
        <v>0</v>
      </c>
      <c r="T293" s="49">
        <v>1</v>
      </c>
      <c r="U293" s="50">
        <v>0</v>
      </c>
      <c r="V293" s="50">
        <v>0.020408</v>
      </c>
      <c r="W293" s="50">
        <v>0</v>
      </c>
      <c r="X293" s="50">
        <v>0.529156</v>
      </c>
      <c r="Y293" s="50">
        <v>0</v>
      </c>
      <c r="Z293" s="50">
        <v>0</v>
      </c>
      <c r="AA293" s="72">
        <v>293</v>
      </c>
      <c r="AB293" s="72"/>
      <c r="AC293" s="73"/>
      <c r="AD293" s="80" t="s">
        <v>1846</v>
      </c>
      <c r="AE293" s="80" t="s">
        <v>2899</v>
      </c>
      <c r="AF293" s="80"/>
      <c r="AG293" s="80"/>
      <c r="AH293" s="80"/>
      <c r="AI293" s="80" t="s">
        <v>3048</v>
      </c>
      <c r="AJ293" s="80" t="s">
        <v>3268</v>
      </c>
      <c r="AK293" s="85" t="str">
        <f>HYPERLINK("https://yt3.ggpht.com/ytc/AKedOLSwAcqArpHPaSQSYA-mFsp4xu28ODsXfvdyk6Z4HA=s88-c-k-c0x00ffffff-no-rj")</f>
        <v>https://yt3.ggpht.com/ytc/AKedOLSwAcqArpHPaSQSYA-mFsp4xu28ODsXfvdyk6Z4HA=s88-c-k-c0x00ffffff-no-rj</v>
      </c>
      <c r="AL293" s="80">
        <v>119170961</v>
      </c>
      <c r="AM293" s="80">
        <v>0</v>
      </c>
      <c r="AN293" s="80">
        <v>1340000</v>
      </c>
      <c r="AO293" s="80" t="b">
        <v>0</v>
      </c>
      <c r="AP293" s="80">
        <v>563</v>
      </c>
      <c r="AQ293" s="80"/>
      <c r="AR293" s="80"/>
      <c r="AS293" s="80" t="s">
        <v>3412</v>
      </c>
      <c r="AT293" s="85" t="str">
        <f>HYPERLINK("https://www.youtube.com/channel/UCJZTjBlrnDHYmf0F-eYXA3Q")</f>
        <v>https://www.youtube.com/channel/UCJZTjBlrnDHYmf0F-eYXA3Q</v>
      </c>
      <c r="AU293" s="80" t="str">
        <f>REPLACE(INDEX(GroupVertices[Group],MATCH(Vertices[[#This Row],[Vertex]],GroupVertices[Vertex],0)),1,1,"")</f>
        <v>7</v>
      </c>
      <c r="AV293" s="49">
        <v>4</v>
      </c>
      <c r="AW293" s="50">
        <v>8.16326530612245</v>
      </c>
      <c r="AX293" s="49">
        <v>0</v>
      </c>
      <c r="AY293" s="50">
        <v>0</v>
      </c>
      <c r="AZ293" s="49">
        <v>0</v>
      </c>
      <c r="BA293" s="50">
        <v>0</v>
      </c>
      <c r="BB293" s="49">
        <v>45</v>
      </c>
      <c r="BC293" s="50">
        <v>91.83673469387755</v>
      </c>
      <c r="BD293" s="49">
        <v>49</v>
      </c>
      <c r="BE293" s="49"/>
      <c r="BF293" s="49"/>
      <c r="BG293" s="49"/>
      <c r="BH293" s="49"/>
      <c r="BI293" s="49"/>
      <c r="BJ293" s="49"/>
      <c r="BK293" s="111" t="s">
        <v>4654</v>
      </c>
      <c r="BL293" s="111" t="s">
        <v>4654</v>
      </c>
      <c r="BM293" s="111" t="s">
        <v>5128</v>
      </c>
      <c r="BN293" s="111" t="s">
        <v>5128</v>
      </c>
      <c r="BO293" s="2"/>
      <c r="BP293" s="3"/>
      <c r="BQ293" s="3"/>
      <c r="BR293" s="3"/>
      <c r="BS293" s="3"/>
    </row>
    <row r="294" spans="1:71" ht="15">
      <c r="A294" s="65" t="s">
        <v>753</v>
      </c>
      <c r="B294" s="66"/>
      <c r="C294" s="66"/>
      <c r="D294" s="67">
        <v>453.57142857142856</v>
      </c>
      <c r="E294" s="69"/>
      <c r="F294" s="103" t="str">
        <f>HYPERLINK("https://yt3.ggpht.com/V1-9ehruY0QNxM7nIrYRXWJtuTUlQPOtWmEImvdyq72du8ZFgvJFbdVf1nQvFe5DFD6FSzPcBC4=s88-c-k-c0x00ffffff-no-rj")</f>
        <v>https://yt3.ggpht.com/V1-9ehruY0QNxM7nIrYRXWJtuTUlQPOtWmEImvdyq72du8ZFgvJFbdVf1nQvFe5DFD6FSzPcBC4=s88-c-k-c0x00ffffff-no-rj</v>
      </c>
      <c r="G294" s="66"/>
      <c r="H294" s="70" t="s">
        <v>2798</v>
      </c>
      <c r="I294" s="71"/>
      <c r="J294" s="71" t="s">
        <v>75</v>
      </c>
      <c r="K294" s="70" t="s">
        <v>2798</v>
      </c>
      <c r="L294" s="74">
        <v>164.65124399825405</v>
      </c>
      <c r="M294" s="75">
        <v>4368.05322265625</v>
      </c>
      <c r="N294" s="75">
        <v>1180.6484375</v>
      </c>
      <c r="O294" s="76"/>
      <c r="P294" s="77"/>
      <c r="Q294" s="77"/>
      <c r="R294" s="89"/>
      <c r="S294" s="49">
        <v>26</v>
      </c>
      <c r="T294" s="49">
        <v>1</v>
      </c>
      <c r="U294" s="50">
        <v>600</v>
      </c>
      <c r="V294" s="50">
        <v>0.04</v>
      </c>
      <c r="W294" s="50">
        <v>0</v>
      </c>
      <c r="X294" s="50">
        <v>11.597722</v>
      </c>
      <c r="Y294" s="50">
        <v>0</v>
      </c>
      <c r="Z294" s="50">
        <v>0</v>
      </c>
      <c r="AA294" s="72">
        <v>294</v>
      </c>
      <c r="AB294" s="72"/>
      <c r="AC294" s="73"/>
      <c r="AD294" s="80" t="s">
        <v>2798</v>
      </c>
      <c r="AE294" s="80" t="s">
        <v>2900</v>
      </c>
      <c r="AF294" s="80"/>
      <c r="AG294" s="80"/>
      <c r="AH294" s="80"/>
      <c r="AI294" s="80" t="s">
        <v>3049</v>
      </c>
      <c r="AJ294" s="80" t="s">
        <v>3269</v>
      </c>
      <c r="AK294" s="85" t="str">
        <f>HYPERLINK("https://yt3.ggpht.com/V1-9ehruY0QNxM7nIrYRXWJtuTUlQPOtWmEImvdyq72du8ZFgvJFbdVf1nQvFe5DFD6FSzPcBC4=s88-c-k-c0x00ffffff-no-rj")</f>
        <v>https://yt3.ggpht.com/V1-9ehruY0QNxM7nIrYRXWJtuTUlQPOtWmEImvdyq72du8ZFgvJFbdVf1nQvFe5DFD6FSzPcBC4=s88-c-k-c0x00ffffff-no-rj</v>
      </c>
      <c r="AL294" s="80">
        <v>7973128</v>
      </c>
      <c r="AM294" s="80">
        <v>0</v>
      </c>
      <c r="AN294" s="80">
        <v>36300</v>
      </c>
      <c r="AO294" s="80" t="b">
        <v>0</v>
      </c>
      <c r="AP294" s="80">
        <v>1169</v>
      </c>
      <c r="AQ294" s="80"/>
      <c r="AR294" s="80"/>
      <c r="AS294" s="80" t="s">
        <v>3412</v>
      </c>
      <c r="AT294" s="85" t="str">
        <f>HYPERLINK("https://www.youtube.com/channel/UCPqCByYpHD66ebkhDfDvHcw")</f>
        <v>https://www.youtube.com/channel/UCPqCByYpHD66ebkhDfDvHcw</v>
      </c>
      <c r="AU294" s="80" t="str">
        <f>REPLACE(INDEX(GroupVertices[Group],MATCH(Vertices[[#This Row],[Vertex]],GroupVertices[Vertex],0)),1,1,"")</f>
        <v>7</v>
      </c>
      <c r="AV294" s="49"/>
      <c r="AW294" s="50"/>
      <c r="AX294" s="49"/>
      <c r="AY294" s="50"/>
      <c r="AZ294" s="49"/>
      <c r="BA294" s="50"/>
      <c r="BB294" s="49"/>
      <c r="BC294" s="50"/>
      <c r="BD294" s="49"/>
      <c r="BE294" s="49"/>
      <c r="BF294" s="49"/>
      <c r="BG294" s="49"/>
      <c r="BH294" s="49"/>
      <c r="BI294" s="49"/>
      <c r="BJ294" s="49"/>
      <c r="BK294" s="111" t="s">
        <v>2782</v>
      </c>
      <c r="BL294" s="111" t="s">
        <v>2782</v>
      </c>
      <c r="BM294" s="111" t="s">
        <v>2782</v>
      </c>
      <c r="BN294" s="111" t="s">
        <v>2782</v>
      </c>
      <c r="BO294" s="2"/>
      <c r="BP294" s="3"/>
      <c r="BQ294" s="3"/>
      <c r="BR294" s="3"/>
      <c r="BS294" s="3"/>
    </row>
    <row r="295" spans="1:71" ht="15">
      <c r="A295" s="65" t="s">
        <v>518</v>
      </c>
      <c r="B295" s="66"/>
      <c r="C295" s="66"/>
      <c r="D295" s="67">
        <v>150</v>
      </c>
      <c r="E295" s="69"/>
      <c r="F295" s="103" t="str">
        <f>HYPERLINK("https://yt3.ggpht.com/ytc/AKedOLQOsxDG797aUhsOHT0f6ELNQOWBsqOLEbFoD08c4A=s88-c-k-c0x00ffffff-no-rj")</f>
        <v>https://yt3.ggpht.com/ytc/AKedOLQOsxDG797aUhsOHT0f6ELNQOWBsqOLEbFoD08c4A=s88-c-k-c0x00ffffff-no-rj</v>
      </c>
      <c r="G295" s="66"/>
      <c r="H295" s="70" t="s">
        <v>1847</v>
      </c>
      <c r="I295" s="71"/>
      <c r="J295" s="71" t="s">
        <v>159</v>
      </c>
      <c r="K295" s="70" t="s">
        <v>1847</v>
      </c>
      <c r="L295" s="74">
        <v>1</v>
      </c>
      <c r="M295" s="75">
        <v>3429.59326171875</v>
      </c>
      <c r="N295" s="75">
        <v>910.8727416992188</v>
      </c>
      <c r="O295" s="76"/>
      <c r="P295" s="77"/>
      <c r="Q295" s="77"/>
      <c r="R295" s="89"/>
      <c r="S295" s="49">
        <v>0</v>
      </c>
      <c r="T295" s="49">
        <v>1</v>
      </c>
      <c r="U295" s="50">
        <v>0</v>
      </c>
      <c r="V295" s="50">
        <v>0.020408</v>
      </c>
      <c r="W295" s="50">
        <v>0</v>
      </c>
      <c r="X295" s="50">
        <v>0.529156</v>
      </c>
      <c r="Y295" s="50">
        <v>0</v>
      </c>
      <c r="Z295" s="50">
        <v>0</v>
      </c>
      <c r="AA295" s="72">
        <v>295</v>
      </c>
      <c r="AB295" s="72"/>
      <c r="AC295" s="73"/>
      <c r="AD295" s="80" t="s">
        <v>1847</v>
      </c>
      <c r="AE295" s="80" t="s">
        <v>2901</v>
      </c>
      <c r="AF295" s="80"/>
      <c r="AG295" s="80"/>
      <c r="AH295" s="80"/>
      <c r="AI295" s="80"/>
      <c r="AJ295" s="80" t="s">
        <v>3270</v>
      </c>
      <c r="AK295" s="85" t="str">
        <f>HYPERLINK("https://yt3.ggpht.com/ytc/AKedOLQOsxDG797aUhsOHT0f6ELNQOWBsqOLEbFoD08c4A=s88-c-k-c0x00ffffff-no-rj")</f>
        <v>https://yt3.ggpht.com/ytc/AKedOLQOsxDG797aUhsOHT0f6ELNQOWBsqOLEbFoD08c4A=s88-c-k-c0x00ffffff-no-rj</v>
      </c>
      <c r="AL295" s="80">
        <v>0</v>
      </c>
      <c r="AM295" s="80">
        <v>0</v>
      </c>
      <c r="AN295" s="80">
        <v>0</v>
      </c>
      <c r="AO295" s="80" t="b">
        <v>1</v>
      </c>
      <c r="AP295" s="80">
        <v>0</v>
      </c>
      <c r="AQ295" s="80"/>
      <c r="AR295" s="80"/>
      <c r="AS295" s="80" t="s">
        <v>3412</v>
      </c>
      <c r="AT295" s="85" t="str">
        <f>HYPERLINK("https://www.youtube.com/channel/UCe0Ty-ARgAtRKadl946iuag")</f>
        <v>https://www.youtube.com/channel/UCe0Ty-ARgAtRKadl946iuag</v>
      </c>
      <c r="AU295" s="80" t="str">
        <f>REPLACE(INDEX(GroupVertices[Group],MATCH(Vertices[[#This Row],[Vertex]],GroupVertices[Vertex],0)),1,1,"")</f>
        <v>7</v>
      </c>
      <c r="AV295" s="49">
        <v>4</v>
      </c>
      <c r="AW295" s="50">
        <v>28.571428571428573</v>
      </c>
      <c r="AX295" s="49">
        <v>0</v>
      </c>
      <c r="AY295" s="50">
        <v>0</v>
      </c>
      <c r="AZ295" s="49">
        <v>0</v>
      </c>
      <c r="BA295" s="50">
        <v>0</v>
      </c>
      <c r="BB295" s="49">
        <v>10</v>
      </c>
      <c r="BC295" s="50">
        <v>71.42857142857143</v>
      </c>
      <c r="BD295" s="49">
        <v>14</v>
      </c>
      <c r="BE295" s="49"/>
      <c r="BF295" s="49"/>
      <c r="BG295" s="49"/>
      <c r="BH295" s="49"/>
      <c r="BI295" s="49"/>
      <c r="BJ295" s="49"/>
      <c r="BK295" s="111" t="s">
        <v>4655</v>
      </c>
      <c r="BL295" s="111" t="s">
        <v>4655</v>
      </c>
      <c r="BM295" s="111" t="s">
        <v>5129</v>
      </c>
      <c r="BN295" s="111" t="s">
        <v>5129</v>
      </c>
      <c r="BO295" s="2"/>
      <c r="BP295" s="3"/>
      <c r="BQ295" s="3"/>
      <c r="BR295" s="3"/>
      <c r="BS295" s="3"/>
    </row>
    <row r="296" spans="1:71" ht="15">
      <c r="A296" s="65" t="s">
        <v>519</v>
      </c>
      <c r="B296" s="66"/>
      <c r="C296" s="66"/>
      <c r="D296" s="67">
        <v>150</v>
      </c>
      <c r="E296" s="69"/>
      <c r="F296" s="103" t="str">
        <f>HYPERLINK("https://yt3.ggpht.com/ytc/AKedOLQy2oN_3YxwnJdpcEZfXMx1Dk_k0hew0ktEKw=s88-c-k-c0x00ffffff-no-rj")</f>
        <v>https://yt3.ggpht.com/ytc/AKedOLQy2oN_3YxwnJdpcEZfXMx1Dk_k0hew0ktEKw=s88-c-k-c0x00ffffff-no-rj</v>
      </c>
      <c r="G296" s="66"/>
      <c r="H296" s="70" t="s">
        <v>1848</v>
      </c>
      <c r="I296" s="71"/>
      <c r="J296" s="71" t="s">
        <v>159</v>
      </c>
      <c r="K296" s="70" t="s">
        <v>1848</v>
      </c>
      <c r="L296" s="74">
        <v>1</v>
      </c>
      <c r="M296" s="75">
        <v>5274.173828125</v>
      </c>
      <c r="N296" s="75">
        <v>767.8610229492188</v>
      </c>
      <c r="O296" s="76"/>
      <c r="P296" s="77"/>
      <c r="Q296" s="77"/>
      <c r="R296" s="89"/>
      <c r="S296" s="49">
        <v>0</v>
      </c>
      <c r="T296" s="49">
        <v>1</v>
      </c>
      <c r="U296" s="50">
        <v>0</v>
      </c>
      <c r="V296" s="50">
        <v>0.020408</v>
      </c>
      <c r="W296" s="50">
        <v>0</v>
      </c>
      <c r="X296" s="50">
        <v>0.529156</v>
      </c>
      <c r="Y296" s="50">
        <v>0</v>
      </c>
      <c r="Z296" s="50">
        <v>0</v>
      </c>
      <c r="AA296" s="72">
        <v>296</v>
      </c>
      <c r="AB296" s="72"/>
      <c r="AC296" s="73"/>
      <c r="AD296" s="80" t="s">
        <v>1848</v>
      </c>
      <c r="AE296" s="80"/>
      <c r="AF296" s="80"/>
      <c r="AG296" s="80"/>
      <c r="AH296" s="80"/>
      <c r="AI296" s="80"/>
      <c r="AJ296" s="87">
        <v>41680.974224537036</v>
      </c>
      <c r="AK296" s="85" t="str">
        <f>HYPERLINK("https://yt3.ggpht.com/ytc/AKedOLQy2oN_3YxwnJdpcEZfXMx1Dk_k0hew0ktEKw=s88-c-k-c0x00ffffff-no-rj")</f>
        <v>https://yt3.ggpht.com/ytc/AKedOLQy2oN_3YxwnJdpcEZfXMx1Dk_k0hew0ktEKw=s88-c-k-c0x00ffffff-no-rj</v>
      </c>
      <c r="AL296" s="80">
        <v>0</v>
      </c>
      <c r="AM296" s="80">
        <v>0</v>
      </c>
      <c r="AN296" s="80">
        <v>1</v>
      </c>
      <c r="AO296" s="80" t="b">
        <v>0</v>
      </c>
      <c r="AP296" s="80">
        <v>0</v>
      </c>
      <c r="AQ296" s="80"/>
      <c r="AR296" s="80"/>
      <c r="AS296" s="80" t="s">
        <v>3412</v>
      </c>
      <c r="AT296" s="85" t="str">
        <f>HYPERLINK("https://www.youtube.com/channel/UCzYiZ_5SKTQ7VXZEk0QMqaQ")</f>
        <v>https://www.youtube.com/channel/UCzYiZ_5SKTQ7VXZEk0QMqaQ</v>
      </c>
      <c r="AU296" s="80" t="str">
        <f>REPLACE(INDEX(GroupVertices[Group],MATCH(Vertices[[#This Row],[Vertex]],GroupVertices[Vertex],0)),1,1,"")</f>
        <v>7</v>
      </c>
      <c r="AV296" s="49">
        <v>1</v>
      </c>
      <c r="AW296" s="50">
        <v>9.090909090909092</v>
      </c>
      <c r="AX296" s="49">
        <v>0</v>
      </c>
      <c r="AY296" s="50">
        <v>0</v>
      </c>
      <c r="AZ296" s="49">
        <v>0</v>
      </c>
      <c r="BA296" s="50">
        <v>0</v>
      </c>
      <c r="BB296" s="49">
        <v>10</v>
      </c>
      <c r="BC296" s="50">
        <v>90.9090909090909</v>
      </c>
      <c r="BD296" s="49">
        <v>11</v>
      </c>
      <c r="BE296" s="49"/>
      <c r="BF296" s="49"/>
      <c r="BG296" s="49"/>
      <c r="BH296" s="49"/>
      <c r="BI296" s="49"/>
      <c r="BJ296" s="49"/>
      <c r="BK296" s="111" t="s">
        <v>4656</v>
      </c>
      <c r="BL296" s="111" t="s">
        <v>4656</v>
      </c>
      <c r="BM296" s="111" t="s">
        <v>5130</v>
      </c>
      <c r="BN296" s="111" t="s">
        <v>5130</v>
      </c>
      <c r="BO296" s="2"/>
      <c r="BP296" s="3"/>
      <c r="BQ296" s="3"/>
      <c r="BR296" s="3"/>
      <c r="BS296" s="3"/>
    </row>
    <row r="297" spans="1:71" ht="15">
      <c r="A297" s="65" t="s">
        <v>520</v>
      </c>
      <c r="B297" s="66"/>
      <c r="C297" s="66"/>
      <c r="D297" s="67">
        <v>150</v>
      </c>
      <c r="E297" s="69"/>
      <c r="F297" s="103" t="str">
        <f>HYPERLINK("https://yt3.ggpht.com/ytc/AKedOLS_eILgHlDmf1PjA9uqMOextR_mRYMUVz78UGeE=s88-c-k-c0x00ffffff-no-rj")</f>
        <v>https://yt3.ggpht.com/ytc/AKedOLS_eILgHlDmf1PjA9uqMOextR_mRYMUVz78UGeE=s88-c-k-c0x00ffffff-no-rj</v>
      </c>
      <c r="G297" s="66"/>
      <c r="H297" s="70" t="s">
        <v>1849</v>
      </c>
      <c r="I297" s="71"/>
      <c r="J297" s="71" t="s">
        <v>159</v>
      </c>
      <c r="K297" s="70" t="s">
        <v>1849</v>
      </c>
      <c r="L297" s="74">
        <v>1</v>
      </c>
      <c r="M297" s="75">
        <v>4114.98583984375</v>
      </c>
      <c r="N297" s="75">
        <v>191.43280029296875</v>
      </c>
      <c r="O297" s="76"/>
      <c r="P297" s="77"/>
      <c r="Q297" s="77"/>
      <c r="R297" s="89"/>
      <c r="S297" s="49">
        <v>0</v>
      </c>
      <c r="T297" s="49">
        <v>1</v>
      </c>
      <c r="U297" s="50">
        <v>0</v>
      </c>
      <c r="V297" s="50">
        <v>0.020408</v>
      </c>
      <c r="W297" s="50">
        <v>0</v>
      </c>
      <c r="X297" s="50">
        <v>0.529156</v>
      </c>
      <c r="Y297" s="50">
        <v>0</v>
      </c>
      <c r="Z297" s="50">
        <v>0</v>
      </c>
      <c r="AA297" s="72">
        <v>297</v>
      </c>
      <c r="AB297" s="72"/>
      <c r="AC297" s="73"/>
      <c r="AD297" s="80" t="s">
        <v>1849</v>
      </c>
      <c r="AE297" s="80"/>
      <c r="AF297" s="80"/>
      <c r="AG297" s="80"/>
      <c r="AH297" s="80"/>
      <c r="AI297" s="80"/>
      <c r="AJ297" s="80" t="s">
        <v>3271</v>
      </c>
      <c r="AK297" s="85" t="str">
        <f>HYPERLINK("https://yt3.ggpht.com/ytc/AKedOLS_eILgHlDmf1PjA9uqMOextR_mRYMUVz78UGeE=s88-c-k-c0x00ffffff-no-rj")</f>
        <v>https://yt3.ggpht.com/ytc/AKedOLS_eILgHlDmf1PjA9uqMOextR_mRYMUVz78UGeE=s88-c-k-c0x00ffffff-no-rj</v>
      </c>
      <c r="AL297" s="80">
        <v>0</v>
      </c>
      <c r="AM297" s="80">
        <v>0</v>
      </c>
      <c r="AN297" s="80">
        <v>7</v>
      </c>
      <c r="AO297" s="80" t="b">
        <v>0</v>
      </c>
      <c r="AP297" s="80">
        <v>0</v>
      </c>
      <c r="AQ297" s="80"/>
      <c r="AR297" s="80"/>
      <c r="AS297" s="80" t="s">
        <v>3412</v>
      </c>
      <c r="AT297" s="85" t="str">
        <f>HYPERLINK("https://www.youtube.com/channel/UC-8wnkkf2mXWP8yGB7QZn6A")</f>
        <v>https://www.youtube.com/channel/UC-8wnkkf2mXWP8yGB7QZn6A</v>
      </c>
      <c r="AU297" s="80" t="str">
        <f>REPLACE(INDEX(GroupVertices[Group],MATCH(Vertices[[#This Row],[Vertex]],GroupVertices[Vertex],0)),1,1,"")</f>
        <v>7</v>
      </c>
      <c r="AV297" s="49">
        <v>1</v>
      </c>
      <c r="AW297" s="50">
        <v>11.11111111111111</v>
      </c>
      <c r="AX297" s="49">
        <v>0</v>
      </c>
      <c r="AY297" s="50">
        <v>0</v>
      </c>
      <c r="AZ297" s="49">
        <v>0</v>
      </c>
      <c r="BA297" s="50">
        <v>0</v>
      </c>
      <c r="BB297" s="49">
        <v>8</v>
      </c>
      <c r="BC297" s="50">
        <v>88.88888888888889</v>
      </c>
      <c r="BD297" s="49">
        <v>9</v>
      </c>
      <c r="BE297" s="49"/>
      <c r="BF297" s="49"/>
      <c r="BG297" s="49"/>
      <c r="BH297" s="49"/>
      <c r="BI297" s="49"/>
      <c r="BJ297" s="49"/>
      <c r="BK297" s="111" t="s">
        <v>4657</v>
      </c>
      <c r="BL297" s="111" t="s">
        <v>4657</v>
      </c>
      <c r="BM297" s="111" t="s">
        <v>5131</v>
      </c>
      <c r="BN297" s="111" t="s">
        <v>5131</v>
      </c>
      <c r="BO297" s="2"/>
      <c r="BP297" s="3"/>
      <c r="BQ297" s="3"/>
      <c r="BR297" s="3"/>
      <c r="BS297" s="3"/>
    </row>
    <row r="298" spans="1:71" ht="15">
      <c r="A298" s="65" t="s">
        <v>521</v>
      </c>
      <c r="B298" s="66"/>
      <c r="C298" s="66"/>
      <c r="D298" s="67">
        <v>150</v>
      </c>
      <c r="E298" s="69"/>
      <c r="F298" s="103" t="str">
        <f>HYPERLINK("https://yt3.ggpht.com/ytc/AKedOLRjcIX6WP4su2_DaY2GDfZvxDc9EhoZ_AZ3VVSB=s88-c-k-c0x00ffffff-no-rj")</f>
        <v>https://yt3.ggpht.com/ytc/AKedOLRjcIX6WP4su2_DaY2GDfZvxDc9EhoZ_AZ3VVSB=s88-c-k-c0x00ffffff-no-rj</v>
      </c>
      <c r="G298" s="66"/>
      <c r="H298" s="70" t="s">
        <v>1850</v>
      </c>
      <c r="I298" s="71"/>
      <c r="J298" s="71" t="s">
        <v>159</v>
      </c>
      <c r="K298" s="70" t="s">
        <v>1850</v>
      </c>
      <c r="L298" s="74">
        <v>1</v>
      </c>
      <c r="M298" s="75">
        <v>4916.9326171875</v>
      </c>
      <c r="N298" s="75">
        <v>2041.383056640625</v>
      </c>
      <c r="O298" s="76"/>
      <c r="P298" s="77"/>
      <c r="Q298" s="77"/>
      <c r="R298" s="89"/>
      <c r="S298" s="49">
        <v>0</v>
      </c>
      <c r="T298" s="49">
        <v>1</v>
      </c>
      <c r="U298" s="50">
        <v>0</v>
      </c>
      <c r="V298" s="50">
        <v>0.020408</v>
      </c>
      <c r="W298" s="50">
        <v>0</v>
      </c>
      <c r="X298" s="50">
        <v>0.529156</v>
      </c>
      <c r="Y298" s="50">
        <v>0</v>
      </c>
      <c r="Z298" s="50">
        <v>0</v>
      </c>
      <c r="AA298" s="72">
        <v>298</v>
      </c>
      <c r="AB298" s="72"/>
      <c r="AC298" s="73"/>
      <c r="AD298" s="80" t="s">
        <v>1850</v>
      </c>
      <c r="AE298" s="80" t="s">
        <v>2902</v>
      </c>
      <c r="AF298" s="80"/>
      <c r="AG298" s="80"/>
      <c r="AH298" s="80"/>
      <c r="AI298" s="80" t="s">
        <v>3050</v>
      </c>
      <c r="AJ298" s="80" t="s">
        <v>3272</v>
      </c>
      <c r="AK298" s="85" t="str">
        <f>HYPERLINK("https://yt3.ggpht.com/ytc/AKedOLRjcIX6WP4su2_DaY2GDfZvxDc9EhoZ_AZ3VVSB=s88-c-k-c0x00ffffff-no-rj")</f>
        <v>https://yt3.ggpht.com/ytc/AKedOLRjcIX6WP4su2_DaY2GDfZvxDc9EhoZ_AZ3VVSB=s88-c-k-c0x00ffffff-no-rj</v>
      </c>
      <c r="AL298" s="80">
        <v>12291</v>
      </c>
      <c r="AM298" s="80">
        <v>0</v>
      </c>
      <c r="AN298" s="80">
        <v>198</v>
      </c>
      <c r="AO298" s="80" t="b">
        <v>0</v>
      </c>
      <c r="AP298" s="80">
        <v>10</v>
      </c>
      <c r="AQ298" s="80"/>
      <c r="AR298" s="80"/>
      <c r="AS298" s="80" t="s">
        <v>3412</v>
      </c>
      <c r="AT298" s="85" t="str">
        <f>HYPERLINK("https://www.youtube.com/channel/UCjwpjQ7SQwHjFPJrUWxke8g")</f>
        <v>https://www.youtube.com/channel/UCjwpjQ7SQwHjFPJrUWxke8g</v>
      </c>
      <c r="AU298" s="80" t="str">
        <f>REPLACE(INDEX(GroupVertices[Group],MATCH(Vertices[[#This Row],[Vertex]],GroupVertices[Vertex],0)),1,1,"")</f>
        <v>7</v>
      </c>
      <c r="AV298" s="49">
        <v>1</v>
      </c>
      <c r="AW298" s="50">
        <v>7.6923076923076925</v>
      </c>
      <c r="AX298" s="49">
        <v>0</v>
      </c>
      <c r="AY298" s="50">
        <v>0</v>
      </c>
      <c r="AZ298" s="49">
        <v>0</v>
      </c>
      <c r="BA298" s="50">
        <v>0</v>
      </c>
      <c r="BB298" s="49">
        <v>12</v>
      </c>
      <c r="BC298" s="50">
        <v>92.3076923076923</v>
      </c>
      <c r="BD298" s="49">
        <v>13</v>
      </c>
      <c r="BE298" s="49"/>
      <c r="BF298" s="49"/>
      <c r="BG298" s="49"/>
      <c r="BH298" s="49"/>
      <c r="BI298" s="49"/>
      <c r="BJ298" s="49"/>
      <c r="BK298" s="111" t="s">
        <v>4658</v>
      </c>
      <c r="BL298" s="111" t="s">
        <v>4658</v>
      </c>
      <c r="BM298" s="111" t="s">
        <v>5132</v>
      </c>
      <c r="BN298" s="111" t="s">
        <v>5132</v>
      </c>
      <c r="BO298" s="2"/>
      <c r="BP298" s="3"/>
      <c r="BQ298" s="3"/>
      <c r="BR298" s="3"/>
      <c r="BS298" s="3"/>
    </row>
    <row r="299" spans="1:71" ht="15">
      <c r="A299" s="65" t="s">
        <v>522</v>
      </c>
      <c r="B299" s="66"/>
      <c r="C299" s="66"/>
      <c r="D299" s="67">
        <v>150</v>
      </c>
      <c r="E299" s="69"/>
      <c r="F299" s="103" t="str">
        <f>HYPERLINK("https://yt3.ggpht.com/ytc/AKedOLTf7KTu1iHAaNNShra_OKQrZFw9hMIMmSWWe2f0=s88-c-k-c0x00ffffff-no-rj")</f>
        <v>https://yt3.ggpht.com/ytc/AKedOLTf7KTu1iHAaNNShra_OKQrZFw9hMIMmSWWe2f0=s88-c-k-c0x00ffffff-no-rj</v>
      </c>
      <c r="G299" s="66"/>
      <c r="H299" s="70" t="s">
        <v>1851</v>
      </c>
      <c r="I299" s="71"/>
      <c r="J299" s="71" t="s">
        <v>159</v>
      </c>
      <c r="K299" s="70" t="s">
        <v>1851</v>
      </c>
      <c r="L299" s="74">
        <v>1</v>
      </c>
      <c r="M299" s="75">
        <v>3827.75244140625</v>
      </c>
      <c r="N299" s="75">
        <v>1298.11083984375</v>
      </c>
      <c r="O299" s="76"/>
      <c r="P299" s="77"/>
      <c r="Q299" s="77"/>
      <c r="R299" s="89"/>
      <c r="S299" s="49">
        <v>0</v>
      </c>
      <c r="T299" s="49">
        <v>1</v>
      </c>
      <c r="U299" s="50">
        <v>0</v>
      </c>
      <c r="V299" s="50">
        <v>0.020408</v>
      </c>
      <c r="W299" s="50">
        <v>0</v>
      </c>
      <c r="X299" s="50">
        <v>0.529156</v>
      </c>
      <c r="Y299" s="50">
        <v>0</v>
      </c>
      <c r="Z299" s="50">
        <v>0</v>
      </c>
      <c r="AA299" s="72">
        <v>299</v>
      </c>
      <c r="AB299" s="72"/>
      <c r="AC299" s="73"/>
      <c r="AD299" s="80" t="s">
        <v>1851</v>
      </c>
      <c r="AE299" s="80"/>
      <c r="AF299" s="80"/>
      <c r="AG299" s="80"/>
      <c r="AH299" s="80"/>
      <c r="AI299" s="80"/>
      <c r="AJ299" s="87">
        <v>39119.31480324074</v>
      </c>
      <c r="AK299" s="85" t="str">
        <f>HYPERLINK("https://yt3.ggpht.com/ytc/AKedOLTf7KTu1iHAaNNShra_OKQrZFw9hMIMmSWWe2f0=s88-c-k-c0x00ffffff-no-rj")</f>
        <v>https://yt3.ggpht.com/ytc/AKedOLTf7KTu1iHAaNNShra_OKQrZFw9hMIMmSWWe2f0=s88-c-k-c0x00ffffff-no-rj</v>
      </c>
      <c r="AL299" s="80">
        <v>17130</v>
      </c>
      <c r="AM299" s="80">
        <v>0</v>
      </c>
      <c r="AN299" s="80">
        <v>8</v>
      </c>
      <c r="AO299" s="80" t="b">
        <v>0</v>
      </c>
      <c r="AP299" s="80">
        <v>2</v>
      </c>
      <c r="AQ299" s="80"/>
      <c r="AR299" s="80"/>
      <c r="AS299" s="80" t="s">
        <v>3412</v>
      </c>
      <c r="AT299" s="85" t="str">
        <f>HYPERLINK("https://www.youtube.com/channel/UCuDR6nNA17-9XDUzNi_eKbQ")</f>
        <v>https://www.youtube.com/channel/UCuDR6nNA17-9XDUzNi_eKbQ</v>
      </c>
      <c r="AU299" s="80" t="str">
        <f>REPLACE(INDEX(GroupVertices[Group],MATCH(Vertices[[#This Row],[Vertex]],GroupVertices[Vertex],0)),1,1,"")</f>
        <v>7</v>
      </c>
      <c r="AV299" s="49">
        <v>1</v>
      </c>
      <c r="AW299" s="50">
        <v>5</v>
      </c>
      <c r="AX299" s="49">
        <v>1</v>
      </c>
      <c r="AY299" s="50">
        <v>5</v>
      </c>
      <c r="AZ299" s="49">
        <v>0</v>
      </c>
      <c r="BA299" s="50">
        <v>0</v>
      </c>
      <c r="BB299" s="49">
        <v>18</v>
      </c>
      <c r="BC299" s="50">
        <v>90</v>
      </c>
      <c r="BD299" s="49">
        <v>20</v>
      </c>
      <c r="BE299" s="49"/>
      <c r="BF299" s="49"/>
      <c r="BG299" s="49"/>
      <c r="BH299" s="49"/>
      <c r="BI299" s="49"/>
      <c r="BJ299" s="49"/>
      <c r="BK299" s="111" t="s">
        <v>4659</v>
      </c>
      <c r="BL299" s="111" t="s">
        <v>4659</v>
      </c>
      <c r="BM299" s="111" t="s">
        <v>5133</v>
      </c>
      <c r="BN299" s="111" t="s">
        <v>5133</v>
      </c>
      <c r="BO299" s="2"/>
      <c r="BP299" s="3"/>
      <c r="BQ299" s="3"/>
      <c r="BR299" s="3"/>
      <c r="BS299" s="3"/>
    </row>
    <row r="300" spans="1:71" ht="15">
      <c r="A300" s="65" t="s">
        <v>523</v>
      </c>
      <c r="B300" s="66"/>
      <c r="C300" s="66"/>
      <c r="D300" s="67">
        <v>150</v>
      </c>
      <c r="E300" s="69"/>
      <c r="F300" s="103" t="str">
        <f>HYPERLINK("https://yt3.ggpht.com/ytc/AKedOLQxJkaVQYnHR7HoY8oVqF_o10OLnSmHD1zFdByA=s88-c-k-c0x00ffffff-no-rj")</f>
        <v>https://yt3.ggpht.com/ytc/AKedOLQxJkaVQYnHR7HoY8oVqF_o10OLnSmHD1zFdByA=s88-c-k-c0x00ffffff-no-rj</v>
      </c>
      <c r="G300" s="66"/>
      <c r="H300" s="70" t="s">
        <v>1852</v>
      </c>
      <c r="I300" s="71"/>
      <c r="J300" s="71" t="s">
        <v>159</v>
      </c>
      <c r="K300" s="70" t="s">
        <v>1852</v>
      </c>
      <c r="L300" s="74">
        <v>1</v>
      </c>
      <c r="M300" s="75">
        <v>3462.645751953125</v>
      </c>
      <c r="N300" s="75">
        <v>1596.033203125</v>
      </c>
      <c r="O300" s="76"/>
      <c r="P300" s="77"/>
      <c r="Q300" s="77"/>
      <c r="R300" s="89"/>
      <c r="S300" s="49">
        <v>0</v>
      </c>
      <c r="T300" s="49">
        <v>1</v>
      </c>
      <c r="U300" s="50">
        <v>0</v>
      </c>
      <c r="V300" s="50">
        <v>0.020408</v>
      </c>
      <c r="W300" s="50">
        <v>0</v>
      </c>
      <c r="X300" s="50">
        <v>0.529156</v>
      </c>
      <c r="Y300" s="50">
        <v>0</v>
      </c>
      <c r="Z300" s="50">
        <v>0</v>
      </c>
      <c r="AA300" s="72">
        <v>300</v>
      </c>
      <c r="AB300" s="72"/>
      <c r="AC300" s="73"/>
      <c r="AD300" s="80" t="s">
        <v>1852</v>
      </c>
      <c r="AE300" s="80" t="s">
        <v>2903</v>
      </c>
      <c r="AF300" s="80"/>
      <c r="AG300" s="80"/>
      <c r="AH300" s="80"/>
      <c r="AI300" s="80" t="s">
        <v>3051</v>
      </c>
      <c r="AJ300" s="87">
        <v>41127.35491898148</v>
      </c>
      <c r="AK300" s="85" t="str">
        <f>HYPERLINK("https://yt3.ggpht.com/ytc/AKedOLQxJkaVQYnHR7HoY8oVqF_o10OLnSmHD1zFdByA=s88-c-k-c0x00ffffff-no-rj")</f>
        <v>https://yt3.ggpht.com/ytc/AKedOLQxJkaVQYnHR7HoY8oVqF_o10OLnSmHD1zFdByA=s88-c-k-c0x00ffffff-no-rj</v>
      </c>
      <c r="AL300" s="80">
        <v>15760141</v>
      </c>
      <c r="AM300" s="80">
        <v>0</v>
      </c>
      <c r="AN300" s="80">
        <v>76300</v>
      </c>
      <c r="AO300" s="80" t="b">
        <v>0</v>
      </c>
      <c r="AP300" s="80">
        <v>1894</v>
      </c>
      <c r="AQ300" s="80"/>
      <c r="AR300" s="80"/>
      <c r="AS300" s="80" t="s">
        <v>3412</v>
      </c>
      <c r="AT300" s="85" t="str">
        <f>HYPERLINK("https://www.youtube.com/channel/UCW1pskv_gh6_dklLSDOjZ2Q")</f>
        <v>https://www.youtube.com/channel/UCW1pskv_gh6_dklLSDOjZ2Q</v>
      </c>
      <c r="AU300" s="80" t="str">
        <f>REPLACE(INDEX(GroupVertices[Group],MATCH(Vertices[[#This Row],[Vertex]],GroupVertices[Vertex],0)),1,1,"")</f>
        <v>7</v>
      </c>
      <c r="AV300" s="49">
        <v>7</v>
      </c>
      <c r="AW300" s="50">
        <v>14</v>
      </c>
      <c r="AX300" s="49">
        <v>0</v>
      </c>
      <c r="AY300" s="50">
        <v>0</v>
      </c>
      <c r="AZ300" s="49">
        <v>0</v>
      </c>
      <c r="BA300" s="50">
        <v>0</v>
      </c>
      <c r="BB300" s="49">
        <v>43</v>
      </c>
      <c r="BC300" s="50">
        <v>86</v>
      </c>
      <c r="BD300" s="49">
        <v>50</v>
      </c>
      <c r="BE300" s="49"/>
      <c r="BF300" s="49"/>
      <c r="BG300" s="49"/>
      <c r="BH300" s="49"/>
      <c r="BI300" s="49"/>
      <c r="BJ300" s="49"/>
      <c r="BK300" s="111" t="s">
        <v>4660</v>
      </c>
      <c r="BL300" s="111" t="s">
        <v>4660</v>
      </c>
      <c r="BM300" s="111" t="s">
        <v>5134</v>
      </c>
      <c r="BN300" s="111" t="s">
        <v>5134</v>
      </c>
      <c r="BO300" s="2"/>
      <c r="BP300" s="3"/>
      <c r="BQ300" s="3"/>
      <c r="BR300" s="3"/>
      <c r="BS300" s="3"/>
    </row>
    <row r="301" spans="1:71" ht="15">
      <c r="A301" s="65" t="s">
        <v>524</v>
      </c>
      <c r="B301" s="66"/>
      <c r="C301" s="66"/>
      <c r="D301" s="67">
        <v>150</v>
      </c>
      <c r="E301" s="69"/>
      <c r="F301" s="103" t="str">
        <f>HYPERLINK("https://yt3.ggpht.com/ytc/AKedOLRlTtBJywxEqTcVV2mrF8e2AL4iF-t0x6trZEGM=s88-c-k-c0x00ffffff-no-rj")</f>
        <v>https://yt3.ggpht.com/ytc/AKedOLRlTtBJywxEqTcVV2mrF8e2AL4iF-t0x6trZEGM=s88-c-k-c0x00ffffff-no-rj</v>
      </c>
      <c r="G301" s="66"/>
      <c r="H301" s="70" t="s">
        <v>1853</v>
      </c>
      <c r="I301" s="71"/>
      <c r="J301" s="71" t="s">
        <v>159</v>
      </c>
      <c r="K301" s="70" t="s">
        <v>1853</v>
      </c>
      <c r="L301" s="74">
        <v>1</v>
      </c>
      <c r="M301" s="75">
        <v>4597.13916015625</v>
      </c>
      <c r="N301" s="75">
        <v>2178.720458984375</v>
      </c>
      <c r="O301" s="76"/>
      <c r="P301" s="77"/>
      <c r="Q301" s="77"/>
      <c r="R301" s="89"/>
      <c r="S301" s="49">
        <v>1</v>
      </c>
      <c r="T301" s="49">
        <v>2</v>
      </c>
      <c r="U301" s="50">
        <v>0</v>
      </c>
      <c r="V301" s="50">
        <v>0.020408</v>
      </c>
      <c r="W301" s="50">
        <v>0</v>
      </c>
      <c r="X301" s="50">
        <v>0.920272</v>
      </c>
      <c r="Y301" s="50">
        <v>0</v>
      </c>
      <c r="Z301" s="50">
        <v>0</v>
      </c>
      <c r="AA301" s="72">
        <v>301</v>
      </c>
      <c r="AB301" s="72"/>
      <c r="AC301" s="73"/>
      <c r="AD301" s="80" t="s">
        <v>1853</v>
      </c>
      <c r="AE301" s="80" t="s">
        <v>2904</v>
      </c>
      <c r="AF301" s="80"/>
      <c r="AG301" s="80"/>
      <c r="AH301" s="80"/>
      <c r="AI301" s="80" t="s">
        <v>3052</v>
      </c>
      <c r="AJ301" s="80" t="s">
        <v>3273</v>
      </c>
      <c r="AK301" s="85" t="str">
        <f>HYPERLINK("https://yt3.ggpht.com/ytc/AKedOLRlTtBJywxEqTcVV2mrF8e2AL4iF-t0x6trZEGM=s88-c-k-c0x00ffffff-no-rj")</f>
        <v>https://yt3.ggpht.com/ytc/AKedOLRlTtBJywxEqTcVV2mrF8e2AL4iF-t0x6trZEGM=s88-c-k-c0x00ffffff-no-rj</v>
      </c>
      <c r="AL301" s="80">
        <v>1132652</v>
      </c>
      <c r="AM301" s="80">
        <v>0</v>
      </c>
      <c r="AN301" s="80">
        <v>2790</v>
      </c>
      <c r="AO301" s="80" t="b">
        <v>0</v>
      </c>
      <c r="AP301" s="80">
        <v>817</v>
      </c>
      <c r="AQ301" s="80"/>
      <c r="AR301" s="80"/>
      <c r="AS301" s="80" t="s">
        <v>3412</v>
      </c>
      <c r="AT301" s="85" t="str">
        <f>HYPERLINK("https://www.youtube.com/channel/UCh5UsiQKf33b7BuvGekeV7g")</f>
        <v>https://www.youtube.com/channel/UCh5UsiQKf33b7BuvGekeV7g</v>
      </c>
      <c r="AU301" s="80" t="str">
        <f>REPLACE(INDEX(GroupVertices[Group],MATCH(Vertices[[#This Row],[Vertex]],GroupVertices[Vertex],0)),1,1,"")</f>
        <v>7</v>
      </c>
      <c r="AV301" s="49">
        <v>3</v>
      </c>
      <c r="AW301" s="50">
        <v>4.6875</v>
      </c>
      <c r="AX301" s="49">
        <v>0</v>
      </c>
      <c r="AY301" s="50">
        <v>0</v>
      </c>
      <c r="AZ301" s="49">
        <v>0</v>
      </c>
      <c r="BA301" s="50">
        <v>0</v>
      </c>
      <c r="BB301" s="49">
        <v>61</v>
      </c>
      <c r="BC301" s="50">
        <v>95.3125</v>
      </c>
      <c r="BD301" s="49">
        <v>64</v>
      </c>
      <c r="BE301" s="49"/>
      <c r="BF301" s="49"/>
      <c r="BG301" s="49"/>
      <c r="BH301" s="49"/>
      <c r="BI301" s="49"/>
      <c r="BJ301" s="49"/>
      <c r="BK301" s="111" t="s">
        <v>4661</v>
      </c>
      <c r="BL301" s="111" t="s">
        <v>4661</v>
      </c>
      <c r="BM301" s="111" t="s">
        <v>5135</v>
      </c>
      <c r="BN301" s="111" t="s">
        <v>5135</v>
      </c>
      <c r="BO301" s="2"/>
      <c r="BP301" s="3"/>
      <c r="BQ301" s="3"/>
      <c r="BR301" s="3"/>
      <c r="BS301" s="3"/>
    </row>
    <row r="302" spans="1:71" ht="15">
      <c r="A302" s="65" t="s">
        <v>525</v>
      </c>
      <c r="B302" s="66"/>
      <c r="C302" s="66"/>
      <c r="D302" s="67">
        <v>150</v>
      </c>
      <c r="E302" s="69"/>
      <c r="F302" s="103" t="str">
        <f>HYPERLINK("https://yt3.ggpht.com/ytc/AKedOLTKe9F8iaEu11xYc8GThSsxk5Fi8J7AuVt-iLyBsQ=s88-c-k-c0x00ffffff-no-rj")</f>
        <v>https://yt3.ggpht.com/ytc/AKedOLTKe9F8iaEu11xYc8GThSsxk5Fi8J7AuVt-iLyBsQ=s88-c-k-c0x00ffffff-no-rj</v>
      </c>
      <c r="G302" s="66"/>
      <c r="H302" s="70" t="s">
        <v>1854</v>
      </c>
      <c r="I302" s="71"/>
      <c r="J302" s="71" t="s">
        <v>159</v>
      </c>
      <c r="K302" s="70" t="s">
        <v>1854</v>
      </c>
      <c r="L302" s="74">
        <v>1</v>
      </c>
      <c r="M302" s="75">
        <v>5330.59716796875</v>
      </c>
      <c r="N302" s="75">
        <v>1481.989990234375</v>
      </c>
      <c r="O302" s="76"/>
      <c r="P302" s="77"/>
      <c r="Q302" s="77"/>
      <c r="R302" s="89"/>
      <c r="S302" s="49">
        <v>0</v>
      </c>
      <c r="T302" s="49">
        <v>1</v>
      </c>
      <c r="U302" s="50">
        <v>0</v>
      </c>
      <c r="V302" s="50">
        <v>0.020408</v>
      </c>
      <c r="W302" s="50">
        <v>0</v>
      </c>
      <c r="X302" s="50">
        <v>0.529156</v>
      </c>
      <c r="Y302" s="50">
        <v>0</v>
      </c>
      <c r="Z302" s="50">
        <v>0</v>
      </c>
      <c r="AA302" s="72">
        <v>302</v>
      </c>
      <c r="AB302" s="72"/>
      <c r="AC302" s="73"/>
      <c r="AD302" s="80" t="s">
        <v>1854</v>
      </c>
      <c r="AE302" s="80" t="s">
        <v>2905</v>
      </c>
      <c r="AF302" s="80"/>
      <c r="AG302" s="80"/>
      <c r="AH302" s="80"/>
      <c r="AI302" s="80"/>
      <c r="AJ302" s="87">
        <v>40158.583506944444</v>
      </c>
      <c r="AK302" s="85" t="str">
        <f>HYPERLINK("https://yt3.ggpht.com/ytc/AKedOLTKe9F8iaEu11xYc8GThSsxk5Fi8J7AuVt-iLyBsQ=s88-c-k-c0x00ffffff-no-rj")</f>
        <v>https://yt3.ggpht.com/ytc/AKedOLTKe9F8iaEu11xYc8GThSsxk5Fi8J7AuVt-iLyBsQ=s88-c-k-c0x00ffffff-no-rj</v>
      </c>
      <c r="AL302" s="80">
        <v>553</v>
      </c>
      <c r="AM302" s="80">
        <v>0</v>
      </c>
      <c r="AN302" s="80">
        <v>46</v>
      </c>
      <c r="AO302" s="80" t="b">
        <v>0</v>
      </c>
      <c r="AP302" s="80">
        <v>4</v>
      </c>
      <c r="AQ302" s="80"/>
      <c r="AR302" s="80"/>
      <c r="AS302" s="80" t="s">
        <v>3412</v>
      </c>
      <c r="AT302" s="85" t="str">
        <f>HYPERLINK("https://www.youtube.com/channel/UCsNKpmWElGQ0BCSsprqifPg")</f>
        <v>https://www.youtube.com/channel/UCsNKpmWElGQ0BCSsprqifPg</v>
      </c>
      <c r="AU302" s="80" t="str">
        <f>REPLACE(INDEX(GroupVertices[Group],MATCH(Vertices[[#This Row],[Vertex]],GroupVertices[Vertex],0)),1,1,"")</f>
        <v>7</v>
      </c>
      <c r="AV302" s="49">
        <v>2</v>
      </c>
      <c r="AW302" s="50">
        <v>7.6923076923076925</v>
      </c>
      <c r="AX302" s="49">
        <v>0</v>
      </c>
      <c r="AY302" s="50">
        <v>0</v>
      </c>
      <c r="AZ302" s="49">
        <v>0</v>
      </c>
      <c r="BA302" s="50">
        <v>0</v>
      </c>
      <c r="BB302" s="49">
        <v>24</v>
      </c>
      <c r="BC302" s="50">
        <v>92.3076923076923</v>
      </c>
      <c r="BD302" s="49">
        <v>26</v>
      </c>
      <c r="BE302" s="49"/>
      <c r="BF302" s="49"/>
      <c r="BG302" s="49"/>
      <c r="BH302" s="49"/>
      <c r="BI302" s="49"/>
      <c r="BJ302" s="49"/>
      <c r="BK302" s="111" t="s">
        <v>4662</v>
      </c>
      <c r="BL302" s="111" t="s">
        <v>4662</v>
      </c>
      <c r="BM302" s="111" t="s">
        <v>5136</v>
      </c>
      <c r="BN302" s="111" t="s">
        <v>5136</v>
      </c>
      <c r="BO302" s="2"/>
      <c r="BP302" s="3"/>
      <c r="BQ302" s="3"/>
      <c r="BR302" s="3"/>
      <c r="BS302" s="3"/>
    </row>
    <row r="303" spans="1:71" ht="15">
      <c r="A303" s="65" t="s">
        <v>526</v>
      </c>
      <c r="B303" s="66"/>
      <c r="C303" s="66"/>
      <c r="D303" s="67">
        <v>150</v>
      </c>
      <c r="E303" s="69"/>
      <c r="F303" s="103" t="str">
        <f>HYPERLINK("https://yt3.ggpht.com/ytc/AKedOLT35E196idsMAhxN4dCrdDfUoGU5z9XfcRYtBB2LQ=s88-c-k-c0x00ffffff-no-rj")</f>
        <v>https://yt3.ggpht.com/ytc/AKedOLT35E196idsMAhxN4dCrdDfUoGU5z9XfcRYtBB2LQ=s88-c-k-c0x00ffffff-no-rj</v>
      </c>
      <c r="G303" s="66"/>
      <c r="H303" s="70" t="s">
        <v>1855</v>
      </c>
      <c r="I303" s="71"/>
      <c r="J303" s="71" t="s">
        <v>159</v>
      </c>
      <c r="K303" s="70" t="s">
        <v>1855</v>
      </c>
      <c r="L303" s="74">
        <v>1</v>
      </c>
      <c r="M303" s="75">
        <v>4267.3564453125</v>
      </c>
      <c r="N303" s="75">
        <v>2196.312255859375</v>
      </c>
      <c r="O303" s="76"/>
      <c r="P303" s="77"/>
      <c r="Q303" s="77"/>
      <c r="R303" s="89"/>
      <c r="S303" s="49">
        <v>0</v>
      </c>
      <c r="T303" s="49">
        <v>1</v>
      </c>
      <c r="U303" s="50">
        <v>0</v>
      </c>
      <c r="V303" s="50">
        <v>0.020408</v>
      </c>
      <c r="W303" s="50">
        <v>0</v>
      </c>
      <c r="X303" s="50">
        <v>0.529156</v>
      </c>
      <c r="Y303" s="50">
        <v>0</v>
      </c>
      <c r="Z303" s="50">
        <v>0</v>
      </c>
      <c r="AA303" s="72">
        <v>303</v>
      </c>
      <c r="AB303" s="72"/>
      <c r="AC303" s="73"/>
      <c r="AD303" s="80" t="s">
        <v>1855</v>
      </c>
      <c r="AE303" s="80" t="s">
        <v>2906</v>
      </c>
      <c r="AF303" s="80"/>
      <c r="AG303" s="80"/>
      <c r="AH303" s="80"/>
      <c r="AI303" s="80"/>
      <c r="AJ303" s="87">
        <v>41194.86709490741</v>
      </c>
      <c r="AK303" s="85" t="str">
        <f>HYPERLINK("https://yt3.ggpht.com/ytc/AKedOLT35E196idsMAhxN4dCrdDfUoGU5z9XfcRYtBB2LQ=s88-c-k-c0x00ffffff-no-rj")</f>
        <v>https://yt3.ggpht.com/ytc/AKedOLT35E196idsMAhxN4dCrdDfUoGU5z9XfcRYtBB2LQ=s88-c-k-c0x00ffffff-no-rj</v>
      </c>
      <c r="AL303" s="80">
        <v>0</v>
      </c>
      <c r="AM303" s="80">
        <v>0</v>
      </c>
      <c r="AN303" s="80">
        <v>0</v>
      </c>
      <c r="AO303" s="80" t="b">
        <v>0</v>
      </c>
      <c r="AP303" s="80">
        <v>0</v>
      </c>
      <c r="AQ303" s="80"/>
      <c r="AR303" s="80"/>
      <c r="AS303" s="80" t="s">
        <v>3412</v>
      </c>
      <c r="AT303" s="85" t="str">
        <f>HYPERLINK("https://www.youtube.com/channel/UCTm2yZtoKoWY2pmWLIQvYYw")</f>
        <v>https://www.youtube.com/channel/UCTm2yZtoKoWY2pmWLIQvYYw</v>
      </c>
      <c r="AU303" s="80" t="str">
        <f>REPLACE(INDEX(GroupVertices[Group],MATCH(Vertices[[#This Row],[Vertex]],GroupVertices[Vertex],0)),1,1,"")</f>
        <v>7</v>
      </c>
      <c r="AV303" s="49">
        <v>4</v>
      </c>
      <c r="AW303" s="50">
        <v>26.666666666666668</v>
      </c>
      <c r="AX303" s="49">
        <v>0</v>
      </c>
      <c r="AY303" s="50">
        <v>0</v>
      </c>
      <c r="AZ303" s="49">
        <v>0</v>
      </c>
      <c r="BA303" s="50">
        <v>0</v>
      </c>
      <c r="BB303" s="49">
        <v>11</v>
      </c>
      <c r="BC303" s="50">
        <v>73.33333333333333</v>
      </c>
      <c r="BD303" s="49">
        <v>15</v>
      </c>
      <c r="BE303" s="49"/>
      <c r="BF303" s="49"/>
      <c r="BG303" s="49"/>
      <c r="BH303" s="49"/>
      <c r="BI303" s="49"/>
      <c r="BJ303" s="49"/>
      <c r="BK303" s="111" t="s">
        <v>4663</v>
      </c>
      <c r="BL303" s="111" t="s">
        <v>4663</v>
      </c>
      <c r="BM303" s="111" t="s">
        <v>5137</v>
      </c>
      <c r="BN303" s="111" t="s">
        <v>5137</v>
      </c>
      <c r="BO303" s="2"/>
      <c r="BP303" s="3"/>
      <c r="BQ303" s="3"/>
      <c r="BR303" s="3"/>
      <c r="BS303" s="3"/>
    </row>
    <row r="304" spans="1:71" ht="15">
      <c r="A304" s="65" t="s">
        <v>527</v>
      </c>
      <c r="B304" s="66"/>
      <c r="C304" s="66"/>
      <c r="D304" s="67">
        <v>150</v>
      </c>
      <c r="E304" s="69"/>
      <c r="F304" s="103" t="str">
        <f>HYPERLINK("https://yt3.ggpht.com/ytc/AKedOLToD2uWPM6LP1s9cCsqifhP-PT8hGllZ2HoGyQHhg=s88-c-k-c0x00ffffff-no-rj")</f>
        <v>https://yt3.ggpht.com/ytc/AKedOLToD2uWPM6LP1s9cCsqifhP-PT8hGllZ2HoGyQHhg=s88-c-k-c0x00ffffff-no-rj</v>
      </c>
      <c r="G304" s="66"/>
      <c r="H304" s="70" t="s">
        <v>1856</v>
      </c>
      <c r="I304" s="71"/>
      <c r="J304" s="71" t="s">
        <v>159</v>
      </c>
      <c r="K304" s="70" t="s">
        <v>1856</v>
      </c>
      <c r="L304" s="74">
        <v>1</v>
      </c>
      <c r="M304" s="75">
        <v>3649.34130859375</v>
      </c>
      <c r="N304" s="75">
        <v>1881.152587890625</v>
      </c>
      <c r="O304" s="76"/>
      <c r="P304" s="77"/>
      <c r="Q304" s="77"/>
      <c r="R304" s="89"/>
      <c r="S304" s="49">
        <v>0</v>
      </c>
      <c r="T304" s="49">
        <v>1</v>
      </c>
      <c r="U304" s="50">
        <v>0</v>
      </c>
      <c r="V304" s="50">
        <v>0.020408</v>
      </c>
      <c r="W304" s="50">
        <v>0</v>
      </c>
      <c r="X304" s="50">
        <v>0.529156</v>
      </c>
      <c r="Y304" s="50">
        <v>0</v>
      </c>
      <c r="Z304" s="50">
        <v>0</v>
      </c>
      <c r="AA304" s="72">
        <v>304</v>
      </c>
      <c r="AB304" s="72"/>
      <c r="AC304" s="73"/>
      <c r="AD304" s="80" t="s">
        <v>1856</v>
      </c>
      <c r="AE304" s="80" t="s">
        <v>2907</v>
      </c>
      <c r="AF304" s="80"/>
      <c r="AG304" s="80"/>
      <c r="AH304" s="80"/>
      <c r="AI304" s="80" t="s">
        <v>3053</v>
      </c>
      <c r="AJ304" s="80" t="s">
        <v>3274</v>
      </c>
      <c r="AK304" s="85" t="str">
        <f>HYPERLINK("https://yt3.ggpht.com/ytc/AKedOLToD2uWPM6LP1s9cCsqifhP-PT8hGllZ2HoGyQHhg=s88-c-k-c0x00ffffff-no-rj")</f>
        <v>https://yt3.ggpht.com/ytc/AKedOLToD2uWPM6LP1s9cCsqifhP-PT8hGllZ2HoGyQHhg=s88-c-k-c0x00ffffff-no-rj</v>
      </c>
      <c r="AL304" s="80">
        <v>41313</v>
      </c>
      <c r="AM304" s="80">
        <v>0</v>
      </c>
      <c r="AN304" s="80">
        <v>278</v>
      </c>
      <c r="AO304" s="80" t="b">
        <v>0</v>
      </c>
      <c r="AP304" s="80">
        <v>836</v>
      </c>
      <c r="AQ304" s="80"/>
      <c r="AR304" s="80"/>
      <c r="AS304" s="80" t="s">
        <v>3412</v>
      </c>
      <c r="AT304" s="85" t="str">
        <f>HYPERLINK("https://www.youtube.com/channel/UCRBuEfQGWPw3WcZQCAx9pYg")</f>
        <v>https://www.youtube.com/channel/UCRBuEfQGWPw3WcZQCAx9pYg</v>
      </c>
      <c r="AU304" s="80" t="str">
        <f>REPLACE(INDEX(GroupVertices[Group],MATCH(Vertices[[#This Row],[Vertex]],GroupVertices[Vertex],0)),1,1,"")</f>
        <v>7</v>
      </c>
      <c r="AV304" s="49">
        <v>2</v>
      </c>
      <c r="AW304" s="50">
        <v>12.5</v>
      </c>
      <c r="AX304" s="49">
        <v>0</v>
      </c>
      <c r="AY304" s="50">
        <v>0</v>
      </c>
      <c r="AZ304" s="49">
        <v>0</v>
      </c>
      <c r="BA304" s="50">
        <v>0</v>
      </c>
      <c r="BB304" s="49">
        <v>14</v>
      </c>
      <c r="BC304" s="50">
        <v>87.5</v>
      </c>
      <c r="BD304" s="49">
        <v>16</v>
      </c>
      <c r="BE304" s="49"/>
      <c r="BF304" s="49"/>
      <c r="BG304" s="49"/>
      <c r="BH304" s="49"/>
      <c r="BI304" s="49"/>
      <c r="BJ304" s="49"/>
      <c r="BK304" s="111" t="s">
        <v>4664</v>
      </c>
      <c r="BL304" s="111" t="s">
        <v>4664</v>
      </c>
      <c r="BM304" s="111" t="s">
        <v>5138</v>
      </c>
      <c r="BN304" s="111" t="s">
        <v>5138</v>
      </c>
      <c r="BO304" s="2"/>
      <c r="BP304" s="3"/>
      <c r="BQ304" s="3"/>
      <c r="BR304" s="3"/>
      <c r="BS304" s="3"/>
    </row>
    <row r="305" spans="1:71" ht="15">
      <c r="A305" s="65" t="s">
        <v>528</v>
      </c>
      <c r="B305" s="66"/>
      <c r="C305" s="66"/>
      <c r="D305" s="67">
        <v>150</v>
      </c>
      <c r="E305" s="69"/>
      <c r="F305" s="103" t="str">
        <f>HYPERLINK("https://yt3.ggpht.com/ytc/AKedOLTAIfWSRLsshpqpnCGM6QlakEfgKgRm3hCT5_Yjpg=s88-c-k-c0x00ffffff-no-rj")</f>
        <v>https://yt3.ggpht.com/ytc/AKedOLTAIfWSRLsshpqpnCGM6QlakEfgKgRm3hCT5_Yjpg=s88-c-k-c0x00ffffff-no-rj</v>
      </c>
      <c r="G305" s="66"/>
      <c r="H305" s="70" t="s">
        <v>1857</v>
      </c>
      <c r="I305" s="71"/>
      <c r="J305" s="71" t="s">
        <v>159</v>
      </c>
      <c r="K305" s="70" t="s">
        <v>1857</v>
      </c>
      <c r="L305" s="74">
        <v>1</v>
      </c>
      <c r="M305" s="75">
        <v>3374.66259765625</v>
      </c>
      <c r="N305" s="75">
        <v>1248.6429443359375</v>
      </c>
      <c r="O305" s="76"/>
      <c r="P305" s="77"/>
      <c r="Q305" s="77"/>
      <c r="R305" s="89"/>
      <c r="S305" s="49">
        <v>0</v>
      </c>
      <c r="T305" s="49">
        <v>1</v>
      </c>
      <c r="U305" s="50">
        <v>0</v>
      </c>
      <c r="V305" s="50">
        <v>0.020408</v>
      </c>
      <c r="W305" s="50">
        <v>0</v>
      </c>
      <c r="X305" s="50">
        <v>0.529156</v>
      </c>
      <c r="Y305" s="50">
        <v>0</v>
      </c>
      <c r="Z305" s="50">
        <v>0</v>
      </c>
      <c r="AA305" s="72">
        <v>305</v>
      </c>
      <c r="AB305" s="72"/>
      <c r="AC305" s="73"/>
      <c r="AD305" s="80" t="s">
        <v>1857</v>
      </c>
      <c r="AE305" s="80"/>
      <c r="AF305" s="80"/>
      <c r="AG305" s="80"/>
      <c r="AH305" s="80"/>
      <c r="AI305" s="80"/>
      <c r="AJ305" s="87">
        <v>42586.40818287037</v>
      </c>
      <c r="AK305" s="85" t="str">
        <f>HYPERLINK("https://yt3.ggpht.com/ytc/AKedOLTAIfWSRLsshpqpnCGM6QlakEfgKgRm3hCT5_Yjpg=s88-c-k-c0x00ffffff-no-rj")</f>
        <v>https://yt3.ggpht.com/ytc/AKedOLTAIfWSRLsshpqpnCGM6QlakEfgKgRm3hCT5_Yjpg=s88-c-k-c0x00ffffff-no-rj</v>
      </c>
      <c r="AL305" s="80">
        <v>0</v>
      </c>
      <c r="AM305" s="80">
        <v>0</v>
      </c>
      <c r="AN305" s="80">
        <v>1</v>
      </c>
      <c r="AO305" s="80" t="b">
        <v>0</v>
      </c>
      <c r="AP305" s="80">
        <v>0</v>
      </c>
      <c r="AQ305" s="80"/>
      <c r="AR305" s="80"/>
      <c r="AS305" s="80" t="s">
        <v>3412</v>
      </c>
      <c r="AT305" s="85" t="str">
        <f>HYPERLINK("https://www.youtube.com/channel/UCWjwxCbCACOzNWQ3D0gVIdQ")</f>
        <v>https://www.youtube.com/channel/UCWjwxCbCACOzNWQ3D0gVIdQ</v>
      </c>
      <c r="AU305" s="80" t="str">
        <f>REPLACE(INDEX(GroupVertices[Group],MATCH(Vertices[[#This Row],[Vertex]],GroupVertices[Vertex],0)),1,1,"")</f>
        <v>7</v>
      </c>
      <c r="AV305" s="49">
        <v>3</v>
      </c>
      <c r="AW305" s="50">
        <v>17.647058823529413</v>
      </c>
      <c r="AX305" s="49">
        <v>0</v>
      </c>
      <c r="AY305" s="50">
        <v>0</v>
      </c>
      <c r="AZ305" s="49">
        <v>0</v>
      </c>
      <c r="BA305" s="50">
        <v>0</v>
      </c>
      <c r="BB305" s="49">
        <v>14</v>
      </c>
      <c r="BC305" s="50">
        <v>82.3529411764706</v>
      </c>
      <c r="BD305" s="49">
        <v>17</v>
      </c>
      <c r="BE305" s="49"/>
      <c r="BF305" s="49"/>
      <c r="BG305" s="49"/>
      <c r="BH305" s="49"/>
      <c r="BI305" s="49"/>
      <c r="BJ305" s="49"/>
      <c r="BK305" s="111" t="s">
        <v>4665</v>
      </c>
      <c r="BL305" s="111" t="s">
        <v>4665</v>
      </c>
      <c r="BM305" s="111" t="s">
        <v>5139</v>
      </c>
      <c r="BN305" s="111" t="s">
        <v>5139</v>
      </c>
      <c r="BO305" s="2"/>
      <c r="BP305" s="3"/>
      <c r="BQ305" s="3"/>
      <c r="BR305" s="3"/>
      <c r="BS305" s="3"/>
    </row>
    <row r="306" spans="1:71" ht="15">
      <c r="A306" s="65" t="s">
        <v>529</v>
      </c>
      <c r="B306" s="66"/>
      <c r="C306" s="66"/>
      <c r="D306" s="67">
        <v>150</v>
      </c>
      <c r="E306" s="69"/>
      <c r="F306" s="103" t="str">
        <f>HYPERLINK("https://yt3.ggpht.com/ytc/AKedOLS96oRfS2tPO474SwM0yPGGoOHS6JcD-okdbT5p=s88-c-k-c0x00ffffff-no-rj")</f>
        <v>https://yt3.ggpht.com/ytc/AKedOLS96oRfS2tPO474SwM0yPGGoOHS6JcD-okdbT5p=s88-c-k-c0x00ffffff-no-rj</v>
      </c>
      <c r="G306" s="66"/>
      <c r="H306" s="70" t="s">
        <v>1858</v>
      </c>
      <c r="I306" s="71"/>
      <c r="J306" s="71" t="s">
        <v>159</v>
      </c>
      <c r="K306" s="70" t="s">
        <v>1858</v>
      </c>
      <c r="L306" s="74">
        <v>1</v>
      </c>
      <c r="M306" s="75">
        <v>5153.310546875</v>
      </c>
      <c r="N306" s="75">
        <v>1792.11279296875</v>
      </c>
      <c r="O306" s="76"/>
      <c r="P306" s="77"/>
      <c r="Q306" s="77"/>
      <c r="R306" s="89"/>
      <c r="S306" s="49">
        <v>0</v>
      </c>
      <c r="T306" s="49">
        <v>1</v>
      </c>
      <c r="U306" s="50">
        <v>0</v>
      </c>
      <c r="V306" s="50">
        <v>0.020408</v>
      </c>
      <c r="W306" s="50">
        <v>0</v>
      </c>
      <c r="X306" s="50">
        <v>0.529156</v>
      </c>
      <c r="Y306" s="50">
        <v>0</v>
      </c>
      <c r="Z306" s="50">
        <v>0</v>
      </c>
      <c r="AA306" s="72">
        <v>306</v>
      </c>
      <c r="AB306" s="72"/>
      <c r="AC306" s="73"/>
      <c r="AD306" s="80" t="s">
        <v>1858</v>
      </c>
      <c r="AE306" s="80" t="s">
        <v>2908</v>
      </c>
      <c r="AF306" s="80"/>
      <c r="AG306" s="80"/>
      <c r="AH306" s="80"/>
      <c r="AI306" s="80"/>
      <c r="AJ306" s="87">
        <v>42186.742314814815</v>
      </c>
      <c r="AK306" s="85" t="str">
        <f>HYPERLINK("https://yt3.ggpht.com/ytc/AKedOLS96oRfS2tPO474SwM0yPGGoOHS6JcD-okdbT5p=s88-c-k-c0x00ffffff-no-rj")</f>
        <v>https://yt3.ggpht.com/ytc/AKedOLS96oRfS2tPO474SwM0yPGGoOHS6JcD-okdbT5p=s88-c-k-c0x00ffffff-no-rj</v>
      </c>
      <c r="AL306" s="80">
        <v>9866</v>
      </c>
      <c r="AM306" s="80">
        <v>0</v>
      </c>
      <c r="AN306" s="80">
        <v>65</v>
      </c>
      <c r="AO306" s="80" t="b">
        <v>0</v>
      </c>
      <c r="AP306" s="80">
        <v>35</v>
      </c>
      <c r="AQ306" s="80"/>
      <c r="AR306" s="80"/>
      <c r="AS306" s="80" t="s">
        <v>3412</v>
      </c>
      <c r="AT306" s="85" t="str">
        <f>HYPERLINK("https://www.youtube.com/channel/UC52E-_l374iWas_sJuvIE_Q")</f>
        <v>https://www.youtube.com/channel/UC52E-_l374iWas_sJuvIE_Q</v>
      </c>
      <c r="AU306" s="80" t="str">
        <f>REPLACE(INDEX(GroupVertices[Group],MATCH(Vertices[[#This Row],[Vertex]],GroupVertices[Vertex],0)),1,1,"")</f>
        <v>7</v>
      </c>
      <c r="AV306" s="49">
        <v>4</v>
      </c>
      <c r="AW306" s="50">
        <v>7.2727272727272725</v>
      </c>
      <c r="AX306" s="49">
        <v>0</v>
      </c>
      <c r="AY306" s="50">
        <v>0</v>
      </c>
      <c r="AZ306" s="49">
        <v>0</v>
      </c>
      <c r="BA306" s="50">
        <v>0</v>
      </c>
      <c r="BB306" s="49">
        <v>51</v>
      </c>
      <c r="BC306" s="50">
        <v>92.72727272727273</v>
      </c>
      <c r="BD306" s="49">
        <v>55</v>
      </c>
      <c r="BE306" s="49"/>
      <c r="BF306" s="49"/>
      <c r="BG306" s="49"/>
      <c r="BH306" s="49"/>
      <c r="BI306" s="49"/>
      <c r="BJ306" s="49"/>
      <c r="BK306" s="111" t="s">
        <v>4666</v>
      </c>
      <c r="BL306" s="111" t="s">
        <v>4666</v>
      </c>
      <c r="BM306" s="111" t="s">
        <v>5140</v>
      </c>
      <c r="BN306" s="111" t="s">
        <v>5140</v>
      </c>
      <c r="BO306" s="2"/>
      <c r="BP306" s="3"/>
      <c r="BQ306" s="3"/>
      <c r="BR306" s="3"/>
      <c r="BS306" s="3"/>
    </row>
    <row r="307" spans="1:71" ht="15">
      <c r="A307" s="65" t="s">
        <v>530</v>
      </c>
      <c r="B307" s="66"/>
      <c r="C307" s="66"/>
      <c r="D307" s="67">
        <v>150</v>
      </c>
      <c r="E307" s="69"/>
      <c r="F307" s="103" t="str">
        <f>HYPERLINK("https://yt3.ggpht.com/ytc/AKedOLTIP5sPFBzDZawh59Bc6WivzPdC7A7xzWO7LaXgWQ=s88-c-k-c0x00ffffff-no-rj")</f>
        <v>https://yt3.ggpht.com/ytc/AKedOLTIP5sPFBzDZawh59Bc6WivzPdC7A7xzWO7LaXgWQ=s88-c-k-c0x00ffffff-no-rj</v>
      </c>
      <c r="G307" s="66"/>
      <c r="H307" s="70" t="s">
        <v>1859</v>
      </c>
      <c r="I307" s="71"/>
      <c r="J307" s="71" t="s">
        <v>159</v>
      </c>
      <c r="K307" s="70" t="s">
        <v>1859</v>
      </c>
      <c r="L307" s="74">
        <v>1</v>
      </c>
      <c r="M307" s="75">
        <v>4940.01318359375</v>
      </c>
      <c r="N307" s="75">
        <v>1319.46484375</v>
      </c>
      <c r="O307" s="76"/>
      <c r="P307" s="77"/>
      <c r="Q307" s="77"/>
      <c r="R307" s="89"/>
      <c r="S307" s="49">
        <v>0</v>
      </c>
      <c r="T307" s="49">
        <v>1</v>
      </c>
      <c r="U307" s="50">
        <v>0</v>
      </c>
      <c r="V307" s="50">
        <v>0.020408</v>
      </c>
      <c r="W307" s="50">
        <v>0</v>
      </c>
      <c r="X307" s="50">
        <v>0.529156</v>
      </c>
      <c r="Y307" s="50">
        <v>0</v>
      </c>
      <c r="Z307" s="50">
        <v>0</v>
      </c>
      <c r="AA307" s="72">
        <v>307</v>
      </c>
      <c r="AB307" s="72"/>
      <c r="AC307" s="73"/>
      <c r="AD307" s="80" t="s">
        <v>1859</v>
      </c>
      <c r="AE307" s="80"/>
      <c r="AF307" s="80"/>
      <c r="AG307" s="80"/>
      <c r="AH307" s="80"/>
      <c r="AI307" s="80"/>
      <c r="AJ307" s="80" t="s">
        <v>3275</v>
      </c>
      <c r="AK307" s="85" t="str">
        <f>HYPERLINK("https://yt3.ggpht.com/ytc/AKedOLTIP5sPFBzDZawh59Bc6WivzPdC7A7xzWO7LaXgWQ=s88-c-k-c0x00ffffff-no-rj")</f>
        <v>https://yt3.ggpht.com/ytc/AKedOLTIP5sPFBzDZawh59Bc6WivzPdC7A7xzWO7LaXgWQ=s88-c-k-c0x00ffffff-no-rj</v>
      </c>
      <c r="AL307" s="80">
        <v>3878</v>
      </c>
      <c r="AM307" s="80">
        <v>0</v>
      </c>
      <c r="AN307" s="80">
        <v>77</v>
      </c>
      <c r="AO307" s="80" t="b">
        <v>0</v>
      </c>
      <c r="AP307" s="80">
        <v>69</v>
      </c>
      <c r="AQ307" s="80"/>
      <c r="AR307" s="80"/>
      <c r="AS307" s="80" t="s">
        <v>3412</v>
      </c>
      <c r="AT307" s="85" t="str">
        <f>HYPERLINK("https://www.youtube.com/channel/UCOpwQats0DH44HbN18LEPVg")</f>
        <v>https://www.youtube.com/channel/UCOpwQats0DH44HbN18LEPVg</v>
      </c>
      <c r="AU307" s="80" t="str">
        <f>REPLACE(INDEX(GroupVertices[Group],MATCH(Vertices[[#This Row],[Vertex]],GroupVertices[Vertex],0)),1,1,"")</f>
        <v>7</v>
      </c>
      <c r="AV307" s="49">
        <v>2</v>
      </c>
      <c r="AW307" s="50">
        <v>11.764705882352942</v>
      </c>
      <c r="AX307" s="49">
        <v>1</v>
      </c>
      <c r="AY307" s="50">
        <v>5.882352941176471</v>
      </c>
      <c r="AZ307" s="49">
        <v>0</v>
      </c>
      <c r="BA307" s="50">
        <v>0</v>
      </c>
      <c r="BB307" s="49">
        <v>14</v>
      </c>
      <c r="BC307" s="50">
        <v>82.3529411764706</v>
      </c>
      <c r="BD307" s="49">
        <v>17</v>
      </c>
      <c r="BE307" s="49"/>
      <c r="BF307" s="49"/>
      <c r="BG307" s="49"/>
      <c r="BH307" s="49"/>
      <c r="BI307" s="49"/>
      <c r="BJ307" s="49"/>
      <c r="BK307" s="111" t="s">
        <v>4667</v>
      </c>
      <c r="BL307" s="111" t="s">
        <v>4667</v>
      </c>
      <c r="BM307" s="111" t="s">
        <v>5141</v>
      </c>
      <c r="BN307" s="111" t="s">
        <v>5141</v>
      </c>
      <c r="BO307" s="2"/>
      <c r="BP307" s="3"/>
      <c r="BQ307" s="3"/>
      <c r="BR307" s="3"/>
      <c r="BS307" s="3"/>
    </row>
    <row r="308" spans="1:71" ht="15">
      <c r="A308" s="65" t="s">
        <v>531</v>
      </c>
      <c r="B308" s="66"/>
      <c r="C308" s="66"/>
      <c r="D308" s="67">
        <v>150</v>
      </c>
      <c r="E308" s="69"/>
      <c r="F308" s="103" t="str">
        <f>HYPERLINK("https://yt3.ggpht.com/ytc/AKedOLQcpyF7vPH--7T2aXcaorV2EuHOce_aqETjZ8Or=s88-c-k-c0x00ffffff-no-rj")</f>
        <v>https://yt3.ggpht.com/ytc/AKedOLQcpyF7vPH--7T2aXcaorV2EuHOce_aqETjZ8Or=s88-c-k-c0x00ffffff-no-rj</v>
      </c>
      <c r="G308" s="66"/>
      <c r="H308" s="70" t="s">
        <v>1860</v>
      </c>
      <c r="I308" s="71"/>
      <c r="J308" s="71" t="s">
        <v>159</v>
      </c>
      <c r="K308" s="70" t="s">
        <v>1860</v>
      </c>
      <c r="L308" s="74">
        <v>1</v>
      </c>
      <c r="M308" s="75">
        <v>4816.75927734375</v>
      </c>
      <c r="N308" s="75">
        <v>830.2376708984375</v>
      </c>
      <c r="O308" s="76"/>
      <c r="P308" s="77"/>
      <c r="Q308" s="77"/>
      <c r="R308" s="89"/>
      <c r="S308" s="49">
        <v>0</v>
      </c>
      <c r="T308" s="49">
        <v>1</v>
      </c>
      <c r="U308" s="50">
        <v>0</v>
      </c>
      <c r="V308" s="50">
        <v>0.020408</v>
      </c>
      <c r="W308" s="50">
        <v>0</v>
      </c>
      <c r="X308" s="50">
        <v>0.529156</v>
      </c>
      <c r="Y308" s="50">
        <v>0</v>
      </c>
      <c r="Z308" s="50">
        <v>0</v>
      </c>
      <c r="AA308" s="72">
        <v>308</v>
      </c>
      <c r="AB308" s="72"/>
      <c r="AC308" s="73"/>
      <c r="AD308" s="80" t="s">
        <v>1860</v>
      </c>
      <c r="AE308" s="80" t="s">
        <v>2909</v>
      </c>
      <c r="AF308" s="80"/>
      <c r="AG308" s="80"/>
      <c r="AH308" s="80"/>
      <c r="AI308" s="80"/>
      <c r="AJ308" s="87">
        <v>39182.09554398148</v>
      </c>
      <c r="AK308" s="85" t="str">
        <f>HYPERLINK("https://yt3.ggpht.com/ytc/AKedOLQcpyF7vPH--7T2aXcaorV2EuHOce_aqETjZ8Or=s88-c-k-c0x00ffffff-no-rj")</f>
        <v>https://yt3.ggpht.com/ytc/AKedOLQcpyF7vPH--7T2aXcaorV2EuHOce_aqETjZ8Or=s88-c-k-c0x00ffffff-no-rj</v>
      </c>
      <c r="AL308" s="80">
        <v>1927086</v>
      </c>
      <c r="AM308" s="80">
        <v>0</v>
      </c>
      <c r="AN308" s="80">
        <v>7940</v>
      </c>
      <c r="AO308" s="80" t="b">
        <v>0</v>
      </c>
      <c r="AP308" s="80">
        <v>270</v>
      </c>
      <c r="AQ308" s="80"/>
      <c r="AR308" s="80"/>
      <c r="AS308" s="80" t="s">
        <v>3412</v>
      </c>
      <c r="AT308" s="85" t="str">
        <f>HYPERLINK("https://www.youtube.com/channel/UCj7vVNR6ffIvD_zIw_Kmu_Q")</f>
        <v>https://www.youtube.com/channel/UCj7vVNR6ffIvD_zIw_Kmu_Q</v>
      </c>
      <c r="AU308" s="80" t="str">
        <f>REPLACE(INDEX(GroupVertices[Group],MATCH(Vertices[[#This Row],[Vertex]],GroupVertices[Vertex],0)),1,1,"")</f>
        <v>7</v>
      </c>
      <c r="AV308" s="49">
        <v>3</v>
      </c>
      <c r="AW308" s="50">
        <v>33.333333333333336</v>
      </c>
      <c r="AX308" s="49">
        <v>0</v>
      </c>
      <c r="AY308" s="50">
        <v>0</v>
      </c>
      <c r="AZ308" s="49">
        <v>0</v>
      </c>
      <c r="BA308" s="50">
        <v>0</v>
      </c>
      <c r="BB308" s="49">
        <v>6</v>
      </c>
      <c r="BC308" s="50">
        <v>66.66666666666667</v>
      </c>
      <c r="BD308" s="49">
        <v>9</v>
      </c>
      <c r="BE308" s="49"/>
      <c r="BF308" s="49"/>
      <c r="BG308" s="49"/>
      <c r="BH308" s="49"/>
      <c r="BI308" s="49"/>
      <c r="BJ308" s="49"/>
      <c r="BK308" s="111" t="s">
        <v>4668</v>
      </c>
      <c r="BL308" s="111" t="s">
        <v>4668</v>
      </c>
      <c r="BM308" s="111" t="s">
        <v>5142</v>
      </c>
      <c r="BN308" s="111" t="s">
        <v>5142</v>
      </c>
      <c r="BO308" s="2"/>
      <c r="BP308" s="3"/>
      <c r="BQ308" s="3"/>
      <c r="BR308" s="3"/>
      <c r="BS308" s="3"/>
    </row>
    <row r="309" spans="1:71" ht="15">
      <c r="A309" s="65" t="s">
        <v>532</v>
      </c>
      <c r="B309" s="66"/>
      <c r="C309" s="66"/>
      <c r="D309" s="67">
        <v>150</v>
      </c>
      <c r="E309" s="69"/>
      <c r="F309" s="103" t="str">
        <f>HYPERLINK("https://yt3.ggpht.com/ytc/AKedOLQ3wdUA3aL5J8lIEXRmjOD5ThbT3R3nBfhg8mC4pw=s88-c-k-c0x00ffffff-no-rj")</f>
        <v>https://yt3.ggpht.com/ytc/AKedOLQ3wdUA3aL5J8lIEXRmjOD5ThbT3R3nBfhg8mC4pw=s88-c-k-c0x00ffffff-no-rj</v>
      </c>
      <c r="G309" s="66"/>
      <c r="H309" s="70" t="s">
        <v>1861</v>
      </c>
      <c r="I309" s="71"/>
      <c r="J309" s="71" t="s">
        <v>159</v>
      </c>
      <c r="K309" s="70" t="s">
        <v>1861</v>
      </c>
      <c r="L309" s="74">
        <v>1</v>
      </c>
      <c r="M309" s="75">
        <v>3922.178466796875</v>
      </c>
      <c r="N309" s="75">
        <v>2114.56591796875</v>
      </c>
      <c r="O309" s="76"/>
      <c r="P309" s="77"/>
      <c r="Q309" s="77"/>
      <c r="R309" s="89"/>
      <c r="S309" s="49">
        <v>0</v>
      </c>
      <c r="T309" s="49">
        <v>1</v>
      </c>
      <c r="U309" s="50">
        <v>0</v>
      </c>
      <c r="V309" s="50">
        <v>0.020408</v>
      </c>
      <c r="W309" s="50">
        <v>0</v>
      </c>
      <c r="X309" s="50">
        <v>0.529156</v>
      </c>
      <c r="Y309" s="50">
        <v>0</v>
      </c>
      <c r="Z309" s="50">
        <v>0</v>
      </c>
      <c r="AA309" s="72">
        <v>309</v>
      </c>
      <c r="AB309" s="72"/>
      <c r="AC309" s="73"/>
      <c r="AD309" s="80" t="s">
        <v>1861</v>
      </c>
      <c r="AE309" s="80" t="s">
        <v>2910</v>
      </c>
      <c r="AF309" s="80"/>
      <c r="AG309" s="80"/>
      <c r="AH309" s="80"/>
      <c r="AI309" s="80"/>
      <c r="AJ309" s="80" t="s">
        <v>3276</v>
      </c>
      <c r="AK309" s="85" t="str">
        <f>HYPERLINK("https://yt3.ggpht.com/ytc/AKedOLQ3wdUA3aL5J8lIEXRmjOD5ThbT3R3nBfhg8mC4pw=s88-c-k-c0x00ffffff-no-rj")</f>
        <v>https://yt3.ggpht.com/ytc/AKedOLQ3wdUA3aL5J8lIEXRmjOD5ThbT3R3nBfhg8mC4pw=s88-c-k-c0x00ffffff-no-rj</v>
      </c>
      <c r="AL309" s="80">
        <v>27205</v>
      </c>
      <c r="AM309" s="80">
        <v>0</v>
      </c>
      <c r="AN309" s="80">
        <v>630</v>
      </c>
      <c r="AO309" s="80" t="b">
        <v>0</v>
      </c>
      <c r="AP309" s="80">
        <v>69</v>
      </c>
      <c r="AQ309" s="80"/>
      <c r="AR309" s="80"/>
      <c r="AS309" s="80" t="s">
        <v>3412</v>
      </c>
      <c r="AT309" s="85" t="str">
        <f>HYPERLINK("https://www.youtube.com/channel/UCrw7oHPo_TyKCcjUXMRFydw")</f>
        <v>https://www.youtube.com/channel/UCrw7oHPo_TyKCcjUXMRFydw</v>
      </c>
      <c r="AU309" s="80" t="str">
        <f>REPLACE(INDEX(GroupVertices[Group],MATCH(Vertices[[#This Row],[Vertex]],GroupVertices[Vertex],0)),1,1,"")</f>
        <v>7</v>
      </c>
      <c r="AV309" s="49">
        <v>1</v>
      </c>
      <c r="AW309" s="50">
        <v>16.666666666666668</v>
      </c>
      <c r="AX309" s="49">
        <v>0</v>
      </c>
      <c r="AY309" s="50">
        <v>0</v>
      </c>
      <c r="AZ309" s="49">
        <v>0</v>
      </c>
      <c r="BA309" s="50">
        <v>0</v>
      </c>
      <c r="BB309" s="49">
        <v>5</v>
      </c>
      <c r="BC309" s="50">
        <v>83.33333333333333</v>
      </c>
      <c r="BD309" s="49">
        <v>6</v>
      </c>
      <c r="BE309" s="49"/>
      <c r="BF309" s="49"/>
      <c r="BG309" s="49"/>
      <c r="BH309" s="49"/>
      <c r="BI309" s="49"/>
      <c r="BJ309" s="49"/>
      <c r="BK309" s="111" t="s">
        <v>4669</v>
      </c>
      <c r="BL309" s="111" t="s">
        <v>4669</v>
      </c>
      <c r="BM309" s="111" t="s">
        <v>5143</v>
      </c>
      <c r="BN309" s="111" t="s">
        <v>5143</v>
      </c>
      <c r="BO309" s="2"/>
      <c r="BP309" s="3"/>
      <c r="BQ309" s="3"/>
      <c r="BR309" s="3"/>
      <c r="BS309" s="3"/>
    </row>
    <row r="310" spans="1:71" ht="15">
      <c r="A310" s="65" t="s">
        <v>533</v>
      </c>
      <c r="B310" s="66"/>
      <c r="C310" s="66"/>
      <c r="D310" s="67">
        <v>150</v>
      </c>
      <c r="E310" s="69"/>
      <c r="F310" s="103" t="str">
        <f>HYPERLINK("https://yt3.ggpht.com/ytc/AKedOLQPqLN_-vYEK89K_6vt-zIuWli933H0O1jNORno=s88-c-k-c0x00ffffff-no-rj")</f>
        <v>https://yt3.ggpht.com/ytc/AKedOLQPqLN_-vYEK89K_6vt-zIuWli933H0O1jNORno=s88-c-k-c0x00ffffff-no-rj</v>
      </c>
      <c r="G310" s="66"/>
      <c r="H310" s="70" t="s">
        <v>1862</v>
      </c>
      <c r="I310" s="71"/>
      <c r="J310" s="71" t="s">
        <v>159</v>
      </c>
      <c r="K310" s="70" t="s">
        <v>1862</v>
      </c>
      <c r="L310" s="74">
        <v>1</v>
      </c>
      <c r="M310" s="75">
        <v>3550.504150390625</v>
      </c>
      <c r="N310" s="75">
        <v>586.722900390625</v>
      </c>
      <c r="O310" s="76"/>
      <c r="P310" s="77"/>
      <c r="Q310" s="77"/>
      <c r="R310" s="89"/>
      <c r="S310" s="49">
        <v>0</v>
      </c>
      <c r="T310" s="49">
        <v>1</v>
      </c>
      <c r="U310" s="50">
        <v>0</v>
      </c>
      <c r="V310" s="50">
        <v>0.020408</v>
      </c>
      <c r="W310" s="50">
        <v>0</v>
      </c>
      <c r="X310" s="50">
        <v>0.529156</v>
      </c>
      <c r="Y310" s="50">
        <v>0</v>
      </c>
      <c r="Z310" s="50">
        <v>0</v>
      </c>
      <c r="AA310" s="72">
        <v>310</v>
      </c>
      <c r="AB310" s="72"/>
      <c r="AC310" s="73"/>
      <c r="AD310" s="80" t="s">
        <v>1862</v>
      </c>
      <c r="AE310" s="80" t="s">
        <v>2911</v>
      </c>
      <c r="AF310" s="80"/>
      <c r="AG310" s="80"/>
      <c r="AH310" s="80"/>
      <c r="AI310" s="80"/>
      <c r="AJ310" s="87">
        <v>42350.553090277775</v>
      </c>
      <c r="AK310" s="85" t="str">
        <f>HYPERLINK("https://yt3.ggpht.com/ytc/AKedOLQPqLN_-vYEK89K_6vt-zIuWli933H0O1jNORno=s88-c-k-c0x00ffffff-no-rj")</f>
        <v>https://yt3.ggpht.com/ytc/AKedOLQPqLN_-vYEK89K_6vt-zIuWli933H0O1jNORno=s88-c-k-c0x00ffffff-no-rj</v>
      </c>
      <c r="AL310" s="80">
        <v>5230</v>
      </c>
      <c r="AM310" s="80">
        <v>0</v>
      </c>
      <c r="AN310" s="80">
        <v>112</v>
      </c>
      <c r="AO310" s="80" t="b">
        <v>0</v>
      </c>
      <c r="AP310" s="80">
        <v>16</v>
      </c>
      <c r="AQ310" s="80"/>
      <c r="AR310" s="80"/>
      <c r="AS310" s="80" t="s">
        <v>3412</v>
      </c>
      <c r="AT310" s="85" t="str">
        <f>HYPERLINK("https://www.youtube.com/channel/UC-655aPa9Tl-s1KASoDFgag")</f>
        <v>https://www.youtube.com/channel/UC-655aPa9Tl-s1KASoDFgag</v>
      </c>
      <c r="AU310" s="80" t="str">
        <f>REPLACE(INDEX(GroupVertices[Group],MATCH(Vertices[[#This Row],[Vertex]],GroupVertices[Vertex],0)),1,1,"")</f>
        <v>7</v>
      </c>
      <c r="AV310" s="49">
        <v>1</v>
      </c>
      <c r="AW310" s="50">
        <v>14.285714285714286</v>
      </c>
      <c r="AX310" s="49">
        <v>0</v>
      </c>
      <c r="AY310" s="50">
        <v>0</v>
      </c>
      <c r="AZ310" s="49">
        <v>0</v>
      </c>
      <c r="BA310" s="50">
        <v>0</v>
      </c>
      <c r="BB310" s="49">
        <v>6</v>
      </c>
      <c r="BC310" s="50">
        <v>85.71428571428571</v>
      </c>
      <c r="BD310" s="49">
        <v>7</v>
      </c>
      <c r="BE310" s="49"/>
      <c r="BF310" s="49"/>
      <c r="BG310" s="49"/>
      <c r="BH310" s="49"/>
      <c r="BI310" s="49"/>
      <c r="BJ310" s="49"/>
      <c r="BK310" s="111" t="s">
        <v>4670</v>
      </c>
      <c r="BL310" s="111" t="s">
        <v>4670</v>
      </c>
      <c r="BM310" s="111" t="s">
        <v>5144</v>
      </c>
      <c r="BN310" s="111" t="s">
        <v>5144</v>
      </c>
      <c r="BO310" s="2"/>
      <c r="BP310" s="3"/>
      <c r="BQ310" s="3"/>
      <c r="BR310" s="3"/>
      <c r="BS310" s="3"/>
    </row>
    <row r="311" spans="1:71" ht="15">
      <c r="A311" s="65" t="s">
        <v>534</v>
      </c>
      <c r="B311" s="66"/>
      <c r="C311" s="66"/>
      <c r="D311" s="67">
        <v>150</v>
      </c>
      <c r="E311" s="69"/>
      <c r="F311" s="103" t="str">
        <f>HYPERLINK("https://yt3.ggpht.com/ytc/AKedOLQF544E_cSCE2G5p0FrkN2EyGC7EesmzFN4_lNg=s88-c-k-c0x00ffffff-no-rj")</f>
        <v>https://yt3.ggpht.com/ytc/AKedOLQF544E_cSCE2G5p0FrkN2EyGC7EesmzFN4_lNg=s88-c-k-c0x00ffffff-no-rj</v>
      </c>
      <c r="G311" s="66"/>
      <c r="H311" s="70" t="s">
        <v>1863</v>
      </c>
      <c r="I311" s="71"/>
      <c r="J311" s="71" t="s">
        <v>159</v>
      </c>
      <c r="K311" s="70" t="s">
        <v>1863</v>
      </c>
      <c r="L311" s="74">
        <v>1</v>
      </c>
      <c r="M311" s="75">
        <v>4107.79052734375</v>
      </c>
      <c r="N311" s="75">
        <v>1721.2301025390625</v>
      </c>
      <c r="O311" s="76"/>
      <c r="P311" s="77"/>
      <c r="Q311" s="77"/>
      <c r="R311" s="89"/>
      <c r="S311" s="49">
        <v>0</v>
      </c>
      <c r="T311" s="49">
        <v>1</v>
      </c>
      <c r="U311" s="50">
        <v>0</v>
      </c>
      <c r="V311" s="50">
        <v>0.020408</v>
      </c>
      <c r="W311" s="50">
        <v>0</v>
      </c>
      <c r="X311" s="50">
        <v>0.529156</v>
      </c>
      <c r="Y311" s="50">
        <v>0</v>
      </c>
      <c r="Z311" s="50">
        <v>0</v>
      </c>
      <c r="AA311" s="72">
        <v>311</v>
      </c>
      <c r="AB311" s="72"/>
      <c r="AC311" s="73"/>
      <c r="AD311" s="80" t="s">
        <v>1863</v>
      </c>
      <c r="AE311" s="80"/>
      <c r="AF311" s="80"/>
      <c r="AG311" s="80"/>
      <c r="AH311" s="80"/>
      <c r="AI311" s="80"/>
      <c r="AJ311" s="80" t="s">
        <v>3277</v>
      </c>
      <c r="AK311" s="85" t="str">
        <f>HYPERLINK("https://yt3.ggpht.com/ytc/AKedOLQF544E_cSCE2G5p0FrkN2EyGC7EesmzFN4_lNg=s88-c-k-c0x00ffffff-no-rj")</f>
        <v>https://yt3.ggpht.com/ytc/AKedOLQF544E_cSCE2G5p0FrkN2EyGC7EesmzFN4_lNg=s88-c-k-c0x00ffffff-no-rj</v>
      </c>
      <c r="AL311" s="80">
        <v>0</v>
      </c>
      <c r="AM311" s="80">
        <v>0</v>
      </c>
      <c r="AN311" s="80">
        <v>1</v>
      </c>
      <c r="AO311" s="80" t="b">
        <v>0</v>
      </c>
      <c r="AP311" s="80">
        <v>0</v>
      </c>
      <c r="AQ311" s="80"/>
      <c r="AR311" s="80"/>
      <c r="AS311" s="80" t="s">
        <v>3412</v>
      </c>
      <c r="AT311" s="85" t="str">
        <f>HYPERLINK("https://www.youtube.com/channel/UCpcjHjZ0Ze0gmN76tB589Qw")</f>
        <v>https://www.youtube.com/channel/UCpcjHjZ0Ze0gmN76tB589Qw</v>
      </c>
      <c r="AU311" s="80" t="str">
        <f>REPLACE(INDEX(GroupVertices[Group],MATCH(Vertices[[#This Row],[Vertex]],GroupVertices[Vertex],0)),1,1,"")</f>
        <v>7</v>
      </c>
      <c r="AV311" s="49">
        <v>3</v>
      </c>
      <c r="AW311" s="50">
        <v>6.666666666666667</v>
      </c>
      <c r="AX311" s="49">
        <v>0</v>
      </c>
      <c r="AY311" s="50">
        <v>0</v>
      </c>
      <c r="AZ311" s="49">
        <v>0</v>
      </c>
      <c r="BA311" s="50">
        <v>0</v>
      </c>
      <c r="BB311" s="49">
        <v>42</v>
      </c>
      <c r="BC311" s="50">
        <v>93.33333333333333</v>
      </c>
      <c r="BD311" s="49">
        <v>45</v>
      </c>
      <c r="BE311" s="49"/>
      <c r="BF311" s="49"/>
      <c r="BG311" s="49"/>
      <c r="BH311" s="49"/>
      <c r="BI311" s="49"/>
      <c r="BJ311" s="49"/>
      <c r="BK311" s="111" t="s">
        <v>4671</v>
      </c>
      <c r="BL311" s="111" t="s">
        <v>4671</v>
      </c>
      <c r="BM311" s="111" t="s">
        <v>5145</v>
      </c>
      <c r="BN311" s="111" t="s">
        <v>5145</v>
      </c>
      <c r="BO311" s="2"/>
      <c r="BP311" s="3"/>
      <c r="BQ311" s="3"/>
      <c r="BR311" s="3"/>
      <c r="BS311" s="3"/>
    </row>
    <row r="312" spans="1:71" ht="15">
      <c r="A312" s="65" t="s">
        <v>535</v>
      </c>
      <c r="B312" s="66"/>
      <c r="C312" s="66"/>
      <c r="D312" s="67">
        <v>150</v>
      </c>
      <c r="E312" s="69"/>
      <c r="F312" s="103" t="str">
        <f>HYPERLINK("https://yt3.ggpht.com/ytc/AKedOLRw1m0ql938qvIAxfQqbaNRcCvdG2ZbyJ8qDQ=s88-c-k-c0x00ffffff-no-rj")</f>
        <v>https://yt3.ggpht.com/ytc/AKedOLRw1m0ql938qvIAxfQqbaNRcCvdG2ZbyJ8qDQ=s88-c-k-c0x00ffffff-no-rj</v>
      </c>
      <c r="G312" s="66"/>
      <c r="H312" s="70" t="s">
        <v>1864</v>
      </c>
      <c r="I312" s="71"/>
      <c r="J312" s="71" t="s">
        <v>159</v>
      </c>
      <c r="K312" s="70" t="s">
        <v>1864</v>
      </c>
      <c r="L312" s="74">
        <v>1</v>
      </c>
      <c r="M312" s="75">
        <v>3805.612060546875</v>
      </c>
      <c r="N312" s="75">
        <v>331.92132568359375</v>
      </c>
      <c r="O312" s="76"/>
      <c r="P312" s="77"/>
      <c r="Q312" s="77"/>
      <c r="R312" s="89"/>
      <c r="S312" s="49">
        <v>1</v>
      </c>
      <c r="T312" s="49">
        <v>2</v>
      </c>
      <c r="U312" s="50">
        <v>0</v>
      </c>
      <c r="V312" s="50">
        <v>0.020408</v>
      </c>
      <c r="W312" s="50">
        <v>0</v>
      </c>
      <c r="X312" s="50">
        <v>0.920272</v>
      </c>
      <c r="Y312" s="50">
        <v>0</v>
      </c>
      <c r="Z312" s="50">
        <v>0</v>
      </c>
      <c r="AA312" s="72">
        <v>312</v>
      </c>
      <c r="AB312" s="72"/>
      <c r="AC312" s="73"/>
      <c r="AD312" s="80" t="s">
        <v>1864</v>
      </c>
      <c r="AE312" s="80" t="s">
        <v>2912</v>
      </c>
      <c r="AF312" s="80"/>
      <c r="AG312" s="80"/>
      <c r="AH312" s="80"/>
      <c r="AI312" s="80"/>
      <c r="AJ312" s="80" t="s">
        <v>3278</v>
      </c>
      <c r="AK312" s="85" t="str">
        <f>HYPERLINK("https://yt3.ggpht.com/ytc/AKedOLRw1m0ql938qvIAxfQqbaNRcCvdG2ZbyJ8qDQ=s88-c-k-c0x00ffffff-no-rj")</f>
        <v>https://yt3.ggpht.com/ytc/AKedOLRw1m0ql938qvIAxfQqbaNRcCvdG2ZbyJ8qDQ=s88-c-k-c0x00ffffff-no-rj</v>
      </c>
      <c r="AL312" s="80">
        <v>239</v>
      </c>
      <c r="AM312" s="80">
        <v>0</v>
      </c>
      <c r="AN312" s="80">
        <v>34</v>
      </c>
      <c r="AO312" s="80" t="b">
        <v>0</v>
      </c>
      <c r="AP312" s="80">
        <v>2</v>
      </c>
      <c r="AQ312" s="80"/>
      <c r="AR312" s="80"/>
      <c r="AS312" s="80" t="s">
        <v>3412</v>
      </c>
      <c r="AT312" s="85" t="str">
        <f>HYPERLINK("https://www.youtube.com/channel/UC84ZAth85YC_BwanW1n7iAA")</f>
        <v>https://www.youtube.com/channel/UC84ZAth85YC_BwanW1n7iAA</v>
      </c>
      <c r="AU312" s="80" t="str">
        <f>REPLACE(INDEX(GroupVertices[Group],MATCH(Vertices[[#This Row],[Vertex]],GroupVertices[Vertex],0)),1,1,"")</f>
        <v>7</v>
      </c>
      <c r="AV312" s="49">
        <v>4</v>
      </c>
      <c r="AW312" s="50">
        <v>7.547169811320755</v>
      </c>
      <c r="AX312" s="49">
        <v>0</v>
      </c>
      <c r="AY312" s="50">
        <v>0</v>
      </c>
      <c r="AZ312" s="49">
        <v>0</v>
      </c>
      <c r="BA312" s="50">
        <v>0</v>
      </c>
      <c r="BB312" s="49">
        <v>49</v>
      </c>
      <c r="BC312" s="50">
        <v>92.45283018867924</v>
      </c>
      <c r="BD312" s="49">
        <v>53</v>
      </c>
      <c r="BE312" s="49"/>
      <c r="BF312" s="49"/>
      <c r="BG312" s="49"/>
      <c r="BH312" s="49"/>
      <c r="BI312" s="49"/>
      <c r="BJ312" s="49"/>
      <c r="BK312" s="111" t="s">
        <v>4672</v>
      </c>
      <c r="BL312" s="111" t="s">
        <v>4672</v>
      </c>
      <c r="BM312" s="111" t="s">
        <v>5146</v>
      </c>
      <c r="BN312" s="111" t="s">
        <v>5146</v>
      </c>
      <c r="BO312" s="2"/>
      <c r="BP312" s="3"/>
      <c r="BQ312" s="3"/>
      <c r="BR312" s="3"/>
      <c r="BS312" s="3"/>
    </row>
    <row r="313" spans="1:71" ht="15">
      <c r="A313" s="65" t="s">
        <v>536</v>
      </c>
      <c r="B313" s="66"/>
      <c r="C313" s="66"/>
      <c r="D313" s="67">
        <v>150</v>
      </c>
      <c r="E313" s="69"/>
      <c r="F313" s="103" t="str">
        <f>HYPERLINK("https://yt3.ggpht.com/ytc/AKedOLTMNxKyYy7uxv4SEQ9vxBcoFDm882SDXkcytMnLBA=s88-c-k-c0x00ffffff-no-rj")</f>
        <v>https://yt3.ggpht.com/ytc/AKedOLTMNxKyYy7uxv4SEQ9vxBcoFDm882SDXkcytMnLBA=s88-c-k-c0x00ffffff-no-rj</v>
      </c>
      <c r="G313" s="66"/>
      <c r="H313" s="70" t="s">
        <v>1865</v>
      </c>
      <c r="I313" s="71"/>
      <c r="J313" s="71" t="s">
        <v>159</v>
      </c>
      <c r="K313" s="70" t="s">
        <v>1865</v>
      </c>
      <c r="L313" s="74">
        <v>1</v>
      </c>
      <c r="M313" s="75">
        <v>4471.49560546875</v>
      </c>
      <c r="N313" s="75">
        <v>144.4942169189453</v>
      </c>
      <c r="O313" s="76"/>
      <c r="P313" s="77"/>
      <c r="Q313" s="77"/>
      <c r="R313" s="89"/>
      <c r="S313" s="49">
        <v>0</v>
      </c>
      <c r="T313" s="49">
        <v>1</v>
      </c>
      <c r="U313" s="50">
        <v>0</v>
      </c>
      <c r="V313" s="50">
        <v>0.020408</v>
      </c>
      <c r="W313" s="50">
        <v>0</v>
      </c>
      <c r="X313" s="50">
        <v>0.529156</v>
      </c>
      <c r="Y313" s="50">
        <v>0</v>
      </c>
      <c r="Z313" s="50">
        <v>0</v>
      </c>
      <c r="AA313" s="72">
        <v>313</v>
      </c>
      <c r="AB313" s="72"/>
      <c r="AC313" s="73"/>
      <c r="AD313" s="80" t="s">
        <v>1865</v>
      </c>
      <c r="AE313" s="80"/>
      <c r="AF313" s="80"/>
      <c r="AG313" s="80"/>
      <c r="AH313" s="80"/>
      <c r="AI313" s="80"/>
      <c r="AJ313" s="80" t="s">
        <v>3279</v>
      </c>
      <c r="AK313" s="85" t="str">
        <f>HYPERLINK("https://yt3.ggpht.com/ytc/AKedOLTMNxKyYy7uxv4SEQ9vxBcoFDm882SDXkcytMnLBA=s88-c-k-c0x00ffffff-no-rj")</f>
        <v>https://yt3.ggpht.com/ytc/AKedOLTMNxKyYy7uxv4SEQ9vxBcoFDm882SDXkcytMnLBA=s88-c-k-c0x00ffffff-no-rj</v>
      </c>
      <c r="AL313" s="80">
        <v>0</v>
      </c>
      <c r="AM313" s="80">
        <v>0</v>
      </c>
      <c r="AN313" s="80">
        <v>3</v>
      </c>
      <c r="AO313" s="80" t="b">
        <v>0</v>
      </c>
      <c r="AP313" s="80">
        <v>0</v>
      </c>
      <c r="AQ313" s="80"/>
      <c r="AR313" s="80"/>
      <c r="AS313" s="80" t="s">
        <v>3412</v>
      </c>
      <c r="AT313" s="85" t="str">
        <f>HYPERLINK("https://www.youtube.com/channel/UCVLvhHp2LkwO6DUJaOUWteg")</f>
        <v>https://www.youtube.com/channel/UCVLvhHp2LkwO6DUJaOUWteg</v>
      </c>
      <c r="AU313" s="80" t="str">
        <f>REPLACE(INDEX(GroupVertices[Group],MATCH(Vertices[[#This Row],[Vertex]],GroupVertices[Vertex],0)),1,1,"")</f>
        <v>7</v>
      </c>
      <c r="AV313" s="49">
        <v>2</v>
      </c>
      <c r="AW313" s="50">
        <v>18.181818181818183</v>
      </c>
      <c r="AX313" s="49">
        <v>1</v>
      </c>
      <c r="AY313" s="50">
        <v>9.090909090909092</v>
      </c>
      <c r="AZ313" s="49">
        <v>0</v>
      </c>
      <c r="BA313" s="50">
        <v>0</v>
      </c>
      <c r="BB313" s="49">
        <v>8</v>
      </c>
      <c r="BC313" s="50">
        <v>72.72727272727273</v>
      </c>
      <c r="BD313" s="49">
        <v>11</v>
      </c>
      <c r="BE313" s="49"/>
      <c r="BF313" s="49"/>
      <c r="BG313" s="49"/>
      <c r="BH313" s="49"/>
      <c r="BI313" s="49"/>
      <c r="BJ313" s="49"/>
      <c r="BK313" s="111" t="s">
        <v>4673</v>
      </c>
      <c r="BL313" s="111" t="s">
        <v>4673</v>
      </c>
      <c r="BM313" s="111" t="s">
        <v>5147</v>
      </c>
      <c r="BN313" s="111" t="s">
        <v>5147</v>
      </c>
      <c r="BO313" s="2"/>
      <c r="BP313" s="3"/>
      <c r="BQ313" s="3"/>
      <c r="BR313" s="3"/>
      <c r="BS313" s="3"/>
    </row>
    <row r="314" spans="1:71" ht="15">
      <c r="A314" s="65" t="s">
        <v>537</v>
      </c>
      <c r="B314" s="66"/>
      <c r="C314" s="66"/>
      <c r="D314" s="67">
        <v>150</v>
      </c>
      <c r="E314" s="69"/>
      <c r="F314" s="103" t="str">
        <f>HYPERLINK("https://yt3.ggpht.com/ytc/AKedOLQM_9ZBI_8v-2FmgSrp_0kDTXTnJxifITLc47bKNw=s88-c-k-c0x00ffffff-no-rj")</f>
        <v>https://yt3.ggpht.com/ytc/AKedOLQM_9ZBI_8v-2FmgSrp_0kDTXTnJxifITLc47bKNw=s88-c-k-c0x00ffffff-no-rj</v>
      </c>
      <c r="G314" s="66"/>
      <c r="H314" s="70" t="s">
        <v>1866</v>
      </c>
      <c r="I314" s="71"/>
      <c r="J314" s="71" t="s">
        <v>159</v>
      </c>
      <c r="K314" s="70" t="s">
        <v>1866</v>
      </c>
      <c r="L314" s="74">
        <v>1</v>
      </c>
      <c r="M314" s="75">
        <v>4803.5263671875</v>
      </c>
      <c r="N314" s="75">
        <v>263.9330139160156</v>
      </c>
      <c r="O314" s="76"/>
      <c r="P314" s="77"/>
      <c r="Q314" s="77"/>
      <c r="R314" s="89"/>
      <c r="S314" s="49">
        <v>0</v>
      </c>
      <c r="T314" s="49">
        <v>1</v>
      </c>
      <c r="U314" s="50">
        <v>0</v>
      </c>
      <c r="V314" s="50">
        <v>0.020408</v>
      </c>
      <c r="W314" s="50">
        <v>0</v>
      </c>
      <c r="X314" s="50">
        <v>0.529156</v>
      </c>
      <c r="Y314" s="50">
        <v>0</v>
      </c>
      <c r="Z314" s="50">
        <v>0</v>
      </c>
      <c r="AA314" s="72">
        <v>314</v>
      </c>
      <c r="AB314" s="72"/>
      <c r="AC314" s="73"/>
      <c r="AD314" s="80" t="s">
        <v>1866</v>
      </c>
      <c r="AE314" s="80" t="s">
        <v>2913</v>
      </c>
      <c r="AF314" s="80"/>
      <c r="AG314" s="80"/>
      <c r="AH314" s="80"/>
      <c r="AI314" s="80"/>
      <c r="AJ314" s="87">
        <v>42287.53194444445</v>
      </c>
      <c r="AK314" s="85" t="str">
        <f>HYPERLINK("https://yt3.ggpht.com/ytc/AKedOLQM_9ZBI_8v-2FmgSrp_0kDTXTnJxifITLc47bKNw=s88-c-k-c0x00ffffff-no-rj")</f>
        <v>https://yt3.ggpht.com/ytc/AKedOLQM_9ZBI_8v-2FmgSrp_0kDTXTnJxifITLc47bKNw=s88-c-k-c0x00ffffff-no-rj</v>
      </c>
      <c r="AL314" s="80">
        <v>305577</v>
      </c>
      <c r="AM314" s="80">
        <v>0</v>
      </c>
      <c r="AN314" s="80">
        <v>890</v>
      </c>
      <c r="AO314" s="80" t="b">
        <v>0</v>
      </c>
      <c r="AP314" s="80">
        <v>134</v>
      </c>
      <c r="AQ314" s="80"/>
      <c r="AR314" s="80"/>
      <c r="AS314" s="80" t="s">
        <v>3412</v>
      </c>
      <c r="AT314" s="85" t="str">
        <f>HYPERLINK("https://www.youtube.com/channel/UC0np3SSFZX5c9A2brBjo2qw")</f>
        <v>https://www.youtube.com/channel/UC0np3SSFZX5c9A2brBjo2qw</v>
      </c>
      <c r="AU314" s="80" t="str">
        <f>REPLACE(INDEX(GroupVertices[Group],MATCH(Vertices[[#This Row],[Vertex]],GroupVertices[Vertex],0)),1,1,"")</f>
        <v>7</v>
      </c>
      <c r="AV314" s="49">
        <v>2</v>
      </c>
      <c r="AW314" s="50">
        <v>7.142857142857143</v>
      </c>
      <c r="AX314" s="49">
        <v>1</v>
      </c>
      <c r="AY314" s="50">
        <v>3.5714285714285716</v>
      </c>
      <c r="AZ314" s="49">
        <v>0</v>
      </c>
      <c r="BA314" s="50">
        <v>0</v>
      </c>
      <c r="BB314" s="49">
        <v>25</v>
      </c>
      <c r="BC314" s="50">
        <v>89.28571428571429</v>
      </c>
      <c r="BD314" s="49">
        <v>28</v>
      </c>
      <c r="BE314" s="49"/>
      <c r="BF314" s="49"/>
      <c r="BG314" s="49"/>
      <c r="BH314" s="49"/>
      <c r="BI314" s="49"/>
      <c r="BJ314" s="49"/>
      <c r="BK314" s="111" t="s">
        <v>4674</v>
      </c>
      <c r="BL314" s="111" t="s">
        <v>4674</v>
      </c>
      <c r="BM314" s="111" t="s">
        <v>5148</v>
      </c>
      <c r="BN314" s="111" t="s">
        <v>5148</v>
      </c>
      <c r="BO314" s="2"/>
      <c r="BP314" s="3"/>
      <c r="BQ314" s="3"/>
      <c r="BR314" s="3"/>
      <c r="BS314" s="3"/>
    </row>
    <row r="315" spans="1:71" ht="15">
      <c r="A315" s="65" t="s">
        <v>538</v>
      </c>
      <c r="B315" s="66"/>
      <c r="C315" s="66"/>
      <c r="D315" s="67">
        <v>150</v>
      </c>
      <c r="E315" s="69"/>
      <c r="F315" s="103" t="str">
        <f>HYPERLINK("https://yt3.ggpht.com/ytc/AKedOLRUYof3ONlUaZhRF6Lpv9_ksCUpPgiR9Tnb-wH_=s88-c-k-c0x00ffffff-no-rj")</f>
        <v>https://yt3.ggpht.com/ytc/AKedOLRUYof3ONlUaZhRF6Lpv9_ksCUpPgiR9Tnb-wH_=s88-c-k-c0x00ffffff-no-rj</v>
      </c>
      <c r="G315" s="66"/>
      <c r="H315" s="70" t="s">
        <v>1867</v>
      </c>
      <c r="I315" s="71"/>
      <c r="J315" s="71" t="s">
        <v>159</v>
      </c>
      <c r="K315" s="70" t="s">
        <v>1867</v>
      </c>
      <c r="L315" s="74">
        <v>1</v>
      </c>
      <c r="M315" s="75">
        <v>5356.60693359375</v>
      </c>
      <c r="N315" s="75">
        <v>1108.080322265625</v>
      </c>
      <c r="O315" s="76"/>
      <c r="P315" s="77"/>
      <c r="Q315" s="77"/>
      <c r="R315" s="89"/>
      <c r="S315" s="49">
        <v>0</v>
      </c>
      <c r="T315" s="49">
        <v>1</v>
      </c>
      <c r="U315" s="50">
        <v>0</v>
      </c>
      <c r="V315" s="50">
        <v>0.020408</v>
      </c>
      <c r="W315" s="50">
        <v>0</v>
      </c>
      <c r="X315" s="50">
        <v>0.529156</v>
      </c>
      <c r="Y315" s="50">
        <v>0</v>
      </c>
      <c r="Z315" s="50">
        <v>0</v>
      </c>
      <c r="AA315" s="72">
        <v>315</v>
      </c>
      <c r="AB315" s="72"/>
      <c r="AC315" s="73"/>
      <c r="AD315" s="80" t="s">
        <v>1867</v>
      </c>
      <c r="AE315" s="80"/>
      <c r="AF315" s="80"/>
      <c r="AG315" s="80"/>
      <c r="AH315" s="80"/>
      <c r="AI315" s="80"/>
      <c r="AJ315" s="87">
        <v>41217.72179398148</v>
      </c>
      <c r="AK315" s="85" t="str">
        <f>HYPERLINK("https://yt3.ggpht.com/ytc/AKedOLRUYof3ONlUaZhRF6Lpv9_ksCUpPgiR9Tnb-wH_=s88-c-k-c0x00ffffff-no-rj")</f>
        <v>https://yt3.ggpht.com/ytc/AKedOLRUYof3ONlUaZhRF6Lpv9_ksCUpPgiR9Tnb-wH_=s88-c-k-c0x00ffffff-no-rj</v>
      </c>
      <c r="AL315" s="80">
        <v>0</v>
      </c>
      <c r="AM315" s="80">
        <v>0</v>
      </c>
      <c r="AN315" s="80">
        <v>5</v>
      </c>
      <c r="AO315" s="80" t="b">
        <v>0</v>
      </c>
      <c r="AP315" s="80">
        <v>0</v>
      </c>
      <c r="AQ315" s="80"/>
      <c r="AR315" s="80"/>
      <c r="AS315" s="80" t="s">
        <v>3412</v>
      </c>
      <c r="AT315" s="85" t="str">
        <f>HYPERLINK("https://www.youtube.com/channel/UCFQx-P2hEP2wtx0A14yxVqw")</f>
        <v>https://www.youtube.com/channel/UCFQx-P2hEP2wtx0A14yxVqw</v>
      </c>
      <c r="AU315" s="80" t="str">
        <f>REPLACE(INDEX(GroupVertices[Group],MATCH(Vertices[[#This Row],[Vertex]],GroupVertices[Vertex],0)),1,1,"")</f>
        <v>7</v>
      </c>
      <c r="AV315" s="49">
        <v>1</v>
      </c>
      <c r="AW315" s="50">
        <v>8.333333333333334</v>
      </c>
      <c r="AX315" s="49">
        <v>0</v>
      </c>
      <c r="AY315" s="50">
        <v>0</v>
      </c>
      <c r="AZ315" s="49">
        <v>0</v>
      </c>
      <c r="BA315" s="50">
        <v>0</v>
      </c>
      <c r="BB315" s="49">
        <v>11</v>
      </c>
      <c r="BC315" s="50">
        <v>91.66666666666667</v>
      </c>
      <c r="BD315" s="49">
        <v>12</v>
      </c>
      <c r="BE315" s="49"/>
      <c r="BF315" s="49"/>
      <c r="BG315" s="49"/>
      <c r="BH315" s="49"/>
      <c r="BI315" s="49"/>
      <c r="BJ315" s="49"/>
      <c r="BK315" s="111" t="s">
        <v>4675</v>
      </c>
      <c r="BL315" s="111" t="s">
        <v>4675</v>
      </c>
      <c r="BM315" s="111" t="s">
        <v>5149</v>
      </c>
      <c r="BN315" s="111" t="s">
        <v>5149</v>
      </c>
      <c r="BO315" s="2"/>
      <c r="BP315" s="3"/>
      <c r="BQ315" s="3"/>
      <c r="BR315" s="3"/>
      <c r="BS315" s="3"/>
    </row>
    <row r="316" spans="1:71" ht="15">
      <c r="A316" s="65" t="s">
        <v>539</v>
      </c>
      <c r="B316" s="66"/>
      <c r="C316" s="66"/>
      <c r="D316" s="67">
        <v>150</v>
      </c>
      <c r="E316" s="69"/>
      <c r="F316" s="103" t="str">
        <f>HYPERLINK("https://yt3.ggpht.com/ytc/AKedOLRtTqabMHORGZiQrGAqXbj9edxYSV8Rpu_IDP8wdQ=s88-c-k-c0x00ffffff-no-rj")</f>
        <v>https://yt3.ggpht.com/ytc/AKedOLRtTqabMHORGZiQrGAqXbj9edxYSV8Rpu_IDP8wdQ=s88-c-k-c0x00ffffff-no-rj</v>
      </c>
      <c r="G316" s="66"/>
      <c r="H316" s="70" t="s">
        <v>1868</v>
      </c>
      <c r="I316" s="71"/>
      <c r="J316" s="71" t="s">
        <v>159</v>
      </c>
      <c r="K316" s="70" t="s">
        <v>1868</v>
      </c>
      <c r="L316" s="74">
        <v>1</v>
      </c>
      <c r="M316" s="75">
        <v>4605.08740234375</v>
      </c>
      <c r="N316" s="75">
        <v>1697.768310546875</v>
      </c>
      <c r="O316" s="76"/>
      <c r="P316" s="77"/>
      <c r="Q316" s="77"/>
      <c r="R316" s="89"/>
      <c r="S316" s="49">
        <v>0</v>
      </c>
      <c r="T316" s="49">
        <v>1</v>
      </c>
      <c r="U316" s="50">
        <v>0</v>
      </c>
      <c r="V316" s="50">
        <v>0.020408</v>
      </c>
      <c r="W316" s="50">
        <v>0</v>
      </c>
      <c r="X316" s="50">
        <v>0.529156</v>
      </c>
      <c r="Y316" s="50">
        <v>0</v>
      </c>
      <c r="Z316" s="50">
        <v>0</v>
      </c>
      <c r="AA316" s="72">
        <v>316</v>
      </c>
      <c r="AB316" s="72"/>
      <c r="AC316" s="73"/>
      <c r="AD316" s="80" t="s">
        <v>1868</v>
      </c>
      <c r="AE316" s="80" t="s">
        <v>2914</v>
      </c>
      <c r="AF316" s="80"/>
      <c r="AG316" s="80"/>
      <c r="AH316" s="80"/>
      <c r="AI316" s="80" t="s">
        <v>3054</v>
      </c>
      <c r="AJ316" s="87">
        <v>39672.4940162037</v>
      </c>
      <c r="AK316" s="85" t="str">
        <f>HYPERLINK("https://yt3.ggpht.com/ytc/AKedOLRtTqabMHORGZiQrGAqXbj9edxYSV8Rpu_IDP8wdQ=s88-c-k-c0x00ffffff-no-rj")</f>
        <v>https://yt3.ggpht.com/ytc/AKedOLRtTqabMHORGZiQrGAqXbj9edxYSV8Rpu_IDP8wdQ=s88-c-k-c0x00ffffff-no-rj</v>
      </c>
      <c r="AL316" s="80">
        <v>221440</v>
      </c>
      <c r="AM316" s="80">
        <v>0</v>
      </c>
      <c r="AN316" s="80">
        <v>2390</v>
      </c>
      <c r="AO316" s="80" t="b">
        <v>0</v>
      </c>
      <c r="AP316" s="80">
        <v>167</v>
      </c>
      <c r="AQ316" s="80"/>
      <c r="AR316" s="80"/>
      <c r="AS316" s="80" t="s">
        <v>3412</v>
      </c>
      <c r="AT316" s="85" t="str">
        <f>HYPERLINK("https://www.youtube.com/channel/UCI03x_WOLF2A9FxZvbVhyeQ")</f>
        <v>https://www.youtube.com/channel/UCI03x_WOLF2A9FxZvbVhyeQ</v>
      </c>
      <c r="AU316" s="80" t="str">
        <f>REPLACE(INDEX(GroupVertices[Group],MATCH(Vertices[[#This Row],[Vertex]],GroupVertices[Vertex],0)),1,1,"")</f>
        <v>7</v>
      </c>
      <c r="AV316" s="49">
        <v>1</v>
      </c>
      <c r="AW316" s="50">
        <v>50</v>
      </c>
      <c r="AX316" s="49">
        <v>0</v>
      </c>
      <c r="AY316" s="50">
        <v>0</v>
      </c>
      <c r="AZ316" s="49">
        <v>0</v>
      </c>
      <c r="BA316" s="50">
        <v>0</v>
      </c>
      <c r="BB316" s="49">
        <v>1</v>
      </c>
      <c r="BC316" s="50">
        <v>50</v>
      </c>
      <c r="BD316" s="49">
        <v>2</v>
      </c>
      <c r="BE316" s="49"/>
      <c r="BF316" s="49"/>
      <c r="BG316" s="49"/>
      <c r="BH316" s="49"/>
      <c r="BI316" s="49"/>
      <c r="BJ316" s="49"/>
      <c r="BK316" s="111" t="s">
        <v>3460</v>
      </c>
      <c r="BL316" s="111" t="s">
        <v>3460</v>
      </c>
      <c r="BM316" s="111" t="s">
        <v>2782</v>
      </c>
      <c r="BN316" s="111" t="s">
        <v>2782</v>
      </c>
      <c r="BO316" s="2"/>
      <c r="BP316" s="3"/>
      <c r="BQ316" s="3"/>
      <c r="BR316" s="3"/>
      <c r="BS316" s="3"/>
    </row>
    <row r="317" spans="1:71" ht="15">
      <c r="A317" s="65" t="s">
        <v>540</v>
      </c>
      <c r="B317" s="66"/>
      <c r="C317" s="66"/>
      <c r="D317" s="67">
        <v>150</v>
      </c>
      <c r="E317" s="69"/>
      <c r="F317" s="103" t="str">
        <f>HYPERLINK("https://yt3.ggpht.com/ytc/AKedOLRocE09NzqEYLyP7mkDD-fsgOj1RfXG94UYRFudHg=s88-c-k-c0x00ffffff-no-rj")</f>
        <v>https://yt3.ggpht.com/ytc/AKedOLRocE09NzqEYLyP7mkDD-fsgOj1RfXG94UYRFudHg=s88-c-k-c0x00ffffff-no-rj</v>
      </c>
      <c r="G317" s="66"/>
      <c r="H317" s="70" t="s">
        <v>1869</v>
      </c>
      <c r="I317" s="71"/>
      <c r="J317" s="71" t="s">
        <v>159</v>
      </c>
      <c r="K317" s="70" t="s">
        <v>1869</v>
      </c>
      <c r="L317" s="74">
        <v>1</v>
      </c>
      <c r="M317" s="75">
        <v>4392.3408203125</v>
      </c>
      <c r="N317" s="75">
        <v>577.4759521484375</v>
      </c>
      <c r="O317" s="76"/>
      <c r="P317" s="77"/>
      <c r="Q317" s="77"/>
      <c r="R317" s="89"/>
      <c r="S317" s="49">
        <v>1</v>
      </c>
      <c r="T317" s="49">
        <v>2</v>
      </c>
      <c r="U317" s="50">
        <v>0</v>
      </c>
      <c r="V317" s="50">
        <v>0.020408</v>
      </c>
      <c r="W317" s="50">
        <v>0</v>
      </c>
      <c r="X317" s="50">
        <v>0.920272</v>
      </c>
      <c r="Y317" s="50">
        <v>0</v>
      </c>
      <c r="Z317" s="50">
        <v>0</v>
      </c>
      <c r="AA317" s="72">
        <v>317</v>
      </c>
      <c r="AB317" s="72"/>
      <c r="AC317" s="73"/>
      <c r="AD317" s="80" t="s">
        <v>1869</v>
      </c>
      <c r="AE317" s="80"/>
      <c r="AF317" s="80"/>
      <c r="AG317" s="80"/>
      <c r="AH317" s="80"/>
      <c r="AI317" s="80"/>
      <c r="AJ317" s="80" t="s">
        <v>3280</v>
      </c>
      <c r="AK317" s="85" t="str">
        <f>HYPERLINK("https://yt3.ggpht.com/ytc/AKedOLRocE09NzqEYLyP7mkDD-fsgOj1RfXG94UYRFudHg=s88-c-k-c0x00ffffff-no-rj")</f>
        <v>https://yt3.ggpht.com/ytc/AKedOLRocE09NzqEYLyP7mkDD-fsgOj1RfXG94UYRFudHg=s88-c-k-c0x00ffffff-no-rj</v>
      </c>
      <c r="AL317" s="80">
        <v>78</v>
      </c>
      <c r="AM317" s="80">
        <v>0</v>
      </c>
      <c r="AN317" s="80">
        <v>3</v>
      </c>
      <c r="AO317" s="80" t="b">
        <v>0</v>
      </c>
      <c r="AP317" s="80">
        <v>3</v>
      </c>
      <c r="AQ317" s="80"/>
      <c r="AR317" s="80"/>
      <c r="AS317" s="80" t="s">
        <v>3412</v>
      </c>
      <c r="AT317" s="85" t="str">
        <f>HYPERLINK("https://www.youtube.com/channel/UC3b_jSCronDEy_TzLEu9x0g")</f>
        <v>https://www.youtube.com/channel/UC3b_jSCronDEy_TzLEu9x0g</v>
      </c>
      <c r="AU317" s="80" t="str">
        <f>REPLACE(INDEX(GroupVertices[Group],MATCH(Vertices[[#This Row],[Vertex]],GroupVertices[Vertex],0)),1,1,"")</f>
        <v>7</v>
      </c>
      <c r="AV317" s="49">
        <v>1</v>
      </c>
      <c r="AW317" s="50">
        <v>6.666666666666667</v>
      </c>
      <c r="AX317" s="49">
        <v>0</v>
      </c>
      <c r="AY317" s="50">
        <v>0</v>
      </c>
      <c r="AZ317" s="49">
        <v>0</v>
      </c>
      <c r="BA317" s="50">
        <v>0</v>
      </c>
      <c r="BB317" s="49">
        <v>14</v>
      </c>
      <c r="BC317" s="50">
        <v>93.33333333333333</v>
      </c>
      <c r="BD317" s="49">
        <v>15</v>
      </c>
      <c r="BE317" s="49"/>
      <c r="BF317" s="49"/>
      <c r="BG317" s="49"/>
      <c r="BH317" s="49"/>
      <c r="BI317" s="49"/>
      <c r="BJ317" s="49"/>
      <c r="BK317" s="111" t="s">
        <v>4676</v>
      </c>
      <c r="BL317" s="111" t="s">
        <v>4676</v>
      </c>
      <c r="BM317" s="111" t="s">
        <v>2782</v>
      </c>
      <c r="BN317" s="111" t="s">
        <v>2782</v>
      </c>
      <c r="BO317" s="2"/>
      <c r="BP317" s="3"/>
      <c r="BQ317" s="3"/>
      <c r="BR317" s="3"/>
      <c r="BS317" s="3"/>
    </row>
    <row r="318" spans="1:71" ht="15">
      <c r="A318" s="65" t="s">
        <v>541</v>
      </c>
      <c r="B318" s="66"/>
      <c r="C318" s="66"/>
      <c r="D318" s="67">
        <v>150</v>
      </c>
      <c r="E318" s="69"/>
      <c r="F318" s="103" t="str">
        <f>HYPERLINK("https://yt3.ggpht.com/ytc/AKedOLTMcXmFpfF8ZCZ3lcofoCmF0FjEJP6B3OewEw=s88-c-k-c0x00ffffff-no-rj")</f>
        <v>https://yt3.ggpht.com/ytc/AKedOLTMcXmFpfF8ZCZ3lcofoCmF0FjEJP6B3OewEw=s88-c-k-c0x00ffffff-no-rj</v>
      </c>
      <c r="G318" s="66"/>
      <c r="H318" s="70" t="s">
        <v>1870</v>
      </c>
      <c r="I318" s="71"/>
      <c r="J318" s="71" t="s">
        <v>159</v>
      </c>
      <c r="K318" s="70" t="s">
        <v>1870</v>
      </c>
      <c r="L318" s="74">
        <v>1</v>
      </c>
      <c r="M318" s="75">
        <v>5082.244140625</v>
      </c>
      <c r="N318" s="75">
        <v>462.9256591796875</v>
      </c>
      <c r="O318" s="76"/>
      <c r="P318" s="77"/>
      <c r="Q318" s="77"/>
      <c r="R318" s="89"/>
      <c r="S318" s="49">
        <v>0</v>
      </c>
      <c r="T318" s="49">
        <v>1</v>
      </c>
      <c r="U318" s="50">
        <v>0</v>
      </c>
      <c r="V318" s="50">
        <v>0.020408</v>
      </c>
      <c r="W318" s="50">
        <v>0</v>
      </c>
      <c r="X318" s="50">
        <v>0.529156</v>
      </c>
      <c r="Y318" s="50">
        <v>0</v>
      </c>
      <c r="Z318" s="50">
        <v>0</v>
      </c>
      <c r="AA318" s="72">
        <v>318</v>
      </c>
      <c r="AB318" s="72"/>
      <c r="AC318" s="73"/>
      <c r="AD318" s="80" t="s">
        <v>1870</v>
      </c>
      <c r="AE318" s="80"/>
      <c r="AF318" s="80"/>
      <c r="AG318" s="80"/>
      <c r="AH318" s="80"/>
      <c r="AI318" s="80"/>
      <c r="AJ318" s="80" t="s">
        <v>3281</v>
      </c>
      <c r="AK318" s="85" t="str">
        <f>HYPERLINK("https://yt3.ggpht.com/ytc/AKedOLTMcXmFpfF8ZCZ3lcofoCmF0FjEJP6B3OewEw=s88-c-k-c0x00ffffff-no-rj")</f>
        <v>https://yt3.ggpht.com/ytc/AKedOLTMcXmFpfF8ZCZ3lcofoCmF0FjEJP6B3OewEw=s88-c-k-c0x00ffffff-no-rj</v>
      </c>
      <c r="AL318" s="80">
        <v>0</v>
      </c>
      <c r="AM318" s="80">
        <v>0</v>
      </c>
      <c r="AN318" s="80">
        <v>0</v>
      </c>
      <c r="AO318" s="80" t="b">
        <v>0</v>
      </c>
      <c r="AP318" s="80">
        <v>0</v>
      </c>
      <c r="AQ318" s="80"/>
      <c r="AR318" s="80"/>
      <c r="AS318" s="80" t="s">
        <v>3412</v>
      </c>
      <c r="AT318" s="85" t="str">
        <f>HYPERLINK("https://www.youtube.com/channel/UCfgifN_wt4-ZJooY-sc8wZg")</f>
        <v>https://www.youtube.com/channel/UCfgifN_wt4-ZJooY-sc8wZg</v>
      </c>
      <c r="AU318" s="80" t="str">
        <f>REPLACE(INDEX(GroupVertices[Group],MATCH(Vertices[[#This Row],[Vertex]],GroupVertices[Vertex],0)),1,1,"")</f>
        <v>7</v>
      </c>
      <c r="AV318" s="49">
        <v>1</v>
      </c>
      <c r="AW318" s="50">
        <v>50</v>
      </c>
      <c r="AX318" s="49">
        <v>0</v>
      </c>
      <c r="AY318" s="50">
        <v>0</v>
      </c>
      <c r="AZ318" s="49">
        <v>0</v>
      </c>
      <c r="BA318" s="50">
        <v>0</v>
      </c>
      <c r="BB318" s="49">
        <v>1</v>
      </c>
      <c r="BC318" s="50">
        <v>50</v>
      </c>
      <c r="BD318" s="49">
        <v>2</v>
      </c>
      <c r="BE318" s="49"/>
      <c r="BF318" s="49"/>
      <c r="BG318" s="49"/>
      <c r="BH318" s="49"/>
      <c r="BI318" s="49"/>
      <c r="BJ318" s="49"/>
      <c r="BK318" s="111" t="s">
        <v>4677</v>
      </c>
      <c r="BL318" s="111" t="s">
        <v>4677</v>
      </c>
      <c r="BM318" s="111" t="s">
        <v>5150</v>
      </c>
      <c r="BN318" s="111" t="s">
        <v>5150</v>
      </c>
      <c r="BO318" s="2"/>
      <c r="BP318" s="3"/>
      <c r="BQ318" s="3"/>
      <c r="BR318" s="3"/>
      <c r="BS318" s="3"/>
    </row>
    <row r="319" spans="1:71" ht="15">
      <c r="A319" s="65" t="s">
        <v>542</v>
      </c>
      <c r="B319" s="66"/>
      <c r="C319" s="66"/>
      <c r="D319" s="67">
        <v>150</v>
      </c>
      <c r="E319" s="69"/>
      <c r="F319" s="103" t="str">
        <f>HYPERLINK("https://yt3.ggpht.com/ytc/AKedOLQeKTY8sxqkF0oCdewpqGOWR2mbbWoPvhPw_f_fkw=s88-c-k-c0x00ffffff-no-rj")</f>
        <v>https://yt3.ggpht.com/ytc/AKedOLQeKTY8sxqkF0oCdewpqGOWR2mbbWoPvhPw_f_fkw=s88-c-k-c0x00ffffff-no-rj</v>
      </c>
      <c r="G319" s="66"/>
      <c r="H319" s="70" t="s">
        <v>1871</v>
      </c>
      <c r="I319" s="71"/>
      <c r="J319" s="71" t="s">
        <v>159</v>
      </c>
      <c r="K319" s="70" t="s">
        <v>1871</v>
      </c>
      <c r="L319" s="74">
        <v>1</v>
      </c>
      <c r="M319" s="75">
        <v>4467.62255859375</v>
      </c>
      <c r="N319" s="75">
        <v>2340.806396484375</v>
      </c>
      <c r="O319" s="76"/>
      <c r="P319" s="77"/>
      <c r="Q319" s="77"/>
      <c r="R319" s="89"/>
      <c r="S319" s="49">
        <v>0</v>
      </c>
      <c r="T319" s="49">
        <v>1</v>
      </c>
      <c r="U319" s="50">
        <v>0</v>
      </c>
      <c r="V319" s="50">
        <v>0.005</v>
      </c>
      <c r="W319" s="50">
        <v>0</v>
      </c>
      <c r="X319" s="50">
        <v>0.523971</v>
      </c>
      <c r="Y319" s="50">
        <v>0</v>
      </c>
      <c r="Z319" s="50">
        <v>0</v>
      </c>
      <c r="AA319" s="72">
        <v>319</v>
      </c>
      <c r="AB319" s="72"/>
      <c r="AC319" s="73"/>
      <c r="AD319" s="80" t="s">
        <v>1871</v>
      </c>
      <c r="AE319" s="80" t="s">
        <v>2915</v>
      </c>
      <c r="AF319" s="80"/>
      <c r="AG319" s="80"/>
      <c r="AH319" s="80"/>
      <c r="AI319" s="80" t="s">
        <v>3055</v>
      </c>
      <c r="AJ319" s="80" t="s">
        <v>3282</v>
      </c>
      <c r="AK319" s="85" t="str">
        <f>HYPERLINK("https://yt3.ggpht.com/ytc/AKedOLQeKTY8sxqkF0oCdewpqGOWR2mbbWoPvhPw_f_fkw=s88-c-k-c0x00ffffff-no-rj")</f>
        <v>https://yt3.ggpht.com/ytc/AKedOLQeKTY8sxqkF0oCdewpqGOWR2mbbWoPvhPw_f_fkw=s88-c-k-c0x00ffffff-no-rj</v>
      </c>
      <c r="AL319" s="80">
        <v>17496</v>
      </c>
      <c r="AM319" s="80">
        <v>0</v>
      </c>
      <c r="AN319" s="80">
        <v>327</v>
      </c>
      <c r="AO319" s="80" t="b">
        <v>0</v>
      </c>
      <c r="AP319" s="80">
        <v>26</v>
      </c>
      <c r="AQ319" s="80"/>
      <c r="AR319" s="80"/>
      <c r="AS319" s="80" t="s">
        <v>3412</v>
      </c>
      <c r="AT319" s="85" t="str">
        <f>HYPERLINK("https://www.youtube.com/channel/UCnejURxElXLOH_33qOEpdSg")</f>
        <v>https://www.youtube.com/channel/UCnejURxElXLOH_33qOEpdSg</v>
      </c>
      <c r="AU319" s="80" t="str">
        <f>REPLACE(INDEX(GroupVertices[Group],MATCH(Vertices[[#This Row],[Vertex]],GroupVertices[Vertex],0)),1,1,"")</f>
        <v>6</v>
      </c>
      <c r="AV319" s="49">
        <v>1</v>
      </c>
      <c r="AW319" s="50">
        <v>5</v>
      </c>
      <c r="AX319" s="49">
        <v>0</v>
      </c>
      <c r="AY319" s="50">
        <v>0</v>
      </c>
      <c r="AZ319" s="49">
        <v>0</v>
      </c>
      <c r="BA319" s="50">
        <v>0</v>
      </c>
      <c r="BB319" s="49">
        <v>19</v>
      </c>
      <c r="BC319" s="50">
        <v>95</v>
      </c>
      <c r="BD319" s="49">
        <v>20</v>
      </c>
      <c r="BE319" s="49"/>
      <c r="BF319" s="49"/>
      <c r="BG319" s="49"/>
      <c r="BH319" s="49"/>
      <c r="BI319" s="49"/>
      <c r="BJ319" s="49"/>
      <c r="BK319" s="111" t="s">
        <v>4678</v>
      </c>
      <c r="BL319" s="111" t="s">
        <v>4678</v>
      </c>
      <c r="BM319" s="111" t="s">
        <v>5151</v>
      </c>
      <c r="BN319" s="111" t="s">
        <v>5151</v>
      </c>
      <c r="BO319" s="2"/>
      <c r="BP319" s="3"/>
      <c r="BQ319" s="3"/>
      <c r="BR319" s="3"/>
      <c r="BS319" s="3"/>
    </row>
    <row r="320" spans="1:71" ht="15">
      <c r="A320" s="65" t="s">
        <v>547</v>
      </c>
      <c r="B320" s="66"/>
      <c r="C320" s="66"/>
      <c r="D320" s="67">
        <v>1000</v>
      </c>
      <c r="E320" s="69"/>
      <c r="F320" s="103" t="str">
        <f>HYPERLINK("https://yt3.ggpht.com/ytc/AKedOLTXBkGX6Sxqv1t69X87j0NPApq25zGyJSM9PCVQ1A=s88-c-k-c0x00ffffff-no-rj")</f>
        <v>https://yt3.ggpht.com/ytc/AKedOLTXBkGX6Sxqv1t69X87j0NPApq25zGyJSM9PCVQ1A=s88-c-k-c0x00ffffff-no-rj</v>
      </c>
      <c r="G320" s="66"/>
      <c r="H320" s="70" t="s">
        <v>1876</v>
      </c>
      <c r="I320" s="71"/>
      <c r="J320" s="71" t="s">
        <v>75</v>
      </c>
      <c r="K320" s="70" t="s">
        <v>1876</v>
      </c>
      <c r="L320" s="74">
        <v>846.5314273243125</v>
      </c>
      <c r="M320" s="75">
        <v>4373.82568359375</v>
      </c>
      <c r="N320" s="75">
        <v>3406.152587890625</v>
      </c>
      <c r="O320" s="76"/>
      <c r="P320" s="77"/>
      <c r="Q320" s="77"/>
      <c r="R320" s="89"/>
      <c r="S320" s="49">
        <v>27</v>
      </c>
      <c r="T320" s="49">
        <v>9</v>
      </c>
      <c r="U320" s="50">
        <v>3100</v>
      </c>
      <c r="V320" s="50">
        <v>0.007937</v>
      </c>
      <c r="W320" s="50">
        <v>0</v>
      </c>
      <c r="X320" s="50">
        <v>12.319056</v>
      </c>
      <c r="Y320" s="50">
        <v>0.0014245014245014246</v>
      </c>
      <c r="Z320" s="50">
        <v>0.25925925925925924</v>
      </c>
      <c r="AA320" s="72">
        <v>320</v>
      </c>
      <c r="AB320" s="72"/>
      <c r="AC320" s="73"/>
      <c r="AD320" s="80" t="s">
        <v>1876</v>
      </c>
      <c r="AE320" s="80" t="s">
        <v>2916</v>
      </c>
      <c r="AF320" s="80"/>
      <c r="AG320" s="80"/>
      <c r="AH320" s="80"/>
      <c r="AI320" s="80" t="s">
        <v>3056</v>
      </c>
      <c r="AJ320" s="80" t="s">
        <v>3283</v>
      </c>
      <c r="AK320" s="85" t="str">
        <f>HYPERLINK("https://yt3.ggpht.com/ytc/AKedOLTXBkGX6Sxqv1t69X87j0NPApq25zGyJSM9PCVQ1A=s88-c-k-c0x00ffffff-no-rj")</f>
        <v>https://yt3.ggpht.com/ytc/AKedOLTXBkGX6Sxqv1t69X87j0NPApq25zGyJSM9PCVQ1A=s88-c-k-c0x00ffffff-no-rj</v>
      </c>
      <c r="AL320" s="80">
        <v>201357</v>
      </c>
      <c r="AM320" s="80">
        <v>0</v>
      </c>
      <c r="AN320" s="80">
        <v>2780</v>
      </c>
      <c r="AO320" s="80" t="b">
        <v>0</v>
      </c>
      <c r="AP320" s="80">
        <v>133</v>
      </c>
      <c r="AQ320" s="80"/>
      <c r="AR320" s="80"/>
      <c r="AS320" s="80" t="s">
        <v>3412</v>
      </c>
      <c r="AT320" s="85" t="str">
        <f>HYPERLINK("https://www.youtube.com/channel/UCrpWTj_O0oLZilvnDaLqElw")</f>
        <v>https://www.youtube.com/channel/UCrpWTj_O0oLZilvnDaLqElw</v>
      </c>
      <c r="AU320" s="80" t="str">
        <f>REPLACE(INDEX(GroupVertices[Group],MATCH(Vertices[[#This Row],[Vertex]],GroupVertices[Vertex],0)),1,1,"")</f>
        <v>6</v>
      </c>
      <c r="AV320" s="49">
        <v>6</v>
      </c>
      <c r="AW320" s="50">
        <v>10.526315789473685</v>
      </c>
      <c r="AX320" s="49">
        <v>0</v>
      </c>
      <c r="AY320" s="50">
        <v>0</v>
      </c>
      <c r="AZ320" s="49">
        <v>0</v>
      </c>
      <c r="BA320" s="50">
        <v>0</v>
      </c>
      <c r="BB320" s="49">
        <v>51</v>
      </c>
      <c r="BC320" s="50">
        <v>89.47368421052632</v>
      </c>
      <c r="BD320" s="49">
        <v>57</v>
      </c>
      <c r="BE320" s="49"/>
      <c r="BF320" s="49"/>
      <c r="BG320" s="49"/>
      <c r="BH320" s="49"/>
      <c r="BI320" s="49"/>
      <c r="BJ320" s="49"/>
      <c r="BK320" s="111" t="s">
        <v>4679</v>
      </c>
      <c r="BL320" s="111" t="s">
        <v>4679</v>
      </c>
      <c r="BM320" s="111" t="s">
        <v>5152</v>
      </c>
      <c r="BN320" s="111" t="s">
        <v>5152</v>
      </c>
      <c r="BO320" s="2"/>
      <c r="BP320" s="3"/>
      <c r="BQ320" s="3"/>
      <c r="BR320" s="3"/>
      <c r="BS320" s="3"/>
    </row>
    <row r="321" spans="1:71" ht="15">
      <c r="A321" s="65" t="s">
        <v>543</v>
      </c>
      <c r="B321" s="66"/>
      <c r="C321" s="66"/>
      <c r="D321" s="67">
        <v>150</v>
      </c>
      <c r="E321" s="69"/>
      <c r="F321" s="103" t="str">
        <f>HYPERLINK("https://yt3.ggpht.com/y8DKKAXi1nTJg0IP2Oms0gWloVm5Ny0CJ9meSxHypio5p1wzw4YWV0R3NCD47ol2SDXdDQAPb-M=s88-c-k-c0x00ffffff-no-rj")</f>
        <v>https://yt3.ggpht.com/y8DKKAXi1nTJg0IP2Oms0gWloVm5Ny0CJ9meSxHypio5p1wzw4YWV0R3NCD47ol2SDXdDQAPb-M=s88-c-k-c0x00ffffff-no-rj</v>
      </c>
      <c r="G321" s="66"/>
      <c r="H321" s="70" t="s">
        <v>1872</v>
      </c>
      <c r="I321" s="71"/>
      <c r="J321" s="71" t="s">
        <v>159</v>
      </c>
      <c r="K321" s="70" t="s">
        <v>1872</v>
      </c>
      <c r="L321" s="74">
        <v>1</v>
      </c>
      <c r="M321" s="75">
        <v>3374.66259765625</v>
      </c>
      <c r="N321" s="75">
        <v>3421.6220703125</v>
      </c>
      <c r="O321" s="76"/>
      <c r="P321" s="77"/>
      <c r="Q321" s="77"/>
      <c r="R321" s="89"/>
      <c r="S321" s="49">
        <v>0</v>
      </c>
      <c r="T321" s="49">
        <v>1</v>
      </c>
      <c r="U321" s="50">
        <v>0</v>
      </c>
      <c r="V321" s="50">
        <v>0.005</v>
      </c>
      <c r="W321" s="50">
        <v>0</v>
      </c>
      <c r="X321" s="50">
        <v>0.523971</v>
      </c>
      <c r="Y321" s="50">
        <v>0</v>
      </c>
      <c r="Z321" s="50">
        <v>0</v>
      </c>
      <c r="AA321" s="72">
        <v>321</v>
      </c>
      <c r="AB321" s="72"/>
      <c r="AC321" s="73"/>
      <c r="AD321" s="80" t="s">
        <v>1872</v>
      </c>
      <c r="AE321" s="80" t="s">
        <v>2917</v>
      </c>
      <c r="AF321" s="80"/>
      <c r="AG321" s="80"/>
      <c r="AH321" s="80"/>
      <c r="AI321" s="80" t="s">
        <v>3057</v>
      </c>
      <c r="AJ321" s="87">
        <v>39664.614641203705</v>
      </c>
      <c r="AK321" s="85" t="str">
        <f>HYPERLINK("https://yt3.ggpht.com/y8DKKAXi1nTJg0IP2Oms0gWloVm5Ny0CJ9meSxHypio5p1wzw4YWV0R3NCD47ol2SDXdDQAPb-M=s88-c-k-c0x00ffffff-no-rj")</f>
        <v>https://yt3.ggpht.com/y8DKKAXi1nTJg0IP2Oms0gWloVm5Ny0CJ9meSxHypio5p1wzw4YWV0R3NCD47ol2SDXdDQAPb-M=s88-c-k-c0x00ffffff-no-rj</v>
      </c>
      <c r="AL321" s="80">
        <v>51784</v>
      </c>
      <c r="AM321" s="80">
        <v>0</v>
      </c>
      <c r="AN321" s="80">
        <v>357</v>
      </c>
      <c r="AO321" s="80" t="b">
        <v>0</v>
      </c>
      <c r="AP321" s="80">
        <v>100</v>
      </c>
      <c r="AQ321" s="80"/>
      <c r="AR321" s="80"/>
      <c r="AS321" s="80" t="s">
        <v>3412</v>
      </c>
      <c r="AT321" s="85" t="str">
        <f>HYPERLINK("https://www.youtube.com/channel/UC-ejuCbXGVMW2qbkXTsq6Ww")</f>
        <v>https://www.youtube.com/channel/UC-ejuCbXGVMW2qbkXTsq6Ww</v>
      </c>
      <c r="AU321" s="80" t="str">
        <f>REPLACE(INDEX(GroupVertices[Group],MATCH(Vertices[[#This Row],[Vertex]],GroupVertices[Vertex],0)),1,1,"")</f>
        <v>6</v>
      </c>
      <c r="AV321" s="49">
        <v>1</v>
      </c>
      <c r="AW321" s="50">
        <v>6.25</v>
      </c>
      <c r="AX321" s="49">
        <v>0</v>
      </c>
      <c r="AY321" s="50">
        <v>0</v>
      </c>
      <c r="AZ321" s="49">
        <v>0</v>
      </c>
      <c r="BA321" s="50">
        <v>0</v>
      </c>
      <c r="BB321" s="49">
        <v>15</v>
      </c>
      <c r="BC321" s="50">
        <v>93.75</v>
      </c>
      <c r="BD321" s="49">
        <v>16</v>
      </c>
      <c r="BE321" s="49"/>
      <c r="BF321" s="49"/>
      <c r="BG321" s="49"/>
      <c r="BH321" s="49"/>
      <c r="BI321" s="49"/>
      <c r="BJ321" s="49"/>
      <c r="BK321" s="111" t="s">
        <v>4680</v>
      </c>
      <c r="BL321" s="111" t="s">
        <v>4680</v>
      </c>
      <c r="BM321" s="111" t="s">
        <v>5153</v>
      </c>
      <c r="BN321" s="111" t="s">
        <v>5153</v>
      </c>
      <c r="BO321" s="2"/>
      <c r="BP321" s="3"/>
      <c r="BQ321" s="3"/>
      <c r="BR321" s="3"/>
      <c r="BS321" s="3"/>
    </row>
    <row r="322" spans="1:71" ht="15">
      <c r="A322" s="65" t="s">
        <v>544</v>
      </c>
      <c r="B322" s="66"/>
      <c r="C322" s="66"/>
      <c r="D322" s="67">
        <v>150</v>
      </c>
      <c r="E322" s="69"/>
      <c r="F322" s="103" t="str">
        <f>HYPERLINK("https://yt3.ggpht.com/ytc/AKedOLR-d-IbXY3g3pFTK4z3RcN3i9O2t1YllW90ByUblQ=s88-c-k-c0x00ffffff-no-rj")</f>
        <v>https://yt3.ggpht.com/ytc/AKedOLR-d-IbXY3g3pFTK4z3RcN3i9O2t1YllW90ByUblQ=s88-c-k-c0x00ffffff-no-rj</v>
      </c>
      <c r="G322" s="66"/>
      <c r="H322" s="70" t="s">
        <v>1873</v>
      </c>
      <c r="I322" s="71"/>
      <c r="J322" s="71" t="s">
        <v>159</v>
      </c>
      <c r="K322" s="70" t="s">
        <v>1873</v>
      </c>
      <c r="L322" s="74">
        <v>1</v>
      </c>
      <c r="M322" s="75">
        <v>4785.08544921875</v>
      </c>
      <c r="N322" s="75">
        <v>2405.968017578125</v>
      </c>
      <c r="O322" s="76"/>
      <c r="P322" s="77"/>
      <c r="Q322" s="77"/>
      <c r="R322" s="89"/>
      <c r="S322" s="49">
        <v>0</v>
      </c>
      <c r="T322" s="49">
        <v>1</v>
      </c>
      <c r="U322" s="50">
        <v>0</v>
      </c>
      <c r="V322" s="50">
        <v>0.005</v>
      </c>
      <c r="W322" s="50">
        <v>0</v>
      </c>
      <c r="X322" s="50">
        <v>0.523971</v>
      </c>
      <c r="Y322" s="50">
        <v>0</v>
      </c>
      <c r="Z322" s="50">
        <v>0</v>
      </c>
      <c r="AA322" s="72">
        <v>322</v>
      </c>
      <c r="AB322" s="72"/>
      <c r="AC322" s="73"/>
      <c r="AD322" s="80" t="s">
        <v>1873</v>
      </c>
      <c r="AE322" s="80" t="s">
        <v>2918</v>
      </c>
      <c r="AF322" s="80"/>
      <c r="AG322" s="80"/>
      <c r="AH322" s="80"/>
      <c r="AI322" s="80"/>
      <c r="AJ322" s="80" t="s">
        <v>3284</v>
      </c>
      <c r="AK322" s="85" t="str">
        <f>HYPERLINK("https://yt3.ggpht.com/ytc/AKedOLR-d-IbXY3g3pFTK4z3RcN3i9O2t1YllW90ByUblQ=s88-c-k-c0x00ffffff-no-rj")</f>
        <v>https://yt3.ggpht.com/ytc/AKedOLR-d-IbXY3g3pFTK4z3RcN3i9O2t1YllW90ByUblQ=s88-c-k-c0x00ffffff-no-rj</v>
      </c>
      <c r="AL322" s="80">
        <v>11171979</v>
      </c>
      <c r="AM322" s="80">
        <v>0</v>
      </c>
      <c r="AN322" s="80">
        <v>48400</v>
      </c>
      <c r="AO322" s="80" t="b">
        <v>0</v>
      </c>
      <c r="AP322" s="80">
        <v>573</v>
      </c>
      <c r="AQ322" s="80"/>
      <c r="AR322" s="80"/>
      <c r="AS322" s="80" t="s">
        <v>3412</v>
      </c>
      <c r="AT322" s="85" t="str">
        <f>HYPERLINK("https://www.youtube.com/channel/UCunJeWziKeN41EqEHoJfzDA")</f>
        <v>https://www.youtube.com/channel/UCunJeWziKeN41EqEHoJfzDA</v>
      </c>
      <c r="AU322" s="80" t="str">
        <f>REPLACE(INDEX(GroupVertices[Group],MATCH(Vertices[[#This Row],[Vertex]],GroupVertices[Vertex],0)),1,1,"")</f>
        <v>6</v>
      </c>
      <c r="AV322" s="49">
        <v>2</v>
      </c>
      <c r="AW322" s="50">
        <v>16.666666666666668</v>
      </c>
      <c r="AX322" s="49">
        <v>0</v>
      </c>
      <c r="AY322" s="50">
        <v>0</v>
      </c>
      <c r="AZ322" s="49">
        <v>0</v>
      </c>
      <c r="BA322" s="50">
        <v>0</v>
      </c>
      <c r="BB322" s="49">
        <v>10</v>
      </c>
      <c r="BC322" s="50">
        <v>83.33333333333333</v>
      </c>
      <c r="BD322" s="49">
        <v>12</v>
      </c>
      <c r="BE322" s="49"/>
      <c r="BF322" s="49"/>
      <c r="BG322" s="49"/>
      <c r="BH322" s="49"/>
      <c r="BI322" s="49"/>
      <c r="BJ322" s="49"/>
      <c r="BK322" s="111" t="s">
        <v>4681</v>
      </c>
      <c r="BL322" s="111" t="s">
        <v>4681</v>
      </c>
      <c r="BM322" s="111" t="s">
        <v>5154</v>
      </c>
      <c r="BN322" s="111" t="s">
        <v>5154</v>
      </c>
      <c r="BO322" s="2"/>
      <c r="BP322" s="3"/>
      <c r="BQ322" s="3"/>
      <c r="BR322" s="3"/>
      <c r="BS322" s="3"/>
    </row>
    <row r="323" spans="1:71" ht="15">
      <c r="A323" s="65" t="s">
        <v>545</v>
      </c>
      <c r="B323" s="66"/>
      <c r="C323" s="66"/>
      <c r="D323" s="67">
        <v>150</v>
      </c>
      <c r="E323" s="69"/>
      <c r="F323" s="103" t="str">
        <f>HYPERLINK("https://yt3.ggpht.com/u_jQCev-ohvrrQXnzO16Omqa4ylKIAjdkFWhXh7ZJJyahs2nIUvbaLp7Sw3n1_65_1XVJum-9Q=s88-c-k-c0x00ffffff-no-rj")</f>
        <v>https://yt3.ggpht.com/u_jQCev-ohvrrQXnzO16Omqa4ylKIAjdkFWhXh7ZJJyahs2nIUvbaLp7Sw3n1_65_1XVJum-9Q=s88-c-k-c0x00ffffff-no-rj</v>
      </c>
      <c r="G323" s="66"/>
      <c r="H323" s="70" t="s">
        <v>1874</v>
      </c>
      <c r="I323" s="71"/>
      <c r="J323" s="71" t="s">
        <v>159</v>
      </c>
      <c r="K323" s="70" t="s">
        <v>1874</v>
      </c>
      <c r="L323" s="74">
        <v>1</v>
      </c>
      <c r="M323" s="75">
        <v>5246.7646484375</v>
      </c>
      <c r="N323" s="75">
        <v>3844.87841796875</v>
      </c>
      <c r="O323" s="76"/>
      <c r="P323" s="77"/>
      <c r="Q323" s="77"/>
      <c r="R323" s="89"/>
      <c r="S323" s="49">
        <v>0</v>
      </c>
      <c r="T323" s="49">
        <v>1</v>
      </c>
      <c r="U323" s="50">
        <v>0</v>
      </c>
      <c r="V323" s="50">
        <v>0.005</v>
      </c>
      <c r="W323" s="50">
        <v>0</v>
      </c>
      <c r="X323" s="50">
        <v>0.523971</v>
      </c>
      <c r="Y323" s="50">
        <v>0</v>
      </c>
      <c r="Z323" s="50">
        <v>0</v>
      </c>
      <c r="AA323" s="72">
        <v>323</v>
      </c>
      <c r="AB323" s="72"/>
      <c r="AC323" s="73"/>
      <c r="AD323" s="80" t="s">
        <v>1874</v>
      </c>
      <c r="AE323" s="80" t="s">
        <v>2919</v>
      </c>
      <c r="AF323" s="80"/>
      <c r="AG323" s="80"/>
      <c r="AH323" s="80"/>
      <c r="AI323" s="80" t="s">
        <v>3058</v>
      </c>
      <c r="AJ323" s="87">
        <v>43683.56574074074</v>
      </c>
      <c r="AK323" s="85" t="str">
        <f>HYPERLINK("https://yt3.ggpht.com/u_jQCev-ohvrrQXnzO16Omqa4ylKIAjdkFWhXh7ZJJyahs2nIUvbaLp7Sw3n1_65_1XVJum-9Q=s88-c-k-c0x00ffffff-no-rj")</f>
        <v>https://yt3.ggpht.com/u_jQCev-ohvrrQXnzO16Omqa4ylKIAjdkFWhXh7ZJJyahs2nIUvbaLp7Sw3n1_65_1XVJum-9Q=s88-c-k-c0x00ffffff-no-rj</v>
      </c>
      <c r="AL323" s="80">
        <v>26105</v>
      </c>
      <c r="AM323" s="80">
        <v>0</v>
      </c>
      <c r="AN323" s="80">
        <v>962</v>
      </c>
      <c r="AO323" s="80" t="b">
        <v>0</v>
      </c>
      <c r="AP323" s="80">
        <v>86</v>
      </c>
      <c r="AQ323" s="80"/>
      <c r="AR323" s="80"/>
      <c r="AS323" s="80" t="s">
        <v>3412</v>
      </c>
      <c r="AT323" s="85" t="str">
        <f>HYPERLINK("https://www.youtube.com/channel/UC7x6JEqbu7yC94l8CgQht2Q")</f>
        <v>https://www.youtube.com/channel/UC7x6JEqbu7yC94l8CgQht2Q</v>
      </c>
      <c r="AU323" s="80" t="str">
        <f>REPLACE(INDEX(GroupVertices[Group],MATCH(Vertices[[#This Row],[Vertex]],GroupVertices[Vertex],0)),1,1,"")</f>
        <v>6</v>
      </c>
      <c r="AV323" s="49">
        <v>0</v>
      </c>
      <c r="AW323" s="50">
        <v>0</v>
      </c>
      <c r="AX323" s="49">
        <v>0</v>
      </c>
      <c r="AY323" s="50">
        <v>0</v>
      </c>
      <c r="AZ323" s="49">
        <v>0</v>
      </c>
      <c r="BA323" s="50">
        <v>0</v>
      </c>
      <c r="BB323" s="49">
        <v>9</v>
      </c>
      <c r="BC323" s="50">
        <v>100</v>
      </c>
      <c r="BD323" s="49">
        <v>9</v>
      </c>
      <c r="BE323" s="49"/>
      <c r="BF323" s="49"/>
      <c r="BG323" s="49"/>
      <c r="BH323" s="49"/>
      <c r="BI323" s="49"/>
      <c r="BJ323" s="49"/>
      <c r="BK323" s="111" t="s">
        <v>4682</v>
      </c>
      <c r="BL323" s="111" t="s">
        <v>4682</v>
      </c>
      <c r="BM323" s="111" t="s">
        <v>5155</v>
      </c>
      <c r="BN323" s="111" t="s">
        <v>5155</v>
      </c>
      <c r="BO323" s="2"/>
      <c r="BP323" s="3"/>
      <c r="BQ323" s="3"/>
      <c r="BR323" s="3"/>
      <c r="BS323" s="3"/>
    </row>
    <row r="324" spans="1:71" ht="15">
      <c r="A324" s="65" t="s">
        <v>546</v>
      </c>
      <c r="B324" s="66"/>
      <c r="C324" s="66"/>
      <c r="D324" s="67">
        <v>150</v>
      </c>
      <c r="E324" s="69"/>
      <c r="F324" s="103" t="str">
        <f>HYPERLINK("https://yt3.ggpht.com/ytc/AKedOLRKIrQbMjvOBHpK9UyyXEyMC_Oi8iVlhs7w4bZ4=s88-c-k-c0x00ffffff-no-rj")</f>
        <v>https://yt3.ggpht.com/ytc/AKedOLRKIrQbMjvOBHpK9UyyXEyMC_Oi8iVlhs7w4bZ4=s88-c-k-c0x00ffffff-no-rj</v>
      </c>
      <c r="G324" s="66"/>
      <c r="H324" s="70" t="s">
        <v>1875</v>
      </c>
      <c r="I324" s="71"/>
      <c r="J324" s="71" t="s">
        <v>159</v>
      </c>
      <c r="K324" s="70" t="s">
        <v>1875</v>
      </c>
      <c r="L324" s="74">
        <v>1</v>
      </c>
      <c r="M324" s="75">
        <v>5104.62890625</v>
      </c>
      <c r="N324" s="75">
        <v>4153.5244140625</v>
      </c>
      <c r="O324" s="76"/>
      <c r="P324" s="77"/>
      <c r="Q324" s="77"/>
      <c r="R324" s="89"/>
      <c r="S324" s="49">
        <v>0</v>
      </c>
      <c r="T324" s="49">
        <v>1</v>
      </c>
      <c r="U324" s="50">
        <v>0</v>
      </c>
      <c r="V324" s="50">
        <v>0.005</v>
      </c>
      <c r="W324" s="50">
        <v>0</v>
      </c>
      <c r="X324" s="50">
        <v>0.523971</v>
      </c>
      <c r="Y324" s="50">
        <v>0</v>
      </c>
      <c r="Z324" s="50">
        <v>0</v>
      </c>
      <c r="AA324" s="72">
        <v>324</v>
      </c>
      <c r="AB324" s="72"/>
      <c r="AC324" s="73"/>
      <c r="AD324" s="80" t="s">
        <v>1875</v>
      </c>
      <c r="AE324" s="80"/>
      <c r="AF324" s="80"/>
      <c r="AG324" s="80"/>
      <c r="AH324" s="80"/>
      <c r="AI324" s="80"/>
      <c r="AJ324" s="80" t="s">
        <v>3285</v>
      </c>
      <c r="AK324" s="85" t="str">
        <f>HYPERLINK("https://yt3.ggpht.com/ytc/AKedOLRKIrQbMjvOBHpK9UyyXEyMC_Oi8iVlhs7w4bZ4=s88-c-k-c0x00ffffff-no-rj")</f>
        <v>https://yt3.ggpht.com/ytc/AKedOLRKIrQbMjvOBHpK9UyyXEyMC_Oi8iVlhs7w4bZ4=s88-c-k-c0x00ffffff-no-rj</v>
      </c>
      <c r="AL324" s="80">
        <v>0</v>
      </c>
      <c r="AM324" s="80">
        <v>0</v>
      </c>
      <c r="AN324" s="80">
        <v>14</v>
      </c>
      <c r="AO324" s="80" t="b">
        <v>0</v>
      </c>
      <c r="AP324" s="80">
        <v>0</v>
      </c>
      <c r="AQ324" s="80"/>
      <c r="AR324" s="80"/>
      <c r="AS324" s="80" t="s">
        <v>3412</v>
      </c>
      <c r="AT324" s="85" t="str">
        <f>HYPERLINK("https://www.youtube.com/channel/UCus7Qsw_s3QZiin1qap7hkA")</f>
        <v>https://www.youtube.com/channel/UCus7Qsw_s3QZiin1qap7hkA</v>
      </c>
      <c r="AU324" s="80" t="str">
        <f>REPLACE(INDEX(GroupVertices[Group],MATCH(Vertices[[#This Row],[Vertex]],GroupVertices[Vertex],0)),1,1,"")</f>
        <v>6</v>
      </c>
      <c r="AV324" s="49">
        <v>1</v>
      </c>
      <c r="AW324" s="50">
        <v>16.666666666666668</v>
      </c>
      <c r="AX324" s="49">
        <v>0</v>
      </c>
      <c r="AY324" s="50">
        <v>0</v>
      </c>
      <c r="AZ324" s="49">
        <v>0</v>
      </c>
      <c r="BA324" s="50">
        <v>0</v>
      </c>
      <c r="BB324" s="49">
        <v>5</v>
      </c>
      <c r="BC324" s="50">
        <v>83.33333333333333</v>
      </c>
      <c r="BD324" s="49">
        <v>6</v>
      </c>
      <c r="BE324" s="49"/>
      <c r="BF324" s="49"/>
      <c r="BG324" s="49"/>
      <c r="BH324" s="49"/>
      <c r="BI324" s="49"/>
      <c r="BJ324" s="49"/>
      <c r="BK324" s="111" t="s">
        <v>4683</v>
      </c>
      <c r="BL324" s="111" t="s">
        <v>4683</v>
      </c>
      <c r="BM324" s="111" t="s">
        <v>5156</v>
      </c>
      <c r="BN324" s="111" t="s">
        <v>5156</v>
      </c>
      <c r="BO324" s="2"/>
      <c r="BP324" s="3"/>
      <c r="BQ324" s="3"/>
      <c r="BR324" s="3"/>
      <c r="BS324" s="3"/>
    </row>
    <row r="325" spans="1:71" ht="15">
      <c r="A325" s="65" t="s">
        <v>548</v>
      </c>
      <c r="B325" s="66"/>
      <c r="C325" s="66"/>
      <c r="D325" s="67">
        <v>150</v>
      </c>
      <c r="E325" s="69"/>
      <c r="F325" s="103" t="str">
        <f>HYPERLINK("https://yt3.ggpht.com/ytc/AKedOLRQngP5MB7pD0EeFbqJnnkrBRz59Lt4zXTxVmK2=s88-c-k-c0x00ffffff-no-rj")</f>
        <v>https://yt3.ggpht.com/ytc/AKedOLRQngP5MB7pD0EeFbqJnnkrBRz59Lt4zXTxVmK2=s88-c-k-c0x00ffffff-no-rj</v>
      </c>
      <c r="G325" s="66"/>
      <c r="H325" s="70" t="s">
        <v>1877</v>
      </c>
      <c r="I325" s="71"/>
      <c r="J325" s="71" t="s">
        <v>159</v>
      </c>
      <c r="K325" s="70" t="s">
        <v>1877</v>
      </c>
      <c r="L325" s="74">
        <v>1</v>
      </c>
      <c r="M325" s="75">
        <v>4536.16015625</v>
      </c>
      <c r="N325" s="75">
        <v>4470.359375</v>
      </c>
      <c r="O325" s="76"/>
      <c r="P325" s="77"/>
      <c r="Q325" s="77"/>
      <c r="R325" s="89"/>
      <c r="S325" s="49">
        <v>1</v>
      </c>
      <c r="T325" s="49">
        <v>1</v>
      </c>
      <c r="U325" s="50">
        <v>0</v>
      </c>
      <c r="V325" s="50">
        <v>0.005</v>
      </c>
      <c r="W325" s="50">
        <v>0</v>
      </c>
      <c r="X325" s="50">
        <v>0.523971</v>
      </c>
      <c r="Y325" s="50">
        <v>0</v>
      </c>
      <c r="Z325" s="50">
        <v>1</v>
      </c>
      <c r="AA325" s="72">
        <v>325</v>
      </c>
      <c r="AB325" s="72"/>
      <c r="AC325" s="73"/>
      <c r="AD325" s="80" t="s">
        <v>1877</v>
      </c>
      <c r="AE325" s="80" t="s">
        <v>2920</v>
      </c>
      <c r="AF325" s="80"/>
      <c r="AG325" s="80"/>
      <c r="AH325" s="80"/>
      <c r="AI325" s="80" t="s">
        <v>3059</v>
      </c>
      <c r="AJ325" s="80" t="s">
        <v>3286</v>
      </c>
      <c r="AK325" s="85" t="str">
        <f>HYPERLINK("https://yt3.ggpht.com/ytc/AKedOLRQngP5MB7pD0EeFbqJnnkrBRz59Lt4zXTxVmK2=s88-c-k-c0x00ffffff-no-rj")</f>
        <v>https://yt3.ggpht.com/ytc/AKedOLRQngP5MB7pD0EeFbqJnnkrBRz59Lt4zXTxVmK2=s88-c-k-c0x00ffffff-no-rj</v>
      </c>
      <c r="AL325" s="80">
        <v>5491</v>
      </c>
      <c r="AM325" s="80">
        <v>0</v>
      </c>
      <c r="AN325" s="80">
        <v>373</v>
      </c>
      <c r="AO325" s="80" t="b">
        <v>0</v>
      </c>
      <c r="AP325" s="80">
        <v>14</v>
      </c>
      <c r="AQ325" s="80"/>
      <c r="AR325" s="80"/>
      <c r="AS325" s="80" t="s">
        <v>3412</v>
      </c>
      <c r="AT325" s="85" t="str">
        <f>HYPERLINK("https://www.youtube.com/channel/UCs1ElqArfXMBAZkL7uf-VRA")</f>
        <v>https://www.youtube.com/channel/UCs1ElqArfXMBAZkL7uf-VRA</v>
      </c>
      <c r="AU325" s="80" t="str">
        <f>REPLACE(INDEX(GroupVertices[Group],MATCH(Vertices[[#This Row],[Vertex]],GroupVertices[Vertex],0)),1,1,"")</f>
        <v>6</v>
      </c>
      <c r="AV325" s="49">
        <v>1</v>
      </c>
      <c r="AW325" s="50">
        <v>11.11111111111111</v>
      </c>
      <c r="AX325" s="49">
        <v>0</v>
      </c>
      <c r="AY325" s="50">
        <v>0</v>
      </c>
      <c r="AZ325" s="49">
        <v>0</v>
      </c>
      <c r="BA325" s="50">
        <v>0</v>
      </c>
      <c r="BB325" s="49">
        <v>8</v>
      </c>
      <c r="BC325" s="50">
        <v>88.88888888888889</v>
      </c>
      <c r="BD325" s="49">
        <v>9</v>
      </c>
      <c r="BE325" s="49"/>
      <c r="BF325" s="49"/>
      <c r="BG325" s="49"/>
      <c r="BH325" s="49"/>
      <c r="BI325" s="49"/>
      <c r="BJ325" s="49"/>
      <c r="BK325" s="111" t="s">
        <v>4684</v>
      </c>
      <c r="BL325" s="111" t="s">
        <v>4684</v>
      </c>
      <c r="BM325" s="111" t="s">
        <v>5157</v>
      </c>
      <c r="BN325" s="111" t="s">
        <v>5157</v>
      </c>
      <c r="BO325" s="2"/>
      <c r="BP325" s="3"/>
      <c r="BQ325" s="3"/>
      <c r="BR325" s="3"/>
      <c r="BS325" s="3"/>
    </row>
    <row r="326" spans="1:71" ht="15">
      <c r="A326" s="65" t="s">
        <v>549</v>
      </c>
      <c r="B326" s="66"/>
      <c r="C326" s="66"/>
      <c r="D326" s="67">
        <v>150</v>
      </c>
      <c r="E326" s="69"/>
      <c r="F326" s="103" t="str">
        <f>HYPERLINK("https://yt3.ggpht.com/ytc/AKedOLT9hh6d3Yk2YJjsRlW9bIOj9ve0kYF1PcdNWpi8=s88-c-k-c0x00ffffff-no-rj")</f>
        <v>https://yt3.ggpht.com/ytc/AKedOLT9hh6d3Yk2YJjsRlW9bIOj9ve0kYF1PcdNWpi8=s88-c-k-c0x00ffffff-no-rj</v>
      </c>
      <c r="G326" s="66"/>
      <c r="H326" s="70" t="s">
        <v>1878</v>
      </c>
      <c r="I326" s="71"/>
      <c r="J326" s="71" t="s">
        <v>159</v>
      </c>
      <c r="K326" s="70" t="s">
        <v>1878</v>
      </c>
      <c r="L326" s="74">
        <v>1</v>
      </c>
      <c r="M326" s="75">
        <v>4895.92041015625</v>
      </c>
      <c r="N326" s="75">
        <v>3294.66796875</v>
      </c>
      <c r="O326" s="76"/>
      <c r="P326" s="77"/>
      <c r="Q326" s="77"/>
      <c r="R326" s="89"/>
      <c r="S326" s="49">
        <v>0</v>
      </c>
      <c r="T326" s="49">
        <v>1</v>
      </c>
      <c r="U326" s="50">
        <v>0</v>
      </c>
      <c r="V326" s="50">
        <v>0.005</v>
      </c>
      <c r="W326" s="50">
        <v>0</v>
      </c>
      <c r="X326" s="50">
        <v>0.523971</v>
      </c>
      <c r="Y326" s="50">
        <v>0</v>
      </c>
      <c r="Z326" s="50">
        <v>0</v>
      </c>
      <c r="AA326" s="72">
        <v>326</v>
      </c>
      <c r="AB326" s="72"/>
      <c r="AC326" s="73"/>
      <c r="AD326" s="80" t="s">
        <v>1878</v>
      </c>
      <c r="AE326" s="80" t="s">
        <v>2921</v>
      </c>
      <c r="AF326" s="80"/>
      <c r="AG326" s="80"/>
      <c r="AH326" s="80"/>
      <c r="AI326" s="80" t="s">
        <v>3060</v>
      </c>
      <c r="AJ326" s="80" t="s">
        <v>3287</v>
      </c>
      <c r="AK326" s="85" t="str">
        <f>HYPERLINK("https://yt3.ggpht.com/ytc/AKedOLT9hh6d3Yk2YJjsRlW9bIOj9ve0kYF1PcdNWpi8=s88-c-k-c0x00ffffff-no-rj")</f>
        <v>https://yt3.ggpht.com/ytc/AKedOLT9hh6d3Yk2YJjsRlW9bIOj9ve0kYF1PcdNWpi8=s88-c-k-c0x00ffffff-no-rj</v>
      </c>
      <c r="AL326" s="80">
        <v>1085857</v>
      </c>
      <c r="AM326" s="80">
        <v>0</v>
      </c>
      <c r="AN326" s="80">
        <v>17200</v>
      </c>
      <c r="AO326" s="80" t="b">
        <v>0</v>
      </c>
      <c r="AP326" s="80">
        <v>122</v>
      </c>
      <c r="AQ326" s="80"/>
      <c r="AR326" s="80"/>
      <c r="AS326" s="80" t="s">
        <v>3412</v>
      </c>
      <c r="AT326" s="85" t="str">
        <f>HYPERLINK("https://www.youtube.com/channel/UCc_nF3pqsaYZX1WyuEtRR8g")</f>
        <v>https://www.youtube.com/channel/UCc_nF3pqsaYZX1WyuEtRR8g</v>
      </c>
      <c r="AU326" s="80" t="str">
        <f>REPLACE(INDEX(GroupVertices[Group],MATCH(Vertices[[#This Row],[Vertex]],GroupVertices[Vertex],0)),1,1,"")</f>
        <v>6</v>
      </c>
      <c r="AV326" s="49">
        <v>1</v>
      </c>
      <c r="AW326" s="50">
        <v>3.7037037037037037</v>
      </c>
      <c r="AX326" s="49">
        <v>0</v>
      </c>
      <c r="AY326" s="50">
        <v>0</v>
      </c>
      <c r="AZ326" s="49">
        <v>0</v>
      </c>
      <c r="BA326" s="50">
        <v>0</v>
      </c>
      <c r="BB326" s="49">
        <v>26</v>
      </c>
      <c r="BC326" s="50">
        <v>96.29629629629629</v>
      </c>
      <c r="BD326" s="49">
        <v>27</v>
      </c>
      <c r="BE326" s="49"/>
      <c r="BF326" s="49"/>
      <c r="BG326" s="49"/>
      <c r="BH326" s="49"/>
      <c r="BI326" s="49"/>
      <c r="BJ326" s="49"/>
      <c r="BK326" s="111" t="s">
        <v>4685</v>
      </c>
      <c r="BL326" s="111" t="s">
        <v>4685</v>
      </c>
      <c r="BM326" s="111" t="s">
        <v>5158</v>
      </c>
      <c r="BN326" s="111" t="s">
        <v>5158</v>
      </c>
      <c r="BO326" s="2"/>
      <c r="BP326" s="3"/>
      <c r="BQ326" s="3"/>
      <c r="BR326" s="3"/>
      <c r="BS326" s="3"/>
    </row>
    <row r="327" spans="1:71" ht="15">
      <c r="A327" s="65" t="s">
        <v>550</v>
      </c>
      <c r="B327" s="66"/>
      <c r="C327" s="66"/>
      <c r="D327" s="67">
        <v>150</v>
      </c>
      <c r="E327" s="69"/>
      <c r="F327" s="103" t="str">
        <f>HYPERLINK("https://yt3.ggpht.com/ytc/AKedOLQpp0_EHyDSXS4Zd8RkNQdG2PMI8MiIoqCiZL_UZw=s88-c-k-c0x00ffffff-no-rj")</f>
        <v>https://yt3.ggpht.com/ytc/AKedOLQpp0_EHyDSXS4Zd8RkNQdG2PMI8MiIoqCiZL_UZw=s88-c-k-c0x00ffffff-no-rj</v>
      </c>
      <c r="G327" s="66"/>
      <c r="H327" s="70" t="s">
        <v>1879</v>
      </c>
      <c r="I327" s="71"/>
      <c r="J327" s="71" t="s">
        <v>159</v>
      </c>
      <c r="K327" s="70" t="s">
        <v>1879</v>
      </c>
      <c r="L327" s="74">
        <v>1</v>
      </c>
      <c r="M327" s="75">
        <v>4753.73046875</v>
      </c>
      <c r="N327" s="75">
        <v>3830.0810546875</v>
      </c>
      <c r="O327" s="76"/>
      <c r="P327" s="77"/>
      <c r="Q327" s="77"/>
      <c r="R327" s="89"/>
      <c r="S327" s="49">
        <v>0</v>
      </c>
      <c r="T327" s="49">
        <v>1</v>
      </c>
      <c r="U327" s="50">
        <v>0</v>
      </c>
      <c r="V327" s="50">
        <v>0.005</v>
      </c>
      <c r="W327" s="50">
        <v>0</v>
      </c>
      <c r="X327" s="50">
        <v>0.523971</v>
      </c>
      <c r="Y327" s="50">
        <v>0</v>
      </c>
      <c r="Z327" s="50">
        <v>0</v>
      </c>
      <c r="AA327" s="72">
        <v>327</v>
      </c>
      <c r="AB327" s="72"/>
      <c r="AC327" s="73"/>
      <c r="AD327" s="80" t="s">
        <v>1879</v>
      </c>
      <c r="AE327" s="80" t="s">
        <v>2922</v>
      </c>
      <c r="AF327" s="80"/>
      <c r="AG327" s="80"/>
      <c r="AH327" s="80"/>
      <c r="AI327" s="80" t="s">
        <v>3061</v>
      </c>
      <c r="AJ327" s="87">
        <v>43649.81673611111</v>
      </c>
      <c r="AK327" s="85" t="str">
        <f>HYPERLINK("https://yt3.ggpht.com/ytc/AKedOLQpp0_EHyDSXS4Zd8RkNQdG2PMI8MiIoqCiZL_UZw=s88-c-k-c0x00ffffff-no-rj")</f>
        <v>https://yt3.ggpht.com/ytc/AKedOLQpp0_EHyDSXS4Zd8RkNQdG2PMI8MiIoqCiZL_UZw=s88-c-k-c0x00ffffff-no-rj</v>
      </c>
      <c r="AL327" s="80">
        <v>163597</v>
      </c>
      <c r="AM327" s="80">
        <v>0</v>
      </c>
      <c r="AN327" s="80">
        <v>3040</v>
      </c>
      <c r="AO327" s="80" t="b">
        <v>0</v>
      </c>
      <c r="AP327" s="80">
        <v>211</v>
      </c>
      <c r="AQ327" s="80"/>
      <c r="AR327" s="80"/>
      <c r="AS327" s="80" t="s">
        <v>3412</v>
      </c>
      <c r="AT327" s="85" t="str">
        <f>HYPERLINK("https://www.youtube.com/channel/UCELkcGDNb8yFIv8chh7rbrA")</f>
        <v>https://www.youtube.com/channel/UCELkcGDNb8yFIv8chh7rbrA</v>
      </c>
      <c r="AU327" s="80" t="str">
        <f>REPLACE(INDEX(GroupVertices[Group],MATCH(Vertices[[#This Row],[Vertex]],GroupVertices[Vertex],0)),1,1,"")</f>
        <v>6</v>
      </c>
      <c r="AV327" s="49">
        <v>1</v>
      </c>
      <c r="AW327" s="50">
        <v>5.882352941176471</v>
      </c>
      <c r="AX327" s="49">
        <v>0</v>
      </c>
      <c r="AY327" s="50">
        <v>0</v>
      </c>
      <c r="AZ327" s="49">
        <v>0</v>
      </c>
      <c r="BA327" s="50">
        <v>0</v>
      </c>
      <c r="BB327" s="49">
        <v>16</v>
      </c>
      <c r="BC327" s="50">
        <v>94.11764705882354</v>
      </c>
      <c r="BD327" s="49">
        <v>17</v>
      </c>
      <c r="BE327" s="49"/>
      <c r="BF327" s="49"/>
      <c r="BG327" s="49"/>
      <c r="BH327" s="49"/>
      <c r="BI327" s="49"/>
      <c r="BJ327" s="49"/>
      <c r="BK327" s="111" t="s">
        <v>4686</v>
      </c>
      <c r="BL327" s="111" t="s">
        <v>4686</v>
      </c>
      <c r="BM327" s="111" t="s">
        <v>5159</v>
      </c>
      <c r="BN327" s="111" t="s">
        <v>5159</v>
      </c>
      <c r="BO327" s="2"/>
      <c r="BP327" s="3"/>
      <c r="BQ327" s="3"/>
      <c r="BR327" s="3"/>
      <c r="BS327" s="3"/>
    </row>
    <row r="328" spans="1:71" ht="15">
      <c r="A328" s="65" t="s">
        <v>551</v>
      </c>
      <c r="B328" s="66"/>
      <c r="C328" s="66"/>
      <c r="D328" s="67">
        <v>150</v>
      </c>
      <c r="E328" s="69"/>
      <c r="F328" s="103" t="str">
        <f>HYPERLINK("https://yt3.ggpht.com/ytc/AKedOLRgrtpxmWMcrS-tH8VAK0JTNfwl5KzWPi-cu_nweg=s88-c-k-c0x00ffffff-no-rj")</f>
        <v>https://yt3.ggpht.com/ytc/AKedOLRgrtpxmWMcrS-tH8VAK0JTNfwl5KzWPi-cu_nweg=s88-c-k-c0x00ffffff-no-rj</v>
      </c>
      <c r="G328" s="66"/>
      <c r="H328" s="70" t="s">
        <v>1880</v>
      </c>
      <c r="I328" s="71"/>
      <c r="J328" s="71" t="s">
        <v>159</v>
      </c>
      <c r="K328" s="70" t="s">
        <v>1880</v>
      </c>
      <c r="L328" s="74">
        <v>1</v>
      </c>
      <c r="M328" s="75">
        <v>3846.404052734375</v>
      </c>
      <c r="N328" s="75">
        <v>2476.855224609375</v>
      </c>
      <c r="O328" s="76"/>
      <c r="P328" s="77"/>
      <c r="Q328" s="77"/>
      <c r="R328" s="89"/>
      <c r="S328" s="49">
        <v>1</v>
      </c>
      <c r="T328" s="49">
        <v>1</v>
      </c>
      <c r="U328" s="50">
        <v>0</v>
      </c>
      <c r="V328" s="50">
        <v>0.005</v>
      </c>
      <c r="W328" s="50">
        <v>0</v>
      </c>
      <c r="X328" s="50">
        <v>0.523971</v>
      </c>
      <c r="Y328" s="50">
        <v>0</v>
      </c>
      <c r="Z328" s="50">
        <v>1</v>
      </c>
      <c r="AA328" s="72">
        <v>328</v>
      </c>
      <c r="AB328" s="72"/>
      <c r="AC328" s="73"/>
      <c r="AD328" s="80" t="s">
        <v>1880</v>
      </c>
      <c r="AE328" s="80" t="s">
        <v>2923</v>
      </c>
      <c r="AF328" s="80"/>
      <c r="AG328" s="80"/>
      <c r="AH328" s="80"/>
      <c r="AI328" s="80" t="s">
        <v>3062</v>
      </c>
      <c r="AJ328" s="87">
        <v>42135.43355324074</v>
      </c>
      <c r="AK328" s="85" t="str">
        <f>HYPERLINK("https://yt3.ggpht.com/ytc/AKedOLRgrtpxmWMcrS-tH8VAK0JTNfwl5KzWPi-cu_nweg=s88-c-k-c0x00ffffff-no-rj")</f>
        <v>https://yt3.ggpht.com/ytc/AKedOLRgrtpxmWMcrS-tH8VAK0JTNfwl5KzWPi-cu_nweg=s88-c-k-c0x00ffffff-no-rj</v>
      </c>
      <c r="AL328" s="80">
        <v>341705</v>
      </c>
      <c r="AM328" s="80">
        <v>0</v>
      </c>
      <c r="AN328" s="80">
        <v>7250</v>
      </c>
      <c r="AO328" s="80" t="b">
        <v>0</v>
      </c>
      <c r="AP328" s="80">
        <v>76</v>
      </c>
      <c r="AQ328" s="80"/>
      <c r="AR328" s="80"/>
      <c r="AS328" s="80" t="s">
        <v>3412</v>
      </c>
      <c r="AT328" s="85" t="str">
        <f>HYPERLINK("https://www.youtube.com/channel/UC-Bl3iHE4ca98Rj34dJoLDg")</f>
        <v>https://www.youtube.com/channel/UC-Bl3iHE4ca98Rj34dJoLDg</v>
      </c>
      <c r="AU328" s="80" t="str">
        <f>REPLACE(INDEX(GroupVertices[Group],MATCH(Vertices[[#This Row],[Vertex]],GroupVertices[Vertex],0)),1,1,"")</f>
        <v>6</v>
      </c>
      <c r="AV328" s="49">
        <v>0</v>
      </c>
      <c r="AW328" s="50">
        <v>0</v>
      </c>
      <c r="AX328" s="49">
        <v>0</v>
      </c>
      <c r="AY328" s="50">
        <v>0</v>
      </c>
      <c r="AZ328" s="49">
        <v>0</v>
      </c>
      <c r="BA328" s="50">
        <v>0</v>
      </c>
      <c r="BB328" s="49">
        <v>7</v>
      </c>
      <c r="BC328" s="50">
        <v>100</v>
      </c>
      <c r="BD328" s="49">
        <v>7</v>
      </c>
      <c r="BE328" s="49"/>
      <c r="BF328" s="49"/>
      <c r="BG328" s="49"/>
      <c r="BH328" s="49"/>
      <c r="BI328" s="49"/>
      <c r="BJ328" s="49"/>
      <c r="BK328" s="111" t="s">
        <v>2782</v>
      </c>
      <c r="BL328" s="111" t="s">
        <v>2782</v>
      </c>
      <c r="BM328" s="111" t="s">
        <v>2782</v>
      </c>
      <c r="BN328" s="111" t="s">
        <v>2782</v>
      </c>
      <c r="BO328" s="2"/>
      <c r="BP328" s="3"/>
      <c r="BQ328" s="3"/>
      <c r="BR328" s="3"/>
      <c r="BS328" s="3"/>
    </row>
    <row r="329" spans="1:71" ht="15">
      <c r="A329" s="65" t="s">
        <v>552</v>
      </c>
      <c r="B329" s="66"/>
      <c r="C329" s="66"/>
      <c r="D329" s="67">
        <v>150</v>
      </c>
      <c r="E329" s="69"/>
      <c r="F329" s="103" t="str">
        <f>HYPERLINK("https://yt3.ggpht.com/ytc/AKedOLTVNvYcg8nkSOsXAI_1Qd0AbI1LXZOXXCnZzZVWjw=s88-c-k-c0x00ffffff-no-rj")</f>
        <v>https://yt3.ggpht.com/ytc/AKedOLTVNvYcg8nkSOsXAI_1Qd0AbI1LXZOXXCnZzZVWjw=s88-c-k-c0x00ffffff-no-rj</v>
      </c>
      <c r="G329" s="66"/>
      <c r="H329" s="70" t="s">
        <v>1881</v>
      </c>
      <c r="I329" s="71"/>
      <c r="J329" s="71" t="s">
        <v>159</v>
      </c>
      <c r="K329" s="70" t="s">
        <v>1881</v>
      </c>
      <c r="L329" s="74">
        <v>1</v>
      </c>
      <c r="M329" s="75">
        <v>4306.24072265625</v>
      </c>
      <c r="N329" s="75">
        <v>4012.244384765625</v>
      </c>
      <c r="O329" s="76"/>
      <c r="P329" s="77"/>
      <c r="Q329" s="77"/>
      <c r="R329" s="89"/>
      <c r="S329" s="49">
        <v>0</v>
      </c>
      <c r="T329" s="49">
        <v>1</v>
      </c>
      <c r="U329" s="50">
        <v>0</v>
      </c>
      <c r="V329" s="50">
        <v>0.005</v>
      </c>
      <c r="W329" s="50">
        <v>0</v>
      </c>
      <c r="X329" s="50">
        <v>0.523971</v>
      </c>
      <c r="Y329" s="50">
        <v>0</v>
      </c>
      <c r="Z329" s="50">
        <v>0</v>
      </c>
      <c r="AA329" s="72">
        <v>329</v>
      </c>
      <c r="AB329" s="72"/>
      <c r="AC329" s="73"/>
      <c r="AD329" s="80" t="s">
        <v>1881</v>
      </c>
      <c r="AE329" s="80" t="s">
        <v>2924</v>
      </c>
      <c r="AF329" s="80"/>
      <c r="AG329" s="80"/>
      <c r="AH329" s="80"/>
      <c r="AI329" s="80" t="s">
        <v>3063</v>
      </c>
      <c r="AJ329" s="80" t="s">
        <v>3288</v>
      </c>
      <c r="AK329" s="85" t="str">
        <f>HYPERLINK("https://yt3.ggpht.com/ytc/AKedOLTVNvYcg8nkSOsXAI_1Qd0AbI1LXZOXXCnZzZVWjw=s88-c-k-c0x00ffffff-no-rj")</f>
        <v>https://yt3.ggpht.com/ytc/AKedOLTVNvYcg8nkSOsXAI_1Qd0AbI1LXZOXXCnZzZVWjw=s88-c-k-c0x00ffffff-no-rj</v>
      </c>
      <c r="AL329" s="80">
        <v>203086</v>
      </c>
      <c r="AM329" s="80">
        <v>0</v>
      </c>
      <c r="AN329" s="80">
        <v>1250</v>
      </c>
      <c r="AO329" s="80" t="b">
        <v>0</v>
      </c>
      <c r="AP329" s="80">
        <v>109</v>
      </c>
      <c r="AQ329" s="80"/>
      <c r="AR329" s="80"/>
      <c r="AS329" s="80" t="s">
        <v>3412</v>
      </c>
      <c r="AT329" s="85" t="str">
        <f>HYPERLINK("https://www.youtube.com/channel/UC7phUdHV-oWsx3unENvfE7w")</f>
        <v>https://www.youtube.com/channel/UC7phUdHV-oWsx3unENvfE7w</v>
      </c>
      <c r="AU329" s="80" t="str">
        <f>REPLACE(INDEX(GroupVertices[Group],MATCH(Vertices[[#This Row],[Vertex]],GroupVertices[Vertex],0)),1,1,"")</f>
        <v>6</v>
      </c>
      <c r="AV329" s="49">
        <v>1</v>
      </c>
      <c r="AW329" s="50">
        <v>7.6923076923076925</v>
      </c>
      <c r="AX329" s="49">
        <v>0</v>
      </c>
      <c r="AY329" s="50">
        <v>0</v>
      </c>
      <c r="AZ329" s="49">
        <v>0</v>
      </c>
      <c r="BA329" s="50">
        <v>0</v>
      </c>
      <c r="BB329" s="49">
        <v>12</v>
      </c>
      <c r="BC329" s="50">
        <v>92.3076923076923</v>
      </c>
      <c r="BD329" s="49">
        <v>13</v>
      </c>
      <c r="BE329" s="49"/>
      <c r="BF329" s="49"/>
      <c r="BG329" s="49"/>
      <c r="BH329" s="49"/>
      <c r="BI329" s="49"/>
      <c r="BJ329" s="49"/>
      <c r="BK329" s="111" t="s">
        <v>4687</v>
      </c>
      <c r="BL329" s="111" t="s">
        <v>4687</v>
      </c>
      <c r="BM329" s="111" t="s">
        <v>5160</v>
      </c>
      <c r="BN329" s="111" t="s">
        <v>5160</v>
      </c>
      <c r="BO329" s="2"/>
      <c r="BP329" s="3"/>
      <c r="BQ329" s="3"/>
      <c r="BR329" s="3"/>
      <c r="BS329" s="3"/>
    </row>
    <row r="330" spans="1:71" ht="15">
      <c r="A330" s="65" t="s">
        <v>553</v>
      </c>
      <c r="B330" s="66"/>
      <c r="C330" s="66"/>
      <c r="D330" s="67">
        <v>150</v>
      </c>
      <c r="E330" s="69"/>
      <c r="F330" s="103" t="str">
        <f>HYPERLINK("https://yt3.ggpht.com/W7oJt0es_w0nLwYxnw37sByijxqZ2pjDw9BlYPlAUL8O_8QZozRH3_ofdftvb0BFxxovWqDAmg=s88-c-k-c0x00ffffff-no-rj")</f>
        <v>https://yt3.ggpht.com/W7oJt0es_w0nLwYxnw37sByijxqZ2pjDw9BlYPlAUL8O_8QZozRH3_ofdftvb0BFxxovWqDAmg=s88-c-k-c0x00ffffff-no-rj</v>
      </c>
      <c r="G330" s="66"/>
      <c r="H330" s="70" t="s">
        <v>1882</v>
      </c>
      <c r="I330" s="71"/>
      <c r="J330" s="71" t="s">
        <v>159</v>
      </c>
      <c r="K330" s="70" t="s">
        <v>1882</v>
      </c>
      <c r="L330" s="74">
        <v>1</v>
      </c>
      <c r="M330" s="75">
        <v>3896.2373046875</v>
      </c>
      <c r="N330" s="75">
        <v>4351.25830078125</v>
      </c>
      <c r="O330" s="76"/>
      <c r="P330" s="77"/>
      <c r="Q330" s="77"/>
      <c r="R330" s="89"/>
      <c r="S330" s="49">
        <v>0</v>
      </c>
      <c r="T330" s="49">
        <v>1</v>
      </c>
      <c r="U330" s="50">
        <v>0</v>
      </c>
      <c r="V330" s="50">
        <v>0.005</v>
      </c>
      <c r="W330" s="50">
        <v>0</v>
      </c>
      <c r="X330" s="50">
        <v>0.523971</v>
      </c>
      <c r="Y330" s="50">
        <v>0</v>
      </c>
      <c r="Z330" s="50">
        <v>0</v>
      </c>
      <c r="AA330" s="72">
        <v>330</v>
      </c>
      <c r="AB330" s="72"/>
      <c r="AC330" s="73"/>
      <c r="AD330" s="80" t="s">
        <v>1882</v>
      </c>
      <c r="AE330" s="80" t="s">
        <v>2925</v>
      </c>
      <c r="AF330" s="80"/>
      <c r="AG330" s="80"/>
      <c r="AH330" s="80"/>
      <c r="AI330" s="80" t="s">
        <v>3064</v>
      </c>
      <c r="AJ330" s="80" t="s">
        <v>3289</v>
      </c>
      <c r="AK330" s="85" t="str">
        <f>HYPERLINK("https://yt3.ggpht.com/W7oJt0es_w0nLwYxnw37sByijxqZ2pjDw9BlYPlAUL8O_8QZozRH3_ofdftvb0BFxxovWqDAmg=s88-c-k-c0x00ffffff-no-rj")</f>
        <v>https://yt3.ggpht.com/W7oJt0es_w0nLwYxnw37sByijxqZ2pjDw9BlYPlAUL8O_8QZozRH3_ofdftvb0BFxxovWqDAmg=s88-c-k-c0x00ffffff-no-rj</v>
      </c>
      <c r="AL330" s="80">
        <v>163919</v>
      </c>
      <c r="AM330" s="80">
        <v>0</v>
      </c>
      <c r="AN330" s="80">
        <v>7320</v>
      </c>
      <c r="AO330" s="80" t="b">
        <v>0</v>
      </c>
      <c r="AP330" s="80">
        <v>41</v>
      </c>
      <c r="AQ330" s="80"/>
      <c r="AR330" s="80"/>
      <c r="AS330" s="80" t="s">
        <v>3412</v>
      </c>
      <c r="AT330" s="85" t="str">
        <f>HYPERLINK("https://www.youtube.com/channel/UCMa6AvC7v4YADEIuUYlIySA")</f>
        <v>https://www.youtube.com/channel/UCMa6AvC7v4YADEIuUYlIySA</v>
      </c>
      <c r="AU330" s="80" t="str">
        <f>REPLACE(INDEX(GroupVertices[Group],MATCH(Vertices[[#This Row],[Vertex]],GroupVertices[Vertex],0)),1,1,"")</f>
        <v>6</v>
      </c>
      <c r="AV330" s="49">
        <v>1</v>
      </c>
      <c r="AW330" s="50">
        <v>20</v>
      </c>
      <c r="AX330" s="49">
        <v>0</v>
      </c>
      <c r="AY330" s="50">
        <v>0</v>
      </c>
      <c r="AZ330" s="49">
        <v>0</v>
      </c>
      <c r="BA330" s="50">
        <v>0</v>
      </c>
      <c r="BB330" s="49">
        <v>4</v>
      </c>
      <c r="BC330" s="50">
        <v>80</v>
      </c>
      <c r="BD330" s="49">
        <v>5</v>
      </c>
      <c r="BE330" s="49"/>
      <c r="BF330" s="49"/>
      <c r="BG330" s="49"/>
      <c r="BH330" s="49"/>
      <c r="BI330" s="49"/>
      <c r="BJ330" s="49"/>
      <c r="BK330" s="111" t="s">
        <v>4688</v>
      </c>
      <c r="BL330" s="111" t="s">
        <v>4688</v>
      </c>
      <c r="BM330" s="111" t="s">
        <v>5161</v>
      </c>
      <c r="BN330" s="111" t="s">
        <v>5161</v>
      </c>
      <c r="BO330" s="2"/>
      <c r="BP330" s="3"/>
      <c r="BQ330" s="3"/>
      <c r="BR330" s="3"/>
      <c r="BS330" s="3"/>
    </row>
    <row r="331" spans="1:71" ht="15">
      <c r="A331" s="65" t="s">
        <v>554</v>
      </c>
      <c r="B331" s="66"/>
      <c r="C331" s="66"/>
      <c r="D331" s="67">
        <v>150</v>
      </c>
      <c r="E331" s="69"/>
      <c r="F331" s="103" t="str">
        <f>HYPERLINK("https://yt3.ggpht.com/ytc/AKedOLQTyVT1GdfGD4Jj_HgLeStlH-FhZUfAtDAYohVAofg=s88-c-k-c0x00ffffff-no-rj")</f>
        <v>https://yt3.ggpht.com/ytc/AKedOLQTyVT1GdfGD4Jj_HgLeStlH-FhZUfAtDAYohVAofg=s88-c-k-c0x00ffffff-no-rj</v>
      </c>
      <c r="G331" s="66"/>
      <c r="H331" s="70" t="s">
        <v>1883</v>
      </c>
      <c r="I331" s="71"/>
      <c r="J331" s="71" t="s">
        <v>159</v>
      </c>
      <c r="K331" s="70" t="s">
        <v>1883</v>
      </c>
      <c r="L331" s="74">
        <v>1</v>
      </c>
      <c r="M331" s="75">
        <v>3801.33984375</v>
      </c>
      <c r="N331" s="75">
        <v>3299.650390625</v>
      </c>
      <c r="O331" s="76"/>
      <c r="P331" s="77"/>
      <c r="Q331" s="77"/>
      <c r="R331" s="89"/>
      <c r="S331" s="49">
        <v>1</v>
      </c>
      <c r="T331" s="49">
        <v>1</v>
      </c>
      <c r="U331" s="50">
        <v>0</v>
      </c>
      <c r="V331" s="50">
        <v>0.005</v>
      </c>
      <c r="W331" s="50">
        <v>0</v>
      </c>
      <c r="X331" s="50">
        <v>0.523971</v>
      </c>
      <c r="Y331" s="50">
        <v>0</v>
      </c>
      <c r="Z331" s="50">
        <v>1</v>
      </c>
      <c r="AA331" s="72">
        <v>331</v>
      </c>
      <c r="AB331" s="72"/>
      <c r="AC331" s="73"/>
      <c r="AD331" s="80" t="s">
        <v>1883</v>
      </c>
      <c r="AE331" s="80" t="s">
        <v>2926</v>
      </c>
      <c r="AF331" s="80"/>
      <c r="AG331" s="80"/>
      <c r="AH331" s="80"/>
      <c r="AI331" s="80" t="s">
        <v>3065</v>
      </c>
      <c r="AJ331" s="87">
        <v>42980.80805555556</v>
      </c>
      <c r="AK331" s="85" t="str">
        <f>HYPERLINK("https://yt3.ggpht.com/ytc/AKedOLQTyVT1GdfGD4Jj_HgLeStlH-FhZUfAtDAYohVAofg=s88-c-k-c0x00ffffff-no-rj")</f>
        <v>https://yt3.ggpht.com/ytc/AKedOLQTyVT1GdfGD4Jj_HgLeStlH-FhZUfAtDAYohVAofg=s88-c-k-c0x00ffffff-no-rj</v>
      </c>
      <c r="AL331" s="80">
        <v>10852</v>
      </c>
      <c r="AM331" s="80">
        <v>0</v>
      </c>
      <c r="AN331" s="80">
        <v>392</v>
      </c>
      <c r="AO331" s="80" t="b">
        <v>0</v>
      </c>
      <c r="AP331" s="80">
        <v>61</v>
      </c>
      <c r="AQ331" s="80"/>
      <c r="AR331" s="80"/>
      <c r="AS331" s="80" t="s">
        <v>3412</v>
      </c>
      <c r="AT331" s="85" t="str">
        <f>HYPERLINK("https://www.youtube.com/channel/UCvhBBb_zdAkKujxzDV1QEhg")</f>
        <v>https://www.youtube.com/channel/UCvhBBb_zdAkKujxzDV1QEhg</v>
      </c>
      <c r="AU331" s="80" t="str">
        <f>REPLACE(INDEX(GroupVertices[Group],MATCH(Vertices[[#This Row],[Vertex]],GroupVertices[Vertex],0)),1,1,"")</f>
        <v>6</v>
      </c>
      <c r="AV331" s="49">
        <v>1</v>
      </c>
      <c r="AW331" s="50">
        <v>25</v>
      </c>
      <c r="AX331" s="49">
        <v>0</v>
      </c>
      <c r="AY331" s="50">
        <v>0</v>
      </c>
      <c r="AZ331" s="49">
        <v>0</v>
      </c>
      <c r="BA331" s="50">
        <v>0</v>
      </c>
      <c r="BB331" s="49">
        <v>3</v>
      </c>
      <c r="BC331" s="50">
        <v>75</v>
      </c>
      <c r="BD331" s="49">
        <v>4</v>
      </c>
      <c r="BE331" s="49"/>
      <c r="BF331" s="49"/>
      <c r="BG331" s="49"/>
      <c r="BH331" s="49"/>
      <c r="BI331" s="49"/>
      <c r="BJ331" s="49"/>
      <c r="BK331" s="111" t="s">
        <v>4689</v>
      </c>
      <c r="BL331" s="111" t="s">
        <v>4689</v>
      </c>
      <c r="BM331" s="111" t="s">
        <v>5162</v>
      </c>
      <c r="BN331" s="111" t="s">
        <v>5162</v>
      </c>
      <c r="BO331" s="2"/>
      <c r="BP331" s="3"/>
      <c r="BQ331" s="3"/>
      <c r="BR331" s="3"/>
      <c r="BS331" s="3"/>
    </row>
    <row r="332" spans="1:71" ht="15">
      <c r="A332" s="65" t="s">
        <v>555</v>
      </c>
      <c r="B332" s="66"/>
      <c r="C332" s="66"/>
      <c r="D332" s="67">
        <v>150</v>
      </c>
      <c r="E332" s="69"/>
      <c r="F332" s="103" t="str">
        <f>HYPERLINK("https://yt3.ggpht.com/ytc/AKedOLQ4-jnDmmE3tGCeq405f3u3Jz2uCT5NAU_bBmEh=s88-c-k-c0x00ffffff-no-rj")</f>
        <v>https://yt3.ggpht.com/ytc/AKedOLQ4-jnDmmE3tGCeq405f3u3Jz2uCT5NAU_bBmEh=s88-c-k-c0x00ffffff-no-rj</v>
      </c>
      <c r="G332" s="66"/>
      <c r="H332" s="70" t="s">
        <v>1884</v>
      </c>
      <c r="I332" s="71"/>
      <c r="J332" s="71" t="s">
        <v>159</v>
      </c>
      <c r="K332" s="70" t="s">
        <v>1884</v>
      </c>
      <c r="L332" s="74">
        <v>1</v>
      </c>
      <c r="M332" s="75">
        <v>4071.16455078125</v>
      </c>
      <c r="N332" s="75">
        <v>2876.056396484375</v>
      </c>
      <c r="O332" s="76"/>
      <c r="P332" s="77"/>
      <c r="Q332" s="77"/>
      <c r="R332" s="89"/>
      <c r="S332" s="49">
        <v>0</v>
      </c>
      <c r="T332" s="49">
        <v>1</v>
      </c>
      <c r="U332" s="50">
        <v>0</v>
      </c>
      <c r="V332" s="50">
        <v>0.005</v>
      </c>
      <c r="W332" s="50">
        <v>0</v>
      </c>
      <c r="X332" s="50">
        <v>0.523971</v>
      </c>
      <c r="Y332" s="50">
        <v>0</v>
      </c>
      <c r="Z332" s="50">
        <v>0</v>
      </c>
      <c r="AA332" s="72">
        <v>332</v>
      </c>
      <c r="AB332" s="72"/>
      <c r="AC332" s="73"/>
      <c r="AD332" s="80" t="s">
        <v>1884</v>
      </c>
      <c r="AE332" s="80" t="s">
        <v>2927</v>
      </c>
      <c r="AF332" s="80"/>
      <c r="AG332" s="80"/>
      <c r="AH332" s="80"/>
      <c r="AI332" s="80" t="s">
        <v>3066</v>
      </c>
      <c r="AJ332" s="80" t="s">
        <v>3290</v>
      </c>
      <c r="AK332" s="85" t="str">
        <f>HYPERLINK("https://yt3.ggpht.com/ytc/AKedOLQ4-jnDmmE3tGCeq405f3u3Jz2uCT5NAU_bBmEh=s88-c-k-c0x00ffffff-no-rj")</f>
        <v>https://yt3.ggpht.com/ytc/AKedOLQ4-jnDmmE3tGCeq405f3u3Jz2uCT5NAU_bBmEh=s88-c-k-c0x00ffffff-no-rj</v>
      </c>
      <c r="AL332" s="80">
        <v>234845</v>
      </c>
      <c r="AM332" s="80">
        <v>0</v>
      </c>
      <c r="AN332" s="80">
        <v>8180</v>
      </c>
      <c r="AO332" s="80" t="b">
        <v>0</v>
      </c>
      <c r="AP332" s="80">
        <v>113</v>
      </c>
      <c r="AQ332" s="80"/>
      <c r="AR332" s="80"/>
      <c r="AS332" s="80" t="s">
        <v>3412</v>
      </c>
      <c r="AT332" s="85" t="str">
        <f>HYPERLINK("https://www.youtube.com/channel/UCqdmEYHY8jVTeT-ZYeLlJ1g")</f>
        <v>https://www.youtube.com/channel/UCqdmEYHY8jVTeT-ZYeLlJ1g</v>
      </c>
      <c r="AU332" s="80" t="str">
        <f>REPLACE(INDEX(GroupVertices[Group],MATCH(Vertices[[#This Row],[Vertex]],GroupVertices[Vertex],0)),1,1,"")</f>
        <v>6</v>
      </c>
      <c r="AV332" s="49">
        <v>0</v>
      </c>
      <c r="AW332" s="50">
        <v>0</v>
      </c>
      <c r="AX332" s="49">
        <v>0</v>
      </c>
      <c r="AY332" s="50">
        <v>0</v>
      </c>
      <c r="AZ332" s="49">
        <v>0</v>
      </c>
      <c r="BA332" s="50">
        <v>0</v>
      </c>
      <c r="BB332" s="49">
        <v>16</v>
      </c>
      <c r="BC332" s="50">
        <v>100</v>
      </c>
      <c r="BD332" s="49">
        <v>16</v>
      </c>
      <c r="BE332" s="49"/>
      <c r="BF332" s="49"/>
      <c r="BG332" s="49"/>
      <c r="BH332" s="49"/>
      <c r="BI332" s="49"/>
      <c r="BJ332" s="49"/>
      <c r="BK332" s="111" t="s">
        <v>4690</v>
      </c>
      <c r="BL332" s="111" t="s">
        <v>4690</v>
      </c>
      <c r="BM332" s="111" t="s">
        <v>5163</v>
      </c>
      <c r="BN332" s="111" t="s">
        <v>5163</v>
      </c>
      <c r="BO332" s="2"/>
      <c r="BP332" s="3"/>
      <c r="BQ332" s="3"/>
      <c r="BR332" s="3"/>
      <c r="BS332" s="3"/>
    </row>
    <row r="333" spans="1:71" ht="15">
      <c r="A333" s="65" t="s">
        <v>556</v>
      </c>
      <c r="B333" s="66"/>
      <c r="C333" s="66"/>
      <c r="D333" s="67">
        <v>150</v>
      </c>
      <c r="E333" s="69"/>
      <c r="F333" s="103" t="str">
        <f>HYPERLINK("https://yt3.ggpht.com/ytc/AKedOLSY7sYyPVAhPZHi7KsSvP5jgGMPnIjNVq0R5irN7g=s88-c-k-c0x00ffffff-no-rj")</f>
        <v>https://yt3.ggpht.com/ytc/AKedOLSY7sYyPVAhPZHi7KsSvP5jgGMPnIjNVq0R5irN7g=s88-c-k-c0x00ffffff-no-rj</v>
      </c>
      <c r="G333" s="66"/>
      <c r="H333" s="70" t="s">
        <v>1885</v>
      </c>
      <c r="I333" s="71"/>
      <c r="J333" s="71" t="s">
        <v>159</v>
      </c>
      <c r="K333" s="70" t="s">
        <v>1885</v>
      </c>
      <c r="L333" s="74">
        <v>1</v>
      </c>
      <c r="M333" s="75">
        <v>3600.678955078125</v>
      </c>
      <c r="N333" s="75">
        <v>2731.2900390625</v>
      </c>
      <c r="O333" s="76"/>
      <c r="P333" s="77"/>
      <c r="Q333" s="77"/>
      <c r="R333" s="89"/>
      <c r="S333" s="49">
        <v>0</v>
      </c>
      <c r="T333" s="49">
        <v>1</v>
      </c>
      <c r="U333" s="50">
        <v>0</v>
      </c>
      <c r="V333" s="50">
        <v>0.005</v>
      </c>
      <c r="W333" s="50">
        <v>0</v>
      </c>
      <c r="X333" s="50">
        <v>0.523971</v>
      </c>
      <c r="Y333" s="50">
        <v>0</v>
      </c>
      <c r="Z333" s="50">
        <v>0</v>
      </c>
      <c r="AA333" s="72">
        <v>333</v>
      </c>
      <c r="AB333" s="72"/>
      <c r="AC333" s="73"/>
      <c r="AD333" s="80" t="s">
        <v>1885</v>
      </c>
      <c r="AE333" s="80" t="s">
        <v>2928</v>
      </c>
      <c r="AF333" s="80"/>
      <c r="AG333" s="80"/>
      <c r="AH333" s="80"/>
      <c r="AI333" s="80" t="s">
        <v>3067</v>
      </c>
      <c r="AJ333" s="80" t="s">
        <v>3291</v>
      </c>
      <c r="AK333" s="85" t="str">
        <f>HYPERLINK("https://yt3.ggpht.com/ytc/AKedOLSY7sYyPVAhPZHi7KsSvP5jgGMPnIjNVq0R5irN7g=s88-c-k-c0x00ffffff-no-rj")</f>
        <v>https://yt3.ggpht.com/ytc/AKedOLSY7sYyPVAhPZHi7KsSvP5jgGMPnIjNVq0R5irN7g=s88-c-k-c0x00ffffff-no-rj</v>
      </c>
      <c r="AL333" s="80">
        <v>2579662</v>
      </c>
      <c r="AM333" s="80">
        <v>0</v>
      </c>
      <c r="AN333" s="80">
        <v>44500</v>
      </c>
      <c r="AO333" s="80" t="b">
        <v>0</v>
      </c>
      <c r="AP333" s="80">
        <v>419</v>
      </c>
      <c r="AQ333" s="80"/>
      <c r="AR333" s="80"/>
      <c r="AS333" s="80" t="s">
        <v>3412</v>
      </c>
      <c r="AT333" s="85" t="str">
        <f>HYPERLINK("https://www.youtube.com/channel/UC8ZYmCweKD2x-wy8PDEiFog")</f>
        <v>https://www.youtube.com/channel/UC8ZYmCweKD2x-wy8PDEiFog</v>
      </c>
      <c r="AU333" s="80" t="str">
        <f>REPLACE(INDEX(GroupVertices[Group],MATCH(Vertices[[#This Row],[Vertex]],GroupVertices[Vertex],0)),1,1,"")</f>
        <v>6</v>
      </c>
      <c r="AV333" s="49">
        <v>2</v>
      </c>
      <c r="AW333" s="50">
        <v>22.22222222222222</v>
      </c>
      <c r="AX333" s="49">
        <v>0</v>
      </c>
      <c r="AY333" s="50">
        <v>0</v>
      </c>
      <c r="AZ333" s="49">
        <v>0</v>
      </c>
      <c r="BA333" s="50">
        <v>0</v>
      </c>
      <c r="BB333" s="49">
        <v>7</v>
      </c>
      <c r="BC333" s="50">
        <v>77.77777777777777</v>
      </c>
      <c r="BD333" s="49">
        <v>9</v>
      </c>
      <c r="BE333" s="49"/>
      <c r="BF333" s="49"/>
      <c r="BG333" s="49"/>
      <c r="BH333" s="49"/>
      <c r="BI333" s="49"/>
      <c r="BJ333" s="49"/>
      <c r="BK333" s="111" t="s">
        <v>4691</v>
      </c>
      <c r="BL333" s="111" t="s">
        <v>4691</v>
      </c>
      <c r="BM333" s="111" t="s">
        <v>5164</v>
      </c>
      <c r="BN333" s="111" t="s">
        <v>5164</v>
      </c>
      <c r="BO333" s="2"/>
      <c r="BP333" s="3"/>
      <c r="BQ333" s="3"/>
      <c r="BR333" s="3"/>
      <c r="BS333" s="3"/>
    </row>
    <row r="334" spans="1:71" ht="15">
      <c r="A334" s="65" t="s">
        <v>557</v>
      </c>
      <c r="B334" s="66"/>
      <c r="C334" s="66"/>
      <c r="D334" s="67">
        <v>150</v>
      </c>
      <c r="E334" s="69"/>
      <c r="F334" s="103" t="str">
        <f>HYPERLINK("https://yt3.ggpht.com/ytc/AKedOLTvuciW4AVQlvAV_LklyUE0gADfYPXP2GmnXiVfQA=s88-c-k-c0x00ffffff-no-rj")</f>
        <v>https://yt3.ggpht.com/ytc/AKedOLTvuciW4AVQlvAV_LklyUE0gADfYPXP2GmnXiVfQA=s88-c-k-c0x00ffffff-no-rj</v>
      </c>
      <c r="G334" s="66"/>
      <c r="H334" s="70" t="s">
        <v>1886</v>
      </c>
      <c r="I334" s="71"/>
      <c r="J334" s="71" t="s">
        <v>159</v>
      </c>
      <c r="K334" s="70" t="s">
        <v>1886</v>
      </c>
      <c r="L334" s="74">
        <v>1</v>
      </c>
      <c r="M334" s="75">
        <v>4559.64892578125</v>
      </c>
      <c r="N334" s="75">
        <v>2863.852783203125</v>
      </c>
      <c r="O334" s="76"/>
      <c r="P334" s="77"/>
      <c r="Q334" s="77"/>
      <c r="R334" s="89"/>
      <c r="S334" s="49">
        <v>1</v>
      </c>
      <c r="T334" s="49">
        <v>1</v>
      </c>
      <c r="U334" s="50">
        <v>0</v>
      </c>
      <c r="V334" s="50">
        <v>0.005</v>
      </c>
      <c r="W334" s="50">
        <v>0</v>
      </c>
      <c r="X334" s="50">
        <v>0.523971</v>
      </c>
      <c r="Y334" s="50">
        <v>0</v>
      </c>
      <c r="Z334" s="50">
        <v>1</v>
      </c>
      <c r="AA334" s="72">
        <v>334</v>
      </c>
      <c r="AB334" s="72"/>
      <c r="AC334" s="73"/>
      <c r="AD334" s="80" t="s">
        <v>1886</v>
      </c>
      <c r="AE334" s="80" t="s">
        <v>2929</v>
      </c>
      <c r="AF334" s="80"/>
      <c r="AG334" s="80"/>
      <c r="AH334" s="80"/>
      <c r="AI334" s="80"/>
      <c r="AJ334" s="87">
        <v>43347.80107638889</v>
      </c>
      <c r="AK334" s="85" t="str">
        <f>HYPERLINK("https://yt3.ggpht.com/ytc/AKedOLTvuciW4AVQlvAV_LklyUE0gADfYPXP2GmnXiVfQA=s88-c-k-c0x00ffffff-no-rj")</f>
        <v>https://yt3.ggpht.com/ytc/AKedOLTvuciW4AVQlvAV_LklyUE0gADfYPXP2GmnXiVfQA=s88-c-k-c0x00ffffff-no-rj</v>
      </c>
      <c r="AL334" s="80">
        <v>6659</v>
      </c>
      <c r="AM334" s="80">
        <v>0</v>
      </c>
      <c r="AN334" s="80">
        <v>431</v>
      </c>
      <c r="AO334" s="80" t="b">
        <v>0</v>
      </c>
      <c r="AP334" s="80">
        <v>21</v>
      </c>
      <c r="AQ334" s="80"/>
      <c r="AR334" s="80"/>
      <c r="AS334" s="80" t="s">
        <v>3412</v>
      </c>
      <c r="AT334" s="85" t="str">
        <f>HYPERLINK("https://www.youtube.com/channel/UCQbKCj0tXqqo5TddHr9kjwQ")</f>
        <v>https://www.youtube.com/channel/UCQbKCj0tXqqo5TddHr9kjwQ</v>
      </c>
      <c r="AU334" s="80" t="str">
        <f>REPLACE(INDEX(GroupVertices[Group],MATCH(Vertices[[#This Row],[Vertex]],GroupVertices[Vertex],0)),1,1,"")</f>
        <v>6</v>
      </c>
      <c r="AV334" s="49">
        <v>2</v>
      </c>
      <c r="AW334" s="50">
        <v>13.333333333333334</v>
      </c>
      <c r="AX334" s="49">
        <v>0</v>
      </c>
      <c r="AY334" s="50">
        <v>0</v>
      </c>
      <c r="AZ334" s="49">
        <v>0</v>
      </c>
      <c r="BA334" s="50">
        <v>0</v>
      </c>
      <c r="BB334" s="49">
        <v>13</v>
      </c>
      <c r="BC334" s="50">
        <v>86.66666666666667</v>
      </c>
      <c r="BD334" s="49">
        <v>15</v>
      </c>
      <c r="BE334" s="49"/>
      <c r="BF334" s="49"/>
      <c r="BG334" s="49"/>
      <c r="BH334" s="49"/>
      <c r="BI334" s="49"/>
      <c r="BJ334" s="49"/>
      <c r="BK334" s="111" t="s">
        <v>4692</v>
      </c>
      <c r="BL334" s="111" t="s">
        <v>4692</v>
      </c>
      <c r="BM334" s="111" t="s">
        <v>5165</v>
      </c>
      <c r="BN334" s="111" t="s">
        <v>5165</v>
      </c>
      <c r="BO334" s="2"/>
      <c r="BP334" s="3"/>
      <c r="BQ334" s="3"/>
      <c r="BR334" s="3"/>
      <c r="BS334" s="3"/>
    </row>
    <row r="335" spans="1:71" ht="15">
      <c r="A335" s="65" t="s">
        <v>558</v>
      </c>
      <c r="B335" s="66"/>
      <c r="C335" s="66"/>
      <c r="D335" s="67">
        <v>150</v>
      </c>
      <c r="E335" s="69"/>
      <c r="F335" s="103" t="str">
        <f>HYPERLINK("https://yt3.ggpht.com/ytc/AKedOLQZPyoFLme66d1NjaYXDF5FWJyyfm28aVEzHBCdwA=s88-c-k-c0x00ffffff-no-rj")</f>
        <v>https://yt3.ggpht.com/ytc/AKedOLQZPyoFLme66d1NjaYXDF5FWJyyfm28aVEzHBCdwA=s88-c-k-c0x00ffffff-no-rj</v>
      </c>
      <c r="G335" s="66"/>
      <c r="H335" s="70" t="s">
        <v>1887</v>
      </c>
      <c r="I335" s="71"/>
      <c r="J335" s="71" t="s">
        <v>159</v>
      </c>
      <c r="K335" s="70" t="s">
        <v>1887</v>
      </c>
      <c r="L335" s="74">
        <v>1</v>
      </c>
      <c r="M335" s="75">
        <v>5330.81298828125</v>
      </c>
      <c r="N335" s="75">
        <v>3190.876220703125</v>
      </c>
      <c r="O335" s="76"/>
      <c r="P335" s="77"/>
      <c r="Q335" s="77"/>
      <c r="R335" s="89"/>
      <c r="S335" s="49">
        <v>0</v>
      </c>
      <c r="T335" s="49">
        <v>1</v>
      </c>
      <c r="U335" s="50">
        <v>0</v>
      </c>
      <c r="V335" s="50">
        <v>0.005</v>
      </c>
      <c r="W335" s="50">
        <v>0</v>
      </c>
      <c r="X335" s="50">
        <v>0.523971</v>
      </c>
      <c r="Y335" s="50">
        <v>0</v>
      </c>
      <c r="Z335" s="50">
        <v>0</v>
      </c>
      <c r="AA335" s="72">
        <v>335</v>
      </c>
      <c r="AB335" s="72"/>
      <c r="AC335" s="73"/>
      <c r="AD335" s="80" t="s">
        <v>1887</v>
      </c>
      <c r="AE335" s="80" t="s">
        <v>2930</v>
      </c>
      <c r="AF335" s="80"/>
      <c r="AG335" s="80"/>
      <c r="AH335" s="80"/>
      <c r="AI335" s="80"/>
      <c r="AJ335" s="87">
        <v>43257.24181712963</v>
      </c>
      <c r="AK335" s="85" t="str">
        <f>HYPERLINK("https://yt3.ggpht.com/ytc/AKedOLQZPyoFLme66d1NjaYXDF5FWJyyfm28aVEzHBCdwA=s88-c-k-c0x00ffffff-no-rj")</f>
        <v>https://yt3.ggpht.com/ytc/AKedOLQZPyoFLme66d1NjaYXDF5FWJyyfm28aVEzHBCdwA=s88-c-k-c0x00ffffff-no-rj</v>
      </c>
      <c r="AL335" s="80">
        <v>16199</v>
      </c>
      <c r="AM335" s="80">
        <v>0</v>
      </c>
      <c r="AN335" s="80">
        <v>213</v>
      </c>
      <c r="AO335" s="80" t="b">
        <v>0</v>
      </c>
      <c r="AP335" s="80">
        <v>15</v>
      </c>
      <c r="AQ335" s="80"/>
      <c r="AR335" s="80"/>
      <c r="AS335" s="80" t="s">
        <v>3412</v>
      </c>
      <c r="AT335" s="85" t="str">
        <f>HYPERLINK("https://www.youtube.com/channel/UCvEYcFUhkCOl5HwBKT5djPg")</f>
        <v>https://www.youtube.com/channel/UCvEYcFUhkCOl5HwBKT5djPg</v>
      </c>
      <c r="AU335" s="80" t="str">
        <f>REPLACE(INDEX(GroupVertices[Group],MATCH(Vertices[[#This Row],[Vertex]],GroupVertices[Vertex],0)),1,1,"")</f>
        <v>6</v>
      </c>
      <c r="AV335" s="49">
        <v>2</v>
      </c>
      <c r="AW335" s="50">
        <v>11.764705882352942</v>
      </c>
      <c r="AX335" s="49">
        <v>0</v>
      </c>
      <c r="AY335" s="50">
        <v>0</v>
      </c>
      <c r="AZ335" s="49">
        <v>0</v>
      </c>
      <c r="BA335" s="50">
        <v>0</v>
      </c>
      <c r="BB335" s="49">
        <v>15</v>
      </c>
      <c r="BC335" s="50">
        <v>88.23529411764706</v>
      </c>
      <c r="BD335" s="49">
        <v>17</v>
      </c>
      <c r="BE335" s="49"/>
      <c r="BF335" s="49"/>
      <c r="BG335" s="49"/>
      <c r="BH335" s="49"/>
      <c r="BI335" s="49"/>
      <c r="BJ335" s="49"/>
      <c r="BK335" s="111" t="s">
        <v>4693</v>
      </c>
      <c r="BL335" s="111" t="s">
        <v>4693</v>
      </c>
      <c r="BM335" s="111" t="s">
        <v>5166</v>
      </c>
      <c r="BN335" s="111" t="s">
        <v>5166</v>
      </c>
      <c r="BO335" s="2"/>
      <c r="BP335" s="3"/>
      <c r="BQ335" s="3"/>
      <c r="BR335" s="3"/>
      <c r="BS335" s="3"/>
    </row>
    <row r="336" spans="1:71" ht="15">
      <c r="A336" s="65" t="s">
        <v>559</v>
      </c>
      <c r="B336" s="66"/>
      <c r="C336" s="66"/>
      <c r="D336" s="67">
        <v>150</v>
      </c>
      <c r="E336" s="69"/>
      <c r="F336" s="103" t="str">
        <f>HYPERLINK("https://yt3.ggpht.com/ytc/AKedOLTYNqq0ePMx7kGDusQx0tQl3jd4ynHwKBk-8xaFGA=s88-c-k-c0x00ffffff-no-rj")</f>
        <v>https://yt3.ggpht.com/ytc/AKedOLTYNqq0ePMx7kGDusQx0tQl3jd4ynHwKBk-8xaFGA=s88-c-k-c0x00ffffff-no-rj</v>
      </c>
      <c r="G336" s="66"/>
      <c r="H336" s="70" t="s">
        <v>1888</v>
      </c>
      <c r="I336" s="71"/>
      <c r="J336" s="71" t="s">
        <v>159</v>
      </c>
      <c r="K336" s="70" t="s">
        <v>1888</v>
      </c>
      <c r="L336" s="74">
        <v>1</v>
      </c>
      <c r="M336" s="75">
        <v>5012.29931640625</v>
      </c>
      <c r="N336" s="75">
        <v>2641.44775390625</v>
      </c>
      <c r="O336" s="76"/>
      <c r="P336" s="77"/>
      <c r="Q336" s="77"/>
      <c r="R336" s="89"/>
      <c r="S336" s="49">
        <v>1</v>
      </c>
      <c r="T336" s="49">
        <v>1</v>
      </c>
      <c r="U336" s="50">
        <v>0</v>
      </c>
      <c r="V336" s="50">
        <v>0.005</v>
      </c>
      <c r="W336" s="50">
        <v>0</v>
      </c>
      <c r="X336" s="50">
        <v>0.523971</v>
      </c>
      <c r="Y336" s="50">
        <v>0</v>
      </c>
      <c r="Z336" s="50">
        <v>1</v>
      </c>
      <c r="AA336" s="72">
        <v>336</v>
      </c>
      <c r="AB336" s="72"/>
      <c r="AC336" s="73"/>
      <c r="AD336" s="80" t="s">
        <v>1888</v>
      </c>
      <c r="AE336" s="80" t="s">
        <v>2931</v>
      </c>
      <c r="AF336" s="80"/>
      <c r="AG336" s="80"/>
      <c r="AH336" s="80"/>
      <c r="AI336" s="80" t="s">
        <v>3068</v>
      </c>
      <c r="AJ336" s="80" t="s">
        <v>3292</v>
      </c>
      <c r="AK336" s="85" t="str">
        <f>HYPERLINK("https://yt3.ggpht.com/ytc/AKedOLTYNqq0ePMx7kGDusQx0tQl3jd4ynHwKBk-8xaFGA=s88-c-k-c0x00ffffff-no-rj")</f>
        <v>https://yt3.ggpht.com/ytc/AKedOLTYNqq0ePMx7kGDusQx0tQl3jd4ynHwKBk-8xaFGA=s88-c-k-c0x00ffffff-no-rj</v>
      </c>
      <c r="AL336" s="80">
        <v>77334</v>
      </c>
      <c r="AM336" s="80">
        <v>0</v>
      </c>
      <c r="AN336" s="80">
        <v>857</v>
      </c>
      <c r="AO336" s="80" t="b">
        <v>0</v>
      </c>
      <c r="AP336" s="80">
        <v>107</v>
      </c>
      <c r="AQ336" s="80"/>
      <c r="AR336" s="80"/>
      <c r="AS336" s="80" t="s">
        <v>3412</v>
      </c>
      <c r="AT336" s="85" t="str">
        <f>HYPERLINK("https://www.youtube.com/channel/UC6KcefKj7mvfC2wb3ED-lCQ")</f>
        <v>https://www.youtube.com/channel/UC6KcefKj7mvfC2wb3ED-lCQ</v>
      </c>
      <c r="AU336" s="80" t="str">
        <f>REPLACE(INDEX(GroupVertices[Group],MATCH(Vertices[[#This Row],[Vertex]],GroupVertices[Vertex],0)),1,1,"")</f>
        <v>6</v>
      </c>
      <c r="AV336" s="49">
        <v>2</v>
      </c>
      <c r="AW336" s="50">
        <v>20</v>
      </c>
      <c r="AX336" s="49">
        <v>0</v>
      </c>
      <c r="AY336" s="50">
        <v>0</v>
      </c>
      <c r="AZ336" s="49">
        <v>0</v>
      </c>
      <c r="BA336" s="50">
        <v>0</v>
      </c>
      <c r="BB336" s="49">
        <v>8</v>
      </c>
      <c r="BC336" s="50">
        <v>80</v>
      </c>
      <c r="BD336" s="49">
        <v>10</v>
      </c>
      <c r="BE336" s="49"/>
      <c r="BF336" s="49"/>
      <c r="BG336" s="49"/>
      <c r="BH336" s="49"/>
      <c r="BI336" s="49"/>
      <c r="BJ336" s="49"/>
      <c r="BK336" s="111" t="s">
        <v>4694</v>
      </c>
      <c r="BL336" s="111" t="s">
        <v>4694</v>
      </c>
      <c r="BM336" s="111" t="s">
        <v>5167</v>
      </c>
      <c r="BN336" s="111" t="s">
        <v>5167</v>
      </c>
      <c r="BO336" s="2"/>
      <c r="BP336" s="3"/>
      <c r="BQ336" s="3"/>
      <c r="BR336" s="3"/>
      <c r="BS336" s="3"/>
    </row>
    <row r="337" spans="1:71" ht="15">
      <c r="A337" s="65" t="s">
        <v>560</v>
      </c>
      <c r="B337" s="66"/>
      <c r="C337" s="66"/>
      <c r="D337" s="67">
        <v>150</v>
      </c>
      <c r="E337" s="69"/>
      <c r="F337" s="103" t="str">
        <f>HYPERLINK("https://yt3.ggpht.com/DLfCNcb1GE2kZTkfE5TlBHSosCit6k7NhHCXHAJMDR18Qr3A3s864wzkaXi7Z8h3SHCeL0pl=s88-c-k-c0x00ffffff-no-rj")</f>
        <v>https://yt3.ggpht.com/DLfCNcb1GE2kZTkfE5TlBHSosCit6k7NhHCXHAJMDR18Qr3A3s864wzkaXi7Z8h3SHCeL0pl=s88-c-k-c0x00ffffff-no-rj</v>
      </c>
      <c r="G337" s="66"/>
      <c r="H337" s="70" t="s">
        <v>1889</v>
      </c>
      <c r="I337" s="71"/>
      <c r="J337" s="71" t="s">
        <v>159</v>
      </c>
      <c r="K337" s="70" t="s">
        <v>1889</v>
      </c>
      <c r="L337" s="74">
        <v>1</v>
      </c>
      <c r="M337" s="75">
        <v>4157.6416015625</v>
      </c>
      <c r="N337" s="75">
        <v>2356.41650390625</v>
      </c>
      <c r="O337" s="76"/>
      <c r="P337" s="77"/>
      <c r="Q337" s="77"/>
      <c r="R337" s="89"/>
      <c r="S337" s="49">
        <v>1</v>
      </c>
      <c r="T337" s="49">
        <v>1</v>
      </c>
      <c r="U337" s="50">
        <v>0</v>
      </c>
      <c r="V337" s="50">
        <v>0.005</v>
      </c>
      <c r="W337" s="50">
        <v>0</v>
      </c>
      <c r="X337" s="50">
        <v>0.523971</v>
      </c>
      <c r="Y337" s="50">
        <v>0</v>
      </c>
      <c r="Z337" s="50">
        <v>1</v>
      </c>
      <c r="AA337" s="72">
        <v>337</v>
      </c>
      <c r="AB337" s="72"/>
      <c r="AC337" s="73"/>
      <c r="AD337" s="80" t="s">
        <v>1889</v>
      </c>
      <c r="AE337" s="80" t="s">
        <v>2932</v>
      </c>
      <c r="AF337" s="80"/>
      <c r="AG337" s="80"/>
      <c r="AH337" s="80"/>
      <c r="AI337" s="80" t="s">
        <v>3069</v>
      </c>
      <c r="AJ337" s="80" t="s">
        <v>3293</v>
      </c>
      <c r="AK337" s="85" t="str">
        <f>HYPERLINK("https://yt3.ggpht.com/DLfCNcb1GE2kZTkfE5TlBHSosCit6k7NhHCXHAJMDR18Qr3A3s864wzkaXi7Z8h3SHCeL0pl=s88-c-k-c0x00ffffff-no-rj")</f>
        <v>https://yt3.ggpht.com/DLfCNcb1GE2kZTkfE5TlBHSosCit6k7NhHCXHAJMDR18Qr3A3s864wzkaXi7Z8h3SHCeL0pl=s88-c-k-c0x00ffffff-no-rj</v>
      </c>
      <c r="AL337" s="80">
        <v>19308</v>
      </c>
      <c r="AM337" s="80">
        <v>0</v>
      </c>
      <c r="AN337" s="80">
        <v>415</v>
      </c>
      <c r="AO337" s="80" t="b">
        <v>0</v>
      </c>
      <c r="AP337" s="80">
        <v>118</v>
      </c>
      <c r="AQ337" s="80"/>
      <c r="AR337" s="80"/>
      <c r="AS337" s="80" t="s">
        <v>3412</v>
      </c>
      <c r="AT337" s="85" t="str">
        <f>HYPERLINK("https://www.youtube.com/channel/UCvVyk2M6jS9pNkmrVg2dNjQ")</f>
        <v>https://www.youtube.com/channel/UCvVyk2M6jS9pNkmrVg2dNjQ</v>
      </c>
      <c r="AU337" s="80" t="str">
        <f>REPLACE(INDEX(GroupVertices[Group],MATCH(Vertices[[#This Row],[Vertex]],GroupVertices[Vertex],0)),1,1,"")</f>
        <v>6</v>
      </c>
      <c r="AV337" s="49">
        <v>3</v>
      </c>
      <c r="AW337" s="50">
        <v>12</v>
      </c>
      <c r="AX337" s="49">
        <v>0</v>
      </c>
      <c r="AY337" s="50">
        <v>0</v>
      </c>
      <c r="AZ337" s="49">
        <v>0</v>
      </c>
      <c r="BA337" s="50">
        <v>0</v>
      </c>
      <c r="BB337" s="49">
        <v>22</v>
      </c>
      <c r="BC337" s="50">
        <v>88</v>
      </c>
      <c r="BD337" s="49">
        <v>25</v>
      </c>
      <c r="BE337" s="49"/>
      <c r="BF337" s="49"/>
      <c r="BG337" s="49"/>
      <c r="BH337" s="49"/>
      <c r="BI337" s="49"/>
      <c r="BJ337" s="49"/>
      <c r="BK337" s="111" t="s">
        <v>4695</v>
      </c>
      <c r="BL337" s="111" t="s">
        <v>4695</v>
      </c>
      <c r="BM337" s="111" t="s">
        <v>5168</v>
      </c>
      <c r="BN337" s="111" t="s">
        <v>5168</v>
      </c>
      <c r="BO337" s="2"/>
      <c r="BP337" s="3"/>
      <c r="BQ337" s="3"/>
      <c r="BR337" s="3"/>
      <c r="BS337" s="3"/>
    </row>
    <row r="338" spans="1:71" ht="15">
      <c r="A338" s="65" t="s">
        <v>561</v>
      </c>
      <c r="B338" s="66"/>
      <c r="C338" s="66"/>
      <c r="D338" s="67">
        <v>150</v>
      </c>
      <c r="E338" s="69"/>
      <c r="F338" s="103" t="str">
        <f>HYPERLINK("https://yt3.ggpht.com/ytc/AKedOLTdELiOa-OXbDp0I5L1F1-XIQxB_NCapTb5kacp4Q=s88-c-k-c0x00ffffff-no-rj")</f>
        <v>https://yt3.ggpht.com/ytc/AKedOLTdELiOa-OXbDp0I5L1F1-XIQxB_NCapTb5kacp4Q=s88-c-k-c0x00ffffff-no-rj</v>
      </c>
      <c r="G338" s="66"/>
      <c r="H338" s="70" t="s">
        <v>1890</v>
      </c>
      <c r="I338" s="71"/>
      <c r="J338" s="71" t="s">
        <v>159</v>
      </c>
      <c r="K338" s="70" t="s">
        <v>1890</v>
      </c>
      <c r="L338" s="74">
        <v>1</v>
      </c>
      <c r="M338" s="75">
        <v>4205.287109375</v>
      </c>
      <c r="N338" s="75">
        <v>4479.32080078125</v>
      </c>
      <c r="O338" s="76"/>
      <c r="P338" s="77"/>
      <c r="Q338" s="77"/>
      <c r="R338" s="89"/>
      <c r="S338" s="49">
        <v>1</v>
      </c>
      <c r="T338" s="49">
        <v>1</v>
      </c>
      <c r="U338" s="50">
        <v>0</v>
      </c>
      <c r="V338" s="50">
        <v>0.005</v>
      </c>
      <c r="W338" s="50">
        <v>0</v>
      </c>
      <c r="X338" s="50">
        <v>0.523971</v>
      </c>
      <c r="Y338" s="50">
        <v>0</v>
      </c>
      <c r="Z338" s="50">
        <v>1</v>
      </c>
      <c r="AA338" s="72">
        <v>338</v>
      </c>
      <c r="AB338" s="72"/>
      <c r="AC338" s="73"/>
      <c r="AD338" s="80" t="s">
        <v>1890</v>
      </c>
      <c r="AE338" s="80" t="s">
        <v>2933</v>
      </c>
      <c r="AF338" s="80"/>
      <c r="AG338" s="80"/>
      <c r="AH338" s="80"/>
      <c r="AI338" s="80" t="s">
        <v>3070</v>
      </c>
      <c r="AJ338" s="80" t="s">
        <v>3294</v>
      </c>
      <c r="AK338" s="85" t="str">
        <f>HYPERLINK("https://yt3.ggpht.com/ytc/AKedOLTdELiOa-OXbDp0I5L1F1-XIQxB_NCapTb5kacp4Q=s88-c-k-c0x00ffffff-no-rj")</f>
        <v>https://yt3.ggpht.com/ytc/AKedOLTdELiOa-OXbDp0I5L1F1-XIQxB_NCapTb5kacp4Q=s88-c-k-c0x00ffffff-no-rj</v>
      </c>
      <c r="AL338" s="80">
        <v>90993</v>
      </c>
      <c r="AM338" s="80">
        <v>0</v>
      </c>
      <c r="AN338" s="80">
        <v>1020</v>
      </c>
      <c r="AO338" s="80" t="b">
        <v>0</v>
      </c>
      <c r="AP338" s="80">
        <v>120</v>
      </c>
      <c r="AQ338" s="80"/>
      <c r="AR338" s="80"/>
      <c r="AS338" s="80" t="s">
        <v>3412</v>
      </c>
      <c r="AT338" s="85" t="str">
        <f>HYPERLINK("https://www.youtube.com/channel/UCMWyaByhnJ1XZCCZxzjRkiQ")</f>
        <v>https://www.youtube.com/channel/UCMWyaByhnJ1XZCCZxzjRkiQ</v>
      </c>
      <c r="AU338" s="80" t="str">
        <f>REPLACE(INDEX(GroupVertices[Group],MATCH(Vertices[[#This Row],[Vertex]],GroupVertices[Vertex],0)),1,1,"")</f>
        <v>6</v>
      </c>
      <c r="AV338" s="49">
        <v>1</v>
      </c>
      <c r="AW338" s="50">
        <v>25</v>
      </c>
      <c r="AX338" s="49">
        <v>0</v>
      </c>
      <c r="AY338" s="50">
        <v>0</v>
      </c>
      <c r="AZ338" s="49">
        <v>0</v>
      </c>
      <c r="BA338" s="50">
        <v>0</v>
      </c>
      <c r="BB338" s="49">
        <v>3</v>
      </c>
      <c r="BC338" s="50">
        <v>75</v>
      </c>
      <c r="BD338" s="49">
        <v>4</v>
      </c>
      <c r="BE338" s="49"/>
      <c r="BF338" s="49"/>
      <c r="BG338" s="49"/>
      <c r="BH338" s="49"/>
      <c r="BI338" s="49"/>
      <c r="BJ338" s="49"/>
      <c r="BK338" s="111" t="s">
        <v>4696</v>
      </c>
      <c r="BL338" s="111" t="s">
        <v>4696</v>
      </c>
      <c r="BM338" s="111" t="s">
        <v>5169</v>
      </c>
      <c r="BN338" s="111" t="s">
        <v>5169</v>
      </c>
      <c r="BO338" s="2"/>
      <c r="BP338" s="3"/>
      <c r="BQ338" s="3"/>
      <c r="BR338" s="3"/>
      <c r="BS338" s="3"/>
    </row>
    <row r="339" spans="1:71" ht="15">
      <c r="A339" s="65" t="s">
        <v>562</v>
      </c>
      <c r="B339" s="66"/>
      <c r="C339" s="66"/>
      <c r="D339" s="67">
        <v>150</v>
      </c>
      <c r="E339" s="69"/>
      <c r="F339" s="103" t="str">
        <f>HYPERLINK("https://yt3.ggpht.com/ytc/AKedOLQTzbmQmTJXZinHNzgouuNLrUaBg1XQxWeUJ6ao=s88-c-k-c0x00ffffff-no-rj")</f>
        <v>https://yt3.ggpht.com/ytc/AKedOLQTzbmQmTJXZinHNzgouuNLrUaBg1XQxWeUJ6ao=s88-c-k-c0x00ffffff-no-rj</v>
      </c>
      <c r="G339" s="66"/>
      <c r="H339" s="70" t="s">
        <v>1891</v>
      </c>
      <c r="I339" s="71"/>
      <c r="J339" s="71" t="s">
        <v>159</v>
      </c>
      <c r="K339" s="70" t="s">
        <v>1891</v>
      </c>
      <c r="L339" s="74">
        <v>1</v>
      </c>
      <c r="M339" s="75">
        <v>5356.60693359375</v>
      </c>
      <c r="N339" s="75">
        <v>3535.5087890625</v>
      </c>
      <c r="O339" s="76"/>
      <c r="P339" s="77"/>
      <c r="Q339" s="77"/>
      <c r="R339" s="89"/>
      <c r="S339" s="49">
        <v>0</v>
      </c>
      <c r="T339" s="49">
        <v>1</v>
      </c>
      <c r="U339" s="50">
        <v>0</v>
      </c>
      <c r="V339" s="50">
        <v>0.005</v>
      </c>
      <c r="W339" s="50">
        <v>0</v>
      </c>
      <c r="X339" s="50">
        <v>0.523971</v>
      </c>
      <c r="Y339" s="50">
        <v>0</v>
      </c>
      <c r="Z339" s="50">
        <v>0</v>
      </c>
      <c r="AA339" s="72">
        <v>339</v>
      </c>
      <c r="AB339" s="72"/>
      <c r="AC339" s="73"/>
      <c r="AD339" s="80" t="s">
        <v>1891</v>
      </c>
      <c r="AE339" s="80" t="s">
        <v>2934</v>
      </c>
      <c r="AF339" s="80"/>
      <c r="AG339" s="80"/>
      <c r="AH339" s="80"/>
      <c r="AI339" s="80" t="s">
        <v>3071</v>
      </c>
      <c r="AJ339" s="87">
        <v>42923.07666666667</v>
      </c>
      <c r="AK339" s="85" t="str">
        <f>HYPERLINK("https://yt3.ggpht.com/ytc/AKedOLQTzbmQmTJXZinHNzgouuNLrUaBg1XQxWeUJ6ao=s88-c-k-c0x00ffffff-no-rj")</f>
        <v>https://yt3.ggpht.com/ytc/AKedOLQTzbmQmTJXZinHNzgouuNLrUaBg1XQxWeUJ6ao=s88-c-k-c0x00ffffff-no-rj</v>
      </c>
      <c r="AL339" s="80">
        <v>709082</v>
      </c>
      <c r="AM339" s="80">
        <v>0</v>
      </c>
      <c r="AN339" s="80">
        <v>11300</v>
      </c>
      <c r="AO339" s="80" t="b">
        <v>0</v>
      </c>
      <c r="AP339" s="80">
        <v>191</v>
      </c>
      <c r="AQ339" s="80"/>
      <c r="AR339" s="80"/>
      <c r="AS339" s="80" t="s">
        <v>3412</v>
      </c>
      <c r="AT339" s="85" t="str">
        <f>HYPERLINK("https://www.youtube.com/channel/UCQjOVgcoZvC6-EK0xgankpQ")</f>
        <v>https://www.youtube.com/channel/UCQjOVgcoZvC6-EK0xgankpQ</v>
      </c>
      <c r="AU339" s="80" t="str">
        <f>REPLACE(INDEX(GroupVertices[Group],MATCH(Vertices[[#This Row],[Vertex]],GroupVertices[Vertex],0)),1,1,"")</f>
        <v>6</v>
      </c>
      <c r="AV339" s="49">
        <v>2</v>
      </c>
      <c r="AW339" s="50">
        <v>12.5</v>
      </c>
      <c r="AX339" s="49">
        <v>0</v>
      </c>
      <c r="AY339" s="50">
        <v>0</v>
      </c>
      <c r="AZ339" s="49">
        <v>0</v>
      </c>
      <c r="BA339" s="50">
        <v>0</v>
      </c>
      <c r="BB339" s="49">
        <v>14</v>
      </c>
      <c r="BC339" s="50">
        <v>87.5</v>
      </c>
      <c r="BD339" s="49">
        <v>16</v>
      </c>
      <c r="BE339" s="49"/>
      <c r="BF339" s="49"/>
      <c r="BG339" s="49"/>
      <c r="BH339" s="49"/>
      <c r="BI339" s="49"/>
      <c r="BJ339" s="49"/>
      <c r="BK339" s="111" t="s">
        <v>4697</v>
      </c>
      <c r="BL339" s="111" t="s">
        <v>4697</v>
      </c>
      <c r="BM339" s="111" t="s">
        <v>5170</v>
      </c>
      <c r="BN339" s="111" t="s">
        <v>5170</v>
      </c>
      <c r="BO339" s="2"/>
      <c r="BP339" s="3"/>
      <c r="BQ339" s="3"/>
      <c r="BR339" s="3"/>
      <c r="BS339" s="3"/>
    </row>
    <row r="340" spans="1:71" ht="15">
      <c r="A340" s="65" t="s">
        <v>563</v>
      </c>
      <c r="B340" s="66"/>
      <c r="C340" s="66"/>
      <c r="D340" s="67">
        <v>150</v>
      </c>
      <c r="E340" s="69"/>
      <c r="F340" s="103" t="str">
        <f>HYPERLINK("https://yt3.ggpht.com/ytc/AKedOLRTvc7qUDyFz7xb3mKA-Eok86fcZsQpJY9prg=s88-c-k-c0x00ffffff-no-rj")</f>
        <v>https://yt3.ggpht.com/ytc/AKedOLRTvc7qUDyFz7xb3mKA-Eok86fcZsQpJY9prg=s88-c-k-c0x00ffffff-no-rj</v>
      </c>
      <c r="G340" s="66"/>
      <c r="H340" s="70" t="s">
        <v>1892</v>
      </c>
      <c r="I340" s="71"/>
      <c r="J340" s="71" t="s">
        <v>159</v>
      </c>
      <c r="K340" s="70" t="s">
        <v>1892</v>
      </c>
      <c r="L340" s="74">
        <v>1</v>
      </c>
      <c r="M340" s="75">
        <v>3619.790771484375</v>
      </c>
      <c r="N340" s="75">
        <v>4132.5439453125</v>
      </c>
      <c r="O340" s="76"/>
      <c r="P340" s="77"/>
      <c r="Q340" s="77"/>
      <c r="R340" s="89"/>
      <c r="S340" s="49">
        <v>1</v>
      </c>
      <c r="T340" s="49">
        <v>2</v>
      </c>
      <c r="U340" s="50">
        <v>0</v>
      </c>
      <c r="V340" s="50">
        <v>0.005</v>
      </c>
      <c r="W340" s="50">
        <v>0</v>
      </c>
      <c r="X340" s="50">
        <v>0.911254</v>
      </c>
      <c r="Y340" s="50">
        <v>0</v>
      </c>
      <c r="Z340" s="50">
        <v>0</v>
      </c>
      <c r="AA340" s="72">
        <v>340</v>
      </c>
      <c r="AB340" s="72"/>
      <c r="AC340" s="73"/>
      <c r="AD340" s="80" t="s">
        <v>1892</v>
      </c>
      <c r="AE340" s="80"/>
      <c r="AF340" s="80"/>
      <c r="AG340" s="80"/>
      <c r="AH340" s="80"/>
      <c r="AI340" s="80"/>
      <c r="AJ340" s="80" t="s">
        <v>3295</v>
      </c>
      <c r="AK340" s="85" t="str">
        <f>HYPERLINK("https://yt3.ggpht.com/ytc/AKedOLRTvc7qUDyFz7xb3mKA-Eok86fcZsQpJY9prg=s88-c-k-c0x00ffffff-no-rj")</f>
        <v>https://yt3.ggpht.com/ytc/AKedOLRTvc7qUDyFz7xb3mKA-Eok86fcZsQpJY9prg=s88-c-k-c0x00ffffff-no-rj</v>
      </c>
      <c r="AL340" s="80">
        <v>0</v>
      </c>
      <c r="AM340" s="80">
        <v>0</v>
      </c>
      <c r="AN340" s="80">
        <v>0</v>
      </c>
      <c r="AO340" s="80" t="b">
        <v>0</v>
      </c>
      <c r="AP340" s="80">
        <v>0</v>
      </c>
      <c r="AQ340" s="80"/>
      <c r="AR340" s="80"/>
      <c r="AS340" s="80" t="s">
        <v>3412</v>
      </c>
      <c r="AT340" s="85" t="str">
        <f>HYPERLINK("https://www.youtube.com/channel/UC64LMJKuGBKbltUKBvtTqPA")</f>
        <v>https://www.youtube.com/channel/UC64LMJKuGBKbltUKBvtTqPA</v>
      </c>
      <c r="AU340" s="80" t="str">
        <f>REPLACE(INDEX(GroupVertices[Group],MATCH(Vertices[[#This Row],[Vertex]],GroupVertices[Vertex],0)),1,1,"")</f>
        <v>6</v>
      </c>
      <c r="AV340" s="49">
        <v>2</v>
      </c>
      <c r="AW340" s="50">
        <v>25</v>
      </c>
      <c r="AX340" s="49">
        <v>0</v>
      </c>
      <c r="AY340" s="50">
        <v>0</v>
      </c>
      <c r="AZ340" s="49">
        <v>0</v>
      </c>
      <c r="BA340" s="50">
        <v>0</v>
      </c>
      <c r="BB340" s="49">
        <v>6</v>
      </c>
      <c r="BC340" s="50">
        <v>75</v>
      </c>
      <c r="BD340" s="49">
        <v>8</v>
      </c>
      <c r="BE340" s="49"/>
      <c r="BF340" s="49"/>
      <c r="BG340" s="49"/>
      <c r="BH340" s="49"/>
      <c r="BI340" s="49"/>
      <c r="BJ340" s="49"/>
      <c r="BK340" s="111" t="s">
        <v>4698</v>
      </c>
      <c r="BL340" s="111" t="s">
        <v>4698</v>
      </c>
      <c r="BM340" s="111" t="s">
        <v>5171</v>
      </c>
      <c r="BN340" s="111" t="s">
        <v>5171</v>
      </c>
      <c r="BO340" s="2"/>
      <c r="BP340" s="3"/>
      <c r="BQ340" s="3"/>
      <c r="BR340" s="3"/>
      <c r="BS340" s="3"/>
    </row>
    <row r="341" spans="1:71" ht="15">
      <c r="A341" s="65" t="s">
        <v>564</v>
      </c>
      <c r="B341" s="66"/>
      <c r="C341" s="66"/>
      <c r="D341" s="67">
        <v>150</v>
      </c>
      <c r="E341" s="69"/>
      <c r="F341" s="103" t="str">
        <f>HYPERLINK("https://yt3.ggpht.com/ce3cGAg01hJSV57Jb4ZTWcNT2GXu2FNogeocKvAKUbS7_VfFGZqbk5JN803Ua-EzSdzojwaB9g=s88-c-k-c0x00ffffff-no-rj")</f>
        <v>https://yt3.ggpht.com/ce3cGAg01hJSV57Jb4ZTWcNT2GXu2FNogeocKvAKUbS7_VfFGZqbk5JN803Ua-EzSdzojwaB9g=s88-c-k-c0x00ffffff-no-rj</v>
      </c>
      <c r="G341" s="66"/>
      <c r="H341" s="70" t="s">
        <v>1893</v>
      </c>
      <c r="I341" s="71"/>
      <c r="J341" s="71" t="s">
        <v>159</v>
      </c>
      <c r="K341" s="70" t="s">
        <v>1893</v>
      </c>
      <c r="L341" s="74">
        <v>1</v>
      </c>
      <c r="M341" s="75">
        <v>3441.218017578125</v>
      </c>
      <c r="N341" s="75">
        <v>3788.27880859375</v>
      </c>
      <c r="O341" s="76"/>
      <c r="P341" s="77"/>
      <c r="Q341" s="77"/>
      <c r="R341" s="89"/>
      <c r="S341" s="49">
        <v>0</v>
      </c>
      <c r="T341" s="49">
        <v>1</v>
      </c>
      <c r="U341" s="50">
        <v>0</v>
      </c>
      <c r="V341" s="50">
        <v>0.005</v>
      </c>
      <c r="W341" s="50">
        <v>0</v>
      </c>
      <c r="X341" s="50">
        <v>0.523971</v>
      </c>
      <c r="Y341" s="50">
        <v>0</v>
      </c>
      <c r="Z341" s="50">
        <v>0</v>
      </c>
      <c r="AA341" s="72">
        <v>341</v>
      </c>
      <c r="AB341" s="72"/>
      <c r="AC341" s="73"/>
      <c r="AD341" s="80" t="s">
        <v>1893</v>
      </c>
      <c r="AE341" s="80" t="s">
        <v>2935</v>
      </c>
      <c r="AF341" s="80"/>
      <c r="AG341" s="80"/>
      <c r="AH341" s="80"/>
      <c r="AI341" s="80" t="s">
        <v>3072</v>
      </c>
      <c r="AJ341" s="80" t="s">
        <v>3296</v>
      </c>
      <c r="AK341" s="85" t="str">
        <f>HYPERLINK("https://yt3.ggpht.com/ce3cGAg01hJSV57Jb4ZTWcNT2GXu2FNogeocKvAKUbS7_VfFGZqbk5JN803Ua-EzSdzojwaB9g=s88-c-k-c0x00ffffff-no-rj")</f>
        <v>https://yt3.ggpht.com/ce3cGAg01hJSV57Jb4ZTWcNT2GXu2FNogeocKvAKUbS7_VfFGZqbk5JN803Ua-EzSdzojwaB9g=s88-c-k-c0x00ffffff-no-rj</v>
      </c>
      <c r="AL341" s="80">
        <v>389942</v>
      </c>
      <c r="AM341" s="80">
        <v>0</v>
      </c>
      <c r="AN341" s="80">
        <v>6210</v>
      </c>
      <c r="AO341" s="80" t="b">
        <v>0</v>
      </c>
      <c r="AP341" s="80">
        <v>27</v>
      </c>
      <c r="AQ341" s="80"/>
      <c r="AR341" s="80"/>
      <c r="AS341" s="80" t="s">
        <v>3412</v>
      </c>
      <c r="AT341" s="85" t="str">
        <f>HYPERLINK("https://www.youtube.com/channel/UC6nnQTTY1abLpeRJN9VvodA")</f>
        <v>https://www.youtube.com/channel/UC6nnQTTY1abLpeRJN9VvodA</v>
      </c>
      <c r="AU341" s="80" t="str">
        <f>REPLACE(INDEX(GroupVertices[Group],MATCH(Vertices[[#This Row],[Vertex]],GroupVertices[Vertex],0)),1,1,"")</f>
        <v>6</v>
      </c>
      <c r="AV341" s="49">
        <v>2</v>
      </c>
      <c r="AW341" s="50">
        <v>11.11111111111111</v>
      </c>
      <c r="AX341" s="49">
        <v>0</v>
      </c>
      <c r="AY341" s="50">
        <v>0</v>
      </c>
      <c r="AZ341" s="49">
        <v>0</v>
      </c>
      <c r="BA341" s="50">
        <v>0</v>
      </c>
      <c r="BB341" s="49">
        <v>16</v>
      </c>
      <c r="BC341" s="50">
        <v>88.88888888888889</v>
      </c>
      <c r="BD341" s="49">
        <v>18</v>
      </c>
      <c r="BE341" s="49"/>
      <c r="BF341" s="49"/>
      <c r="BG341" s="49"/>
      <c r="BH341" s="49"/>
      <c r="BI341" s="49"/>
      <c r="BJ341" s="49"/>
      <c r="BK341" s="111" t="s">
        <v>4699</v>
      </c>
      <c r="BL341" s="111" t="s">
        <v>4699</v>
      </c>
      <c r="BM341" s="111" t="s">
        <v>5172</v>
      </c>
      <c r="BN341" s="111" t="s">
        <v>5172</v>
      </c>
      <c r="BO341" s="2"/>
      <c r="BP341" s="3"/>
      <c r="BQ341" s="3"/>
      <c r="BR341" s="3"/>
      <c r="BS341" s="3"/>
    </row>
    <row r="342" spans="1:71" ht="15">
      <c r="A342" s="65" t="s">
        <v>565</v>
      </c>
      <c r="B342" s="66"/>
      <c r="C342" s="66"/>
      <c r="D342" s="67">
        <v>150</v>
      </c>
      <c r="E342" s="69"/>
      <c r="F342" s="103" t="str">
        <f>HYPERLINK("https://yt3.ggpht.com/ytc/AKedOLThn87Aqzu12RbI_arjmqmzZSBsd9D9JQ9ujWMa=s88-c-k-c0x00ffffff-no-rj")</f>
        <v>https://yt3.ggpht.com/ytc/AKedOLThn87Aqzu12RbI_arjmqmzZSBsd9D9JQ9ujWMa=s88-c-k-c0x00ffffff-no-rj</v>
      </c>
      <c r="G342" s="66"/>
      <c r="H342" s="70" t="s">
        <v>1894</v>
      </c>
      <c r="I342" s="71"/>
      <c r="J342" s="71" t="s">
        <v>159</v>
      </c>
      <c r="K342" s="70" t="s">
        <v>1894</v>
      </c>
      <c r="L342" s="74">
        <v>1</v>
      </c>
      <c r="M342" s="75">
        <v>4834.96875</v>
      </c>
      <c r="N342" s="75">
        <v>4353.59326171875</v>
      </c>
      <c r="O342" s="76"/>
      <c r="P342" s="77"/>
      <c r="Q342" s="77"/>
      <c r="R342" s="89"/>
      <c r="S342" s="49">
        <v>0</v>
      </c>
      <c r="T342" s="49">
        <v>1</v>
      </c>
      <c r="U342" s="50">
        <v>0</v>
      </c>
      <c r="V342" s="50">
        <v>0.005</v>
      </c>
      <c r="W342" s="50">
        <v>0</v>
      </c>
      <c r="X342" s="50">
        <v>0.523971</v>
      </c>
      <c r="Y342" s="50">
        <v>0</v>
      </c>
      <c r="Z342" s="50">
        <v>0</v>
      </c>
      <c r="AA342" s="72">
        <v>342</v>
      </c>
      <c r="AB342" s="72"/>
      <c r="AC342" s="73"/>
      <c r="AD342" s="80" t="s">
        <v>1894</v>
      </c>
      <c r="AE342" s="80"/>
      <c r="AF342" s="80"/>
      <c r="AG342" s="80"/>
      <c r="AH342" s="80"/>
      <c r="AI342" s="80"/>
      <c r="AJ342" s="87">
        <v>40614.03703703704</v>
      </c>
      <c r="AK342" s="85" t="str">
        <f>HYPERLINK("https://yt3.ggpht.com/ytc/AKedOLThn87Aqzu12RbI_arjmqmzZSBsd9D9JQ9ujWMa=s88-c-k-c0x00ffffff-no-rj")</f>
        <v>https://yt3.ggpht.com/ytc/AKedOLThn87Aqzu12RbI_arjmqmzZSBsd9D9JQ9ujWMa=s88-c-k-c0x00ffffff-no-rj</v>
      </c>
      <c r="AL342" s="80">
        <v>78</v>
      </c>
      <c r="AM342" s="80">
        <v>0</v>
      </c>
      <c r="AN342" s="80">
        <v>12</v>
      </c>
      <c r="AO342" s="80" t="b">
        <v>0</v>
      </c>
      <c r="AP342" s="80">
        <v>1</v>
      </c>
      <c r="AQ342" s="80"/>
      <c r="AR342" s="80"/>
      <c r="AS342" s="80" t="s">
        <v>3412</v>
      </c>
      <c r="AT342" s="85" t="str">
        <f>HYPERLINK("https://www.youtube.com/channel/UClkFIeTulL4elxNZ41mOtFw")</f>
        <v>https://www.youtube.com/channel/UClkFIeTulL4elxNZ41mOtFw</v>
      </c>
      <c r="AU342" s="80" t="str">
        <f>REPLACE(INDEX(GroupVertices[Group],MATCH(Vertices[[#This Row],[Vertex]],GroupVertices[Vertex],0)),1,1,"")</f>
        <v>6</v>
      </c>
      <c r="AV342" s="49">
        <v>0</v>
      </c>
      <c r="AW342" s="50">
        <v>0</v>
      </c>
      <c r="AX342" s="49">
        <v>0</v>
      </c>
      <c r="AY342" s="50">
        <v>0</v>
      </c>
      <c r="AZ342" s="49">
        <v>0</v>
      </c>
      <c r="BA342" s="50">
        <v>0</v>
      </c>
      <c r="BB342" s="49">
        <v>19</v>
      </c>
      <c r="BC342" s="50">
        <v>100</v>
      </c>
      <c r="BD342" s="49">
        <v>19</v>
      </c>
      <c r="BE342" s="49" t="s">
        <v>4236</v>
      </c>
      <c r="BF342" s="49" t="s">
        <v>4236</v>
      </c>
      <c r="BG342" s="49" t="s">
        <v>2775</v>
      </c>
      <c r="BH342" s="49" t="s">
        <v>2775</v>
      </c>
      <c r="BI342" s="49"/>
      <c r="BJ342" s="49"/>
      <c r="BK342" s="111" t="s">
        <v>4700</v>
      </c>
      <c r="BL342" s="111" t="s">
        <v>4700</v>
      </c>
      <c r="BM342" s="111" t="s">
        <v>5173</v>
      </c>
      <c r="BN342" s="111" t="s">
        <v>5173</v>
      </c>
      <c r="BO342" s="2"/>
      <c r="BP342" s="3"/>
      <c r="BQ342" s="3"/>
      <c r="BR342" s="3"/>
      <c r="BS342" s="3"/>
    </row>
    <row r="343" spans="1:71" ht="15">
      <c r="A343" s="65" t="s">
        <v>566</v>
      </c>
      <c r="B343" s="66"/>
      <c r="C343" s="66"/>
      <c r="D343" s="67">
        <v>150</v>
      </c>
      <c r="E343" s="69"/>
      <c r="F343" s="103" t="str">
        <f>HYPERLINK("https://yt3.ggpht.com/ytc/AKedOLTq6zPa9OvVSKy4uIUm8UkygRLQ7avLZtjT2U7I=s88-c-k-c0x00ffffff-no-rj")</f>
        <v>https://yt3.ggpht.com/ytc/AKedOLTq6zPa9OvVSKy4uIUm8UkygRLQ7avLZtjT2U7I=s88-c-k-c0x00ffffff-no-rj</v>
      </c>
      <c r="G343" s="66"/>
      <c r="H343" s="70" t="s">
        <v>1895</v>
      </c>
      <c r="I343" s="71"/>
      <c r="J343" s="71" t="s">
        <v>159</v>
      </c>
      <c r="K343" s="70" t="s">
        <v>1895</v>
      </c>
      <c r="L343" s="74">
        <v>1</v>
      </c>
      <c r="M343" s="75">
        <v>5236.208984375</v>
      </c>
      <c r="N343" s="75">
        <v>2859.369873046875</v>
      </c>
      <c r="O343" s="76"/>
      <c r="P343" s="77"/>
      <c r="Q343" s="77"/>
      <c r="R343" s="89"/>
      <c r="S343" s="49">
        <v>0</v>
      </c>
      <c r="T343" s="49">
        <v>1</v>
      </c>
      <c r="U343" s="50">
        <v>0</v>
      </c>
      <c r="V343" s="50">
        <v>0.005</v>
      </c>
      <c r="W343" s="50">
        <v>0</v>
      </c>
      <c r="X343" s="50">
        <v>0.523971</v>
      </c>
      <c r="Y343" s="50">
        <v>0</v>
      </c>
      <c r="Z343" s="50">
        <v>0</v>
      </c>
      <c r="AA343" s="72">
        <v>343</v>
      </c>
      <c r="AB343" s="72"/>
      <c r="AC343" s="73"/>
      <c r="AD343" s="80" t="s">
        <v>1895</v>
      </c>
      <c r="AE343" s="80" t="s">
        <v>2936</v>
      </c>
      <c r="AF343" s="80"/>
      <c r="AG343" s="80"/>
      <c r="AH343" s="80"/>
      <c r="AI343" s="80" t="s">
        <v>3073</v>
      </c>
      <c r="AJ343" s="87">
        <v>44170.58170138889</v>
      </c>
      <c r="AK343" s="85" t="str">
        <f>HYPERLINK("https://yt3.ggpht.com/ytc/AKedOLTq6zPa9OvVSKy4uIUm8UkygRLQ7avLZtjT2U7I=s88-c-k-c0x00ffffff-no-rj")</f>
        <v>https://yt3.ggpht.com/ytc/AKedOLTq6zPa9OvVSKy4uIUm8UkygRLQ7avLZtjT2U7I=s88-c-k-c0x00ffffff-no-rj</v>
      </c>
      <c r="AL343" s="80">
        <v>4944</v>
      </c>
      <c r="AM343" s="80">
        <v>0</v>
      </c>
      <c r="AN343" s="80">
        <v>637</v>
      </c>
      <c r="AO343" s="80" t="b">
        <v>0</v>
      </c>
      <c r="AP343" s="80">
        <v>20</v>
      </c>
      <c r="AQ343" s="80"/>
      <c r="AR343" s="80"/>
      <c r="AS343" s="80" t="s">
        <v>3412</v>
      </c>
      <c r="AT343" s="85" t="str">
        <f>HYPERLINK("https://www.youtube.com/channel/UCAlFuhgD5n4M33Y8Im4K0ww")</f>
        <v>https://www.youtube.com/channel/UCAlFuhgD5n4M33Y8Im4K0ww</v>
      </c>
      <c r="AU343" s="80" t="str">
        <f>REPLACE(INDEX(GroupVertices[Group],MATCH(Vertices[[#This Row],[Vertex]],GroupVertices[Vertex],0)),1,1,"")</f>
        <v>6</v>
      </c>
      <c r="AV343" s="49">
        <v>3</v>
      </c>
      <c r="AW343" s="50">
        <v>6.122448979591836</v>
      </c>
      <c r="AX343" s="49">
        <v>0</v>
      </c>
      <c r="AY343" s="50">
        <v>0</v>
      </c>
      <c r="AZ343" s="49">
        <v>0</v>
      </c>
      <c r="BA343" s="50">
        <v>0</v>
      </c>
      <c r="BB343" s="49">
        <v>46</v>
      </c>
      <c r="BC343" s="50">
        <v>93.87755102040816</v>
      </c>
      <c r="BD343" s="49">
        <v>49</v>
      </c>
      <c r="BE343" s="49"/>
      <c r="BF343" s="49"/>
      <c r="BG343" s="49"/>
      <c r="BH343" s="49"/>
      <c r="BI343" s="49"/>
      <c r="BJ343" s="49"/>
      <c r="BK343" s="111" t="s">
        <v>4701</v>
      </c>
      <c r="BL343" s="111" t="s">
        <v>4876</v>
      </c>
      <c r="BM343" s="111" t="s">
        <v>5174</v>
      </c>
      <c r="BN343" s="111" t="s">
        <v>5337</v>
      </c>
      <c r="BO343" s="2"/>
      <c r="BP343" s="3"/>
      <c r="BQ343" s="3"/>
      <c r="BR343" s="3"/>
      <c r="BS343" s="3"/>
    </row>
    <row r="344" spans="1:71" ht="15">
      <c r="A344" s="65" t="s">
        <v>567</v>
      </c>
      <c r="B344" s="66"/>
      <c r="C344" s="66"/>
      <c r="D344" s="67">
        <v>150</v>
      </c>
      <c r="E344" s="69"/>
      <c r="F344" s="103" t="str">
        <f>HYPERLINK("https://yt3.ggpht.com/ytc/AKedOLSc75UG4BgsYy8z4eX8a05b2WKGbkHisYrcUw=s88-c-k-c0x00ffffff-no-rj")</f>
        <v>https://yt3.ggpht.com/ytc/AKedOLSc75UG4BgsYy8z4eX8a05b2WKGbkHisYrcUw=s88-c-k-c0x00ffffff-no-rj</v>
      </c>
      <c r="G344" s="66"/>
      <c r="H344" s="70" t="s">
        <v>1896</v>
      </c>
      <c r="I344" s="71"/>
      <c r="J344" s="71" t="s">
        <v>159</v>
      </c>
      <c r="K344" s="70" t="s">
        <v>1896</v>
      </c>
      <c r="L344" s="74">
        <v>1</v>
      </c>
      <c r="M344" s="75">
        <v>3435.030517578125</v>
      </c>
      <c r="N344" s="75">
        <v>3043.79345703125</v>
      </c>
      <c r="O344" s="76"/>
      <c r="P344" s="77"/>
      <c r="Q344" s="77"/>
      <c r="R344" s="89"/>
      <c r="S344" s="49">
        <v>0</v>
      </c>
      <c r="T344" s="49">
        <v>1</v>
      </c>
      <c r="U344" s="50">
        <v>0</v>
      </c>
      <c r="V344" s="50">
        <v>0.005</v>
      </c>
      <c r="W344" s="50">
        <v>0</v>
      </c>
      <c r="X344" s="50">
        <v>0.523971</v>
      </c>
      <c r="Y344" s="50">
        <v>0</v>
      </c>
      <c r="Z344" s="50">
        <v>0</v>
      </c>
      <c r="AA344" s="72">
        <v>344</v>
      </c>
      <c r="AB344" s="72"/>
      <c r="AC344" s="73"/>
      <c r="AD344" s="80" t="s">
        <v>1896</v>
      </c>
      <c r="AE344" s="80"/>
      <c r="AF344" s="80"/>
      <c r="AG344" s="80"/>
      <c r="AH344" s="80"/>
      <c r="AI344" s="80"/>
      <c r="AJ344" s="80" t="s">
        <v>3297</v>
      </c>
      <c r="AK344" s="85" t="str">
        <f>HYPERLINK("https://yt3.ggpht.com/ytc/AKedOLSc75UG4BgsYy8z4eX8a05b2WKGbkHisYrcUw=s88-c-k-c0x00ffffff-no-rj")</f>
        <v>https://yt3.ggpht.com/ytc/AKedOLSc75UG4BgsYy8z4eX8a05b2WKGbkHisYrcUw=s88-c-k-c0x00ffffff-no-rj</v>
      </c>
      <c r="AL344" s="80">
        <v>14</v>
      </c>
      <c r="AM344" s="80">
        <v>0</v>
      </c>
      <c r="AN344" s="80">
        <v>1</v>
      </c>
      <c r="AO344" s="80" t="b">
        <v>0</v>
      </c>
      <c r="AP344" s="80">
        <v>1</v>
      </c>
      <c r="AQ344" s="80"/>
      <c r="AR344" s="80"/>
      <c r="AS344" s="80" t="s">
        <v>3412</v>
      </c>
      <c r="AT344" s="85" t="str">
        <f>HYPERLINK("https://www.youtube.com/channel/UCc7JKptikbvO72PtnoqIKNA")</f>
        <v>https://www.youtube.com/channel/UCc7JKptikbvO72PtnoqIKNA</v>
      </c>
      <c r="AU344" s="80" t="str">
        <f>REPLACE(INDEX(GroupVertices[Group],MATCH(Vertices[[#This Row],[Vertex]],GroupVertices[Vertex],0)),1,1,"")</f>
        <v>6</v>
      </c>
      <c r="AV344" s="49">
        <v>1</v>
      </c>
      <c r="AW344" s="50">
        <v>11.11111111111111</v>
      </c>
      <c r="AX344" s="49">
        <v>1</v>
      </c>
      <c r="AY344" s="50">
        <v>11.11111111111111</v>
      </c>
      <c r="AZ344" s="49">
        <v>0</v>
      </c>
      <c r="BA344" s="50">
        <v>0</v>
      </c>
      <c r="BB344" s="49">
        <v>7</v>
      </c>
      <c r="BC344" s="50">
        <v>77.77777777777777</v>
      </c>
      <c r="BD344" s="49">
        <v>9</v>
      </c>
      <c r="BE344" s="49"/>
      <c r="BF344" s="49"/>
      <c r="BG344" s="49"/>
      <c r="BH344" s="49"/>
      <c r="BI344" s="49"/>
      <c r="BJ344" s="49"/>
      <c r="BK344" s="111" t="s">
        <v>4702</v>
      </c>
      <c r="BL344" s="111" t="s">
        <v>4702</v>
      </c>
      <c r="BM344" s="111" t="s">
        <v>5175</v>
      </c>
      <c r="BN344" s="111" t="s">
        <v>5175</v>
      </c>
      <c r="BO344" s="2"/>
      <c r="BP344" s="3"/>
      <c r="BQ344" s="3"/>
      <c r="BR344" s="3"/>
      <c r="BS344" s="3"/>
    </row>
    <row r="345" spans="1:71" ht="15">
      <c r="A345" s="65" t="s">
        <v>569</v>
      </c>
      <c r="B345" s="66"/>
      <c r="C345" s="66"/>
      <c r="D345" s="67">
        <v>150</v>
      </c>
      <c r="E345" s="69"/>
      <c r="F345" s="103" t="str">
        <f>HYPERLINK("https://yt3.ggpht.com/ytc/AKedOLTcZktHCthckycx-swuTJeajgcYq_p9u6McLoOz=s88-c-k-c0x00ffffff-no-rj")</f>
        <v>https://yt3.ggpht.com/ytc/AKedOLTcZktHCthckycx-swuTJeajgcYq_p9u6McLoOz=s88-c-k-c0x00ffffff-no-rj</v>
      </c>
      <c r="G345" s="66"/>
      <c r="H345" s="70" t="s">
        <v>1898</v>
      </c>
      <c r="I345" s="71"/>
      <c r="J345" s="71" t="s">
        <v>159</v>
      </c>
      <c r="K345" s="70" t="s">
        <v>1898</v>
      </c>
      <c r="L345" s="74">
        <v>1</v>
      </c>
      <c r="M345" s="75">
        <v>9656.5966796875</v>
      </c>
      <c r="N345" s="75">
        <v>8231.6494140625</v>
      </c>
      <c r="O345" s="76"/>
      <c r="P345" s="77"/>
      <c r="Q345" s="77"/>
      <c r="R345" s="89"/>
      <c r="S345" s="49">
        <v>3</v>
      </c>
      <c r="T345" s="49">
        <v>2</v>
      </c>
      <c r="U345" s="50">
        <v>0</v>
      </c>
      <c r="V345" s="50">
        <v>0.002611</v>
      </c>
      <c r="W345" s="50">
        <v>0.005619</v>
      </c>
      <c r="X345" s="50">
        <v>1.260552</v>
      </c>
      <c r="Y345" s="50">
        <v>1</v>
      </c>
      <c r="Z345" s="50">
        <v>0.5</v>
      </c>
      <c r="AA345" s="72">
        <v>345</v>
      </c>
      <c r="AB345" s="72"/>
      <c r="AC345" s="73"/>
      <c r="AD345" s="80" t="s">
        <v>1898</v>
      </c>
      <c r="AE345" s="80"/>
      <c r="AF345" s="80"/>
      <c r="AG345" s="80"/>
      <c r="AH345" s="80"/>
      <c r="AI345" s="80"/>
      <c r="AJ345" s="87">
        <v>41673.74408564815</v>
      </c>
      <c r="AK345" s="85" t="str">
        <f>HYPERLINK("https://yt3.ggpht.com/ytc/AKedOLTcZktHCthckycx-swuTJeajgcYq_p9u6McLoOz=s88-c-k-c0x00ffffff-no-rj")</f>
        <v>https://yt3.ggpht.com/ytc/AKedOLTcZktHCthckycx-swuTJeajgcYq_p9u6McLoOz=s88-c-k-c0x00ffffff-no-rj</v>
      </c>
      <c r="AL345" s="80">
        <v>0</v>
      </c>
      <c r="AM345" s="80">
        <v>0</v>
      </c>
      <c r="AN345" s="80">
        <v>3</v>
      </c>
      <c r="AO345" s="80" t="b">
        <v>0</v>
      </c>
      <c r="AP345" s="80">
        <v>0</v>
      </c>
      <c r="AQ345" s="80"/>
      <c r="AR345" s="80"/>
      <c r="AS345" s="80" t="s">
        <v>3412</v>
      </c>
      <c r="AT345" s="85" t="str">
        <f>HYPERLINK("https://www.youtube.com/channel/UC6ubianhK30BlEa-EP8dwjQ")</f>
        <v>https://www.youtube.com/channel/UC6ubianhK30BlEa-EP8dwjQ</v>
      </c>
      <c r="AU345" s="80" t="str">
        <f>REPLACE(INDEX(GroupVertices[Group],MATCH(Vertices[[#This Row],[Vertex]],GroupVertices[Vertex],0)),1,1,"")</f>
        <v>1</v>
      </c>
      <c r="AV345" s="49">
        <v>4</v>
      </c>
      <c r="AW345" s="50">
        <v>4.705882352941177</v>
      </c>
      <c r="AX345" s="49">
        <v>2</v>
      </c>
      <c r="AY345" s="50">
        <v>2.3529411764705883</v>
      </c>
      <c r="AZ345" s="49">
        <v>0</v>
      </c>
      <c r="BA345" s="50">
        <v>0</v>
      </c>
      <c r="BB345" s="49">
        <v>79</v>
      </c>
      <c r="BC345" s="50">
        <v>92.94117647058823</v>
      </c>
      <c r="BD345" s="49">
        <v>85</v>
      </c>
      <c r="BE345" s="49"/>
      <c r="BF345" s="49"/>
      <c r="BG345" s="49"/>
      <c r="BH345" s="49"/>
      <c r="BI345" s="49"/>
      <c r="BJ345" s="49"/>
      <c r="BK345" s="111" t="s">
        <v>4703</v>
      </c>
      <c r="BL345" s="111" t="s">
        <v>4877</v>
      </c>
      <c r="BM345" s="111" t="s">
        <v>5176</v>
      </c>
      <c r="BN345" s="111" t="s">
        <v>5176</v>
      </c>
      <c r="BO345" s="2"/>
      <c r="BP345" s="3"/>
      <c r="BQ345" s="3"/>
      <c r="BR345" s="3"/>
      <c r="BS345" s="3"/>
    </row>
    <row r="346" spans="1:71" ht="15">
      <c r="A346" s="65" t="s">
        <v>568</v>
      </c>
      <c r="B346" s="66"/>
      <c r="C346" s="66"/>
      <c r="D346" s="67">
        <v>343.2738095238095</v>
      </c>
      <c r="E346" s="69"/>
      <c r="F346" s="103" t="str">
        <f>HYPERLINK("https://yt3.ggpht.com/ytc/AKedOLS7IB5fjT3RCjEGb7t7nmlcxHB87RXBIkEmOQZP0AI=s88-c-k-c0x00ffffff-no-rj")</f>
        <v>https://yt3.ggpht.com/ytc/AKedOLS7IB5fjT3RCjEGb7t7nmlcxHB87RXBIkEmOQZP0AI=s88-c-k-c0x00ffffff-no-rj</v>
      </c>
      <c r="G346" s="66"/>
      <c r="H346" s="70" t="s">
        <v>1897</v>
      </c>
      <c r="I346" s="71"/>
      <c r="J346" s="71" t="s">
        <v>75</v>
      </c>
      <c r="K346" s="70" t="s">
        <v>1897</v>
      </c>
      <c r="L346" s="74">
        <v>105.19129201222174</v>
      </c>
      <c r="M346" s="75">
        <v>9445.4248046875</v>
      </c>
      <c r="N346" s="75">
        <v>7895.79248046875</v>
      </c>
      <c r="O346" s="76"/>
      <c r="P346" s="77"/>
      <c r="Q346" s="77"/>
      <c r="R346" s="89"/>
      <c r="S346" s="49">
        <v>2</v>
      </c>
      <c r="T346" s="49">
        <v>2</v>
      </c>
      <c r="U346" s="50">
        <v>382</v>
      </c>
      <c r="V346" s="50">
        <v>0.002618</v>
      </c>
      <c r="W346" s="50">
        <v>0.005277</v>
      </c>
      <c r="X346" s="50">
        <v>1.331465</v>
      </c>
      <c r="Y346" s="50">
        <v>0.3333333333333333</v>
      </c>
      <c r="Z346" s="50">
        <v>0.3333333333333333</v>
      </c>
      <c r="AA346" s="72">
        <v>346</v>
      </c>
      <c r="AB346" s="72"/>
      <c r="AC346" s="73"/>
      <c r="AD346" s="80" t="s">
        <v>1897</v>
      </c>
      <c r="AE346" s="80"/>
      <c r="AF346" s="80"/>
      <c r="AG346" s="80"/>
      <c r="AH346" s="80"/>
      <c r="AI346" s="80"/>
      <c r="AJ346" s="87">
        <v>42499.66328703704</v>
      </c>
      <c r="AK346" s="85" t="str">
        <f>HYPERLINK("https://yt3.ggpht.com/ytc/AKedOLS7IB5fjT3RCjEGb7t7nmlcxHB87RXBIkEmOQZP0AI=s88-c-k-c0x00ffffff-no-rj")</f>
        <v>https://yt3.ggpht.com/ytc/AKedOLS7IB5fjT3RCjEGb7t7nmlcxHB87RXBIkEmOQZP0AI=s88-c-k-c0x00ffffff-no-rj</v>
      </c>
      <c r="AL346" s="80">
        <v>0</v>
      </c>
      <c r="AM346" s="80">
        <v>0</v>
      </c>
      <c r="AN346" s="80">
        <v>2</v>
      </c>
      <c r="AO346" s="80" t="b">
        <v>0</v>
      </c>
      <c r="AP346" s="80">
        <v>0</v>
      </c>
      <c r="AQ346" s="80"/>
      <c r="AR346" s="80"/>
      <c r="AS346" s="80" t="s">
        <v>3412</v>
      </c>
      <c r="AT346" s="85" t="str">
        <f>HYPERLINK("https://www.youtube.com/channel/UC2baYwyZp8GSx7Ib5g17mDg")</f>
        <v>https://www.youtube.com/channel/UC2baYwyZp8GSx7Ib5g17mDg</v>
      </c>
      <c r="AU346" s="80" t="str">
        <f>REPLACE(INDEX(GroupVertices[Group],MATCH(Vertices[[#This Row],[Vertex]],GroupVertices[Vertex],0)),1,1,"")</f>
        <v>1</v>
      </c>
      <c r="AV346" s="49">
        <v>5</v>
      </c>
      <c r="AW346" s="50">
        <v>11.627906976744185</v>
      </c>
      <c r="AX346" s="49">
        <v>1</v>
      </c>
      <c r="AY346" s="50">
        <v>2.3255813953488373</v>
      </c>
      <c r="AZ346" s="49">
        <v>0</v>
      </c>
      <c r="BA346" s="50">
        <v>0</v>
      </c>
      <c r="BB346" s="49">
        <v>37</v>
      </c>
      <c r="BC346" s="50">
        <v>86.04651162790698</v>
      </c>
      <c r="BD346" s="49">
        <v>43</v>
      </c>
      <c r="BE346" s="49"/>
      <c r="BF346" s="49"/>
      <c r="BG346" s="49"/>
      <c r="BH346" s="49"/>
      <c r="BI346" s="49"/>
      <c r="BJ346" s="49"/>
      <c r="BK346" s="111" t="s">
        <v>4704</v>
      </c>
      <c r="BL346" s="111" t="s">
        <v>4704</v>
      </c>
      <c r="BM346" s="111" t="s">
        <v>5177</v>
      </c>
      <c r="BN346" s="111" t="s">
        <v>5177</v>
      </c>
      <c r="BO346" s="2"/>
      <c r="BP346" s="3"/>
      <c r="BQ346" s="3"/>
      <c r="BR346" s="3"/>
      <c r="BS346" s="3"/>
    </row>
    <row r="347" spans="1:71" ht="15">
      <c r="A347" s="65" t="s">
        <v>570</v>
      </c>
      <c r="B347" s="66"/>
      <c r="C347" s="66"/>
      <c r="D347" s="67">
        <v>150</v>
      </c>
      <c r="E347" s="69"/>
      <c r="F347" s="103" t="str">
        <f>HYPERLINK("https://yt3.ggpht.com/ytc/AKedOLRRfV8NjVXL83KqI_45hXT8fafcQ-nTqhW_16bQaw=s88-c-k-c0x00ffffff-no-rj")</f>
        <v>https://yt3.ggpht.com/ytc/AKedOLRRfV8NjVXL83KqI_45hXT8fafcQ-nTqhW_16bQaw=s88-c-k-c0x00ffffff-no-rj</v>
      </c>
      <c r="G347" s="66"/>
      <c r="H347" s="70" t="s">
        <v>1899</v>
      </c>
      <c r="I347" s="71"/>
      <c r="J347" s="71" t="s">
        <v>159</v>
      </c>
      <c r="K347" s="70" t="s">
        <v>1899</v>
      </c>
      <c r="L347" s="74">
        <v>1</v>
      </c>
      <c r="M347" s="75">
        <v>9109.1572265625</v>
      </c>
      <c r="N347" s="75">
        <v>6415.54345703125</v>
      </c>
      <c r="O347" s="76"/>
      <c r="P347" s="77"/>
      <c r="Q347" s="77"/>
      <c r="R347" s="89"/>
      <c r="S347" s="49">
        <v>0</v>
      </c>
      <c r="T347" s="49">
        <v>1</v>
      </c>
      <c r="U347" s="50">
        <v>0</v>
      </c>
      <c r="V347" s="50">
        <v>0.001745</v>
      </c>
      <c r="W347" s="50">
        <v>0.000368</v>
      </c>
      <c r="X347" s="50">
        <v>0.527248</v>
      </c>
      <c r="Y347" s="50">
        <v>0</v>
      </c>
      <c r="Z347" s="50">
        <v>0</v>
      </c>
      <c r="AA347" s="72">
        <v>347</v>
      </c>
      <c r="AB347" s="72"/>
      <c r="AC347" s="73"/>
      <c r="AD347" s="80" t="s">
        <v>1899</v>
      </c>
      <c r="AE347" s="80"/>
      <c r="AF347" s="80"/>
      <c r="AG347" s="80"/>
      <c r="AH347" s="80"/>
      <c r="AI347" s="80"/>
      <c r="AJ347" s="87">
        <v>43101.09649305556</v>
      </c>
      <c r="AK347" s="85" t="str">
        <f>HYPERLINK("https://yt3.ggpht.com/ytc/AKedOLRRfV8NjVXL83KqI_45hXT8fafcQ-nTqhW_16bQaw=s88-c-k-c0x00ffffff-no-rj")</f>
        <v>https://yt3.ggpht.com/ytc/AKedOLRRfV8NjVXL83KqI_45hXT8fafcQ-nTqhW_16bQaw=s88-c-k-c0x00ffffff-no-rj</v>
      </c>
      <c r="AL347" s="80">
        <v>0</v>
      </c>
      <c r="AM347" s="80">
        <v>0</v>
      </c>
      <c r="AN347" s="80">
        <v>3</v>
      </c>
      <c r="AO347" s="80" t="b">
        <v>0</v>
      </c>
      <c r="AP347" s="80">
        <v>0</v>
      </c>
      <c r="AQ347" s="80"/>
      <c r="AR347" s="80"/>
      <c r="AS347" s="80" t="s">
        <v>3412</v>
      </c>
      <c r="AT347" s="85" t="str">
        <f>HYPERLINK("https://www.youtube.com/channel/UC819Rf3geYRy4604wK3i2ZQ")</f>
        <v>https://www.youtube.com/channel/UC819Rf3geYRy4604wK3i2ZQ</v>
      </c>
      <c r="AU347" s="80" t="str">
        <f>REPLACE(INDEX(GroupVertices[Group],MATCH(Vertices[[#This Row],[Vertex]],GroupVertices[Vertex],0)),1,1,"")</f>
        <v>1</v>
      </c>
      <c r="AV347" s="49">
        <v>0</v>
      </c>
      <c r="AW347" s="50">
        <v>0</v>
      </c>
      <c r="AX347" s="49">
        <v>0</v>
      </c>
      <c r="AY347" s="50">
        <v>0</v>
      </c>
      <c r="AZ347" s="49">
        <v>0</v>
      </c>
      <c r="BA347" s="50">
        <v>0</v>
      </c>
      <c r="BB347" s="49">
        <v>3</v>
      </c>
      <c r="BC347" s="50">
        <v>100</v>
      </c>
      <c r="BD347" s="49">
        <v>3</v>
      </c>
      <c r="BE347" s="49"/>
      <c r="BF347" s="49"/>
      <c r="BG347" s="49"/>
      <c r="BH347" s="49"/>
      <c r="BI347" s="49"/>
      <c r="BJ347" s="49"/>
      <c r="BK347" s="111" t="s">
        <v>4705</v>
      </c>
      <c r="BL347" s="111" t="s">
        <v>4705</v>
      </c>
      <c r="BM347" s="111" t="s">
        <v>5178</v>
      </c>
      <c r="BN347" s="111" t="s">
        <v>5178</v>
      </c>
      <c r="BO347" s="2"/>
      <c r="BP347" s="3"/>
      <c r="BQ347" s="3"/>
      <c r="BR347" s="3"/>
      <c r="BS347" s="3"/>
    </row>
    <row r="348" spans="1:71" ht="15">
      <c r="A348" s="65" t="s">
        <v>571</v>
      </c>
      <c r="B348" s="66"/>
      <c r="C348" s="66"/>
      <c r="D348" s="67">
        <v>150</v>
      </c>
      <c r="E348" s="69"/>
      <c r="F348" s="103" t="str">
        <f>HYPERLINK("https://yt3.ggpht.com/ytc/AKedOLR5zReN-Sj1bvnQamz-acagg-Dxm-3AtA0ZZekEdw=s88-c-k-c0x00ffffff-no-rj")</f>
        <v>https://yt3.ggpht.com/ytc/AKedOLR5zReN-Sj1bvnQamz-acagg-Dxm-3AtA0ZZekEdw=s88-c-k-c0x00ffffff-no-rj</v>
      </c>
      <c r="G348" s="66"/>
      <c r="H348" s="70" t="s">
        <v>1900</v>
      </c>
      <c r="I348" s="71"/>
      <c r="J348" s="71" t="s">
        <v>159</v>
      </c>
      <c r="K348" s="70" t="s">
        <v>1900</v>
      </c>
      <c r="L348" s="74">
        <v>1</v>
      </c>
      <c r="M348" s="75">
        <v>7698.96435546875</v>
      </c>
      <c r="N348" s="75">
        <v>8797.9697265625</v>
      </c>
      <c r="O348" s="76"/>
      <c r="P348" s="77"/>
      <c r="Q348" s="77"/>
      <c r="R348" s="89"/>
      <c r="S348" s="49">
        <v>2</v>
      </c>
      <c r="T348" s="49">
        <v>2</v>
      </c>
      <c r="U348" s="50">
        <v>0</v>
      </c>
      <c r="V348" s="50">
        <v>0.002597</v>
      </c>
      <c r="W348" s="50">
        <v>0.005224</v>
      </c>
      <c r="X348" s="50">
        <v>0.915039</v>
      </c>
      <c r="Y348" s="50">
        <v>0</v>
      </c>
      <c r="Z348" s="50">
        <v>1</v>
      </c>
      <c r="AA348" s="72">
        <v>348</v>
      </c>
      <c r="AB348" s="72"/>
      <c r="AC348" s="73"/>
      <c r="AD348" s="80" t="s">
        <v>1900</v>
      </c>
      <c r="AE348" s="80" t="s">
        <v>2937</v>
      </c>
      <c r="AF348" s="80"/>
      <c r="AG348" s="80"/>
      <c r="AH348" s="80"/>
      <c r="AI348" s="80"/>
      <c r="AJ348" s="80" t="s">
        <v>3298</v>
      </c>
      <c r="AK348" s="85" t="str">
        <f>HYPERLINK("https://yt3.ggpht.com/ytc/AKedOLR5zReN-Sj1bvnQamz-acagg-Dxm-3AtA0ZZekEdw=s88-c-k-c0x00ffffff-no-rj")</f>
        <v>https://yt3.ggpht.com/ytc/AKedOLR5zReN-Sj1bvnQamz-acagg-Dxm-3AtA0ZZekEdw=s88-c-k-c0x00ffffff-no-rj</v>
      </c>
      <c r="AL348" s="80">
        <v>0</v>
      </c>
      <c r="AM348" s="80">
        <v>0</v>
      </c>
      <c r="AN348" s="80">
        <v>77</v>
      </c>
      <c r="AO348" s="80" t="b">
        <v>0</v>
      </c>
      <c r="AP348" s="80">
        <v>0</v>
      </c>
      <c r="AQ348" s="80"/>
      <c r="AR348" s="80"/>
      <c r="AS348" s="80" t="s">
        <v>3412</v>
      </c>
      <c r="AT348" s="85" t="str">
        <f>HYPERLINK("https://www.youtube.com/channel/UCUqc_eczlo9lTgkq90F8wUw")</f>
        <v>https://www.youtube.com/channel/UCUqc_eczlo9lTgkq90F8wUw</v>
      </c>
      <c r="AU348" s="80" t="str">
        <f>REPLACE(INDEX(GroupVertices[Group],MATCH(Vertices[[#This Row],[Vertex]],GroupVertices[Vertex],0)),1,1,"")</f>
        <v>1</v>
      </c>
      <c r="AV348" s="49">
        <v>1</v>
      </c>
      <c r="AW348" s="50">
        <v>10</v>
      </c>
      <c r="AX348" s="49">
        <v>0</v>
      </c>
      <c r="AY348" s="50">
        <v>0</v>
      </c>
      <c r="AZ348" s="49">
        <v>0</v>
      </c>
      <c r="BA348" s="50">
        <v>0</v>
      </c>
      <c r="BB348" s="49">
        <v>9</v>
      </c>
      <c r="BC348" s="50">
        <v>90</v>
      </c>
      <c r="BD348" s="49">
        <v>10</v>
      </c>
      <c r="BE348" s="49"/>
      <c r="BF348" s="49"/>
      <c r="BG348" s="49"/>
      <c r="BH348" s="49"/>
      <c r="BI348" s="49"/>
      <c r="BJ348" s="49"/>
      <c r="BK348" s="111" t="s">
        <v>4706</v>
      </c>
      <c r="BL348" s="111" t="s">
        <v>4706</v>
      </c>
      <c r="BM348" s="111" t="s">
        <v>5179</v>
      </c>
      <c r="BN348" s="111" t="s">
        <v>5179</v>
      </c>
      <c r="BO348" s="2"/>
      <c r="BP348" s="3"/>
      <c r="BQ348" s="3"/>
      <c r="BR348" s="3"/>
      <c r="BS348" s="3"/>
    </row>
    <row r="349" spans="1:71" ht="15">
      <c r="A349" s="65" t="s">
        <v>572</v>
      </c>
      <c r="B349" s="66"/>
      <c r="C349" s="66"/>
      <c r="D349" s="67">
        <v>150</v>
      </c>
      <c r="E349" s="69"/>
      <c r="F349" s="103" t="str">
        <f>HYPERLINK("https://yt3.ggpht.com/ytc/AKedOLRS8qMblP169vkNY-S7N4q61YelrH2ZfIgqr_6RAg=s88-c-k-c0x00ffffff-no-rj")</f>
        <v>https://yt3.ggpht.com/ytc/AKedOLRS8qMblP169vkNY-S7N4q61YelrH2ZfIgqr_6RAg=s88-c-k-c0x00ffffff-no-rj</v>
      </c>
      <c r="G349" s="66"/>
      <c r="H349" s="70" t="s">
        <v>1901</v>
      </c>
      <c r="I349" s="71"/>
      <c r="J349" s="71" t="s">
        <v>159</v>
      </c>
      <c r="K349" s="70" t="s">
        <v>1901</v>
      </c>
      <c r="L349" s="74">
        <v>1</v>
      </c>
      <c r="M349" s="75">
        <v>9254.80078125</v>
      </c>
      <c r="N349" s="75">
        <v>9058.03515625</v>
      </c>
      <c r="O349" s="76"/>
      <c r="P349" s="77"/>
      <c r="Q349" s="77"/>
      <c r="R349" s="89"/>
      <c r="S349" s="49">
        <v>1</v>
      </c>
      <c r="T349" s="49">
        <v>1</v>
      </c>
      <c r="U349" s="50">
        <v>0</v>
      </c>
      <c r="V349" s="50">
        <v>0.002597</v>
      </c>
      <c r="W349" s="50">
        <v>0.00486</v>
      </c>
      <c r="X349" s="50">
        <v>0.526148</v>
      </c>
      <c r="Y349" s="50">
        <v>0</v>
      </c>
      <c r="Z349" s="50">
        <v>1</v>
      </c>
      <c r="AA349" s="72">
        <v>349</v>
      </c>
      <c r="AB349" s="72"/>
      <c r="AC349" s="73"/>
      <c r="AD349" s="80" t="s">
        <v>1901</v>
      </c>
      <c r="AE349" s="80"/>
      <c r="AF349" s="80"/>
      <c r="AG349" s="80"/>
      <c r="AH349" s="80"/>
      <c r="AI349" s="80"/>
      <c r="AJ349" s="87">
        <v>42315.82855324074</v>
      </c>
      <c r="AK349" s="85" t="str">
        <f>HYPERLINK("https://yt3.ggpht.com/ytc/AKedOLRS8qMblP169vkNY-S7N4q61YelrH2ZfIgqr_6RAg=s88-c-k-c0x00ffffff-no-rj")</f>
        <v>https://yt3.ggpht.com/ytc/AKedOLRS8qMblP169vkNY-S7N4q61YelrH2ZfIgqr_6RAg=s88-c-k-c0x00ffffff-no-rj</v>
      </c>
      <c r="AL349" s="80">
        <v>0</v>
      </c>
      <c r="AM349" s="80">
        <v>0</v>
      </c>
      <c r="AN349" s="80">
        <v>457</v>
      </c>
      <c r="AO349" s="80" t="b">
        <v>0</v>
      </c>
      <c r="AP349" s="80">
        <v>0</v>
      </c>
      <c r="AQ349" s="80"/>
      <c r="AR349" s="80"/>
      <c r="AS349" s="80" t="s">
        <v>3412</v>
      </c>
      <c r="AT349" s="85" t="str">
        <f>HYPERLINK("https://www.youtube.com/channel/UCi0fIYNdbzwQONlngaf4R1g")</f>
        <v>https://www.youtube.com/channel/UCi0fIYNdbzwQONlngaf4R1g</v>
      </c>
      <c r="AU349" s="80" t="str">
        <f>REPLACE(INDEX(GroupVertices[Group],MATCH(Vertices[[#This Row],[Vertex]],GroupVertices[Vertex],0)),1,1,"")</f>
        <v>1</v>
      </c>
      <c r="AV349" s="49">
        <v>2</v>
      </c>
      <c r="AW349" s="50">
        <v>6.451612903225806</v>
      </c>
      <c r="AX349" s="49">
        <v>0</v>
      </c>
      <c r="AY349" s="50">
        <v>0</v>
      </c>
      <c r="AZ349" s="49">
        <v>0</v>
      </c>
      <c r="BA349" s="50">
        <v>0</v>
      </c>
      <c r="BB349" s="49">
        <v>29</v>
      </c>
      <c r="BC349" s="50">
        <v>93.54838709677419</v>
      </c>
      <c r="BD349" s="49">
        <v>31</v>
      </c>
      <c r="BE349" s="49"/>
      <c r="BF349" s="49"/>
      <c r="BG349" s="49"/>
      <c r="BH349" s="49"/>
      <c r="BI349" s="49"/>
      <c r="BJ349" s="49"/>
      <c r="BK349" s="111" t="s">
        <v>4707</v>
      </c>
      <c r="BL349" s="111" t="s">
        <v>4707</v>
      </c>
      <c r="BM349" s="111" t="s">
        <v>5180</v>
      </c>
      <c r="BN349" s="111" t="s">
        <v>5180</v>
      </c>
      <c r="BO349" s="2"/>
      <c r="BP349" s="3"/>
      <c r="BQ349" s="3"/>
      <c r="BR349" s="3"/>
      <c r="BS349" s="3"/>
    </row>
    <row r="350" spans="1:71" ht="15">
      <c r="A350" s="65" t="s">
        <v>573</v>
      </c>
      <c r="B350" s="66"/>
      <c r="C350" s="66"/>
      <c r="D350" s="67">
        <v>150</v>
      </c>
      <c r="E350" s="69"/>
      <c r="F350" s="103" t="str">
        <f>HYPERLINK("https://yt3.ggpht.com/ytc/AKedOLRZqBzEqCgBnpBPth7F0GNzEf3WOlCfOpMwYA=s88-c-k-c0x00ffffff-no-rj")</f>
        <v>https://yt3.ggpht.com/ytc/AKedOLRZqBzEqCgBnpBPth7F0GNzEf3WOlCfOpMwYA=s88-c-k-c0x00ffffff-no-rj</v>
      </c>
      <c r="G350" s="66"/>
      <c r="H350" s="70" t="s">
        <v>1902</v>
      </c>
      <c r="I350" s="71"/>
      <c r="J350" s="71" t="s">
        <v>159</v>
      </c>
      <c r="K350" s="70" t="s">
        <v>1902</v>
      </c>
      <c r="L350" s="74">
        <v>1</v>
      </c>
      <c r="M350" s="75">
        <v>178.55357360839844</v>
      </c>
      <c r="N350" s="75">
        <v>7676.04541015625</v>
      </c>
      <c r="O350" s="76"/>
      <c r="P350" s="77"/>
      <c r="Q350" s="77"/>
      <c r="R350" s="89"/>
      <c r="S350" s="49">
        <v>0</v>
      </c>
      <c r="T350" s="49">
        <v>1</v>
      </c>
      <c r="U350" s="50">
        <v>0</v>
      </c>
      <c r="V350" s="50">
        <v>0.001745</v>
      </c>
      <c r="W350" s="50">
        <v>0.000366</v>
      </c>
      <c r="X350" s="50">
        <v>0.53913</v>
      </c>
      <c r="Y350" s="50">
        <v>0</v>
      </c>
      <c r="Z350" s="50">
        <v>0</v>
      </c>
      <c r="AA350" s="72">
        <v>350</v>
      </c>
      <c r="AB350" s="72"/>
      <c r="AC350" s="73"/>
      <c r="AD350" s="80" t="s">
        <v>1902</v>
      </c>
      <c r="AE350" s="80"/>
      <c r="AF350" s="80"/>
      <c r="AG350" s="80"/>
      <c r="AH350" s="80"/>
      <c r="AI350" s="80"/>
      <c r="AJ350" s="87">
        <v>42796.16428240741</v>
      </c>
      <c r="AK350" s="85" t="str">
        <f>HYPERLINK("https://yt3.ggpht.com/ytc/AKedOLRZqBzEqCgBnpBPth7F0GNzEf3WOlCfOpMwYA=s88-c-k-c0x00ffffff-no-rj")</f>
        <v>https://yt3.ggpht.com/ytc/AKedOLRZqBzEqCgBnpBPth7F0GNzEf3WOlCfOpMwYA=s88-c-k-c0x00ffffff-no-rj</v>
      </c>
      <c r="AL350" s="80">
        <v>0</v>
      </c>
      <c r="AM350" s="80">
        <v>0</v>
      </c>
      <c r="AN350" s="80">
        <v>3</v>
      </c>
      <c r="AO350" s="80" t="b">
        <v>0</v>
      </c>
      <c r="AP350" s="80">
        <v>0</v>
      </c>
      <c r="AQ350" s="80"/>
      <c r="AR350" s="80"/>
      <c r="AS350" s="80" t="s">
        <v>3412</v>
      </c>
      <c r="AT350" s="85" t="str">
        <f>HYPERLINK("https://www.youtube.com/channel/UC1rXwCS4owLa3J6U_hIYqvQ")</f>
        <v>https://www.youtube.com/channel/UC1rXwCS4owLa3J6U_hIYqvQ</v>
      </c>
      <c r="AU350" s="80" t="str">
        <f>REPLACE(INDEX(GroupVertices[Group],MATCH(Vertices[[#This Row],[Vertex]],GroupVertices[Vertex],0)),1,1,"")</f>
        <v>1</v>
      </c>
      <c r="AV350" s="49">
        <v>2</v>
      </c>
      <c r="AW350" s="50">
        <v>20</v>
      </c>
      <c r="AX350" s="49">
        <v>0</v>
      </c>
      <c r="AY350" s="50">
        <v>0</v>
      </c>
      <c r="AZ350" s="49">
        <v>0</v>
      </c>
      <c r="BA350" s="50">
        <v>0</v>
      </c>
      <c r="BB350" s="49">
        <v>8</v>
      </c>
      <c r="BC350" s="50">
        <v>80</v>
      </c>
      <c r="BD350" s="49">
        <v>10</v>
      </c>
      <c r="BE350" s="49"/>
      <c r="BF350" s="49"/>
      <c r="BG350" s="49"/>
      <c r="BH350" s="49"/>
      <c r="BI350" s="49"/>
      <c r="BJ350" s="49"/>
      <c r="BK350" s="111" t="s">
        <v>4708</v>
      </c>
      <c r="BL350" s="111" t="s">
        <v>4708</v>
      </c>
      <c r="BM350" s="111" t="s">
        <v>5181</v>
      </c>
      <c r="BN350" s="111" t="s">
        <v>5181</v>
      </c>
      <c r="BO350" s="2"/>
      <c r="BP350" s="3"/>
      <c r="BQ350" s="3"/>
      <c r="BR350" s="3"/>
      <c r="BS350" s="3"/>
    </row>
    <row r="351" spans="1:71" ht="15">
      <c r="A351" s="65" t="s">
        <v>575</v>
      </c>
      <c r="B351" s="66"/>
      <c r="C351" s="66"/>
      <c r="D351" s="67">
        <v>343.2738095238095</v>
      </c>
      <c r="E351" s="69"/>
      <c r="F351" s="103" t="str">
        <f>HYPERLINK("https://yt3.ggpht.com/ytc/AKedOLRiEdhm3HacItxXlRMHJOBx9tHsmHPuQaSpbIRD=s88-c-k-c0x00ffffff-no-rj")</f>
        <v>https://yt3.ggpht.com/ytc/AKedOLRiEdhm3HacItxXlRMHJOBx9tHsmHPuQaSpbIRD=s88-c-k-c0x00ffffff-no-rj</v>
      </c>
      <c r="G351" s="66"/>
      <c r="H351" s="70" t="s">
        <v>1903</v>
      </c>
      <c r="I351" s="71"/>
      <c r="J351" s="71" t="s">
        <v>75</v>
      </c>
      <c r="K351" s="70" t="s">
        <v>1903</v>
      </c>
      <c r="L351" s="74">
        <v>105.19129201222174</v>
      </c>
      <c r="M351" s="75">
        <v>4745.34814453125</v>
      </c>
      <c r="N351" s="75">
        <v>7540.111328125</v>
      </c>
      <c r="O351" s="76"/>
      <c r="P351" s="77"/>
      <c r="Q351" s="77"/>
      <c r="R351" s="89"/>
      <c r="S351" s="49">
        <v>3</v>
      </c>
      <c r="T351" s="49">
        <v>1</v>
      </c>
      <c r="U351" s="50">
        <v>382</v>
      </c>
      <c r="V351" s="50">
        <v>0.002618</v>
      </c>
      <c r="W351" s="50">
        <v>0.005249</v>
      </c>
      <c r="X351" s="50">
        <v>1.373401</v>
      </c>
      <c r="Y351" s="50">
        <v>0.16666666666666666</v>
      </c>
      <c r="Z351" s="50">
        <v>0.3333333333333333</v>
      </c>
      <c r="AA351" s="72">
        <v>351</v>
      </c>
      <c r="AB351" s="72"/>
      <c r="AC351" s="73"/>
      <c r="AD351" s="80" t="s">
        <v>1903</v>
      </c>
      <c r="AE351" s="80"/>
      <c r="AF351" s="80"/>
      <c r="AG351" s="80"/>
      <c r="AH351" s="80"/>
      <c r="AI351" s="80"/>
      <c r="AJ351" s="80" t="s">
        <v>3299</v>
      </c>
      <c r="AK351" s="85" t="str">
        <f>HYPERLINK("https://yt3.ggpht.com/ytc/AKedOLRiEdhm3HacItxXlRMHJOBx9tHsmHPuQaSpbIRD=s88-c-k-c0x00ffffff-no-rj")</f>
        <v>https://yt3.ggpht.com/ytc/AKedOLRiEdhm3HacItxXlRMHJOBx9tHsmHPuQaSpbIRD=s88-c-k-c0x00ffffff-no-rj</v>
      </c>
      <c r="AL351" s="80">
        <v>0</v>
      </c>
      <c r="AM351" s="80">
        <v>0</v>
      </c>
      <c r="AN351" s="80">
        <v>7</v>
      </c>
      <c r="AO351" s="80" t="b">
        <v>0</v>
      </c>
      <c r="AP351" s="80">
        <v>0</v>
      </c>
      <c r="AQ351" s="80"/>
      <c r="AR351" s="80"/>
      <c r="AS351" s="80" t="s">
        <v>3412</v>
      </c>
      <c r="AT351" s="85" t="str">
        <f>HYPERLINK("https://www.youtube.com/channel/UCyQWSZRDX6UkSsnAHKTZYug")</f>
        <v>https://www.youtube.com/channel/UCyQWSZRDX6UkSsnAHKTZYug</v>
      </c>
      <c r="AU351" s="80" t="str">
        <f>REPLACE(INDEX(GroupVertices[Group],MATCH(Vertices[[#This Row],[Vertex]],GroupVertices[Vertex],0)),1,1,"")</f>
        <v>1</v>
      </c>
      <c r="AV351" s="49">
        <v>6</v>
      </c>
      <c r="AW351" s="50">
        <v>7.228915662650603</v>
      </c>
      <c r="AX351" s="49">
        <v>4</v>
      </c>
      <c r="AY351" s="50">
        <v>4.819277108433735</v>
      </c>
      <c r="AZ351" s="49">
        <v>0</v>
      </c>
      <c r="BA351" s="50">
        <v>0</v>
      </c>
      <c r="BB351" s="49">
        <v>73</v>
      </c>
      <c r="BC351" s="50">
        <v>87.95180722891567</v>
      </c>
      <c r="BD351" s="49">
        <v>83</v>
      </c>
      <c r="BE351" s="49"/>
      <c r="BF351" s="49"/>
      <c r="BG351" s="49"/>
      <c r="BH351" s="49"/>
      <c r="BI351" s="49"/>
      <c r="BJ351" s="49"/>
      <c r="BK351" s="111" t="s">
        <v>4709</v>
      </c>
      <c r="BL351" s="111" t="s">
        <v>4878</v>
      </c>
      <c r="BM351" s="111" t="s">
        <v>5182</v>
      </c>
      <c r="BN351" s="111" t="s">
        <v>5182</v>
      </c>
      <c r="BO351" s="2"/>
      <c r="BP351" s="3"/>
      <c r="BQ351" s="3"/>
      <c r="BR351" s="3"/>
      <c r="BS351" s="3"/>
    </row>
    <row r="352" spans="1:71" ht="15">
      <c r="A352" s="65" t="s">
        <v>574</v>
      </c>
      <c r="B352" s="66"/>
      <c r="C352" s="66"/>
      <c r="D352" s="67">
        <v>150</v>
      </c>
      <c r="E352" s="69"/>
      <c r="F352" s="103" t="str">
        <f>HYPERLINK("https://yt3.ggpht.com/ytc/AKedOLT0XSGPmADpD9fqR2eg1xk9hs6ixQC5Lp48xQ=s88-c-k-c0x00ffffff-no-rj")</f>
        <v>https://yt3.ggpht.com/ytc/AKedOLT0XSGPmADpD9fqR2eg1xk9hs6ixQC5Lp48xQ=s88-c-k-c0x00ffffff-no-rj</v>
      </c>
      <c r="G352" s="66"/>
      <c r="H352" s="70" t="s">
        <v>1886</v>
      </c>
      <c r="I352" s="71"/>
      <c r="J352" s="71" t="s">
        <v>159</v>
      </c>
      <c r="K352" s="70" t="s">
        <v>1886</v>
      </c>
      <c r="L352" s="74">
        <v>1</v>
      </c>
      <c r="M352" s="75">
        <v>6399.81005859375</v>
      </c>
      <c r="N352" s="75">
        <v>8653.794921875</v>
      </c>
      <c r="O352" s="76"/>
      <c r="P352" s="77"/>
      <c r="Q352" s="77"/>
      <c r="R352" s="89"/>
      <c r="S352" s="49">
        <v>0</v>
      </c>
      <c r="T352" s="49">
        <v>2</v>
      </c>
      <c r="U352" s="50">
        <v>0</v>
      </c>
      <c r="V352" s="50">
        <v>0.002611</v>
      </c>
      <c r="W352" s="50">
        <v>0.005225</v>
      </c>
      <c r="X352" s="50">
        <v>0.915278</v>
      </c>
      <c r="Y352" s="50">
        <v>1</v>
      </c>
      <c r="Z352" s="50">
        <v>0</v>
      </c>
      <c r="AA352" s="72">
        <v>352</v>
      </c>
      <c r="AB352" s="72"/>
      <c r="AC352" s="73"/>
      <c r="AD352" s="80" t="s">
        <v>1886</v>
      </c>
      <c r="AE352" s="80"/>
      <c r="AF352" s="80"/>
      <c r="AG352" s="80"/>
      <c r="AH352" s="80"/>
      <c r="AI352" s="80"/>
      <c r="AJ352" s="80" t="s">
        <v>3300</v>
      </c>
      <c r="AK352" s="85" t="str">
        <f>HYPERLINK("https://yt3.ggpht.com/ytc/AKedOLT0XSGPmADpD9fqR2eg1xk9hs6ixQC5Lp48xQ=s88-c-k-c0x00ffffff-no-rj")</f>
        <v>https://yt3.ggpht.com/ytc/AKedOLT0XSGPmADpD9fqR2eg1xk9hs6ixQC5Lp48xQ=s88-c-k-c0x00ffffff-no-rj</v>
      </c>
      <c r="AL352" s="80">
        <v>0</v>
      </c>
      <c r="AM352" s="80">
        <v>0</v>
      </c>
      <c r="AN352" s="80">
        <v>2</v>
      </c>
      <c r="AO352" s="80" t="b">
        <v>0</v>
      </c>
      <c r="AP352" s="80">
        <v>0</v>
      </c>
      <c r="AQ352" s="80"/>
      <c r="AR352" s="80"/>
      <c r="AS352" s="80" t="s">
        <v>3412</v>
      </c>
      <c r="AT352" s="85" t="str">
        <f>HYPERLINK("https://www.youtube.com/channel/UCr3sO1VgTWPhTNTBuRPZc4w")</f>
        <v>https://www.youtube.com/channel/UCr3sO1VgTWPhTNTBuRPZc4w</v>
      </c>
      <c r="AU352" s="80" t="str">
        <f>REPLACE(INDEX(GroupVertices[Group],MATCH(Vertices[[#This Row],[Vertex]],GroupVertices[Vertex],0)),1,1,"")</f>
        <v>1</v>
      </c>
      <c r="AV352" s="49">
        <v>2</v>
      </c>
      <c r="AW352" s="50">
        <v>2.1052631578947367</v>
      </c>
      <c r="AX352" s="49">
        <v>1</v>
      </c>
      <c r="AY352" s="50">
        <v>1.0526315789473684</v>
      </c>
      <c r="AZ352" s="49">
        <v>0</v>
      </c>
      <c r="BA352" s="50">
        <v>0</v>
      </c>
      <c r="BB352" s="49">
        <v>92</v>
      </c>
      <c r="BC352" s="50">
        <v>96.84210526315789</v>
      </c>
      <c r="BD352" s="49">
        <v>95</v>
      </c>
      <c r="BE352" s="49"/>
      <c r="BF352" s="49"/>
      <c r="BG352" s="49"/>
      <c r="BH352" s="49"/>
      <c r="BI352" s="49"/>
      <c r="BJ352" s="49"/>
      <c r="BK352" s="111" t="s">
        <v>4710</v>
      </c>
      <c r="BL352" s="111" t="s">
        <v>4710</v>
      </c>
      <c r="BM352" s="111" t="s">
        <v>5183</v>
      </c>
      <c r="BN352" s="111" t="s">
        <v>5183</v>
      </c>
      <c r="BO352" s="2"/>
      <c r="BP352" s="3"/>
      <c r="BQ352" s="3"/>
      <c r="BR352" s="3"/>
      <c r="BS352" s="3"/>
    </row>
    <row r="353" spans="1:71" ht="15">
      <c r="A353" s="65" t="s">
        <v>576</v>
      </c>
      <c r="B353" s="66"/>
      <c r="C353" s="66"/>
      <c r="D353" s="67">
        <v>150</v>
      </c>
      <c r="E353" s="69"/>
      <c r="F353" s="103" t="str">
        <f>HYPERLINK("https://yt3.ggpht.com/ytc/AKedOLRdxRT6Glr5DqPr_YIFTHf9Wq6tus_eo8Yf0uF3ng=s88-c-k-c0x00ffffff-no-rj")</f>
        <v>https://yt3.ggpht.com/ytc/AKedOLRdxRT6Glr5DqPr_YIFTHf9Wq6tus_eo8Yf0uF3ng=s88-c-k-c0x00ffffff-no-rj</v>
      </c>
      <c r="G353" s="66"/>
      <c r="H353" s="70" t="s">
        <v>1904</v>
      </c>
      <c r="I353" s="71"/>
      <c r="J353" s="71" t="s">
        <v>159</v>
      </c>
      <c r="K353" s="70" t="s">
        <v>1904</v>
      </c>
      <c r="L353" s="74">
        <v>1</v>
      </c>
      <c r="M353" s="75">
        <v>5861.62255859375</v>
      </c>
      <c r="N353" s="75">
        <v>9538.7578125</v>
      </c>
      <c r="O353" s="76"/>
      <c r="P353" s="77"/>
      <c r="Q353" s="77"/>
      <c r="R353" s="89"/>
      <c r="S353" s="49">
        <v>1</v>
      </c>
      <c r="T353" s="49">
        <v>1</v>
      </c>
      <c r="U353" s="50">
        <v>0</v>
      </c>
      <c r="V353" s="50">
        <v>0.002597</v>
      </c>
      <c r="W353" s="50">
        <v>0.00486</v>
      </c>
      <c r="X353" s="50">
        <v>0.526148</v>
      </c>
      <c r="Y353" s="50">
        <v>0</v>
      </c>
      <c r="Z353" s="50">
        <v>1</v>
      </c>
      <c r="AA353" s="72">
        <v>353</v>
      </c>
      <c r="AB353" s="72"/>
      <c r="AC353" s="73"/>
      <c r="AD353" s="80" t="s">
        <v>1904</v>
      </c>
      <c r="AE353" s="80" t="s">
        <v>2938</v>
      </c>
      <c r="AF353" s="80"/>
      <c r="AG353" s="80"/>
      <c r="AH353" s="80"/>
      <c r="AI353" s="80" t="s">
        <v>3074</v>
      </c>
      <c r="AJ353" s="80" t="s">
        <v>3301</v>
      </c>
      <c r="AK353" s="85" t="str">
        <f>HYPERLINK("https://yt3.ggpht.com/ytc/AKedOLRdxRT6Glr5DqPr_YIFTHf9Wq6tus_eo8Yf0uF3ng=s88-c-k-c0x00ffffff-no-rj")</f>
        <v>https://yt3.ggpht.com/ytc/AKedOLRdxRT6Glr5DqPr_YIFTHf9Wq6tus_eo8Yf0uF3ng=s88-c-k-c0x00ffffff-no-rj</v>
      </c>
      <c r="AL353" s="80">
        <v>300675</v>
      </c>
      <c r="AM353" s="80">
        <v>0</v>
      </c>
      <c r="AN353" s="80">
        <v>1130</v>
      </c>
      <c r="AO353" s="80" t="b">
        <v>0</v>
      </c>
      <c r="AP353" s="80">
        <v>183</v>
      </c>
      <c r="AQ353" s="80"/>
      <c r="AR353" s="80"/>
      <c r="AS353" s="80" t="s">
        <v>3412</v>
      </c>
      <c r="AT353" s="85" t="str">
        <f>HYPERLINK("https://www.youtube.com/channel/UCflxwelBW5KihRIvH-lVYDA")</f>
        <v>https://www.youtube.com/channel/UCflxwelBW5KihRIvH-lVYDA</v>
      </c>
      <c r="AU353" s="80" t="str">
        <f>REPLACE(INDEX(GroupVertices[Group],MATCH(Vertices[[#This Row],[Vertex]],GroupVertices[Vertex],0)),1,1,"")</f>
        <v>1</v>
      </c>
      <c r="AV353" s="49">
        <v>3</v>
      </c>
      <c r="AW353" s="50">
        <v>5.454545454545454</v>
      </c>
      <c r="AX353" s="49">
        <v>0</v>
      </c>
      <c r="AY353" s="50">
        <v>0</v>
      </c>
      <c r="AZ353" s="49">
        <v>0</v>
      </c>
      <c r="BA353" s="50">
        <v>0</v>
      </c>
      <c r="BB353" s="49">
        <v>52</v>
      </c>
      <c r="BC353" s="50">
        <v>94.54545454545455</v>
      </c>
      <c r="BD353" s="49">
        <v>55</v>
      </c>
      <c r="BE353" s="49"/>
      <c r="BF353" s="49"/>
      <c r="BG353" s="49"/>
      <c r="BH353" s="49"/>
      <c r="BI353" s="49"/>
      <c r="BJ353" s="49"/>
      <c r="BK353" s="111" t="s">
        <v>4711</v>
      </c>
      <c r="BL353" s="111" t="s">
        <v>4711</v>
      </c>
      <c r="BM353" s="111" t="s">
        <v>5184</v>
      </c>
      <c r="BN353" s="111" t="s">
        <v>5184</v>
      </c>
      <c r="BO353" s="2"/>
      <c r="BP353" s="3"/>
      <c r="BQ353" s="3"/>
      <c r="BR353" s="3"/>
      <c r="BS353" s="3"/>
    </row>
    <row r="354" spans="1:71" ht="15">
      <c r="A354" s="65" t="s">
        <v>577</v>
      </c>
      <c r="B354" s="66"/>
      <c r="C354" s="66"/>
      <c r="D354" s="67">
        <v>150</v>
      </c>
      <c r="E354" s="69"/>
      <c r="F354" s="103" t="str">
        <f>HYPERLINK("https://yt3.ggpht.com/ytc/AKedOLTeEfeByPiSwXPThqgDuG8EW5tBdphITXNQswFHKg=s88-c-k-c0x00ffffff-no-rj")</f>
        <v>https://yt3.ggpht.com/ytc/AKedOLTeEfeByPiSwXPThqgDuG8EW5tBdphITXNQswFHKg=s88-c-k-c0x00ffffff-no-rj</v>
      </c>
      <c r="G354" s="66"/>
      <c r="H354" s="70" t="s">
        <v>1905</v>
      </c>
      <c r="I354" s="71"/>
      <c r="J354" s="71" t="s">
        <v>159</v>
      </c>
      <c r="K354" s="70" t="s">
        <v>1905</v>
      </c>
      <c r="L354" s="74">
        <v>1</v>
      </c>
      <c r="M354" s="75">
        <v>8935.97265625</v>
      </c>
      <c r="N354" s="75">
        <v>8388.5615234375</v>
      </c>
      <c r="O354" s="76"/>
      <c r="P354" s="77"/>
      <c r="Q354" s="77"/>
      <c r="R354" s="89"/>
      <c r="S354" s="49">
        <v>1</v>
      </c>
      <c r="T354" s="49">
        <v>1</v>
      </c>
      <c r="U354" s="50">
        <v>0</v>
      </c>
      <c r="V354" s="50">
        <v>0.002597</v>
      </c>
      <c r="W354" s="50">
        <v>0.00486</v>
      </c>
      <c r="X354" s="50">
        <v>0.526148</v>
      </c>
      <c r="Y354" s="50">
        <v>0</v>
      </c>
      <c r="Z354" s="50">
        <v>1</v>
      </c>
      <c r="AA354" s="72">
        <v>354</v>
      </c>
      <c r="AB354" s="72"/>
      <c r="AC354" s="73"/>
      <c r="AD354" s="80" t="s">
        <v>1905</v>
      </c>
      <c r="AE354" s="80" t="s">
        <v>2939</v>
      </c>
      <c r="AF354" s="80"/>
      <c r="AG354" s="80"/>
      <c r="AH354" s="80"/>
      <c r="AI354" s="80"/>
      <c r="AJ354" s="80" t="s">
        <v>3302</v>
      </c>
      <c r="AK354" s="85" t="str">
        <f>HYPERLINK("https://yt3.ggpht.com/ytc/AKedOLTeEfeByPiSwXPThqgDuG8EW5tBdphITXNQswFHKg=s88-c-k-c0x00ffffff-no-rj")</f>
        <v>https://yt3.ggpht.com/ytc/AKedOLTeEfeByPiSwXPThqgDuG8EW5tBdphITXNQswFHKg=s88-c-k-c0x00ffffff-no-rj</v>
      </c>
      <c r="AL354" s="80">
        <v>0</v>
      </c>
      <c r="AM354" s="80">
        <v>0</v>
      </c>
      <c r="AN354" s="80">
        <v>188</v>
      </c>
      <c r="AO354" s="80" t="b">
        <v>0</v>
      </c>
      <c r="AP354" s="80">
        <v>0</v>
      </c>
      <c r="AQ354" s="80"/>
      <c r="AR354" s="80"/>
      <c r="AS354" s="80" t="s">
        <v>3412</v>
      </c>
      <c r="AT354" s="85" t="str">
        <f>HYPERLINK("https://www.youtube.com/channel/UCwtir0D7FKA3RStNlwKy7zA")</f>
        <v>https://www.youtube.com/channel/UCwtir0D7FKA3RStNlwKy7zA</v>
      </c>
      <c r="AU354" s="80" t="str">
        <f>REPLACE(INDEX(GroupVertices[Group],MATCH(Vertices[[#This Row],[Vertex]],GroupVertices[Vertex],0)),1,1,"")</f>
        <v>1</v>
      </c>
      <c r="AV354" s="49">
        <v>6</v>
      </c>
      <c r="AW354" s="50">
        <v>15.789473684210526</v>
      </c>
      <c r="AX354" s="49">
        <v>1</v>
      </c>
      <c r="AY354" s="50">
        <v>2.6315789473684212</v>
      </c>
      <c r="AZ354" s="49">
        <v>0</v>
      </c>
      <c r="BA354" s="50">
        <v>0</v>
      </c>
      <c r="BB354" s="49">
        <v>31</v>
      </c>
      <c r="BC354" s="50">
        <v>81.57894736842105</v>
      </c>
      <c r="BD354" s="49">
        <v>38</v>
      </c>
      <c r="BE354" s="49"/>
      <c r="BF354" s="49"/>
      <c r="BG354" s="49"/>
      <c r="BH354" s="49"/>
      <c r="BI354" s="49"/>
      <c r="BJ354" s="49"/>
      <c r="BK354" s="111" t="s">
        <v>4712</v>
      </c>
      <c r="BL354" s="111" t="s">
        <v>4879</v>
      </c>
      <c r="BM354" s="111" t="s">
        <v>5185</v>
      </c>
      <c r="BN354" s="111" t="s">
        <v>5185</v>
      </c>
      <c r="BO354" s="2"/>
      <c r="BP354" s="3"/>
      <c r="BQ354" s="3"/>
      <c r="BR354" s="3"/>
      <c r="BS354" s="3"/>
    </row>
    <row r="355" spans="1:71" ht="15">
      <c r="A355" s="65" t="s">
        <v>578</v>
      </c>
      <c r="B355" s="66"/>
      <c r="C355" s="66"/>
      <c r="D355" s="67">
        <v>150</v>
      </c>
      <c r="E355" s="69"/>
      <c r="F355" s="103" t="str">
        <f>HYPERLINK("https://yt3.ggpht.com/ytc/AKedOLQ6BH788n_iXU_DU99D7TwYnF2ipbUklcdeu81f=s88-c-k-c0x00ffffff-no-rj")</f>
        <v>https://yt3.ggpht.com/ytc/AKedOLQ6BH788n_iXU_DU99D7TwYnF2ipbUklcdeu81f=s88-c-k-c0x00ffffff-no-rj</v>
      </c>
      <c r="G355" s="66"/>
      <c r="H355" s="70" t="s">
        <v>1906</v>
      </c>
      <c r="I355" s="71"/>
      <c r="J355" s="71" t="s">
        <v>159</v>
      </c>
      <c r="K355" s="70" t="s">
        <v>1906</v>
      </c>
      <c r="L355" s="74">
        <v>1</v>
      </c>
      <c r="M355" s="75">
        <v>4060.56787109375</v>
      </c>
      <c r="N355" s="75">
        <v>7465.7265625</v>
      </c>
      <c r="O355" s="76"/>
      <c r="P355" s="77"/>
      <c r="Q355" s="77"/>
      <c r="R355" s="89"/>
      <c r="S355" s="49">
        <v>1</v>
      </c>
      <c r="T355" s="49">
        <v>1</v>
      </c>
      <c r="U355" s="50">
        <v>0</v>
      </c>
      <c r="V355" s="50">
        <v>0.002597</v>
      </c>
      <c r="W355" s="50">
        <v>0.00486</v>
      </c>
      <c r="X355" s="50">
        <v>0.526148</v>
      </c>
      <c r="Y355" s="50">
        <v>0</v>
      </c>
      <c r="Z355" s="50">
        <v>1</v>
      </c>
      <c r="AA355" s="72">
        <v>355</v>
      </c>
      <c r="AB355" s="72"/>
      <c r="AC355" s="73"/>
      <c r="AD355" s="80" t="s">
        <v>1906</v>
      </c>
      <c r="AE355" s="80" t="s">
        <v>2940</v>
      </c>
      <c r="AF355" s="80"/>
      <c r="AG355" s="80"/>
      <c r="AH355" s="80"/>
      <c r="AI355" s="80" t="s">
        <v>3075</v>
      </c>
      <c r="AJ355" s="80" t="s">
        <v>3303</v>
      </c>
      <c r="AK355" s="85" t="str">
        <f>HYPERLINK("https://yt3.ggpht.com/ytc/AKedOLQ6BH788n_iXU_DU99D7TwYnF2ipbUklcdeu81f=s88-c-k-c0x00ffffff-no-rj")</f>
        <v>https://yt3.ggpht.com/ytc/AKedOLQ6BH788n_iXU_DU99D7TwYnF2ipbUklcdeu81f=s88-c-k-c0x00ffffff-no-rj</v>
      </c>
      <c r="AL355" s="80">
        <v>791714</v>
      </c>
      <c r="AM355" s="80">
        <v>0</v>
      </c>
      <c r="AN355" s="80">
        <v>3530</v>
      </c>
      <c r="AO355" s="80" t="b">
        <v>0</v>
      </c>
      <c r="AP355" s="80">
        <v>316</v>
      </c>
      <c r="AQ355" s="80"/>
      <c r="AR355" s="80"/>
      <c r="AS355" s="80" t="s">
        <v>3412</v>
      </c>
      <c r="AT355" s="85" t="str">
        <f>HYPERLINK("https://www.youtube.com/channel/UC5uu70k-9sI1kMcBv48iO3w")</f>
        <v>https://www.youtube.com/channel/UC5uu70k-9sI1kMcBv48iO3w</v>
      </c>
      <c r="AU355" s="80" t="str">
        <f>REPLACE(INDEX(GroupVertices[Group],MATCH(Vertices[[#This Row],[Vertex]],GroupVertices[Vertex],0)),1,1,"")</f>
        <v>1</v>
      </c>
      <c r="AV355" s="49">
        <v>3</v>
      </c>
      <c r="AW355" s="50">
        <v>4.411764705882353</v>
      </c>
      <c r="AX355" s="49">
        <v>3</v>
      </c>
      <c r="AY355" s="50">
        <v>4.411764705882353</v>
      </c>
      <c r="AZ355" s="49">
        <v>0</v>
      </c>
      <c r="BA355" s="50">
        <v>0</v>
      </c>
      <c r="BB355" s="49">
        <v>62</v>
      </c>
      <c r="BC355" s="50">
        <v>91.17647058823529</v>
      </c>
      <c r="BD355" s="49">
        <v>68</v>
      </c>
      <c r="BE355" s="49"/>
      <c r="BF355" s="49"/>
      <c r="BG355" s="49"/>
      <c r="BH355" s="49"/>
      <c r="BI355" s="49"/>
      <c r="BJ355" s="49"/>
      <c r="BK355" s="111" t="s">
        <v>4713</v>
      </c>
      <c r="BL355" s="111" t="s">
        <v>4713</v>
      </c>
      <c r="BM355" s="111" t="s">
        <v>5186</v>
      </c>
      <c r="BN355" s="111" t="s">
        <v>5186</v>
      </c>
      <c r="BO355" s="2"/>
      <c r="BP355" s="3"/>
      <c r="BQ355" s="3"/>
      <c r="BR355" s="3"/>
      <c r="BS355" s="3"/>
    </row>
    <row r="356" spans="1:71" ht="15">
      <c r="A356" s="65" t="s">
        <v>579</v>
      </c>
      <c r="B356" s="66"/>
      <c r="C356" s="66"/>
      <c r="D356" s="67">
        <v>150</v>
      </c>
      <c r="E356" s="69"/>
      <c r="F356" s="103" t="str">
        <f>HYPERLINK("https://yt3.ggpht.com/ytc/AKedOLQVuX4sTP_cNwOaY_JXGpGb0oH0E0_oq8c2csKHe7o=s88-c-k-c0x00ffffff-no-rj")</f>
        <v>https://yt3.ggpht.com/ytc/AKedOLQVuX4sTP_cNwOaY_JXGpGb0oH0E0_oq8c2csKHe7o=s88-c-k-c0x00ffffff-no-rj</v>
      </c>
      <c r="G356" s="66"/>
      <c r="H356" s="70" t="s">
        <v>1907</v>
      </c>
      <c r="I356" s="71"/>
      <c r="J356" s="71" t="s">
        <v>159</v>
      </c>
      <c r="K356" s="70" t="s">
        <v>1907</v>
      </c>
      <c r="L356" s="74">
        <v>1</v>
      </c>
      <c r="M356" s="75">
        <v>9665.3779296875</v>
      </c>
      <c r="N356" s="75">
        <v>8517.2080078125</v>
      </c>
      <c r="O356" s="76"/>
      <c r="P356" s="77"/>
      <c r="Q356" s="77"/>
      <c r="R356" s="89"/>
      <c r="S356" s="49">
        <v>1</v>
      </c>
      <c r="T356" s="49">
        <v>1</v>
      </c>
      <c r="U356" s="50">
        <v>0</v>
      </c>
      <c r="V356" s="50">
        <v>0.002597</v>
      </c>
      <c r="W356" s="50">
        <v>0.00486</v>
      </c>
      <c r="X356" s="50">
        <v>0.526148</v>
      </c>
      <c r="Y356" s="50">
        <v>0</v>
      </c>
      <c r="Z356" s="50">
        <v>1</v>
      </c>
      <c r="AA356" s="72">
        <v>356</v>
      </c>
      <c r="AB356" s="72"/>
      <c r="AC356" s="73"/>
      <c r="AD356" s="80" t="s">
        <v>1907</v>
      </c>
      <c r="AE356" s="80"/>
      <c r="AF356" s="80"/>
      <c r="AG356" s="80"/>
      <c r="AH356" s="80"/>
      <c r="AI356" s="80"/>
      <c r="AJ356" s="87">
        <v>41918.78172453704</v>
      </c>
      <c r="AK356" s="85" t="str">
        <f>HYPERLINK("https://yt3.ggpht.com/ytc/AKedOLQVuX4sTP_cNwOaY_JXGpGb0oH0E0_oq8c2csKHe7o=s88-c-k-c0x00ffffff-no-rj")</f>
        <v>https://yt3.ggpht.com/ytc/AKedOLQVuX4sTP_cNwOaY_JXGpGb0oH0E0_oq8c2csKHe7o=s88-c-k-c0x00ffffff-no-rj</v>
      </c>
      <c r="AL356" s="80">
        <v>0</v>
      </c>
      <c r="AM356" s="80">
        <v>0</v>
      </c>
      <c r="AN356" s="80">
        <v>4</v>
      </c>
      <c r="AO356" s="80" t="b">
        <v>0</v>
      </c>
      <c r="AP356" s="80">
        <v>0</v>
      </c>
      <c r="AQ356" s="80"/>
      <c r="AR356" s="80"/>
      <c r="AS356" s="80" t="s">
        <v>3412</v>
      </c>
      <c r="AT356" s="85" t="str">
        <f>HYPERLINK("https://www.youtube.com/channel/UCxMvIYmAyDLUBhGJINU9OMg")</f>
        <v>https://www.youtube.com/channel/UCxMvIYmAyDLUBhGJINU9OMg</v>
      </c>
      <c r="AU356" s="80" t="str">
        <f>REPLACE(INDEX(GroupVertices[Group],MATCH(Vertices[[#This Row],[Vertex]],GroupVertices[Vertex],0)),1,1,"")</f>
        <v>1</v>
      </c>
      <c r="AV356" s="49">
        <v>4</v>
      </c>
      <c r="AW356" s="50">
        <v>7.407407407407407</v>
      </c>
      <c r="AX356" s="49">
        <v>3</v>
      </c>
      <c r="AY356" s="50">
        <v>5.555555555555555</v>
      </c>
      <c r="AZ356" s="49">
        <v>0</v>
      </c>
      <c r="BA356" s="50">
        <v>0</v>
      </c>
      <c r="BB356" s="49">
        <v>47</v>
      </c>
      <c r="BC356" s="50">
        <v>87.03703703703704</v>
      </c>
      <c r="BD356" s="49">
        <v>54</v>
      </c>
      <c r="BE356" s="49"/>
      <c r="BF356" s="49"/>
      <c r="BG356" s="49"/>
      <c r="BH356" s="49"/>
      <c r="BI356" s="49"/>
      <c r="BJ356" s="49"/>
      <c r="BK356" s="111" t="s">
        <v>4714</v>
      </c>
      <c r="BL356" s="111" t="s">
        <v>4714</v>
      </c>
      <c r="BM356" s="111" t="s">
        <v>5187</v>
      </c>
      <c r="BN356" s="111" t="s">
        <v>5187</v>
      </c>
      <c r="BO356" s="2"/>
      <c r="BP356" s="3"/>
      <c r="BQ356" s="3"/>
      <c r="BR356" s="3"/>
      <c r="BS356" s="3"/>
    </row>
    <row r="357" spans="1:71" ht="15">
      <c r="A357" s="65" t="s">
        <v>580</v>
      </c>
      <c r="B357" s="66"/>
      <c r="C357" s="66"/>
      <c r="D357" s="67">
        <v>150</v>
      </c>
      <c r="E357" s="69"/>
      <c r="F357" s="103" t="str">
        <f>HYPERLINK("https://yt3.ggpht.com/ytc/AKedOLTh6rJrTLBK5noc5EQkadLOa-EaEsyiRp77NAn8qQ=s88-c-k-c0x00ffffff-no-rj")</f>
        <v>https://yt3.ggpht.com/ytc/AKedOLTh6rJrTLBK5noc5EQkadLOa-EaEsyiRp77NAn8qQ=s88-c-k-c0x00ffffff-no-rj</v>
      </c>
      <c r="G357" s="66"/>
      <c r="H357" s="70" t="s">
        <v>1908</v>
      </c>
      <c r="I357" s="71"/>
      <c r="J357" s="71" t="s">
        <v>159</v>
      </c>
      <c r="K357" s="70" t="s">
        <v>1908</v>
      </c>
      <c r="L357" s="74">
        <v>1</v>
      </c>
      <c r="M357" s="75">
        <v>6944.44677734375</v>
      </c>
      <c r="N357" s="75">
        <v>9422.16796875</v>
      </c>
      <c r="O357" s="76"/>
      <c r="P357" s="77"/>
      <c r="Q357" s="77"/>
      <c r="R357" s="89"/>
      <c r="S357" s="49">
        <v>2</v>
      </c>
      <c r="T357" s="49">
        <v>2</v>
      </c>
      <c r="U357" s="50">
        <v>0</v>
      </c>
      <c r="V357" s="50">
        <v>0.002597</v>
      </c>
      <c r="W357" s="50">
        <v>0.005224</v>
      </c>
      <c r="X357" s="50">
        <v>0.915039</v>
      </c>
      <c r="Y357" s="50">
        <v>0</v>
      </c>
      <c r="Z357" s="50">
        <v>1</v>
      </c>
      <c r="AA357" s="72">
        <v>357</v>
      </c>
      <c r="AB357" s="72"/>
      <c r="AC357" s="73"/>
      <c r="AD357" s="80" t="s">
        <v>1908</v>
      </c>
      <c r="AE357" s="80"/>
      <c r="AF357" s="80"/>
      <c r="AG357" s="80"/>
      <c r="AH357" s="80"/>
      <c r="AI357" s="80"/>
      <c r="AJ357" s="87">
        <v>40604.747766203705</v>
      </c>
      <c r="AK357" s="85" t="str">
        <f>HYPERLINK("https://yt3.ggpht.com/ytc/AKedOLTh6rJrTLBK5noc5EQkadLOa-EaEsyiRp77NAn8qQ=s88-c-k-c0x00ffffff-no-rj")</f>
        <v>https://yt3.ggpht.com/ytc/AKedOLTh6rJrTLBK5noc5EQkadLOa-EaEsyiRp77NAn8qQ=s88-c-k-c0x00ffffff-no-rj</v>
      </c>
      <c r="AL357" s="80">
        <v>0</v>
      </c>
      <c r="AM357" s="80">
        <v>0</v>
      </c>
      <c r="AN357" s="80">
        <v>5</v>
      </c>
      <c r="AO357" s="80" t="b">
        <v>0</v>
      </c>
      <c r="AP357" s="80">
        <v>0</v>
      </c>
      <c r="AQ357" s="80"/>
      <c r="AR357" s="80"/>
      <c r="AS357" s="80" t="s">
        <v>3412</v>
      </c>
      <c r="AT357" s="85" t="str">
        <f>HYPERLINK("https://www.youtube.com/channel/UCG_nXoruS3tVuW52bO0_isw")</f>
        <v>https://www.youtube.com/channel/UCG_nXoruS3tVuW52bO0_isw</v>
      </c>
      <c r="AU357" s="80" t="str">
        <f>REPLACE(INDEX(GroupVertices[Group],MATCH(Vertices[[#This Row],[Vertex]],GroupVertices[Vertex],0)),1,1,"")</f>
        <v>1</v>
      </c>
      <c r="AV357" s="49">
        <v>4</v>
      </c>
      <c r="AW357" s="50">
        <v>12.121212121212121</v>
      </c>
      <c r="AX357" s="49">
        <v>3</v>
      </c>
      <c r="AY357" s="50">
        <v>9.090909090909092</v>
      </c>
      <c r="AZ357" s="49">
        <v>0</v>
      </c>
      <c r="BA357" s="50">
        <v>0</v>
      </c>
      <c r="BB357" s="49">
        <v>26</v>
      </c>
      <c r="BC357" s="50">
        <v>78.78787878787878</v>
      </c>
      <c r="BD357" s="49">
        <v>33</v>
      </c>
      <c r="BE357" s="49"/>
      <c r="BF357" s="49"/>
      <c r="BG357" s="49"/>
      <c r="BH357" s="49"/>
      <c r="BI357" s="49"/>
      <c r="BJ357" s="49"/>
      <c r="BK357" s="111" t="s">
        <v>4715</v>
      </c>
      <c r="BL357" s="111" t="s">
        <v>4880</v>
      </c>
      <c r="BM357" s="111" t="s">
        <v>5188</v>
      </c>
      <c r="BN357" s="111" t="s">
        <v>5338</v>
      </c>
      <c r="BO357" s="2"/>
      <c r="BP357" s="3"/>
      <c r="BQ357" s="3"/>
      <c r="BR357" s="3"/>
      <c r="BS357" s="3"/>
    </row>
    <row r="358" spans="1:71" ht="15">
      <c r="A358" s="65" t="s">
        <v>581</v>
      </c>
      <c r="B358" s="66"/>
      <c r="C358" s="66"/>
      <c r="D358" s="67">
        <v>150</v>
      </c>
      <c r="E358" s="69"/>
      <c r="F358" s="103" t="str">
        <f>HYPERLINK("https://yt3.ggpht.com/ytc/AKedOLSL-JEmbGzZvzoFgfHURw2Z2hptW-HXRVnfAA=s88-c-k-c0x00ffffff-no-rj")</f>
        <v>https://yt3.ggpht.com/ytc/AKedOLSL-JEmbGzZvzoFgfHURw2Z2hptW-HXRVnfAA=s88-c-k-c0x00ffffff-no-rj</v>
      </c>
      <c r="G358" s="66"/>
      <c r="H358" s="70" t="s">
        <v>1909</v>
      </c>
      <c r="I358" s="71"/>
      <c r="J358" s="71" t="s">
        <v>159</v>
      </c>
      <c r="K358" s="70" t="s">
        <v>1909</v>
      </c>
      <c r="L358" s="74">
        <v>1</v>
      </c>
      <c r="M358" s="75">
        <v>5191.36328125</v>
      </c>
      <c r="N358" s="75">
        <v>9573.2392578125</v>
      </c>
      <c r="O358" s="76"/>
      <c r="P358" s="77"/>
      <c r="Q358" s="77"/>
      <c r="R358" s="89"/>
      <c r="S358" s="49">
        <v>1</v>
      </c>
      <c r="T358" s="49">
        <v>1</v>
      </c>
      <c r="U358" s="50">
        <v>0</v>
      </c>
      <c r="V358" s="50">
        <v>0.002597</v>
      </c>
      <c r="W358" s="50">
        <v>0.00486</v>
      </c>
      <c r="X358" s="50">
        <v>0.526148</v>
      </c>
      <c r="Y358" s="50">
        <v>0</v>
      </c>
      <c r="Z358" s="50">
        <v>1</v>
      </c>
      <c r="AA358" s="72">
        <v>358</v>
      </c>
      <c r="AB358" s="72"/>
      <c r="AC358" s="73"/>
      <c r="AD358" s="80" t="s">
        <v>1909</v>
      </c>
      <c r="AE358" s="80"/>
      <c r="AF358" s="80"/>
      <c r="AG358" s="80"/>
      <c r="AH358" s="80"/>
      <c r="AI358" s="80"/>
      <c r="AJ358" s="87">
        <v>40271.40671296296</v>
      </c>
      <c r="AK358" s="85" t="str">
        <f>HYPERLINK("https://yt3.ggpht.com/ytc/AKedOLSL-JEmbGzZvzoFgfHURw2Z2hptW-HXRVnfAA=s88-c-k-c0x00ffffff-no-rj")</f>
        <v>https://yt3.ggpht.com/ytc/AKedOLSL-JEmbGzZvzoFgfHURw2Z2hptW-HXRVnfAA=s88-c-k-c0x00ffffff-no-rj</v>
      </c>
      <c r="AL358" s="80">
        <v>9964</v>
      </c>
      <c r="AM358" s="80">
        <v>0</v>
      </c>
      <c r="AN358" s="80">
        <v>38</v>
      </c>
      <c r="AO358" s="80" t="b">
        <v>0</v>
      </c>
      <c r="AP358" s="80">
        <v>50</v>
      </c>
      <c r="AQ358" s="80"/>
      <c r="AR358" s="80"/>
      <c r="AS358" s="80" t="s">
        <v>3412</v>
      </c>
      <c r="AT358" s="85" t="str">
        <f>HYPERLINK("https://www.youtube.com/channel/UCMiyV_Q72o8acn2-LR21hJw")</f>
        <v>https://www.youtube.com/channel/UCMiyV_Q72o8acn2-LR21hJw</v>
      </c>
      <c r="AU358" s="80" t="str">
        <f>REPLACE(INDEX(GroupVertices[Group],MATCH(Vertices[[#This Row],[Vertex]],GroupVertices[Vertex],0)),1,1,"")</f>
        <v>1</v>
      </c>
      <c r="AV358" s="49">
        <v>0</v>
      </c>
      <c r="AW358" s="50">
        <v>0</v>
      </c>
      <c r="AX358" s="49">
        <v>0</v>
      </c>
      <c r="AY358" s="50">
        <v>0</v>
      </c>
      <c r="AZ358" s="49">
        <v>0</v>
      </c>
      <c r="BA358" s="50">
        <v>0</v>
      </c>
      <c r="BB358" s="49">
        <v>37</v>
      </c>
      <c r="BC358" s="50">
        <v>100</v>
      </c>
      <c r="BD358" s="49">
        <v>37</v>
      </c>
      <c r="BE358" s="49"/>
      <c r="BF358" s="49"/>
      <c r="BG358" s="49"/>
      <c r="BH358" s="49"/>
      <c r="BI358" s="49"/>
      <c r="BJ358" s="49"/>
      <c r="BK358" s="111" t="s">
        <v>4716</v>
      </c>
      <c r="BL358" s="111" t="s">
        <v>4716</v>
      </c>
      <c r="BM358" s="111" t="s">
        <v>5189</v>
      </c>
      <c r="BN358" s="111" t="s">
        <v>5189</v>
      </c>
      <c r="BO358" s="2"/>
      <c r="BP358" s="3"/>
      <c r="BQ358" s="3"/>
      <c r="BR358" s="3"/>
      <c r="BS358" s="3"/>
    </row>
    <row r="359" spans="1:71" ht="15">
      <c r="A359" s="65" t="s">
        <v>582</v>
      </c>
      <c r="B359" s="66"/>
      <c r="C359" s="66"/>
      <c r="D359" s="67">
        <v>150</v>
      </c>
      <c r="E359" s="69"/>
      <c r="F359" s="103" t="str">
        <f>HYPERLINK("https://yt3.ggpht.com/ytc/AKedOLQrhHpYSrxVqC1obE7VEEMRkxpvhTxqkQu4fCtfaQ=s88-c-k-c0x00ffffff-no-rj")</f>
        <v>https://yt3.ggpht.com/ytc/AKedOLQrhHpYSrxVqC1obE7VEEMRkxpvhTxqkQu4fCtfaQ=s88-c-k-c0x00ffffff-no-rj</v>
      </c>
      <c r="G359" s="66"/>
      <c r="H359" s="70" t="s">
        <v>1910</v>
      </c>
      <c r="I359" s="71"/>
      <c r="J359" s="71" t="s">
        <v>159</v>
      </c>
      <c r="K359" s="70" t="s">
        <v>1910</v>
      </c>
      <c r="L359" s="74">
        <v>1</v>
      </c>
      <c r="M359" s="75">
        <v>6660.55859375</v>
      </c>
      <c r="N359" s="75">
        <v>7737.89453125</v>
      </c>
      <c r="O359" s="76"/>
      <c r="P359" s="77"/>
      <c r="Q359" s="77"/>
      <c r="R359" s="89"/>
      <c r="S359" s="49">
        <v>1</v>
      </c>
      <c r="T359" s="49">
        <v>1</v>
      </c>
      <c r="U359" s="50">
        <v>0</v>
      </c>
      <c r="V359" s="50">
        <v>0.002597</v>
      </c>
      <c r="W359" s="50">
        <v>0.00486</v>
      </c>
      <c r="X359" s="50">
        <v>0.526148</v>
      </c>
      <c r="Y359" s="50">
        <v>0</v>
      </c>
      <c r="Z359" s="50">
        <v>1</v>
      </c>
      <c r="AA359" s="72">
        <v>359</v>
      </c>
      <c r="AB359" s="72"/>
      <c r="AC359" s="73"/>
      <c r="AD359" s="80" t="s">
        <v>1910</v>
      </c>
      <c r="AE359" s="80"/>
      <c r="AF359" s="80"/>
      <c r="AG359" s="80"/>
      <c r="AH359" s="80"/>
      <c r="AI359" s="80"/>
      <c r="AJ359" s="80" t="s">
        <v>3304</v>
      </c>
      <c r="AK359" s="85" t="str">
        <f>HYPERLINK("https://yt3.ggpht.com/ytc/AKedOLQrhHpYSrxVqC1obE7VEEMRkxpvhTxqkQu4fCtfaQ=s88-c-k-c0x00ffffff-no-rj")</f>
        <v>https://yt3.ggpht.com/ytc/AKedOLQrhHpYSrxVqC1obE7VEEMRkxpvhTxqkQu4fCtfaQ=s88-c-k-c0x00ffffff-no-rj</v>
      </c>
      <c r="AL359" s="80">
        <v>0</v>
      </c>
      <c r="AM359" s="80">
        <v>0</v>
      </c>
      <c r="AN359" s="80">
        <v>24</v>
      </c>
      <c r="AO359" s="80" t="b">
        <v>0</v>
      </c>
      <c r="AP359" s="80">
        <v>0</v>
      </c>
      <c r="AQ359" s="80"/>
      <c r="AR359" s="80"/>
      <c r="AS359" s="80" t="s">
        <v>3412</v>
      </c>
      <c r="AT359" s="85" t="str">
        <f>HYPERLINK("https://www.youtube.com/channel/UCdg26mi464Al2R0YgQwvGww")</f>
        <v>https://www.youtube.com/channel/UCdg26mi464Al2R0YgQwvGww</v>
      </c>
      <c r="AU359" s="80" t="str">
        <f>REPLACE(INDEX(GroupVertices[Group],MATCH(Vertices[[#This Row],[Vertex]],GroupVertices[Vertex],0)),1,1,"")</f>
        <v>1</v>
      </c>
      <c r="AV359" s="49">
        <v>5</v>
      </c>
      <c r="AW359" s="50">
        <v>8.064516129032258</v>
      </c>
      <c r="AX359" s="49">
        <v>0</v>
      </c>
      <c r="AY359" s="50">
        <v>0</v>
      </c>
      <c r="AZ359" s="49">
        <v>0</v>
      </c>
      <c r="BA359" s="50">
        <v>0</v>
      </c>
      <c r="BB359" s="49">
        <v>57</v>
      </c>
      <c r="BC359" s="50">
        <v>91.93548387096774</v>
      </c>
      <c r="BD359" s="49">
        <v>62</v>
      </c>
      <c r="BE359" s="49"/>
      <c r="BF359" s="49"/>
      <c r="BG359" s="49"/>
      <c r="BH359" s="49"/>
      <c r="BI359" s="49"/>
      <c r="BJ359" s="49"/>
      <c r="BK359" s="111" t="s">
        <v>4717</v>
      </c>
      <c r="BL359" s="111" t="s">
        <v>4717</v>
      </c>
      <c r="BM359" s="111" t="s">
        <v>5190</v>
      </c>
      <c r="BN359" s="111" t="s">
        <v>5190</v>
      </c>
      <c r="BO359" s="2"/>
      <c r="BP359" s="3"/>
      <c r="BQ359" s="3"/>
      <c r="BR359" s="3"/>
      <c r="BS359" s="3"/>
    </row>
    <row r="360" spans="1:71" ht="15">
      <c r="A360" s="65" t="s">
        <v>583</v>
      </c>
      <c r="B360" s="66"/>
      <c r="C360" s="66"/>
      <c r="D360" s="67">
        <v>150</v>
      </c>
      <c r="E360" s="69"/>
      <c r="F360" s="103" t="str">
        <f>HYPERLINK("https://yt3.ggpht.com/ytc/AKedOLRrM1aMXc9QvDZg19FY9_XvH2MpkCjCYXSvSdun=s88-c-k-c0x00ffffff-no-rj")</f>
        <v>https://yt3.ggpht.com/ytc/AKedOLRrM1aMXc9QvDZg19FY9_XvH2MpkCjCYXSvSdun=s88-c-k-c0x00ffffff-no-rj</v>
      </c>
      <c r="G360" s="66"/>
      <c r="H360" s="70" t="s">
        <v>1911</v>
      </c>
      <c r="I360" s="71"/>
      <c r="J360" s="71" t="s">
        <v>159</v>
      </c>
      <c r="K360" s="70" t="s">
        <v>1911</v>
      </c>
      <c r="L360" s="74">
        <v>1</v>
      </c>
      <c r="M360" s="75">
        <v>9210.0478515625</v>
      </c>
      <c r="N360" s="75">
        <v>7736.7119140625</v>
      </c>
      <c r="O360" s="76"/>
      <c r="P360" s="77"/>
      <c r="Q360" s="77"/>
      <c r="R360" s="89"/>
      <c r="S360" s="49">
        <v>1</v>
      </c>
      <c r="T360" s="49">
        <v>1</v>
      </c>
      <c r="U360" s="50">
        <v>0</v>
      </c>
      <c r="V360" s="50">
        <v>0.002597</v>
      </c>
      <c r="W360" s="50">
        <v>0.00486</v>
      </c>
      <c r="X360" s="50">
        <v>0.526148</v>
      </c>
      <c r="Y360" s="50">
        <v>0</v>
      </c>
      <c r="Z360" s="50">
        <v>1</v>
      </c>
      <c r="AA360" s="72">
        <v>360</v>
      </c>
      <c r="AB360" s="72"/>
      <c r="AC360" s="73"/>
      <c r="AD360" s="80" t="s">
        <v>1911</v>
      </c>
      <c r="AE360" s="80"/>
      <c r="AF360" s="80"/>
      <c r="AG360" s="80"/>
      <c r="AH360" s="80"/>
      <c r="AI360" s="80"/>
      <c r="AJ360" s="80" t="s">
        <v>3305</v>
      </c>
      <c r="AK360" s="85" t="str">
        <f>HYPERLINK("https://yt3.ggpht.com/ytc/AKedOLRrM1aMXc9QvDZg19FY9_XvH2MpkCjCYXSvSdun=s88-c-k-c0x00ffffff-no-rj")</f>
        <v>https://yt3.ggpht.com/ytc/AKedOLRrM1aMXc9QvDZg19FY9_XvH2MpkCjCYXSvSdun=s88-c-k-c0x00ffffff-no-rj</v>
      </c>
      <c r="AL360" s="80">
        <v>0</v>
      </c>
      <c r="AM360" s="80">
        <v>0</v>
      </c>
      <c r="AN360" s="80">
        <v>4</v>
      </c>
      <c r="AO360" s="80" t="b">
        <v>0</v>
      </c>
      <c r="AP360" s="80">
        <v>0</v>
      </c>
      <c r="AQ360" s="80"/>
      <c r="AR360" s="80"/>
      <c r="AS360" s="80" t="s">
        <v>3412</v>
      </c>
      <c r="AT360" s="85" t="str">
        <f>HYPERLINK("https://www.youtube.com/channel/UCYQ_SiM9OrCp3yaK5vo7Wpw")</f>
        <v>https://www.youtube.com/channel/UCYQ_SiM9OrCp3yaK5vo7Wpw</v>
      </c>
      <c r="AU360" s="80" t="str">
        <f>REPLACE(INDEX(GroupVertices[Group],MATCH(Vertices[[#This Row],[Vertex]],GroupVertices[Vertex],0)),1,1,"")</f>
        <v>1</v>
      </c>
      <c r="AV360" s="49">
        <v>3</v>
      </c>
      <c r="AW360" s="50">
        <v>15.789473684210526</v>
      </c>
      <c r="AX360" s="49">
        <v>0</v>
      </c>
      <c r="AY360" s="50">
        <v>0</v>
      </c>
      <c r="AZ360" s="49">
        <v>0</v>
      </c>
      <c r="BA360" s="50">
        <v>0</v>
      </c>
      <c r="BB360" s="49">
        <v>16</v>
      </c>
      <c r="BC360" s="50">
        <v>84.21052631578948</v>
      </c>
      <c r="BD360" s="49">
        <v>19</v>
      </c>
      <c r="BE360" s="49"/>
      <c r="BF360" s="49"/>
      <c r="BG360" s="49"/>
      <c r="BH360" s="49"/>
      <c r="BI360" s="49"/>
      <c r="BJ360" s="49"/>
      <c r="BK360" s="111" t="s">
        <v>4718</v>
      </c>
      <c r="BL360" s="111" t="s">
        <v>4881</v>
      </c>
      <c r="BM360" s="111" t="s">
        <v>5191</v>
      </c>
      <c r="BN360" s="111" t="s">
        <v>5191</v>
      </c>
      <c r="BO360" s="2"/>
      <c r="BP360" s="3"/>
      <c r="BQ360" s="3"/>
      <c r="BR360" s="3"/>
      <c r="BS360" s="3"/>
    </row>
    <row r="361" spans="1:71" ht="15">
      <c r="A361" s="65" t="s">
        <v>584</v>
      </c>
      <c r="B361" s="66"/>
      <c r="C361" s="66"/>
      <c r="D361" s="67">
        <v>150</v>
      </c>
      <c r="E361" s="69"/>
      <c r="F361" s="103" t="str">
        <f>HYPERLINK("https://yt3.ggpht.com/ytc/AKedOLRdZugpbT3YpK2MVgzHr_yuRaf5MH9S0wdIVw=s88-c-k-c0x00ffffff-no-rj")</f>
        <v>https://yt3.ggpht.com/ytc/AKedOLRdZugpbT3YpK2MVgzHr_yuRaf5MH9S0wdIVw=s88-c-k-c0x00ffffff-no-rj</v>
      </c>
      <c r="G361" s="66"/>
      <c r="H361" s="70" t="s">
        <v>1912</v>
      </c>
      <c r="I361" s="71"/>
      <c r="J361" s="71" t="s">
        <v>159</v>
      </c>
      <c r="K361" s="70" t="s">
        <v>1912</v>
      </c>
      <c r="L361" s="74">
        <v>1</v>
      </c>
      <c r="M361" s="75">
        <v>3741.52294921875</v>
      </c>
      <c r="N361" s="75">
        <v>9063.6728515625</v>
      </c>
      <c r="O361" s="76"/>
      <c r="P361" s="77"/>
      <c r="Q361" s="77"/>
      <c r="R361" s="89"/>
      <c r="S361" s="49">
        <v>1</v>
      </c>
      <c r="T361" s="49">
        <v>1</v>
      </c>
      <c r="U361" s="50">
        <v>0</v>
      </c>
      <c r="V361" s="50">
        <v>0.002597</v>
      </c>
      <c r="W361" s="50">
        <v>0.00486</v>
      </c>
      <c r="X361" s="50">
        <v>0.526148</v>
      </c>
      <c r="Y361" s="50">
        <v>0</v>
      </c>
      <c r="Z361" s="50">
        <v>1</v>
      </c>
      <c r="AA361" s="72">
        <v>361</v>
      </c>
      <c r="AB361" s="72"/>
      <c r="AC361" s="73"/>
      <c r="AD361" s="80" t="s">
        <v>1912</v>
      </c>
      <c r="AE361" s="80"/>
      <c r="AF361" s="80"/>
      <c r="AG361" s="80"/>
      <c r="AH361" s="80"/>
      <c r="AI361" s="80"/>
      <c r="AJ361" s="87">
        <v>40820.71303240741</v>
      </c>
      <c r="AK361" s="85" t="str">
        <f>HYPERLINK("https://yt3.ggpht.com/ytc/AKedOLRdZugpbT3YpK2MVgzHr_yuRaf5MH9S0wdIVw=s88-c-k-c0x00ffffff-no-rj")</f>
        <v>https://yt3.ggpht.com/ytc/AKedOLRdZugpbT3YpK2MVgzHr_yuRaf5MH9S0wdIVw=s88-c-k-c0x00ffffff-no-rj</v>
      </c>
      <c r="AL361" s="80">
        <v>2671</v>
      </c>
      <c r="AM361" s="80">
        <v>0</v>
      </c>
      <c r="AN361" s="80">
        <v>2</v>
      </c>
      <c r="AO361" s="80" t="b">
        <v>0</v>
      </c>
      <c r="AP361" s="80">
        <v>1</v>
      </c>
      <c r="AQ361" s="80"/>
      <c r="AR361" s="80"/>
      <c r="AS361" s="80" t="s">
        <v>3412</v>
      </c>
      <c r="AT361" s="85" t="str">
        <f>HYPERLINK("https://www.youtube.com/channel/UCAvulQxkV4merY0uaNG8AkQ")</f>
        <v>https://www.youtube.com/channel/UCAvulQxkV4merY0uaNG8AkQ</v>
      </c>
      <c r="AU361" s="80" t="str">
        <f>REPLACE(INDEX(GroupVertices[Group],MATCH(Vertices[[#This Row],[Vertex]],GroupVertices[Vertex],0)),1,1,"")</f>
        <v>1</v>
      </c>
      <c r="AV361" s="49">
        <v>3</v>
      </c>
      <c r="AW361" s="50">
        <v>12</v>
      </c>
      <c r="AX361" s="49">
        <v>0</v>
      </c>
      <c r="AY361" s="50">
        <v>0</v>
      </c>
      <c r="AZ361" s="49">
        <v>0</v>
      </c>
      <c r="BA361" s="50">
        <v>0</v>
      </c>
      <c r="BB361" s="49">
        <v>22</v>
      </c>
      <c r="BC361" s="50">
        <v>88</v>
      </c>
      <c r="BD361" s="49">
        <v>25</v>
      </c>
      <c r="BE361" s="49"/>
      <c r="BF361" s="49"/>
      <c r="BG361" s="49"/>
      <c r="BH361" s="49"/>
      <c r="BI361" s="49"/>
      <c r="BJ361" s="49"/>
      <c r="BK361" s="111" t="s">
        <v>4719</v>
      </c>
      <c r="BL361" s="111" t="s">
        <v>4719</v>
      </c>
      <c r="BM361" s="111" t="s">
        <v>5192</v>
      </c>
      <c r="BN361" s="111" t="s">
        <v>5192</v>
      </c>
      <c r="BO361" s="2"/>
      <c r="BP361" s="3"/>
      <c r="BQ361" s="3"/>
      <c r="BR361" s="3"/>
      <c r="BS361" s="3"/>
    </row>
    <row r="362" spans="1:71" ht="15">
      <c r="A362" s="65" t="s">
        <v>585</v>
      </c>
      <c r="B362" s="66"/>
      <c r="C362" s="66"/>
      <c r="D362" s="67">
        <v>150</v>
      </c>
      <c r="E362" s="69"/>
      <c r="F362" s="103" t="str">
        <f>HYPERLINK("https://yt3.ggpht.com/ytc/AKedOLRuf39F7pKt4bFg8D4nJ17XvPKGhHOxacbqVspK=s88-c-k-c0x00ffffff-no-rj")</f>
        <v>https://yt3.ggpht.com/ytc/AKedOLRuf39F7pKt4bFg8D4nJ17XvPKGhHOxacbqVspK=s88-c-k-c0x00ffffff-no-rj</v>
      </c>
      <c r="G362" s="66"/>
      <c r="H362" s="70" t="s">
        <v>1913</v>
      </c>
      <c r="I362" s="71"/>
      <c r="J362" s="71" t="s">
        <v>159</v>
      </c>
      <c r="K362" s="70" t="s">
        <v>1913</v>
      </c>
      <c r="L362" s="74">
        <v>1</v>
      </c>
      <c r="M362" s="75">
        <v>5603.3515625</v>
      </c>
      <c r="N362" s="75">
        <v>7439.49609375</v>
      </c>
      <c r="O362" s="76"/>
      <c r="P362" s="77"/>
      <c r="Q362" s="77"/>
      <c r="R362" s="89"/>
      <c r="S362" s="49">
        <v>0</v>
      </c>
      <c r="T362" s="49">
        <v>1</v>
      </c>
      <c r="U362" s="50">
        <v>0</v>
      </c>
      <c r="V362" s="50">
        <v>0.002597</v>
      </c>
      <c r="W362" s="50">
        <v>0.00486</v>
      </c>
      <c r="X362" s="50">
        <v>0.526148</v>
      </c>
      <c r="Y362" s="50">
        <v>0</v>
      </c>
      <c r="Z362" s="50">
        <v>0</v>
      </c>
      <c r="AA362" s="72">
        <v>362</v>
      </c>
      <c r="AB362" s="72"/>
      <c r="AC362" s="73"/>
      <c r="AD362" s="80" t="s">
        <v>1913</v>
      </c>
      <c r="AE362" s="80"/>
      <c r="AF362" s="80"/>
      <c r="AG362" s="80"/>
      <c r="AH362" s="80"/>
      <c r="AI362" s="80"/>
      <c r="AJ362" s="80" t="s">
        <v>3306</v>
      </c>
      <c r="AK362" s="85" t="str">
        <f>HYPERLINK("https://yt3.ggpht.com/ytc/AKedOLRuf39F7pKt4bFg8D4nJ17XvPKGhHOxacbqVspK=s88-c-k-c0x00ffffff-no-rj")</f>
        <v>https://yt3.ggpht.com/ytc/AKedOLRuf39F7pKt4bFg8D4nJ17XvPKGhHOxacbqVspK=s88-c-k-c0x00ffffff-no-rj</v>
      </c>
      <c r="AL362" s="80">
        <v>0</v>
      </c>
      <c r="AM362" s="80">
        <v>0</v>
      </c>
      <c r="AN362" s="80">
        <v>97</v>
      </c>
      <c r="AO362" s="80" t="b">
        <v>0</v>
      </c>
      <c r="AP362" s="80">
        <v>0</v>
      </c>
      <c r="AQ362" s="80"/>
      <c r="AR362" s="80"/>
      <c r="AS362" s="80" t="s">
        <v>3412</v>
      </c>
      <c r="AT362" s="85" t="str">
        <f>HYPERLINK("https://www.youtube.com/channel/UCy_sFlgN167vfSzISY_Y_WA")</f>
        <v>https://www.youtube.com/channel/UCy_sFlgN167vfSzISY_Y_WA</v>
      </c>
      <c r="AU362" s="80" t="str">
        <f>REPLACE(INDEX(GroupVertices[Group],MATCH(Vertices[[#This Row],[Vertex]],GroupVertices[Vertex],0)),1,1,"")</f>
        <v>1</v>
      </c>
      <c r="AV362" s="49">
        <v>0</v>
      </c>
      <c r="AW362" s="50">
        <v>0</v>
      </c>
      <c r="AX362" s="49">
        <v>0</v>
      </c>
      <c r="AY362" s="50">
        <v>0</v>
      </c>
      <c r="AZ362" s="49">
        <v>0</v>
      </c>
      <c r="BA362" s="50">
        <v>0</v>
      </c>
      <c r="BB362" s="49">
        <v>4</v>
      </c>
      <c r="BC362" s="50">
        <v>100</v>
      </c>
      <c r="BD362" s="49">
        <v>4</v>
      </c>
      <c r="BE362" s="49"/>
      <c r="BF362" s="49"/>
      <c r="BG362" s="49"/>
      <c r="BH362" s="49"/>
      <c r="BI362" s="49"/>
      <c r="BJ362" s="49"/>
      <c r="BK362" s="111" t="s">
        <v>4720</v>
      </c>
      <c r="BL362" s="111" t="s">
        <v>4720</v>
      </c>
      <c r="BM362" s="111" t="s">
        <v>2782</v>
      </c>
      <c r="BN362" s="111" t="s">
        <v>2782</v>
      </c>
      <c r="BO362" s="2"/>
      <c r="BP362" s="3"/>
      <c r="BQ362" s="3"/>
      <c r="BR362" s="3"/>
      <c r="BS362" s="3"/>
    </row>
    <row r="363" spans="1:71" ht="15">
      <c r="A363" s="65" t="s">
        <v>586</v>
      </c>
      <c r="B363" s="66"/>
      <c r="C363" s="66"/>
      <c r="D363" s="67">
        <v>150</v>
      </c>
      <c r="E363" s="69"/>
      <c r="F363" s="103" t="str">
        <f>HYPERLINK("https://yt3.ggpht.com/ytc/AKedOLTkmjPmIJkKLjGP8xgU68RQG78jZ4U-kq9kpQ=s88-c-k-c0x00ffffff-no-rj")</f>
        <v>https://yt3.ggpht.com/ytc/AKedOLTkmjPmIJkKLjGP8xgU68RQG78jZ4U-kq9kpQ=s88-c-k-c0x00ffffff-no-rj</v>
      </c>
      <c r="G363" s="66"/>
      <c r="H363" s="70" t="s">
        <v>1914</v>
      </c>
      <c r="I363" s="71"/>
      <c r="J363" s="71" t="s">
        <v>159</v>
      </c>
      <c r="K363" s="70" t="s">
        <v>1914</v>
      </c>
      <c r="L363" s="74">
        <v>1</v>
      </c>
      <c r="M363" s="75">
        <v>4101.27880859375</v>
      </c>
      <c r="N363" s="75">
        <v>7404.64453125</v>
      </c>
      <c r="O363" s="76"/>
      <c r="P363" s="77"/>
      <c r="Q363" s="77"/>
      <c r="R363" s="89"/>
      <c r="S363" s="49">
        <v>1</v>
      </c>
      <c r="T363" s="49">
        <v>1</v>
      </c>
      <c r="U363" s="50">
        <v>0</v>
      </c>
      <c r="V363" s="50">
        <v>0.002597</v>
      </c>
      <c r="W363" s="50">
        <v>0.00486</v>
      </c>
      <c r="X363" s="50">
        <v>0.526148</v>
      </c>
      <c r="Y363" s="50">
        <v>0</v>
      </c>
      <c r="Z363" s="50">
        <v>1</v>
      </c>
      <c r="AA363" s="72">
        <v>363</v>
      </c>
      <c r="AB363" s="72"/>
      <c r="AC363" s="73"/>
      <c r="AD363" s="80" t="s">
        <v>1914</v>
      </c>
      <c r="AE363" s="80"/>
      <c r="AF363" s="80"/>
      <c r="AG363" s="80"/>
      <c r="AH363" s="80"/>
      <c r="AI363" s="80"/>
      <c r="AJ363" s="87">
        <v>42278.95111111111</v>
      </c>
      <c r="AK363" s="85" t="str">
        <f>HYPERLINK("https://yt3.ggpht.com/ytc/AKedOLTkmjPmIJkKLjGP8xgU68RQG78jZ4U-kq9kpQ=s88-c-k-c0x00ffffff-no-rj")</f>
        <v>https://yt3.ggpht.com/ytc/AKedOLTkmjPmIJkKLjGP8xgU68RQG78jZ4U-kq9kpQ=s88-c-k-c0x00ffffff-no-rj</v>
      </c>
      <c r="AL363" s="80">
        <v>10</v>
      </c>
      <c r="AM363" s="80">
        <v>0</v>
      </c>
      <c r="AN363" s="80">
        <v>0</v>
      </c>
      <c r="AO363" s="80" t="b">
        <v>0</v>
      </c>
      <c r="AP363" s="80">
        <v>1</v>
      </c>
      <c r="AQ363" s="80"/>
      <c r="AR363" s="80"/>
      <c r="AS363" s="80" t="s">
        <v>3412</v>
      </c>
      <c r="AT363" s="85" t="str">
        <f>HYPERLINK("https://www.youtube.com/channel/UCv1wQ9RJHUCscxrNZHVBcSA")</f>
        <v>https://www.youtube.com/channel/UCv1wQ9RJHUCscxrNZHVBcSA</v>
      </c>
      <c r="AU363" s="80" t="str">
        <f>REPLACE(INDEX(GroupVertices[Group],MATCH(Vertices[[#This Row],[Vertex]],GroupVertices[Vertex],0)),1,1,"")</f>
        <v>1</v>
      </c>
      <c r="AV363" s="49">
        <v>3</v>
      </c>
      <c r="AW363" s="50">
        <v>15</v>
      </c>
      <c r="AX363" s="49">
        <v>0</v>
      </c>
      <c r="AY363" s="50">
        <v>0</v>
      </c>
      <c r="AZ363" s="49">
        <v>0</v>
      </c>
      <c r="BA363" s="50">
        <v>0</v>
      </c>
      <c r="BB363" s="49">
        <v>17</v>
      </c>
      <c r="BC363" s="50">
        <v>85</v>
      </c>
      <c r="BD363" s="49">
        <v>20</v>
      </c>
      <c r="BE363" s="49"/>
      <c r="BF363" s="49"/>
      <c r="BG363" s="49"/>
      <c r="BH363" s="49"/>
      <c r="BI363" s="49"/>
      <c r="BJ363" s="49"/>
      <c r="BK363" s="111" t="s">
        <v>4721</v>
      </c>
      <c r="BL363" s="111" t="s">
        <v>4721</v>
      </c>
      <c r="BM363" s="111" t="s">
        <v>5193</v>
      </c>
      <c r="BN363" s="111" t="s">
        <v>5193</v>
      </c>
      <c r="BO363" s="2"/>
      <c r="BP363" s="3"/>
      <c r="BQ363" s="3"/>
      <c r="BR363" s="3"/>
      <c r="BS363" s="3"/>
    </row>
    <row r="364" spans="1:71" ht="15">
      <c r="A364" s="65" t="s">
        <v>587</v>
      </c>
      <c r="B364" s="66"/>
      <c r="C364" s="66"/>
      <c r="D364" s="67">
        <v>150</v>
      </c>
      <c r="E364" s="69"/>
      <c r="F364" s="103" t="str">
        <f>HYPERLINK("https://yt3.ggpht.com/ytc/AKedOLS2n6n4WW47PGVGRBrWCfRo0vKsjbd4uWN1UbcqJw=s88-c-k-c0x00ffffff-no-rj")</f>
        <v>https://yt3.ggpht.com/ytc/AKedOLS2n6n4WW47PGVGRBrWCfRo0vKsjbd4uWN1UbcqJw=s88-c-k-c0x00ffffff-no-rj</v>
      </c>
      <c r="G364" s="66"/>
      <c r="H364" s="70" t="s">
        <v>1915</v>
      </c>
      <c r="I364" s="71"/>
      <c r="J364" s="71" t="s">
        <v>159</v>
      </c>
      <c r="K364" s="70" t="s">
        <v>1915</v>
      </c>
      <c r="L364" s="74">
        <v>1</v>
      </c>
      <c r="M364" s="75">
        <v>7102.9345703125</v>
      </c>
      <c r="N364" s="75">
        <v>9625.90234375</v>
      </c>
      <c r="O364" s="76"/>
      <c r="P364" s="77"/>
      <c r="Q364" s="77"/>
      <c r="R364" s="89"/>
      <c r="S364" s="49">
        <v>0</v>
      </c>
      <c r="T364" s="49">
        <v>1</v>
      </c>
      <c r="U364" s="50">
        <v>0</v>
      </c>
      <c r="V364" s="50">
        <v>0.002597</v>
      </c>
      <c r="W364" s="50">
        <v>0.00486</v>
      </c>
      <c r="X364" s="50">
        <v>0.526148</v>
      </c>
      <c r="Y364" s="50">
        <v>0</v>
      </c>
      <c r="Z364" s="50">
        <v>0</v>
      </c>
      <c r="AA364" s="72">
        <v>364</v>
      </c>
      <c r="AB364" s="72"/>
      <c r="AC364" s="73"/>
      <c r="AD364" s="80" t="s">
        <v>1915</v>
      </c>
      <c r="AE364" s="80" t="s">
        <v>2941</v>
      </c>
      <c r="AF364" s="80"/>
      <c r="AG364" s="80"/>
      <c r="AH364" s="80"/>
      <c r="AI364" s="80"/>
      <c r="AJ364" s="80" t="s">
        <v>3307</v>
      </c>
      <c r="AK364" s="85" t="str">
        <f>HYPERLINK("https://yt3.ggpht.com/ytc/AKedOLS2n6n4WW47PGVGRBrWCfRo0vKsjbd4uWN1UbcqJw=s88-c-k-c0x00ffffff-no-rj")</f>
        <v>https://yt3.ggpht.com/ytc/AKedOLS2n6n4WW47PGVGRBrWCfRo0vKsjbd4uWN1UbcqJw=s88-c-k-c0x00ffffff-no-rj</v>
      </c>
      <c r="AL364" s="80">
        <v>320953</v>
      </c>
      <c r="AM364" s="80">
        <v>0</v>
      </c>
      <c r="AN364" s="80">
        <v>1540</v>
      </c>
      <c r="AO364" s="80" t="b">
        <v>0</v>
      </c>
      <c r="AP364" s="80">
        <v>71</v>
      </c>
      <c r="AQ364" s="80"/>
      <c r="AR364" s="80"/>
      <c r="AS364" s="80" t="s">
        <v>3412</v>
      </c>
      <c r="AT364" s="85" t="str">
        <f>HYPERLINK("https://www.youtube.com/channel/UCfPUyyUwzaGWf0XlauvHtiQ")</f>
        <v>https://www.youtube.com/channel/UCfPUyyUwzaGWf0XlauvHtiQ</v>
      </c>
      <c r="AU364" s="80" t="str">
        <f>REPLACE(INDEX(GroupVertices[Group],MATCH(Vertices[[#This Row],[Vertex]],GroupVertices[Vertex],0)),1,1,"")</f>
        <v>1</v>
      </c>
      <c r="AV364" s="49">
        <v>0</v>
      </c>
      <c r="AW364" s="50">
        <v>0</v>
      </c>
      <c r="AX364" s="49">
        <v>1</v>
      </c>
      <c r="AY364" s="50">
        <v>14.285714285714286</v>
      </c>
      <c r="AZ364" s="49">
        <v>0</v>
      </c>
      <c r="BA364" s="50">
        <v>0</v>
      </c>
      <c r="BB364" s="49">
        <v>6</v>
      </c>
      <c r="BC364" s="50">
        <v>85.71428571428571</v>
      </c>
      <c r="BD364" s="49">
        <v>7</v>
      </c>
      <c r="BE364" s="49"/>
      <c r="BF364" s="49"/>
      <c r="BG364" s="49"/>
      <c r="BH364" s="49"/>
      <c r="BI364" s="49"/>
      <c r="BJ364" s="49"/>
      <c r="BK364" s="111" t="s">
        <v>4722</v>
      </c>
      <c r="BL364" s="111" t="s">
        <v>4722</v>
      </c>
      <c r="BM364" s="111" t="s">
        <v>5194</v>
      </c>
      <c r="BN364" s="111" t="s">
        <v>5194</v>
      </c>
      <c r="BO364" s="2"/>
      <c r="BP364" s="3"/>
      <c r="BQ364" s="3"/>
      <c r="BR364" s="3"/>
      <c r="BS364" s="3"/>
    </row>
    <row r="365" spans="1:71" ht="15">
      <c r="A365" s="65" t="s">
        <v>588</v>
      </c>
      <c r="B365" s="66"/>
      <c r="C365" s="66"/>
      <c r="D365" s="67">
        <v>150</v>
      </c>
      <c r="E365" s="69"/>
      <c r="F365" s="103" t="str">
        <f>HYPERLINK("https://yt3.ggpht.com/ytc/AKedOLRAMp8-cKWz8hl2kMeUy3sgW82p-9uWbQx5ENmJDw=s88-c-k-c0x00ffffff-no-rj")</f>
        <v>https://yt3.ggpht.com/ytc/AKedOLRAMp8-cKWz8hl2kMeUy3sgW82p-9uWbQx5ENmJDw=s88-c-k-c0x00ffffff-no-rj</v>
      </c>
      <c r="G365" s="66"/>
      <c r="H365" s="70" t="s">
        <v>1916</v>
      </c>
      <c r="I365" s="71"/>
      <c r="J365" s="71" t="s">
        <v>159</v>
      </c>
      <c r="K365" s="70" t="s">
        <v>1916</v>
      </c>
      <c r="L365" s="74">
        <v>1</v>
      </c>
      <c r="M365" s="75">
        <v>5742.59912109375</v>
      </c>
      <c r="N365" s="75">
        <v>7347.87255859375</v>
      </c>
      <c r="O365" s="76"/>
      <c r="P365" s="77"/>
      <c r="Q365" s="77"/>
      <c r="R365" s="89"/>
      <c r="S365" s="49">
        <v>2</v>
      </c>
      <c r="T365" s="49">
        <v>2</v>
      </c>
      <c r="U365" s="50">
        <v>0</v>
      </c>
      <c r="V365" s="50">
        <v>0.002597</v>
      </c>
      <c r="W365" s="50">
        <v>0.005224</v>
      </c>
      <c r="X365" s="50">
        <v>0.915039</v>
      </c>
      <c r="Y365" s="50">
        <v>0</v>
      </c>
      <c r="Z365" s="50">
        <v>1</v>
      </c>
      <c r="AA365" s="72">
        <v>365</v>
      </c>
      <c r="AB365" s="72"/>
      <c r="AC365" s="73"/>
      <c r="AD365" s="80" t="s">
        <v>1916</v>
      </c>
      <c r="AE365" s="80"/>
      <c r="AF365" s="80"/>
      <c r="AG365" s="80"/>
      <c r="AH365" s="80"/>
      <c r="AI365" s="80"/>
      <c r="AJ365" s="80" t="s">
        <v>3308</v>
      </c>
      <c r="AK365" s="85" t="str">
        <f>HYPERLINK("https://yt3.ggpht.com/ytc/AKedOLRAMp8-cKWz8hl2kMeUy3sgW82p-9uWbQx5ENmJDw=s88-c-k-c0x00ffffff-no-rj")</f>
        <v>https://yt3.ggpht.com/ytc/AKedOLRAMp8-cKWz8hl2kMeUy3sgW82p-9uWbQx5ENmJDw=s88-c-k-c0x00ffffff-no-rj</v>
      </c>
      <c r="AL365" s="80">
        <v>0</v>
      </c>
      <c r="AM365" s="80">
        <v>0</v>
      </c>
      <c r="AN365" s="80">
        <v>0</v>
      </c>
      <c r="AO365" s="80" t="b">
        <v>0</v>
      </c>
      <c r="AP365" s="80">
        <v>0</v>
      </c>
      <c r="AQ365" s="80"/>
      <c r="AR365" s="80"/>
      <c r="AS365" s="80" t="s">
        <v>3412</v>
      </c>
      <c r="AT365" s="85" t="str">
        <f>HYPERLINK("https://www.youtube.com/channel/UCDyw55lLfmxDhVdv6ek1OmA")</f>
        <v>https://www.youtube.com/channel/UCDyw55lLfmxDhVdv6ek1OmA</v>
      </c>
      <c r="AU365" s="80" t="str">
        <f>REPLACE(INDEX(GroupVertices[Group],MATCH(Vertices[[#This Row],[Vertex]],GroupVertices[Vertex],0)),1,1,"")</f>
        <v>1</v>
      </c>
      <c r="AV365" s="49">
        <v>5</v>
      </c>
      <c r="AW365" s="50">
        <v>5.319148936170213</v>
      </c>
      <c r="AX365" s="49">
        <v>4</v>
      </c>
      <c r="AY365" s="50">
        <v>4.25531914893617</v>
      </c>
      <c r="AZ365" s="49">
        <v>0</v>
      </c>
      <c r="BA365" s="50">
        <v>0</v>
      </c>
      <c r="BB365" s="49">
        <v>85</v>
      </c>
      <c r="BC365" s="50">
        <v>90.42553191489361</v>
      </c>
      <c r="BD365" s="49">
        <v>94</v>
      </c>
      <c r="BE365" s="49"/>
      <c r="BF365" s="49"/>
      <c r="BG365" s="49"/>
      <c r="BH365" s="49"/>
      <c r="BI365" s="49"/>
      <c r="BJ365" s="49"/>
      <c r="BK365" s="111" t="s">
        <v>4723</v>
      </c>
      <c r="BL365" s="111" t="s">
        <v>4723</v>
      </c>
      <c r="BM365" s="111" t="s">
        <v>5195</v>
      </c>
      <c r="BN365" s="111" t="s">
        <v>5195</v>
      </c>
      <c r="BO365" s="2"/>
      <c r="BP365" s="3"/>
      <c r="BQ365" s="3"/>
      <c r="BR365" s="3"/>
      <c r="BS365" s="3"/>
    </row>
    <row r="366" spans="1:71" ht="15">
      <c r="A366" s="65" t="s">
        <v>589</v>
      </c>
      <c r="B366" s="66"/>
      <c r="C366" s="66"/>
      <c r="D366" s="67">
        <v>150</v>
      </c>
      <c r="E366" s="69"/>
      <c r="F366" s="103" t="str">
        <f>HYPERLINK("https://yt3.ggpht.com/ytc/AKedOLRO8wnPOrbw8MSrNK7mSyaAgmZSUVo78VpVhA=s88-c-k-c0x00ffffff-no-rj")</f>
        <v>https://yt3.ggpht.com/ytc/AKedOLRO8wnPOrbw8MSrNK7mSyaAgmZSUVo78VpVhA=s88-c-k-c0x00ffffff-no-rj</v>
      </c>
      <c r="G366" s="66"/>
      <c r="H366" s="70" t="s">
        <v>1917</v>
      </c>
      <c r="I366" s="71"/>
      <c r="J366" s="71" t="s">
        <v>159</v>
      </c>
      <c r="K366" s="70" t="s">
        <v>1917</v>
      </c>
      <c r="L366" s="74">
        <v>1</v>
      </c>
      <c r="M366" s="75">
        <v>8413.6767578125</v>
      </c>
      <c r="N366" s="75">
        <v>9426.9150390625</v>
      </c>
      <c r="O366" s="76"/>
      <c r="P366" s="77"/>
      <c r="Q366" s="77"/>
      <c r="R366" s="89"/>
      <c r="S366" s="49">
        <v>1</v>
      </c>
      <c r="T366" s="49">
        <v>1</v>
      </c>
      <c r="U366" s="50">
        <v>0</v>
      </c>
      <c r="V366" s="50">
        <v>0.002597</v>
      </c>
      <c r="W366" s="50">
        <v>0.00486</v>
      </c>
      <c r="X366" s="50">
        <v>0.526148</v>
      </c>
      <c r="Y366" s="50">
        <v>0</v>
      </c>
      <c r="Z366" s="50">
        <v>1</v>
      </c>
      <c r="AA366" s="72">
        <v>366</v>
      </c>
      <c r="AB366" s="72"/>
      <c r="AC366" s="73"/>
      <c r="AD366" s="80" t="s">
        <v>1917</v>
      </c>
      <c r="AE366" s="80"/>
      <c r="AF366" s="80"/>
      <c r="AG366" s="80"/>
      <c r="AH366" s="80"/>
      <c r="AI366" s="80"/>
      <c r="AJ366" s="80" t="s">
        <v>3309</v>
      </c>
      <c r="AK366" s="85" t="str">
        <f>HYPERLINK("https://yt3.ggpht.com/ytc/AKedOLRO8wnPOrbw8MSrNK7mSyaAgmZSUVo78VpVhA=s88-c-k-c0x00ffffff-no-rj")</f>
        <v>https://yt3.ggpht.com/ytc/AKedOLRO8wnPOrbw8MSrNK7mSyaAgmZSUVo78VpVhA=s88-c-k-c0x00ffffff-no-rj</v>
      </c>
      <c r="AL366" s="80">
        <v>0</v>
      </c>
      <c r="AM366" s="80">
        <v>0</v>
      </c>
      <c r="AN366" s="80">
        <v>3</v>
      </c>
      <c r="AO366" s="80" t="b">
        <v>0</v>
      </c>
      <c r="AP366" s="80">
        <v>0</v>
      </c>
      <c r="AQ366" s="80"/>
      <c r="AR366" s="80"/>
      <c r="AS366" s="80" t="s">
        <v>3412</v>
      </c>
      <c r="AT366" s="85" t="str">
        <f>HYPERLINK("https://www.youtube.com/channel/UChDk3571Jo-A1SjrnDleTqA")</f>
        <v>https://www.youtube.com/channel/UChDk3571Jo-A1SjrnDleTqA</v>
      </c>
      <c r="AU366" s="80" t="str">
        <f>REPLACE(INDEX(GroupVertices[Group],MATCH(Vertices[[#This Row],[Vertex]],GroupVertices[Vertex],0)),1,1,"")</f>
        <v>1</v>
      </c>
      <c r="AV366" s="49">
        <v>1</v>
      </c>
      <c r="AW366" s="50">
        <v>2.4390243902439024</v>
      </c>
      <c r="AX366" s="49">
        <v>3</v>
      </c>
      <c r="AY366" s="50">
        <v>7.317073170731708</v>
      </c>
      <c r="AZ366" s="49">
        <v>0</v>
      </c>
      <c r="BA366" s="50">
        <v>0</v>
      </c>
      <c r="BB366" s="49">
        <v>37</v>
      </c>
      <c r="BC366" s="50">
        <v>90.2439024390244</v>
      </c>
      <c r="BD366" s="49">
        <v>41</v>
      </c>
      <c r="BE366" s="49"/>
      <c r="BF366" s="49"/>
      <c r="BG366" s="49"/>
      <c r="BH366" s="49"/>
      <c r="BI366" s="49"/>
      <c r="BJ366" s="49"/>
      <c r="BK366" s="111" t="s">
        <v>4724</v>
      </c>
      <c r="BL366" s="111" t="s">
        <v>4724</v>
      </c>
      <c r="BM366" s="111" t="s">
        <v>5196</v>
      </c>
      <c r="BN366" s="111" t="s">
        <v>5196</v>
      </c>
      <c r="BO366" s="2"/>
      <c r="BP366" s="3"/>
      <c r="BQ366" s="3"/>
      <c r="BR366" s="3"/>
      <c r="BS366" s="3"/>
    </row>
    <row r="367" spans="1:71" ht="15">
      <c r="A367" s="65" t="s">
        <v>590</v>
      </c>
      <c r="B367" s="66"/>
      <c r="C367" s="66"/>
      <c r="D367" s="67">
        <v>150</v>
      </c>
      <c r="E367" s="69"/>
      <c r="F367" s="103" t="str">
        <f>HYPERLINK("https://yt3.ggpht.com/ytc/AKedOLQ8GEB8bWpHbYlZaTXfSTx280vKQ_uUbJrSyU9q=s88-c-k-c0x00ffffff-no-rj")</f>
        <v>https://yt3.ggpht.com/ytc/AKedOLQ8GEB8bWpHbYlZaTXfSTx280vKQ_uUbJrSyU9q=s88-c-k-c0x00ffffff-no-rj</v>
      </c>
      <c r="G367" s="66"/>
      <c r="H367" s="70" t="s">
        <v>1918</v>
      </c>
      <c r="I367" s="71"/>
      <c r="J367" s="71" t="s">
        <v>159</v>
      </c>
      <c r="K367" s="70" t="s">
        <v>1918</v>
      </c>
      <c r="L367" s="74">
        <v>1</v>
      </c>
      <c r="M367" s="75">
        <v>3041.2177734375</v>
      </c>
      <c r="N367" s="75">
        <v>8302.1591796875</v>
      </c>
      <c r="O367" s="76"/>
      <c r="P367" s="77"/>
      <c r="Q367" s="77"/>
      <c r="R367" s="89"/>
      <c r="S367" s="49">
        <v>1</v>
      </c>
      <c r="T367" s="49">
        <v>1</v>
      </c>
      <c r="U367" s="50">
        <v>0</v>
      </c>
      <c r="V367" s="50">
        <v>0.002597</v>
      </c>
      <c r="W367" s="50">
        <v>0.00486</v>
      </c>
      <c r="X367" s="50">
        <v>0.526148</v>
      </c>
      <c r="Y367" s="50">
        <v>0</v>
      </c>
      <c r="Z367" s="50">
        <v>1</v>
      </c>
      <c r="AA367" s="72">
        <v>367</v>
      </c>
      <c r="AB367" s="72"/>
      <c r="AC367" s="73"/>
      <c r="AD367" s="80" t="s">
        <v>1918</v>
      </c>
      <c r="AE367" s="80" t="s">
        <v>2942</v>
      </c>
      <c r="AF367" s="80"/>
      <c r="AG367" s="80"/>
      <c r="AH367" s="80"/>
      <c r="AI367" s="80"/>
      <c r="AJ367" s="80" t="s">
        <v>3310</v>
      </c>
      <c r="AK367" s="85" t="str">
        <f>HYPERLINK("https://yt3.ggpht.com/ytc/AKedOLQ8GEB8bWpHbYlZaTXfSTx280vKQ_uUbJrSyU9q=s88-c-k-c0x00ffffff-no-rj")</f>
        <v>https://yt3.ggpht.com/ytc/AKedOLQ8GEB8bWpHbYlZaTXfSTx280vKQ_uUbJrSyU9q=s88-c-k-c0x00ffffff-no-rj</v>
      </c>
      <c r="AL367" s="80">
        <v>0</v>
      </c>
      <c r="AM367" s="80">
        <v>0</v>
      </c>
      <c r="AN367" s="80">
        <v>9</v>
      </c>
      <c r="AO367" s="80" t="b">
        <v>0</v>
      </c>
      <c r="AP367" s="80">
        <v>0</v>
      </c>
      <c r="AQ367" s="80"/>
      <c r="AR367" s="80"/>
      <c r="AS367" s="80" t="s">
        <v>3412</v>
      </c>
      <c r="AT367" s="85" t="str">
        <f>HYPERLINK("https://www.youtube.com/channel/UCEocRNWPqmsUDNmiqJqkDWw")</f>
        <v>https://www.youtube.com/channel/UCEocRNWPqmsUDNmiqJqkDWw</v>
      </c>
      <c r="AU367" s="80" t="str">
        <f>REPLACE(INDEX(GroupVertices[Group],MATCH(Vertices[[#This Row],[Vertex]],GroupVertices[Vertex],0)),1,1,"")</f>
        <v>1</v>
      </c>
      <c r="AV367" s="49">
        <v>1</v>
      </c>
      <c r="AW367" s="50">
        <v>9.090909090909092</v>
      </c>
      <c r="AX367" s="49">
        <v>0</v>
      </c>
      <c r="AY367" s="50">
        <v>0</v>
      </c>
      <c r="AZ367" s="49">
        <v>0</v>
      </c>
      <c r="BA367" s="50">
        <v>0</v>
      </c>
      <c r="BB367" s="49">
        <v>10</v>
      </c>
      <c r="BC367" s="50">
        <v>90.9090909090909</v>
      </c>
      <c r="BD367" s="49">
        <v>11</v>
      </c>
      <c r="BE367" s="49"/>
      <c r="BF367" s="49"/>
      <c r="BG367" s="49"/>
      <c r="BH367" s="49"/>
      <c r="BI367" s="49"/>
      <c r="BJ367" s="49"/>
      <c r="BK367" s="111" t="s">
        <v>4725</v>
      </c>
      <c r="BL367" s="111" t="s">
        <v>4725</v>
      </c>
      <c r="BM367" s="111" t="s">
        <v>5197</v>
      </c>
      <c r="BN367" s="111" t="s">
        <v>5197</v>
      </c>
      <c r="BO367" s="2"/>
      <c r="BP367" s="3"/>
      <c r="BQ367" s="3"/>
      <c r="BR367" s="3"/>
      <c r="BS367" s="3"/>
    </row>
    <row r="368" spans="1:71" ht="15">
      <c r="A368" s="65" t="s">
        <v>591</v>
      </c>
      <c r="B368" s="66"/>
      <c r="C368" s="66"/>
      <c r="D368" s="67">
        <v>150</v>
      </c>
      <c r="E368" s="69"/>
      <c r="F368" s="103" t="str">
        <f>HYPERLINK("https://yt3.ggpht.com/ytc/AKedOLSfYjN6HNqDt8JuwWLU2Asil1uJCMf2LyE6JlLZ7Q=s88-c-k-c0x00ffffff-no-rj")</f>
        <v>https://yt3.ggpht.com/ytc/AKedOLSfYjN6HNqDt8JuwWLU2Asil1uJCMf2LyE6JlLZ7Q=s88-c-k-c0x00ffffff-no-rj</v>
      </c>
      <c r="G368" s="66"/>
      <c r="H368" s="70" t="s">
        <v>1919</v>
      </c>
      <c r="I368" s="71"/>
      <c r="J368" s="71" t="s">
        <v>159</v>
      </c>
      <c r="K368" s="70" t="s">
        <v>1919</v>
      </c>
      <c r="L368" s="74">
        <v>1</v>
      </c>
      <c r="M368" s="75">
        <v>3679.5771484375</v>
      </c>
      <c r="N368" s="75">
        <v>8194.4560546875</v>
      </c>
      <c r="O368" s="76"/>
      <c r="P368" s="77"/>
      <c r="Q368" s="77"/>
      <c r="R368" s="89"/>
      <c r="S368" s="49">
        <v>1</v>
      </c>
      <c r="T368" s="49">
        <v>1</v>
      </c>
      <c r="U368" s="50">
        <v>0</v>
      </c>
      <c r="V368" s="50">
        <v>0.002597</v>
      </c>
      <c r="W368" s="50">
        <v>0.00486</v>
      </c>
      <c r="X368" s="50">
        <v>0.526148</v>
      </c>
      <c r="Y368" s="50">
        <v>0</v>
      </c>
      <c r="Z368" s="50">
        <v>1</v>
      </c>
      <c r="AA368" s="72">
        <v>368</v>
      </c>
      <c r="AB368" s="72"/>
      <c r="AC368" s="73"/>
      <c r="AD368" s="80" t="s">
        <v>1919</v>
      </c>
      <c r="AE368" s="80"/>
      <c r="AF368" s="80"/>
      <c r="AG368" s="80"/>
      <c r="AH368" s="80"/>
      <c r="AI368" s="80"/>
      <c r="AJ368" s="87">
        <v>42677.583865740744</v>
      </c>
      <c r="AK368" s="85" t="str">
        <f>HYPERLINK("https://yt3.ggpht.com/ytc/AKedOLSfYjN6HNqDt8JuwWLU2Asil1uJCMf2LyE6JlLZ7Q=s88-c-k-c0x00ffffff-no-rj")</f>
        <v>https://yt3.ggpht.com/ytc/AKedOLSfYjN6HNqDt8JuwWLU2Asil1uJCMf2LyE6JlLZ7Q=s88-c-k-c0x00ffffff-no-rj</v>
      </c>
      <c r="AL368" s="80">
        <v>0</v>
      </c>
      <c r="AM368" s="80">
        <v>0</v>
      </c>
      <c r="AN368" s="80">
        <v>3</v>
      </c>
      <c r="AO368" s="80" t="b">
        <v>0</v>
      </c>
      <c r="AP368" s="80">
        <v>0</v>
      </c>
      <c r="AQ368" s="80"/>
      <c r="AR368" s="80"/>
      <c r="AS368" s="80" t="s">
        <v>3412</v>
      </c>
      <c r="AT368" s="85" t="str">
        <f>HYPERLINK("https://www.youtube.com/channel/UCmA3Us6wQVig9X0N3atZnIA")</f>
        <v>https://www.youtube.com/channel/UCmA3Us6wQVig9X0N3atZnIA</v>
      </c>
      <c r="AU368" s="80" t="str">
        <f>REPLACE(INDEX(GroupVertices[Group],MATCH(Vertices[[#This Row],[Vertex]],GroupVertices[Vertex],0)),1,1,"")</f>
        <v>1</v>
      </c>
      <c r="AV368" s="49">
        <v>0</v>
      </c>
      <c r="AW368" s="50">
        <v>0</v>
      </c>
      <c r="AX368" s="49">
        <v>0</v>
      </c>
      <c r="AY368" s="50">
        <v>0</v>
      </c>
      <c r="AZ368" s="49">
        <v>0</v>
      </c>
      <c r="BA368" s="50">
        <v>0</v>
      </c>
      <c r="BB368" s="49">
        <v>18</v>
      </c>
      <c r="BC368" s="50">
        <v>100</v>
      </c>
      <c r="BD368" s="49">
        <v>18</v>
      </c>
      <c r="BE368" s="49"/>
      <c r="BF368" s="49"/>
      <c r="BG368" s="49"/>
      <c r="BH368" s="49"/>
      <c r="BI368" s="49"/>
      <c r="BJ368" s="49"/>
      <c r="BK368" s="111" t="s">
        <v>4726</v>
      </c>
      <c r="BL368" s="111" t="s">
        <v>4726</v>
      </c>
      <c r="BM368" s="111" t="s">
        <v>5198</v>
      </c>
      <c r="BN368" s="111" t="s">
        <v>5198</v>
      </c>
      <c r="BO368" s="2"/>
      <c r="BP368" s="3"/>
      <c r="BQ368" s="3"/>
      <c r="BR368" s="3"/>
      <c r="BS368" s="3"/>
    </row>
    <row r="369" spans="1:71" ht="15">
      <c r="A369" s="65" t="s">
        <v>592</v>
      </c>
      <c r="B369" s="66"/>
      <c r="C369" s="66"/>
      <c r="D369" s="67">
        <v>150</v>
      </c>
      <c r="E369" s="69"/>
      <c r="F369" s="103" t="str">
        <f>HYPERLINK("https://yt3.ggpht.com/ytc/AKedOLT_CGQJQTbKheNzkrZd5FTBB-KihCtz9deSKw=s88-c-k-c0x00ffffff-no-rj")</f>
        <v>https://yt3.ggpht.com/ytc/AKedOLT_CGQJQTbKheNzkrZd5FTBB-KihCtz9deSKw=s88-c-k-c0x00ffffff-no-rj</v>
      </c>
      <c r="G369" s="66"/>
      <c r="H369" s="70" t="s">
        <v>1920</v>
      </c>
      <c r="I369" s="71"/>
      <c r="J369" s="71" t="s">
        <v>159</v>
      </c>
      <c r="K369" s="70" t="s">
        <v>1920</v>
      </c>
      <c r="L369" s="74">
        <v>1</v>
      </c>
      <c r="M369" s="75">
        <v>4549.27978515625</v>
      </c>
      <c r="N369" s="75">
        <v>7448.216796875</v>
      </c>
      <c r="O369" s="76"/>
      <c r="P369" s="77"/>
      <c r="Q369" s="77"/>
      <c r="R369" s="89"/>
      <c r="S369" s="49">
        <v>0</v>
      </c>
      <c r="T369" s="49">
        <v>1</v>
      </c>
      <c r="U369" s="50">
        <v>0</v>
      </c>
      <c r="V369" s="50">
        <v>0.002597</v>
      </c>
      <c r="W369" s="50">
        <v>0.00486</v>
      </c>
      <c r="X369" s="50">
        <v>0.526148</v>
      </c>
      <c r="Y369" s="50">
        <v>0</v>
      </c>
      <c r="Z369" s="50">
        <v>0</v>
      </c>
      <c r="AA369" s="72">
        <v>369</v>
      </c>
      <c r="AB369" s="72"/>
      <c r="AC369" s="73"/>
      <c r="AD369" s="80" t="s">
        <v>1920</v>
      </c>
      <c r="AE369" s="80"/>
      <c r="AF369" s="80"/>
      <c r="AG369" s="80"/>
      <c r="AH369" s="80"/>
      <c r="AI369" s="80"/>
      <c r="AJ369" s="80" t="s">
        <v>3311</v>
      </c>
      <c r="AK369" s="85" t="str">
        <f>HYPERLINK("https://yt3.ggpht.com/ytc/AKedOLT_CGQJQTbKheNzkrZd5FTBB-KihCtz9deSKw=s88-c-k-c0x00ffffff-no-rj")</f>
        <v>https://yt3.ggpht.com/ytc/AKedOLT_CGQJQTbKheNzkrZd5FTBB-KihCtz9deSKw=s88-c-k-c0x00ffffff-no-rj</v>
      </c>
      <c r="AL369" s="80">
        <v>0</v>
      </c>
      <c r="AM369" s="80">
        <v>0</v>
      </c>
      <c r="AN369" s="80">
        <v>1</v>
      </c>
      <c r="AO369" s="80" t="b">
        <v>0</v>
      </c>
      <c r="AP369" s="80">
        <v>0</v>
      </c>
      <c r="AQ369" s="80"/>
      <c r="AR369" s="80"/>
      <c r="AS369" s="80" t="s">
        <v>3412</v>
      </c>
      <c r="AT369" s="85" t="str">
        <f>HYPERLINK("https://www.youtube.com/channel/UCDcQJ4BUxHni8Famng8EG8w")</f>
        <v>https://www.youtube.com/channel/UCDcQJ4BUxHni8Famng8EG8w</v>
      </c>
      <c r="AU369" s="80" t="str">
        <f>REPLACE(INDEX(GroupVertices[Group],MATCH(Vertices[[#This Row],[Vertex]],GroupVertices[Vertex],0)),1,1,"")</f>
        <v>1</v>
      </c>
      <c r="AV369" s="49">
        <v>0</v>
      </c>
      <c r="AW369" s="50">
        <v>0</v>
      </c>
      <c r="AX369" s="49">
        <v>0</v>
      </c>
      <c r="AY369" s="50">
        <v>0</v>
      </c>
      <c r="AZ369" s="49">
        <v>0</v>
      </c>
      <c r="BA369" s="50">
        <v>0</v>
      </c>
      <c r="BB369" s="49">
        <v>13</v>
      </c>
      <c r="BC369" s="50">
        <v>100</v>
      </c>
      <c r="BD369" s="49">
        <v>13</v>
      </c>
      <c r="BE369" s="49"/>
      <c r="BF369" s="49"/>
      <c r="BG369" s="49"/>
      <c r="BH369" s="49"/>
      <c r="BI369" s="49"/>
      <c r="BJ369" s="49"/>
      <c r="BK369" s="111" t="s">
        <v>4727</v>
      </c>
      <c r="BL369" s="111" t="s">
        <v>4727</v>
      </c>
      <c r="BM369" s="111" t="s">
        <v>5199</v>
      </c>
      <c r="BN369" s="111" t="s">
        <v>5199</v>
      </c>
      <c r="BO369" s="2"/>
      <c r="BP369" s="3"/>
      <c r="BQ369" s="3"/>
      <c r="BR369" s="3"/>
      <c r="BS369" s="3"/>
    </row>
    <row r="370" spans="1:71" ht="15">
      <c r="A370" s="65" t="s">
        <v>593</v>
      </c>
      <c r="B370" s="66"/>
      <c r="C370" s="66"/>
      <c r="D370" s="67">
        <v>150</v>
      </c>
      <c r="E370" s="69"/>
      <c r="F370" s="103" t="str">
        <f>HYPERLINK("https://yt3.ggpht.com/ytc/AKedOLRYjoIFCeTLOjQwbNKKqIk2F_p83tKxq7Xx0RpTQA=s88-c-k-c0x00ffffff-no-rj")</f>
        <v>https://yt3.ggpht.com/ytc/AKedOLRYjoIFCeTLOjQwbNKKqIk2F_p83tKxq7Xx0RpTQA=s88-c-k-c0x00ffffff-no-rj</v>
      </c>
      <c r="G370" s="66"/>
      <c r="H370" s="70" t="s">
        <v>1921</v>
      </c>
      <c r="I370" s="71"/>
      <c r="J370" s="71" t="s">
        <v>159</v>
      </c>
      <c r="K370" s="70" t="s">
        <v>1921</v>
      </c>
      <c r="L370" s="74">
        <v>1</v>
      </c>
      <c r="M370" s="75">
        <v>6156.8544921875</v>
      </c>
      <c r="N370" s="75">
        <v>7195.75390625</v>
      </c>
      <c r="O370" s="76"/>
      <c r="P370" s="77"/>
      <c r="Q370" s="77"/>
      <c r="R370" s="89"/>
      <c r="S370" s="49">
        <v>0</v>
      </c>
      <c r="T370" s="49">
        <v>1</v>
      </c>
      <c r="U370" s="50">
        <v>0</v>
      </c>
      <c r="V370" s="50">
        <v>0.002597</v>
      </c>
      <c r="W370" s="50">
        <v>0.00486</v>
      </c>
      <c r="X370" s="50">
        <v>0.526148</v>
      </c>
      <c r="Y370" s="50">
        <v>0</v>
      </c>
      <c r="Z370" s="50">
        <v>0</v>
      </c>
      <c r="AA370" s="72">
        <v>370</v>
      </c>
      <c r="AB370" s="72"/>
      <c r="AC370" s="73"/>
      <c r="AD370" s="80" t="s">
        <v>1921</v>
      </c>
      <c r="AE370" s="80" t="s">
        <v>2943</v>
      </c>
      <c r="AF370" s="80"/>
      <c r="AG370" s="80"/>
      <c r="AH370" s="80"/>
      <c r="AI370" s="80"/>
      <c r="AJ370" s="80" t="s">
        <v>3312</v>
      </c>
      <c r="AK370" s="85" t="str">
        <f>HYPERLINK("https://yt3.ggpht.com/ytc/AKedOLRYjoIFCeTLOjQwbNKKqIk2F_p83tKxq7Xx0RpTQA=s88-c-k-c0x00ffffff-no-rj")</f>
        <v>https://yt3.ggpht.com/ytc/AKedOLRYjoIFCeTLOjQwbNKKqIk2F_p83tKxq7Xx0RpTQA=s88-c-k-c0x00ffffff-no-rj</v>
      </c>
      <c r="AL370" s="80">
        <v>7448820</v>
      </c>
      <c r="AM370" s="80">
        <v>0</v>
      </c>
      <c r="AN370" s="80">
        <v>66900</v>
      </c>
      <c r="AO370" s="80" t="b">
        <v>0</v>
      </c>
      <c r="AP370" s="80">
        <v>412</v>
      </c>
      <c r="AQ370" s="80"/>
      <c r="AR370" s="80"/>
      <c r="AS370" s="80" t="s">
        <v>3412</v>
      </c>
      <c r="AT370" s="85" t="str">
        <f>HYPERLINK("https://www.youtube.com/channel/UCB0EfpgE24o6_K-O9T-SRdQ")</f>
        <v>https://www.youtube.com/channel/UCB0EfpgE24o6_K-O9T-SRdQ</v>
      </c>
      <c r="AU370" s="80" t="str">
        <f>REPLACE(INDEX(GroupVertices[Group],MATCH(Vertices[[#This Row],[Vertex]],GroupVertices[Vertex],0)),1,1,"")</f>
        <v>1</v>
      </c>
      <c r="AV370" s="49">
        <v>1</v>
      </c>
      <c r="AW370" s="50">
        <v>100</v>
      </c>
      <c r="AX370" s="49">
        <v>0</v>
      </c>
      <c r="AY370" s="50">
        <v>0</v>
      </c>
      <c r="AZ370" s="49">
        <v>0</v>
      </c>
      <c r="BA370" s="50">
        <v>0</v>
      </c>
      <c r="BB370" s="49">
        <v>0</v>
      </c>
      <c r="BC370" s="50">
        <v>0</v>
      </c>
      <c r="BD370" s="49">
        <v>1</v>
      </c>
      <c r="BE370" s="49"/>
      <c r="BF370" s="49"/>
      <c r="BG370" s="49"/>
      <c r="BH370" s="49"/>
      <c r="BI370" s="49"/>
      <c r="BJ370" s="49"/>
      <c r="BK370" s="111" t="s">
        <v>3465</v>
      </c>
      <c r="BL370" s="111" t="s">
        <v>3465</v>
      </c>
      <c r="BM370" s="111" t="s">
        <v>2782</v>
      </c>
      <c r="BN370" s="111" t="s">
        <v>2782</v>
      </c>
      <c r="BO370" s="2"/>
      <c r="BP370" s="3"/>
      <c r="BQ370" s="3"/>
      <c r="BR370" s="3"/>
      <c r="BS370" s="3"/>
    </row>
    <row r="371" spans="1:71" ht="15">
      <c r="A371" s="65" t="s">
        <v>594</v>
      </c>
      <c r="B371" s="66"/>
      <c r="C371" s="66"/>
      <c r="D371" s="67">
        <v>150</v>
      </c>
      <c r="E371" s="69"/>
      <c r="F371" s="103" t="str">
        <f>HYPERLINK("https://yt3.ggpht.com/ytc/AKedOLQ66jY-I8czPzaaribq2gdJLn6bUqM3dU43Vg=s88-c-k-c0x00ffffff-no-rj")</f>
        <v>https://yt3.ggpht.com/ytc/AKedOLQ66jY-I8czPzaaribq2gdJLn6bUqM3dU43Vg=s88-c-k-c0x00ffffff-no-rj</v>
      </c>
      <c r="G371" s="66"/>
      <c r="H371" s="70" t="s">
        <v>1922</v>
      </c>
      <c r="I371" s="71"/>
      <c r="J371" s="71" t="s">
        <v>159</v>
      </c>
      <c r="K371" s="70" t="s">
        <v>1922</v>
      </c>
      <c r="L371" s="74">
        <v>1</v>
      </c>
      <c r="M371" s="75">
        <v>6716.890625</v>
      </c>
      <c r="N371" s="75">
        <v>7557.85400390625</v>
      </c>
      <c r="O371" s="76"/>
      <c r="P371" s="77"/>
      <c r="Q371" s="77"/>
      <c r="R371" s="89"/>
      <c r="S371" s="49">
        <v>0</v>
      </c>
      <c r="T371" s="49">
        <v>1</v>
      </c>
      <c r="U371" s="50">
        <v>0</v>
      </c>
      <c r="V371" s="50">
        <v>0.002597</v>
      </c>
      <c r="W371" s="50">
        <v>0.00486</v>
      </c>
      <c r="X371" s="50">
        <v>0.526148</v>
      </c>
      <c r="Y371" s="50">
        <v>0</v>
      </c>
      <c r="Z371" s="50">
        <v>0</v>
      </c>
      <c r="AA371" s="72">
        <v>371</v>
      </c>
      <c r="AB371" s="72"/>
      <c r="AC371" s="73"/>
      <c r="AD371" s="80" t="s">
        <v>1922</v>
      </c>
      <c r="AE371" s="80"/>
      <c r="AF371" s="80"/>
      <c r="AG371" s="80"/>
      <c r="AH371" s="80"/>
      <c r="AI371" s="80"/>
      <c r="AJ371" s="80" t="s">
        <v>3313</v>
      </c>
      <c r="AK371" s="85" t="str">
        <f>HYPERLINK("https://yt3.ggpht.com/ytc/AKedOLQ66jY-I8czPzaaribq2gdJLn6bUqM3dU43Vg=s88-c-k-c0x00ffffff-no-rj")</f>
        <v>https://yt3.ggpht.com/ytc/AKedOLQ66jY-I8czPzaaribq2gdJLn6bUqM3dU43Vg=s88-c-k-c0x00ffffff-no-rj</v>
      </c>
      <c r="AL371" s="80">
        <v>0</v>
      </c>
      <c r="AM371" s="80">
        <v>0</v>
      </c>
      <c r="AN371" s="80">
        <v>19</v>
      </c>
      <c r="AO371" s="80" t="b">
        <v>0</v>
      </c>
      <c r="AP371" s="80">
        <v>0</v>
      </c>
      <c r="AQ371" s="80"/>
      <c r="AR371" s="80"/>
      <c r="AS371" s="80" t="s">
        <v>3412</v>
      </c>
      <c r="AT371" s="85" t="str">
        <f>HYPERLINK("https://www.youtube.com/channel/UCnWPKDhYdj8AZfYUdrOiS1Q")</f>
        <v>https://www.youtube.com/channel/UCnWPKDhYdj8AZfYUdrOiS1Q</v>
      </c>
      <c r="AU371" s="80" t="str">
        <f>REPLACE(INDEX(GroupVertices[Group],MATCH(Vertices[[#This Row],[Vertex]],GroupVertices[Vertex],0)),1,1,"")</f>
        <v>1</v>
      </c>
      <c r="AV371" s="49">
        <v>5</v>
      </c>
      <c r="AW371" s="50">
        <v>15.625</v>
      </c>
      <c r="AX371" s="49">
        <v>0</v>
      </c>
      <c r="AY371" s="50">
        <v>0</v>
      </c>
      <c r="AZ371" s="49">
        <v>0</v>
      </c>
      <c r="BA371" s="50">
        <v>0</v>
      </c>
      <c r="BB371" s="49">
        <v>27</v>
      </c>
      <c r="BC371" s="50">
        <v>84.375</v>
      </c>
      <c r="BD371" s="49">
        <v>32</v>
      </c>
      <c r="BE371" s="49"/>
      <c r="BF371" s="49"/>
      <c r="BG371" s="49"/>
      <c r="BH371" s="49"/>
      <c r="BI371" s="49"/>
      <c r="BJ371" s="49"/>
      <c r="BK371" s="111" t="s">
        <v>4728</v>
      </c>
      <c r="BL371" s="111" t="s">
        <v>4882</v>
      </c>
      <c r="BM371" s="111" t="s">
        <v>5200</v>
      </c>
      <c r="BN371" s="111" t="s">
        <v>5200</v>
      </c>
      <c r="BO371" s="2"/>
      <c r="BP371" s="3"/>
      <c r="BQ371" s="3"/>
      <c r="BR371" s="3"/>
      <c r="BS371" s="3"/>
    </row>
    <row r="372" spans="1:71" ht="15">
      <c r="A372" s="65" t="s">
        <v>595</v>
      </c>
      <c r="B372" s="66"/>
      <c r="C372" s="66"/>
      <c r="D372" s="67">
        <v>150</v>
      </c>
      <c r="E372" s="69"/>
      <c r="F372" s="103" t="str">
        <f>HYPERLINK("https://yt3.ggpht.com/ytc/AKedOLRKOPQDHqYEG9zk44wIsnU4elU0Oww9izphc-DF=s88-c-k-c0x00ffffff-no-rj")</f>
        <v>https://yt3.ggpht.com/ytc/AKedOLRKOPQDHqYEG9zk44wIsnU4elU0Oww9izphc-DF=s88-c-k-c0x00ffffff-no-rj</v>
      </c>
      <c r="G372" s="66"/>
      <c r="H372" s="70" t="s">
        <v>1923</v>
      </c>
      <c r="I372" s="71"/>
      <c r="J372" s="71" t="s">
        <v>159</v>
      </c>
      <c r="K372" s="70" t="s">
        <v>1923</v>
      </c>
      <c r="L372" s="74">
        <v>1</v>
      </c>
      <c r="M372" s="75">
        <v>8966.3896484375</v>
      </c>
      <c r="N372" s="75">
        <v>8815.951171875</v>
      </c>
      <c r="O372" s="76"/>
      <c r="P372" s="77"/>
      <c r="Q372" s="77"/>
      <c r="R372" s="89"/>
      <c r="S372" s="49">
        <v>0</v>
      </c>
      <c r="T372" s="49">
        <v>1</v>
      </c>
      <c r="U372" s="50">
        <v>0</v>
      </c>
      <c r="V372" s="50">
        <v>0.002597</v>
      </c>
      <c r="W372" s="50">
        <v>0.00486</v>
      </c>
      <c r="X372" s="50">
        <v>0.526148</v>
      </c>
      <c r="Y372" s="50">
        <v>0</v>
      </c>
      <c r="Z372" s="50">
        <v>0</v>
      </c>
      <c r="AA372" s="72">
        <v>372</v>
      </c>
      <c r="AB372" s="72"/>
      <c r="AC372" s="73"/>
      <c r="AD372" s="80" t="s">
        <v>1923</v>
      </c>
      <c r="AE372" s="80"/>
      <c r="AF372" s="80"/>
      <c r="AG372" s="80"/>
      <c r="AH372" s="80"/>
      <c r="AI372" s="80"/>
      <c r="AJ372" s="87">
        <v>43587.98416666667</v>
      </c>
      <c r="AK372" s="85" t="str">
        <f>HYPERLINK("https://yt3.ggpht.com/ytc/AKedOLRKOPQDHqYEG9zk44wIsnU4elU0Oww9izphc-DF=s88-c-k-c0x00ffffff-no-rj")</f>
        <v>https://yt3.ggpht.com/ytc/AKedOLRKOPQDHqYEG9zk44wIsnU4elU0Oww9izphc-DF=s88-c-k-c0x00ffffff-no-rj</v>
      </c>
      <c r="AL372" s="80">
        <v>642</v>
      </c>
      <c r="AM372" s="80">
        <v>0</v>
      </c>
      <c r="AN372" s="80">
        <v>26</v>
      </c>
      <c r="AO372" s="80" t="b">
        <v>0</v>
      </c>
      <c r="AP372" s="80">
        <v>5</v>
      </c>
      <c r="AQ372" s="80"/>
      <c r="AR372" s="80"/>
      <c r="AS372" s="80" t="s">
        <v>3412</v>
      </c>
      <c r="AT372" s="85" t="str">
        <f>HYPERLINK("https://www.youtube.com/channel/UCf1BiqlVYG876JqvDkv7isg")</f>
        <v>https://www.youtube.com/channel/UCf1BiqlVYG876JqvDkv7isg</v>
      </c>
      <c r="AU372" s="80" t="str">
        <f>REPLACE(INDEX(GroupVertices[Group],MATCH(Vertices[[#This Row],[Vertex]],GroupVertices[Vertex],0)),1,1,"")</f>
        <v>1</v>
      </c>
      <c r="AV372" s="49">
        <v>2</v>
      </c>
      <c r="AW372" s="50">
        <v>22.22222222222222</v>
      </c>
      <c r="AX372" s="49">
        <v>0</v>
      </c>
      <c r="AY372" s="50">
        <v>0</v>
      </c>
      <c r="AZ372" s="49">
        <v>0</v>
      </c>
      <c r="BA372" s="50">
        <v>0</v>
      </c>
      <c r="BB372" s="49">
        <v>7</v>
      </c>
      <c r="BC372" s="50">
        <v>77.77777777777777</v>
      </c>
      <c r="BD372" s="49">
        <v>9</v>
      </c>
      <c r="BE372" s="49"/>
      <c r="BF372" s="49"/>
      <c r="BG372" s="49"/>
      <c r="BH372" s="49"/>
      <c r="BI372" s="49"/>
      <c r="BJ372" s="49"/>
      <c r="BK372" s="111" t="s">
        <v>4729</v>
      </c>
      <c r="BL372" s="111" t="s">
        <v>4729</v>
      </c>
      <c r="BM372" s="111" t="s">
        <v>5201</v>
      </c>
      <c r="BN372" s="111" t="s">
        <v>5201</v>
      </c>
      <c r="BO372" s="2"/>
      <c r="BP372" s="3"/>
      <c r="BQ372" s="3"/>
      <c r="BR372" s="3"/>
      <c r="BS372" s="3"/>
    </row>
    <row r="373" spans="1:71" ht="15">
      <c r="A373" s="65" t="s">
        <v>596</v>
      </c>
      <c r="B373" s="66"/>
      <c r="C373" s="66"/>
      <c r="D373" s="67">
        <v>150</v>
      </c>
      <c r="E373" s="69"/>
      <c r="F373" s="103" t="str">
        <f>HYPERLINK("https://yt3.ggpht.com/ytc/AKedOLS59FzqNoWv9jtVJP8kaSdzuFCrJZdZYVQEcQ=s88-c-k-c0x00ffffff-no-rj")</f>
        <v>https://yt3.ggpht.com/ytc/AKedOLS59FzqNoWv9jtVJP8kaSdzuFCrJZdZYVQEcQ=s88-c-k-c0x00ffffff-no-rj</v>
      </c>
      <c r="G373" s="66"/>
      <c r="H373" s="70" t="s">
        <v>1924</v>
      </c>
      <c r="I373" s="71"/>
      <c r="J373" s="71" t="s">
        <v>159</v>
      </c>
      <c r="K373" s="70" t="s">
        <v>1924</v>
      </c>
      <c r="L373" s="74">
        <v>1</v>
      </c>
      <c r="M373" s="75">
        <v>3377.220458984375</v>
      </c>
      <c r="N373" s="75">
        <v>8533.2236328125</v>
      </c>
      <c r="O373" s="76"/>
      <c r="P373" s="77"/>
      <c r="Q373" s="77"/>
      <c r="R373" s="89"/>
      <c r="S373" s="49">
        <v>0</v>
      </c>
      <c r="T373" s="49">
        <v>1</v>
      </c>
      <c r="U373" s="50">
        <v>0</v>
      </c>
      <c r="V373" s="50">
        <v>0.002597</v>
      </c>
      <c r="W373" s="50">
        <v>0.00486</v>
      </c>
      <c r="X373" s="50">
        <v>0.526148</v>
      </c>
      <c r="Y373" s="50">
        <v>0</v>
      </c>
      <c r="Z373" s="50">
        <v>0</v>
      </c>
      <c r="AA373" s="72">
        <v>373</v>
      </c>
      <c r="AB373" s="72"/>
      <c r="AC373" s="73"/>
      <c r="AD373" s="80" t="s">
        <v>1924</v>
      </c>
      <c r="AE373" s="80"/>
      <c r="AF373" s="80"/>
      <c r="AG373" s="80"/>
      <c r="AH373" s="80"/>
      <c r="AI373" s="80"/>
      <c r="AJ373" s="80" t="s">
        <v>3314</v>
      </c>
      <c r="AK373" s="85" t="str">
        <f>HYPERLINK("https://yt3.ggpht.com/ytc/AKedOLS59FzqNoWv9jtVJP8kaSdzuFCrJZdZYVQEcQ=s88-c-k-c0x00ffffff-no-rj")</f>
        <v>https://yt3.ggpht.com/ytc/AKedOLS59FzqNoWv9jtVJP8kaSdzuFCrJZdZYVQEcQ=s88-c-k-c0x00ffffff-no-rj</v>
      </c>
      <c r="AL373" s="80">
        <v>0</v>
      </c>
      <c r="AM373" s="80">
        <v>0</v>
      </c>
      <c r="AN373" s="80">
        <v>1</v>
      </c>
      <c r="AO373" s="80" t="b">
        <v>0</v>
      </c>
      <c r="AP373" s="80">
        <v>0</v>
      </c>
      <c r="AQ373" s="80"/>
      <c r="AR373" s="80"/>
      <c r="AS373" s="80" t="s">
        <v>3412</v>
      </c>
      <c r="AT373" s="85" t="str">
        <f>HYPERLINK("https://www.youtube.com/channel/UCCw4uYL3ln_OigghAAjMMCg")</f>
        <v>https://www.youtube.com/channel/UCCw4uYL3ln_OigghAAjMMCg</v>
      </c>
      <c r="AU373" s="80" t="str">
        <f>REPLACE(INDEX(GroupVertices[Group],MATCH(Vertices[[#This Row],[Vertex]],GroupVertices[Vertex],0)),1,1,"")</f>
        <v>1</v>
      </c>
      <c r="AV373" s="49">
        <v>1</v>
      </c>
      <c r="AW373" s="50">
        <v>0.5681818181818182</v>
      </c>
      <c r="AX373" s="49">
        <v>6</v>
      </c>
      <c r="AY373" s="50">
        <v>3.409090909090909</v>
      </c>
      <c r="AZ373" s="49">
        <v>0</v>
      </c>
      <c r="BA373" s="50">
        <v>0</v>
      </c>
      <c r="BB373" s="49">
        <v>169</v>
      </c>
      <c r="BC373" s="50">
        <v>96.02272727272727</v>
      </c>
      <c r="BD373" s="49">
        <v>176</v>
      </c>
      <c r="BE373" s="49"/>
      <c r="BF373" s="49"/>
      <c r="BG373" s="49"/>
      <c r="BH373" s="49"/>
      <c r="BI373" s="49"/>
      <c r="BJ373" s="49"/>
      <c r="BK373" s="111" t="s">
        <v>4730</v>
      </c>
      <c r="BL373" s="111" t="s">
        <v>4730</v>
      </c>
      <c r="BM373" s="111" t="s">
        <v>5202</v>
      </c>
      <c r="BN373" s="111" t="s">
        <v>5202</v>
      </c>
      <c r="BO373" s="2"/>
      <c r="BP373" s="3"/>
      <c r="BQ373" s="3"/>
      <c r="BR373" s="3"/>
      <c r="BS373" s="3"/>
    </row>
    <row r="374" spans="1:71" ht="15">
      <c r="A374" s="65" t="s">
        <v>597</v>
      </c>
      <c r="B374" s="66"/>
      <c r="C374" s="66"/>
      <c r="D374" s="67">
        <v>150</v>
      </c>
      <c r="E374" s="69"/>
      <c r="F374" s="103" t="str">
        <f>HYPERLINK("https://yt3.ggpht.com/ytc/AKedOLQKjpfFakDiG6EhSvABuu4Zd9YD12nGxlMVqJ-v=s88-c-k-c0x00ffffff-no-rj")</f>
        <v>https://yt3.ggpht.com/ytc/AKedOLQKjpfFakDiG6EhSvABuu4Zd9YD12nGxlMVqJ-v=s88-c-k-c0x00ffffff-no-rj</v>
      </c>
      <c r="G374" s="66"/>
      <c r="H374" s="70" t="s">
        <v>1925</v>
      </c>
      <c r="I374" s="71"/>
      <c r="J374" s="71" t="s">
        <v>159</v>
      </c>
      <c r="K374" s="70" t="s">
        <v>1925</v>
      </c>
      <c r="L374" s="74">
        <v>1</v>
      </c>
      <c r="M374" s="75">
        <v>9097.443359375</v>
      </c>
      <c r="N374" s="75">
        <v>2817.63720703125</v>
      </c>
      <c r="O374" s="76"/>
      <c r="P374" s="77"/>
      <c r="Q374" s="77"/>
      <c r="R374" s="89"/>
      <c r="S374" s="49">
        <v>0</v>
      </c>
      <c r="T374" s="49">
        <v>1</v>
      </c>
      <c r="U374" s="50">
        <v>0</v>
      </c>
      <c r="V374" s="50">
        <v>0.047619</v>
      </c>
      <c r="W374" s="50">
        <v>0</v>
      </c>
      <c r="X374" s="50">
        <v>0.55881</v>
      </c>
      <c r="Y374" s="50">
        <v>0</v>
      </c>
      <c r="Z374" s="50">
        <v>0</v>
      </c>
      <c r="AA374" s="72">
        <v>374</v>
      </c>
      <c r="AB374" s="72"/>
      <c r="AC374" s="73"/>
      <c r="AD374" s="80" t="s">
        <v>1925</v>
      </c>
      <c r="AE374" s="80"/>
      <c r="AF374" s="80"/>
      <c r="AG374" s="80"/>
      <c r="AH374" s="80"/>
      <c r="AI374" s="80"/>
      <c r="AJ374" s="80" t="s">
        <v>3315</v>
      </c>
      <c r="AK374" s="85" t="str">
        <f>HYPERLINK("https://yt3.ggpht.com/ytc/AKedOLQKjpfFakDiG6EhSvABuu4Zd9YD12nGxlMVqJ-v=s88-c-k-c0x00ffffff-no-rj")</f>
        <v>https://yt3.ggpht.com/ytc/AKedOLQKjpfFakDiG6EhSvABuu4Zd9YD12nGxlMVqJ-v=s88-c-k-c0x00ffffff-no-rj</v>
      </c>
      <c r="AL374" s="80">
        <v>133</v>
      </c>
      <c r="AM374" s="80">
        <v>0</v>
      </c>
      <c r="AN374" s="80">
        <v>0</v>
      </c>
      <c r="AO374" s="80" t="b">
        <v>0</v>
      </c>
      <c r="AP374" s="80">
        <v>1</v>
      </c>
      <c r="AQ374" s="80"/>
      <c r="AR374" s="80"/>
      <c r="AS374" s="80" t="s">
        <v>3412</v>
      </c>
      <c r="AT374" s="85" t="str">
        <f>HYPERLINK("https://www.youtube.com/channel/UCAKPH_3harNrzAiKrNEFWIw")</f>
        <v>https://www.youtube.com/channel/UCAKPH_3harNrzAiKrNEFWIw</v>
      </c>
      <c r="AU374" s="80" t="str">
        <f>REPLACE(INDEX(GroupVertices[Group],MATCH(Vertices[[#This Row],[Vertex]],GroupVertices[Vertex],0)),1,1,"")</f>
        <v>12</v>
      </c>
      <c r="AV374" s="49">
        <v>0</v>
      </c>
      <c r="AW374" s="50">
        <v>0</v>
      </c>
      <c r="AX374" s="49">
        <v>0</v>
      </c>
      <c r="AY374" s="50">
        <v>0</v>
      </c>
      <c r="AZ374" s="49">
        <v>0</v>
      </c>
      <c r="BA374" s="50">
        <v>0</v>
      </c>
      <c r="BB374" s="49">
        <v>12</v>
      </c>
      <c r="BC374" s="50">
        <v>100</v>
      </c>
      <c r="BD374" s="49">
        <v>12</v>
      </c>
      <c r="BE374" s="49" t="s">
        <v>4211</v>
      </c>
      <c r="BF374" s="49" t="s">
        <v>4211</v>
      </c>
      <c r="BG374" s="49" t="s">
        <v>4257</v>
      </c>
      <c r="BH374" s="49" t="s">
        <v>4257</v>
      </c>
      <c r="BI374" s="49"/>
      <c r="BJ374" s="49"/>
      <c r="BK374" s="111" t="s">
        <v>4731</v>
      </c>
      <c r="BL374" s="111" t="s">
        <v>4731</v>
      </c>
      <c r="BM374" s="111" t="s">
        <v>5203</v>
      </c>
      <c r="BN374" s="111" t="s">
        <v>5203</v>
      </c>
      <c r="BO374" s="2"/>
      <c r="BP374" s="3"/>
      <c r="BQ374" s="3"/>
      <c r="BR374" s="3"/>
      <c r="BS374" s="3"/>
    </row>
    <row r="375" spans="1:71" ht="15">
      <c r="A375" s="65" t="s">
        <v>605</v>
      </c>
      <c r="B375" s="66"/>
      <c r="C375" s="66"/>
      <c r="D375" s="67">
        <v>192.5</v>
      </c>
      <c r="E375" s="69"/>
      <c r="F375" s="103" t="str">
        <f>HYPERLINK("https://yt3.ggpht.com/ytc/AKedOLSDYsZyn1bCq7Sh3s2KBXp2tNjxK9_nKipFCQQO=s88-c-k-c0x00ffffff-no-rj")</f>
        <v>https://yt3.ggpht.com/ytc/AKedOLSDYsZyn1bCq7Sh3s2KBXp2tNjxK9_nKipFCQQO=s88-c-k-c0x00ffffff-no-rj</v>
      </c>
      <c r="G375" s="66"/>
      <c r="H375" s="70" t="s">
        <v>1933</v>
      </c>
      <c r="I375" s="71"/>
      <c r="J375" s="71" t="s">
        <v>75</v>
      </c>
      <c r="K375" s="70" t="s">
        <v>1933</v>
      </c>
      <c r="L375" s="74">
        <v>23.911174159755564</v>
      </c>
      <c r="M375" s="75">
        <v>9052.82421875</v>
      </c>
      <c r="N375" s="75">
        <v>2160.160400390625</v>
      </c>
      <c r="O375" s="76"/>
      <c r="P375" s="77"/>
      <c r="Q375" s="77"/>
      <c r="R375" s="89"/>
      <c r="S375" s="49">
        <v>9</v>
      </c>
      <c r="T375" s="49">
        <v>2</v>
      </c>
      <c r="U375" s="50">
        <v>84</v>
      </c>
      <c r="V375" s="50">
        <v>0.083333</v>
      </c>
      <c r="W375" s="50">
        <v>0</v>
      </c>
      <c r="X375" s="50">
        <v>4.328575</v>
      </c>
      <c r="Y375" s="50">
        <v>0</v>
      </c>
      <c r="Z375" s="50">
        <v>0.125</v>
      </c>
      <c r="AA375" s="72">
        <v>375</v>
      </c>
      <c r="AB375" s="72"/>
      <c r="AC375" s="73"/>
      <c r="AD375" s="80" t="s">
        <v>1933</v>
      </c>
      <c r="AE375" s="80" t="s">
        <v>2944</v>
      </c>
      <c r="AF375" s="80"/>
      <c r="AG375" s="80"/>
      <c r="AH375" s="80"/>
      <c r="AI375" s="80"/>
      <c r="AJ375" s="87">
        <v>40645.61871527778</v>
      </c>
      <c r="AK375" s="85" t="str">
        <f>HYPERLINK("https://yt3.ggpht.com/ytc/AKedOLSDYsZyn1bCq7Sh3s2KBXp2tNjxK9_nKipFCQQO=s88-c-k-c0x00ffffff-no-rj")</f>
        <v>https://yt3.ggpht.com/ytc/AKedOLSDYsZyn1bCq7Sh3s2KBXp2tNjxK9_nKipFCQQO=s88-c-k-c0x00ffffff-no-rj</v>
      </c>
      <c r="AL375" s="80">
        <v>679977</v>
      </c>
      <c r="AM375" s="80">
        <v>0</v>
      </c>
      <c r="AN375" s="80">
        <v>2010</v>
      </c>
      <c r="AO375" s="80" t="b">
        <v>0</v>
      </c>
      <c r="AP375" s="80">
        <v>173</v>
      </c>
      <c r="AQ375" s="80"/>
      <c r="AR375" s="80"/>
      <c r="AS375" s="80" t="s">
        <v>3412</v>
      </c>
      <c r="AT375" s="85" t="str">
        <f>HYPERLINK("https://www.youtube.com/channel/UCtwQDg4rXfyYezi6PEk6IlQ")</f>
        <v>https://www.youtube.com/channel/UCtwQDg4rXfyYezi6PEk6IlQ</v>
      </c>
      <c r="AU375" s="80" t="str">
        <f>REPLACE(INDEX(GroupVertices[Group],MATCH(Vertices[[#This Row],[Vertex]],GroupVertices[Vertex],0)),1,1,"")</f>
        <v>12</v>
      </c>
      <c r="AV375" s="49">
        <v>2</v>
      </c>
      <c r="AW375" s="50">
        <v>18.181818181818183</v>
      </c>
      <c r="AX375" s="49">
        <v>0</v>
      </c>
      <c r="AY375" s="50">
        <v>0</v>
      </c>
      <c r="AZ375" s="49">
        <v>0</v>
      </c>
      <c r="BA375" s="50">
        <v>0</v>
      </c>
      <c r="BB375" s="49">
        <v>9</v>
      </c>
      <c r="BC375" s="50">
        <v>81.81818181818181</v>
      </c>
      <c r="BD375" s="49">
        <v>11</v>
      </c>
      <c r="BE375" s="49"/>
      <c r="BF375" s="49"/>
      <c r="BG375" s="49"/>
      <c r="BH375" s="49"/>
      <c r="BI375" s="49"/>
      <c r="BJ375" s="49"/>
      <c r="BK375" s="111" t="s">
        <v>4732</v>
      </c>
      <c r="BL375" s="111" t="s">
        <v>4732</v>
      </c>
      <c r="BM375" s="111" t="s">
        <v>5204</v>
      </c>
      <c r="BN375" s="111" t="s">
        <v>5204</v>
      </c>
      <c r="BO375" s="2"/>
      <c r="BP375" s="3"/>
      <c r="BQ375" s="3"/>
      <c r="BR375" s="3"/>
      <c r="BS375" s="3"/>
    </row>
    <row r="376" spans="1:71" ht="15">
      <c r="A376" s="65" t="s">
        <v>598</v>
      </c>
      <c r="B376" s="66"/>
      <c r="C376" s="66"/>
      <c r="D376" s="67">
        <v>150</v>
      </c>
      <c r="E376" s="69"/>
      <c r="F376" s="103" t="str">
        <f>HYPERLINK("https://yt3.ggpht.com/ytc/AKedOLRMwgMpdCm_Jn57P2AA20ZJAmTVL37CGzDeoCnTnQ=s88-c-k-c0x00ffffff-no-rj")</f>
        <v>https://yt3.ggpht.com/ytc/AKedOLRMwgMpdCm_Jn57P2AA20ZJAmTVL37CGzDeoCnTnQ=s88-c-k-c0x00ffffff-no-rj</v>
      </c>
      <c r="G376" s="66"/>
      <c r="H376" s="70" t="s">
        <v>1926</v>
      </c>
      <c r="I376" s="71"/>
      <c r="J376" s="71" t="s">
        <v>159</v>
      </c>
      <c r="K376" s="70" t="s">
        <v>1926</v>
      </c>
      <c r="L376" s="74">
        <v>1</v>
      </c>
      <c r="M376" s="75">
        <v>9820.4462890625</v>
      </c>
      <c r="N376" s="75">
        <v>2161.8359375</v>
      </c>
      <c r="O376" s="76"/>
      <c r="P376" s="77"/>
      <c r="Q376" s="77"/>
      <c r="R376" s="89"/>
      <c r="S376" s="49">
        <v>0</v>
      </c>
      <c r="T376" s="49">
        <v>1</v>
      </c>
      <c r="U376" s="50">
        <v>0</v>
      </c>
      <c r="V376" s="50">
        <v>0.038462</v>
      </c>
      <c r="W376" s="50">
        <v>0</v>
      </c>
      <c r="X376" s="50">
        <v>0.594848</v>
      </c>
      <c r="Y376" s="50">
        <v>0</v>
      </c>
      <c r="Z376" s="50">
        <v>0</v>
      </c>
      <c r="AA376" s="72">
        <v>376</v>
      </c>
      <c r="AB376" s="72"/>
      <c r="AC376" s="73"/>
      <c r="AD376" s="80" t="s">
        <v>1926</v>
      </c>
      <c r="AE376" s="80" t="s">
        <v>2945</v>
      </c>
      <c r="AF376" s="80"/>
      <c r="AG376" s="80"/>
      <c r="AH376" s="80"/>
      <c r="AI376" s="80"/>
      <c r="AJ376" s="80" t="s">
        <v>3316</v>
      </c>
      <c r="AK376" s="85" t="str">
        <f>HYPERLINK("https://yt3.ggpht.com/ytc/AKedOLRMwgMpdCm_Jn57P2AA20ZJAmTVL37CGzDeoCnTnQ=s88-c-k-c0x00ffffff-no-rj")</f>
        <v>https://yt3.ggpht.com/ytc/AKedOLRMwgMpdCm_Jn57P2AA20ZJAmTVL37CGzDeoCnTnQ=s88-c-k-c0x00ffffff-no-rj</v>
      </c>
      <c r="AL376" s="80">
        <v>1429</v>
      </c>
      <c r="AM376" s="80">
        <v>0</v>
      </c>
      <c r="AN376" s="80">
        <v>44</v>
      </c>
      <c r="AO376" s="80" t="b">
        <v>0</v>
      </c>
      <c r="AP376" s="80">
        <v>29</v>
      </c>
      <c r="AQ376" s="80"/>
      <c r="AR376" s="80"/>
      <c r="AS376" s="80" t="s">
        <v>3412</v>
      </c>
      <c r="AT376" s="85" t="str">
        <f>HYPERLINK("https://www.youtube.com/channel/UCd-BO4rHgpgVt-z0BSzVqMg")</f>
        <v>https://www.youtube.com/channel/UCd-BO4rHgpgVt-z0BSzVqMg</v>
      </c>
      <c r="AU376" s="80" t="str">
        <f>REPLACE(INDEX(GroupVertices[Group],MATCH(Vertices[[#This Row],[Vertex]],GroupVertices[Vertex],0)),1,1,"")</f>
        <v>12</v>
      </c>
      <c r="AV376" s="49">
        <v>0</v>
      </c>
      <c r="AW376" s="50">
        <v>0</v>
      </c>
      <c r="AX376" s="49">
        <v>2</v>
      </c>
      <c r="AY376" s="50">
        <v>25</v>
      </c>
      <c r="AZ376" s="49">
        <v>0</v>
      </c>
      <c r="BA376" s="50">
        <v>0</v>
      </c>
      <c r="BB376" s="49">
        <v>6</v>
      </c>
      <c r="BC376" s="50">
        <v>75</v>
      </c>
      <c r="BD376" s="49">
        <v>8</v>
      </c>
      <c r="BE376" s="49"/>
      <c r="BF376" s="49"/>
      <c r="BG376" s="49"/>
      <c r="BH376" s="49"/>
      <c r="BI376" s="49"/>
      <c r="BJ376" s="49"/>
      <c r="BK376" s="111" t="s">
        <v>4733</v>
      </c>
      <c r="BL376" s="111" t="s">
        <v>4733</v>
      </c>
      <c r="BM376" s="111" t="s">
        <v>5205</v>
      </c>
      <c r="BN376" s="111" t="s">
        <v>5205</v>
      </c>
      <c r="BO376" s="2"/>
      <c r="BP376" s="3"/>
      <c r="BQ376" s="3"/>
      <c r="BR376" s="3"/>
      <c r="BS376" s="3"/>
    </row>
    <row r="377" spans="1:71" ht="15">
      <c r="A377" s="65" t="s">
        <v>600</v>
      </c>
      <c r="B377" s="66"/>
      <c r="C377" s="66"/>
      <c r="D377" s="67">
        <v>167.20238095238096</v>
      </c>
      <c r="E377" s="69"/>
      <c r="F377" s="103" t="str">
        <f>HYPERLINK("https://yt3.ggpht.com/ytc/AKedOLTT1uoTCR-MslPFyVJ4fxn_xlHZF_ELXJgbv1s-=s88-c-k-c0x00ffffff-no-rj")</f>
        <v>https://yt3.ggpht.com/ytc/AKedOLTT1uoTCR-MslPFyVJ4fxn_xlHZF_ELXJgbv1s-=s88-c-k-c0x00ffffff-no-rj</v>
      </c>
      <c r="G377" s="66"/>
      <c r="H377" s="70" t="s">
        <v>1928</v>
      </c>
      <c r="I377" s="71"/>
      <c r="J377" s="71" t="s">
        <v>75</v>
      </c>
      <c r="K377" s="70" t="s">
        <v>1928</v>
      </c>
      <c r="L377" s="74">
        <v>10.273570493234395</v>
      </c>
      <c r="M377" s="75">
        <v>9447.9951171875</v>
      </c>
      <c r="N377" s="75">
        <v>1956.3515625</v>
      </c>
      <c r="O377" s="76"/>
      <c r="P377" s="77"/>
      <c r="Q377" s="77"/>
      <c r="R377" s="89"/>
      <c r="S377" s="49">
        <v>2</v>
      </c>
      <c r="T377" s="49">
        <v>1</v>
      </c>
      <c r="U377" s="50">
        <v>34</v>
      </c>
      <c r="V377" s="50">
        <v>0.058824</v>
      </c>
      <c r="W377" s="50">
        <v>0</v>
      </c>
      <c r="X377" s="50">
        <v>1.57005</v>
      </c>
      <c r="Y377" s="50">
        <v>0</v>
      </c>
      <c r="Z377" s="50">
        <v>0</v>
      </c>
      <c r="AA377" s="72">
        <v>377</v>
      </c>
      <c r="AB377" s="72"/>
      <c r="AC377" s="73"/>
      <c r="AD377" s="80" t="s">
        <v>1928</v>
      </c>
      <c r="AE377" s="80"/>
      <c r="AF377" s="80"/>
      <c r="AG377" s="80"/>
      <c r="AH377" s="80"/>
      <c r="AI377" s="80"/>
      <c r="AJ377" s="87">
        <v>41466.77775462963</v>
      </c>
      <c r="AK377" s="85" t="str">
        <f>HYPERLINK("https://yt3.ggpht.com/ytc/AKedOLTT1uoTCR-MslPFyVJ4fxn_xlHZF_ELXJgbv1s-=s88-c-k-c0x00ffffff-no-rj")</f>
        <v>https://yt3.ggpht.com/ytc/AKedOLTT1uoTCR-MslPFyVJ4fxn_xlHZF_ELXJgbv1s-=s88-c-k-c0x00ffffff-no-rj</v>
      </c>
      <c r="AL377" s="80">
        <v>374</v>
      </c>
      <c r="AM377" s="80">
        <v>0</v>
      </c>
      <c r="AN377" s="80">
        <v>13</v>
      </c>
      <c r="AO377" s="80" t="b">
        <v>0</v>
      </c>
      <c r="AP377" s="80">
        <v>1</v>
      </c>
      <c r="AQ377" s="80"/>
      <c r="AR377" s="80"/>
      <c r="AS377" s="80" t="s">
        <v>3412</v>
      </c>
      <c r="AT377" s="85" t="str">
        <f>HYPERLINK("https://www.youtube.com/channel/UCgRUUd0ZW-npzTNP4SadDng")</f>
        <v>https://www.youtube.com/channel/UCgRUUd0ZW-npzTNP4SadDng</v>
      </c>
      <c r="AU377" s="80" t="str">
        <f>REPLACE(INDEX(GroupVertices[Group],MATCH(Vertices[[#This Row],[Vertex]],GroupVertices[Vertex],0)),1,1,"")</f>
        <v>12</v>
      </c>
      <c r="AV377" s="49">
        <v>1</v>
      </c>
      <c r="AW377" s="50">
        <v>12.5</v>
      </c>
      <c r="AX377" s="49">
        <v>0</v>
      </c>
      <c r="AY377" s="50">
        <v>0</v>
      </c>
      <c r="AZ377" s="49">
        <v>0</v>
      </c>
      <c r="BA377" s="50">
        <v>0</v>
      </c>
      <c r="BB377" s="49">
        <v>7</v>
      </c>
      <c r="BC377" s="50">
        <v>87.5</v>
      </c>
      <c r="BD377" s="49">
        <v>8</v>
      </c>
      <c r="BE377" s="49"/>
      <c r="BF377" s="49"/>
      <c r="BG377" s="49"/>
      <c r="BH377" s="49"/>
      <c r="BI377" s="49"/>
      <c r="BJ377" s="49"/>
      <c r="BK377" s="111" t="s">
        <v>4734</v>
      </c>
      <c r="BL377" s="111" t="s">
        <v>4734</v>
      </c>
      <c r="BM377" s="111" t="s">
        <v>5206</v>
      </c>
      <c r="BN377" s="111" t="s">
        <v>5206</v>
      </c>
      <c r="BO377" s="2"/>
      <c r="BP377" s="3"/>
      <c r="BQ377" s="3"/>
      <c r="BR377" s="3"/>
      <c r="BS377" s="3"/>
    </row>
    <row r="378" spans="1:71" ht="15">
      <c r="A378" s="65" t="s">
        <v>599</v>
      </c>
      <c r="B378" s="66"/>
      <c r="C378" s="66"/>
      <c r="D378" s="67">
        <v>150</v>
      </c>
      <c r="E378" s="69"/>
      <c r="F378" s="103" t="str">
        <f>HYPERLINK("https://yt3.ggpht.com/ytc/AKedOLQtgtLDFx9t8DqU1sLz2WDX_Y3dGr0_XV42AcVo=s88-c-k-c0x00ffffff-no-rj")</f>
        <v>https://yt3.ggpht.com/ytc/AKedOLQtgtLDFx9t8DqU1sLz2WDX_Y3dGr0_XV42AcVo=s88-c-k-c0x00ffffff-no-rj</v>
      </c>
      <c r="G378" s="66"/>
      <c r="H378" s="70" t="s">
        <v>1927</v>
      </c>
      <c r="I378" s="71"/>
      <c r="J378" s="71" t="s">
        <v>159</v>
      </c>
      <c r="K378" s="70" t="s">
        <v>1927</v>
      </c>
      <c r="L378" s="74">
        <v>1</v>
      </c>
      <c r="M378" s="75">
        <v>9668.7158203125</v>
      </c>
      <c r="N378" s="75">
        <v>1444.942138671875</v>
      </c>
      <c r="O378" s="76"/>
      <c r="P378" s="77"/>
      <c r="Q378" s="77"/>
      <c r="R378" s="89"/>
      <c r="S378" s="49">
        <v>0</v>
      </c>
      <c r="T378" s="49">
        <v>1</v>
      </c>
      <c r="U378" s="50">
        <v>0</v>
      </c>
      <c r="V378" s="50">
        <v>0.038462</v>
      </c>
      <c r="W378" s="50">
        <v>0</v>
      </c>
      <c r="X378" s="50">
        <v>0.594848</v>
      </c>
      <c r="Y378" s="50">
        <v>0</v>
      </c>
      <c r="Z378" s="50">
        <v>0</v>
      </c>
      <c r="AA378" s="72">
        <v>378</v>
      </c>
      <c r="AB378" s="72"/>
      <c r="AC378" s="73"/>
      <c r="AD378" s="80" t="s">
        <v>1927</v>
      </c>
      <c r="AE378" s="80"/>
      <c r="AF378" s="80"/>
      <c r="AG378" s="80"/>
      <c r="AH378" s="80"/>
      <c r="AI378" s="80"/>
      <c r="AJ378" s="80" t="s">
        <v>3317</v>
      </c>
      <c r="AK378" s="85" t="str">
        <f>HYPERLINK("https://yt3.ggpht.com/ytc/AKedOLQtgtLDFx9t8DqU1sLz2WDX_Y3dGr0_XV42AcVo=s88-c-k-c0x00ffffff-no-rj")</f>
        <v>https://yt3.ggpht.com/ytc/AKedOLQtgtLDFx9t8DqU1sLz2WDX_Y3dGr0_XV42AcVo=s88-c-k-c0x00ffffff-no-rj</v>
      </c>
      <c r="AL378" s="80">
        <v>0</v>
      </c>
      <c r="AM378" s="80">
        <v>0</v>
      </c>
      <c r="AN378" s="80">
        <v>104</v>
      </c>
      <c r="AO378" s="80" t="b">
        <v>0</v>
      </c>
      <c r="AP378" s="80">
        <v>0</v>
      </c>
      <c r="AQ378" s="80"/>
      <c r="AR378" s="80"/>
      <c r="AS378" s="80" t="s">
        <v>3412</v>
      </c>
      <c r="AT378" s="85" t="str">
        <f>HYPERLINK("https://www.youtube.com/channel/UCKidRg7VCOkCWuALair2Q6A")</f>
        <v>https://www.youtube.com/channel/UCKidRg7VCOkCWuALair2Q6A</v>
      </c>
      <c r="AU378" s="80" t="str">
        <f>REPLACE(INDEX(GroupVertices[Group],MATCH(Vertices[[#This Row],[Vertex]],GroupVertices[Vertex],0)),1,1,"")</f>
        <v>12</v>
      </c>
      <c r="AV378" s="49">
        <v>3</v>
      </c>
      <c r="AW378" s="50">
        <v>17.647058823529413</v>
      </c>
      <c r="AX378" s="49">
        <v>1</v>
      </c>
      <c r="AY378" s="50">
        <v>5.882352941176471</v>
      </c>
      <c r="AZ378" s="49">
        <v>0</v>
      </c>
      <c r="BA378" s="50">
        <v>0</v>
      </c>
      <c r="BB378" s="49">
        <v>13</v>
      </c>
      <c r="BC378" s="50">
        <v>76.47058823529412</v>
      </c>
      <c r="BD378" s="49">
        <v>17</v>
      </c>
      <c r="BE378" s="49"/>
      <c r="BF378" s="49"/>
      <c r="BG378" s="49"/>
      <c r="BH378" s="49"/>
      <c r="BI378" s="49"/>
      <c r="BJ378" s="49"/>
      <c r="BK378" s="111" t="s">
        <v>4735</v>
      </c>
      <c r="BL378" s="111" t="s">
        <v>4735</v>
      </c>
      <c r="BM378" s="111" t="s">
        <v>5207</v>
      </c>
      <c r="BN378" s="111" t="s">
        <v>5207</v>
      </c>
      <c r="BO378" s="2"/>
      <c r="BP378" s="3"/>
      <c r="BQ378" s="3"/>
      <c r="BR378" s="3"/>
      <c r="BS378" s="3"/>
    </row>
    <row r="379" spans="1:71" ht="15">
      <c r="A379" s="65" t="s">
        <v>601</v>
      </c>
      <c r="B379" s="66"/>
      <c r="C379" s="66"/>
      <c r="D379" s="67">
        <v>150</v>
      </c>
      <c r="E379" s="69"/>
      <c r="F379" s="103" t="str">
        <f>HYPERLINK("https://yt3.ggpht.com/ytc/AKedOLQSuZ4rpETu61ZJYhcXRVvA1UXSKyULZ229HBs31A=s88-c-k-c0x00ffffff-no-rj")</f>
        <v>https://yt3.ggpht.com/ytc/AKedOLQSuZ4rpETu61ZJYhcXRVvA1UXSKyULZ229HBs31A=s88-c-k-c0x00ffffff-no-rj</v>
      </c>
      <c r="G379" s="66"/>
      <c r="H379" s="70" t="s">
        <v>1929</v>
      </c>
      <c r="I379" s="71"/>
      <c r="J379" s="71" t="s">
        <v>159</v>
      </c>
      <c r="K379" s="70" t="s">
        <v>1929</v>
      </c>
      <c r="L379" s="74">
        <v>1</v>
      </c>
      <c r="M379" s="75">
        <v>8837.73828125</v>
      </c>
      <c r="N379" s="75">
        <v>1590.60498046875</v>
      </c>
      <c r="O379" s="76"/>
      <c r="P379" s="77"/>
      <c r="Q379" s="77"/>
      <c r="R379" s="89"/>
      <c r="S379" s="49">
        <v>0</v>
      </c>
      <c r="T379" s="49">
        <v>1</v>
      </c>
      <c r="U379" s="50">
        <v>0</v>
      </c>
      <c r="V379" s="50">
        <v>0.047619</v>
      </c>
      <c r="W379" s="50">
        <v>0</v>
      </c>
      <c r="X379" s="50">
        <v>0.55881</v>
      </c>
      <c r="Y379" s="50">
        <v>0</v>
      </c>
      <c r="Z379" s="50">
        <v>0</v>
      </c>
      <c r="AA379" s="72">
        <v>379</v>
      </c>
      <c r="AB379" s="72"/>
      <c r="AC379" s="73"/>
      <c r="AD379" s="80" t="s">
        <v>1929</v>
      </c>
      <c r="AE379" s="80"/>
      <c r="AF379" s="80"/>
      <c r="AG379" s="80"/>
      <c r="AH379" s="80"/>
      <c r="AI379" s="80"/>
      <c r="AJ379" s="80" t="s">
        <v>3318</v>
      </c>
      <c r="AK379" s="85" t="str">
        <f>HYPERLINK("https://yt3.ggpht.com/ytc/AKedOLQSuZ4rpETu61ZJYhcXRVvA1UXSKyULZ229HBs31A=s88-c-k-c0x00ffffff-no-rj")</f>
        <v>https://yt3.ggpht.com/ytc/AKedOLQSuZ4rpETu61ZJYhcXRVvA1UXSKyULZ229HBs31A=s88-c-k-c0x00ffffff-no-rj</v>
      </c>
      <c r="AL379" s="80">
        <v>0</v>
      </c>
      <c r="AM379" s="80">
        <v>0</v>
      </c>
      <c r="AN379" s="80">
        <v>1</v>
      </c>
      <c r="AO379" s="80" t="b">
        <v>0</v>
      </c>
      <c r="AP379" s="80">
        <v>0</v>
      </c>
      <c r="AQ379" s="80"/>
      <c r="AR379" s="80"/>
      <c r="AS379" s="80" t="s">
        <v>3412</v>
      </c>
      <c r="AT379" s="85" t="str">
        <f>HYPERLINK("https://www.youtube.com/channel/UCR2w5d-fT7ft2VOMZZY9KQA")</f>
        <v>https://www.youtube.com/channel/UCR2w5d-fT7ft2VOMZZY9KQA</v>
      </c>
      <c r="AU379" s="80" t="str">
        <f>REPLACE(INDEX(GroupVertices[Group],MATCH(Vertices[[#This Row],[Vertex]],GroupVertices[Vertex],0)),1,1,"")</f>
        <v>12</v>
      </c>
      <c r="AV379" s="49">
        <v>0</v>
      </c>
      <c r="AW379" s="50">
        <v>0</v>
      </c>
      <c r="AX379" s="49">
        <v>0</v>
      </c>
      <c r="AY379" s="50">
        <v>0</v>
      </c>
      <c r="AZ379" s="49">
        <v>0</v>
      </c>
      <c r="BA379" s="50">
        <v>0</v>
      </c>
      <c r="BB379" s="49">
        <v>15</v>
      </c>
      <c r="BC379" s="50">
        <v>100</v>
      </c>
      <c r="BD379" s="49">
        <v>15</v>
      </c>
      <c r="BE379" s="49"/>
      <c r="BF379" s="49"/>
      <c r="BG379" s="49"/>
      <c r="BH379" s="49"/>
      <c r="BI379" s="49"/>
      <c r="BJ379" s="49"/>
      <c r="BK379" s="111" t="s">
        <v>4736</v>
      </c>
      <c r="BL379" s="111" t="s">
        <v>4736</v>
      </c>
      <c r="BM379" s="111" t="s">
        <v>5208</v>
      </c>
      <c r="BN379" s="111" t="s">
        <v>5208</v>
      </c>
      <c r="BO379" s="2"/>
      <c r="BP379" s="3"/>
      <c r="BQ379" s="3"/>
      <c r="BR379" s="3"/>
      <c r="BS379" s="3"/>
    </row>
    <row r="380" spans="1:71" ht="15">
      <c r="A380" s="65" t="s">
        <v>602</v>
      </c>
      <c r="B380" s="66"/>
      <c r="C380" s="66"/>
      <c r="D380" s="67">
        <v>150</v>
      </c>
      <c r="E380" s="69"/>
      <c r="F380" s="103" t="str">
        <f>HYPERLINK("https://yt3.ggpht.com/ytc/AKedOLSoTTvQQPH710pGq-Iq_TVDO5JAjezlRXTVQA=s88-c-k-c0x00ffffff-no-rj")</f>
        <v>https://yt3.ggpht.com/ytc/AKedOLSoTTvQQPH710pGq-Iq_TVDO5JAjezlRXTVQA=s88-c-k-c0x00ffffff-no-rj</v>
      </c>
      <c r="G380" s="66"/>
      <c r="H380" s="70" t="s">
        <v>1930</v>
      </c>
      <c r="I380" s="71"/>
      <c r="J380" s="71" t="s">
        <v>159</v>
      </c>
      <c r="K380" s="70" t="s">
        <v>1930</v>
      </c>
      <c r="L380" s="74">
        <v>1</v>
      </c>
      <c r="M380" s="75">
        <v>9089.591796875</v>
      </c>
      <c r="N380" s="75">
        <v>1603.2393798828125</v>
      </c>
      <c r="O380" s="76"/>
      <c r="P380" s="77"/>
      <c r="Q380" s="77"/>
      <c r="R380" s="89"/>
      <c r="S380" s="49">
        <v>0</v>
      </c>
      <c r="T380" s="49">
        <v>1</v>
      </c>
      <c r="U380" s="50">
        <v>0</v>
      </c>
      <c r="V380" s="50">
        <v>0.047619</v>
      </c>
      <c r="W380" s="50">
        <v>0</v>
      </c>
      <c r="X380" s="50">
        <v>0.55881</v>
      </c>
      <c r="Y380" s="50">
        <v>0</v>
      </c>
      <c r="Z380" s="50">
        <v>0</v>
      </c>
      <c r="AA380" s="72">
        <v>380</v>
      </c>
      <c r="AB380" s="72"/>
      <c r="AC380" s="73"/>
      <c r="AD380" s="80" t="s">
        <v>1930</v>
      </c>
      <c r="AE380" s="80"/>
      <c r="AF380" s="80"/>
      <c r="AG380" s="80"/>
      <c r="AH380" s="80"/>
      <c r="AI380" s="80"/>
      <c r="AJ380" s="87">
        <v>41344.74561342593</v>
      </c>
      <c r="AK380" s="85" t="str">
        <f>HYPERLINK("https://yt3.ggpht.com/ytc/AKedOLSoTTvQQPH710pGq-Iq_TVDO5JAjezlRXTVQA=s88-c-k-c0x00ffffff-no-rj")</f>
        <v>https://yt3.ggpht.com/ytc/AKedOLSoTTvQQPH710pGq-Iq_TVDO5JAjezlRXTVQA=s88-c-k-c0x00ffffff-no-rj</v>
      </c>
      <c r="AL380" s="80">
        <v>0</v>
      </c>
      <c r="AM380" s="80">
        <v>0</v>
      </c>
      <c r="AN380" s="80">
        <v>0</v>
      </c>
      <c r="AO380" s="80" t="b">
        <v>0</v>
      </c>
      <c r="AP380" s="80">
        <v>0</v>
      </c>
      <c r="AQ380" s="80"/>
      <c r="AR380" s="80"/>
      <c r="AS380" s="80" t="s">
        <v>3412</v>
      </c>
      <c r="AT380" s="85" t="str">
        <f>HYPERLINK("https://www.youtube.com/channel/UCOJWlLG3zW9KTx_ctVXL9xw")</f>
        <v>https://www.youtube.com/channel/UCOJWlLG3zW9KTx_ctVXL9xw</v>
      </c>
      <c r="AU380" s="80" t="str">
        <f>REPLACE(INDEX(GroupVertices[Group],MATCH(Vertices[[#This Row],[Vertex]],GroupVertices[Vertex],0)),1,1,"")</f>
        <v>12</v>
      </c>
      <c r="AV380" s="49">
        <v>2</v>
      </c>
      <c r="AW380" s="50">
        <v>6.896551724137931</v>
      </c>
      <c r="AX380" s="49">
        <v>0</v>
      </c>
      <c r="AY380" s="50">
        <v>0</v>
      </c>
      <c r="AZ380" s="49">
        <v>0</v>
      </c>
      <c r="BA380" s="50">
        <v>0</v>
      </c>
      <c r="BB380" s="49">
        <v>27</v>
      </c>
      <c r="BC380" s="50">
        <v>93.10344827586206</v>
      </c>
      <c r="BD380" s="49">
        <v>29</v>
      </c>
      <c r="BE380" s="49"/>
      <c r="BF380" s="49"/>
      <c r="BG380" s="49"/>
      <c r="BH380" s="49"/>
      <c r="BI380" s="49"/>
      <c r="BJ380" s="49"/>
      <c r="BK380" s="111" t="s">
        <v>4737</v>
      </c>
      <c r="BL380" s="111" t="s">
        <v>4737</v>
      </c>
      <c r="BM380" s="111" t="s">
        <v>5209</v>
      </c>
      <c r="BN380" s="111" t="s">
        <v>5209</v>
      </c>
      <c r="BO380" s="2"/>
      <c r="BP380" s="3"/>
      <c r="BQ380" s="3"/>
      <c r="BR380" s="3"/>
      <c r="BS380" s="3"/>
    </row>
    <row r="381" spans="1:71" ht="15">
      <c r="A381" s="65" t="s">
        <v>603</v>
      </c>
      <c r="B381" s="66"/>
      <c r="C381" s="66"/>
      <c r="D381" s="67">
        <v>150</v>
      </c>
      <c r="E381" s="69"/>
      <c r="F381" s="103" t="str">
        <f>HYPERLINK("https://yt3.ggpht.com/ytc/AKedOLQEjY8mDpWCDRBlUX5Det1hEPurgkiRRiUMjw=s88-c-k-c0x00ffffff-no-rj")</f>
        <v>https://yt3.ggpht.com/ytc/AKedOLQEjY8mDpWCDRBlUX5Det1hEPurgkiRRiUMjw=s88-c-k-c0x00ffffff-no-rj</v>
      </c>
      <c r="G381" s="66"/>
      <c r="H381" s="70" t="s">
        <v>1931</v>
      </c>
      <c r="I381" s="71"/>
      <c r="J381" s="71" t="s">
        <v>159</v>
      </c>
      <c r="K381" s="70" t="s">
        <v>1931</v>
      </c>
      <c r="L381" s="74">
        <v>1</v>
      </c>
      <c r="M381" s="75">
        <v>8680.90234375</v>
      </c>
      <c r="N381" s="75">
        <v>1935.2691650390625</v>
      </c>
      <c r="O381" s="76"/>
      <c r="P381" s="77"/>
      <c r="Q381" s="77"/>
      <c r="R381" s="89"/>
      <c r="S381" s="49">
        <v>0</v>
      </c>
      <c r="T381" s="49">
        <v>1</v>
      </c>
      <c r="U381" s="50">
        <v>0</v>
      </c>
      <c r="V381" s="50">
        <v>0.047619</v>
      </c>
      <c r="W381" s="50">
        <v>0</v>
      </c>
      <c r="X381" s="50">
        <v>0.55881</v>
      </c>
      <c r="Y381" s="50">
        <v>0</v>
      </c>
      <c r="Z381" s="50">
        <v>0</v>
      </c>
      <c r="AA381" s="72">
        <v>381</v>
      </c>
      <c r="AB381" s="72"/>
      <c r="AC381" s="73"/>
      <c r="AD381" s="80" t="s">
        <v>1931</v>
      </c>
      <c r="AE381" s="80"/>
      <c r="AF381" s="80"/>
      <c r="AG381" s="80"/>
      <c r="AH381" s="80"/>
      <c r="AI381" s="80"/>
      <c r="AJ381" s="87">
        <v>41224.74128472222</v>
      </c>
      <c r="AK381" s="85" t="str">
        <f>HYPERLINK("https://yt3.ggpht.com/ytc/AKedOLQEjY8mDpWCDRBlUX5Det1hEPurgkiRRiUMjw=s88-c-k-c0x00ffffff-no-rj")</f>
        <v>https://yt3.ggpht.com/ytc/AKedOLQEjY8mDpWCDRBlUX5Det1hEPurgkiRRiUMjw=s88-c-k-c0x00ffffff-no-rj</v>
      </c>
      <c r="AL381" s="80">
        <v>0</v>
      </c>
      <c r="AM381" s="80">
        <v>0</v>
      </c>
      <c r="AN381" s="80">
        <v>3</v>
      </c>
      <c r="AO381" s="80" t="b">
        <v>0</v>
      </c>
      <c r="AP381" s="80">
        <v>0</v>
      </c>
      <c r="AQ381" s="80"/>
      <c r="AR381" s="80"/>
      <c r="AS381" s="80" t="s">
        <v>3412</v>
      </c>
      <c r="AT381" s="85" t="str">
        <f>HYPERLINK("https://www.youtube.com/channel/UC_gDZk0R3Pt2hUc0zAIqCWA")</f>
        <v>https://www.youtube.com/channel/UC_gDZk0R3Pt2hUc0zAIqCWA</v>
      </c>
      <c r="AU381" s="80" t="str">
        <f>REPLACE(INDEX(GroupVertices[Group],MATCH(Vertices[[#This Row],[Vertex]],GroupVertices[Vertex],0)),1,1,"")</f>
        <v>12</v>
      </c>
      <c r="AV381" s="49">
        <v>1</v>
      </c>
      <c r="AW381" s="50">
        <v>50</v>
      </c>
      <c r="AX381" s="49">
        <v>0</v>
      </c>
      <c r="AY381" s="50">
        <v>0</v>
      </c>
      <c r="AZ381" s="49">
        <v>0</v>
      </c>
      <c r="BA381" s="50">
        <v>0</v>
      </c>
      <c r="BB381" s="49">
        <v>1</v>
      </c>
      <c r="BC381" s="50">
        <v>50</v>
      </c>
      <c r="BD381" s="49">
        <v>2</v>
      </c>
      <c r="BE381" s="49"/>
      <c r="BF381" s="49"/>
      <c r="BG381" s="49"/>
      <c r="BH381" s="49"/>
      <c r="BI381" s="49"/>
      <c r="BJ381" s="49"/>
      <c r="BK381" s="111" t="s">
        <v>4738</v>
      </c>
      <c r="BL381" s="111" t="s">
        <v>4738</v>
      </c>
      <c r="BM381" s="111" t="s">
        <v>5210</v>
      </c>
      <c r="BN381" s="111" t="s">
        <v>5210</v>
      </c>
      <c r="BO381" s="2"/>
      <c r="BP381" s="3"/>
      <c r="BQ381" s="3"/>
      <c r="BR381" s="3"/>
      <c r="BS381" s="3"/>
    </row>
    <row r="382" spans="1:71" ht="15">
      <c r="A382" s="65" t="s">
        <v>604</v>
      </c>
      <c r="B382" s="66"/>
      <c r="C382" s="66"/>
      <c r="D382" s="67">
        <v>150</v>
      </c>
      <c r="E382" s="69"/>
      <c r="F382" s="103" t="str">
        <f>HYPERLINK("https://yt3.ggpht.com/ytc/AKedOLQUzgxGiWCvAkhvQeY5AFLM4XpOiDywe_FggQpQ2Q=s88-c-k-c0x00ffffff-no-rj")</f>
        <v>https://yt3.ggpht.com/ytc/AKedOLQUzgxGiWCvAkhvQeY5AFLM4XpOiDywe_FggQpQ2Q=s88-c-k-c0x00ffffff-no-rj</v>
      </c>
      <c r="G382" s="66"/>
      <c r="H382" s="70" t="s">
        <v>1932</v>
      </c>
      <c r="I382" s="71"/>
      <c r="J382" s="71" t="s">
        <v>159</v>
      </c>
      <c r="K382" s="70" t="s">
        <v>1932</v>
      </c>
      <c r="L382" s="74">
        <v>1</v>
      </c>
      <c r="M382" s="75">
        <v>8677.703125</v>
      </c>
      <c r="N382" s="75">
        <v>2353.63134765625</v>
      </c>
      <c r="O382" s="76"/>
      <c r="P382" s="77"/>
      <c r="Q382" s="77"/>
      <c r="R382" s="89"/>
      <c r="S382" s="49">
        <v>0</v>
      </c>
      <c r="T382" s="49">
        <v>1</v>
      </c>
      <c r="U382" s="50">
        <v>0</v>
      </c>
      <c r="V382" s="50">
        <v>0.047619</v>
      </c>
      <c r="W382" s="50">
        <v>0</v>
      </c>
      <c r="X382" s="50">
        <v>0.55881</v>
      </c>
      <c r="Y382" s="50">
        <v>0</v>
      </c>
      <c r="Z382" s="50">
        <v>0</v>
      </c>
      <c r="AA382" s="72">
        <v>382</v>
      </c>
      <c r="AB382" s="72"/>
      <c r="AC382" s="73"/>
      <c r="AD382" s="80" t="s">
        <v>1932</v>
      </c>
      <c r="AE382" s="80"/>
      <c r="AF382" s="80"/>
      <c r="AG382" s="80"/>
      <c r="AH382" s="80"/>
      <c r="AI382" s="80"/>
      <c r="AJ382" s="87">
        <v>40028.68716435185</v>
      </c>
      <c r="AK382" s="85" t="str">
        <f>HYPERLINK("https://yt3.ggpht.com/ytc/AKedOLQUzgxGiWCvAkhvQeY5AFLM4XpOiDywe_FggQpQ2Q=s88-c-k-c0x00ffffff-no-rj")</f>
        <v>https://yt3.ggpht.com/ytc/AKedOLQUzgxGiWCvAkhvQeY5AFLM4XpOiDywe_FggQpQ2Q=s88-c-k-c0x00ffffff-no-rj</v>
      </c>
      <c r="AL382" s="80">
        <v>0</v>
      </c>
      <c r="AM382" s="80">
        <v>0</v>
      </c>
      <c r="AN382" s="80">
        <v>76</v>
      </c>
      <c r="AO382" s="80" t="b">
        <v>0</v>
      </c>
      <c r="AP382" s="80">
        <v>0</v>
      </c>
      <c r="AQ382" s="80"/>
      <c r="AR382" s="80"/>
      <c r="AS382" s="80" t="s">
        <v>3412</v>
      </c>
      <c r="AT382" s="85" t="str">
        <f>HYPERLINK("https://www.youtube.com/channel/UCnJ9SRiMlFp8Dxy7RDs4Z-g")</f>
        <v>https://www.youtube.com/channel/UCnJ9SRiMlFp8Dxy7RDs4Z-g</v>
      </c>
      <c r="AU382" s="80" t="str">
        <f>REPLACE(INDEX(GroupVertices[Group],MATCH(Vertices[[#This Row],[Vertex]],GroupVertices[Vertex],0)),1,1,"")</f>
        <v>12</v>
      </c>
      <c r="AV382" s="49">
        <v>0</v>
      </c>
      <c r="AW382" s="50">
        <v>0</v>
      </c>
      <c r="AX382" s="49">
        <v>0</v>
      </c>
      <c r="AY382" s="50">
        <v>0</v>
      </c>
      <c r="AZ382" s="49">
        <v>0</v>
      </c>
      <c r="BA382" s="50">
        <v>0</v>
      </c>
      <c r="BB382" s="49">
        <v>8</v>
      </c>
      <c r="BC382" s="50">
        <v>100</v>
      </c>
      <c r="BD382" s="49">
        <v>8</v>
      </c>
      <c r="BE382" s="49"/>
      <c r="BF382" s="49"/>
      <c r="BG382" s="49"/>
      <c r="BH382" s="49"/>
      <c r="BI382" s="49"/>
      <c r="BJ382" s="49"/>
      <c r="BK382" s="111" t="s">
        <v>4739</v>
      </c>
      <c r="BL382" s="111" t="s">
        <v>4739</v>
      </c>
      <c r="BM382" s="111" t="s">
        <v>5211</v>
      </c>
      <c r="BN382" s="111" t="s">
        <v>5211</v>
      </c>
      <c r="BO382" s="2"/>
      <c r="BP382" s="3"/>
      <c r="BQ382" s="3"/>
      <c r="BR382" s="3"/>
      <c r="BS382" s="3"/>
    </row>
    <row r="383" spans="1:71" ht="15">
      <c r="A383" s="65" t="s">
        <v>606</v>
      </c>
      <c r="B383" s="66"/>
      <c r="C383" s="66"/>
      <c r="D383" s="67">
        <v>150</v>
      </c>
      <c r="E383" s="69"/>
      <c r="F383" s="103" t="str">
        <f>HYPERLINK("https://yt3.ggpht.com/ytc/AKedOLQMus6LwWZ0q3FuAeyv6dBmNDed5G6JHS1QBJhhOQ=s88-c-k-c0x00ffffff-no-rj")</f>
        <v>https://yt3.ggpht.com/ytc/AKedOLQMus6LwWZ0q3FuAeyv6dBmNDed5G6JHS1QBJhhOQ=s88-c-k-c0x00ffffff-no-rj</v>
      </c>
      <c r="G383" s="66"/>
      <c r="H383" s="70" t="s">
        <v>1934</v>
      </c>
      <c r="I383" s="71"/>
      <c r="J383" s="71" t="s">
        <v>159</v>
      </c>
      <c r="K383" s="70" t="s">
        <v>1934</v>
      </c>
      <c r="L383" s="74">
        <v>1</v>
      </c>
      <c r="M383" s="75">
        <v>9294.8984375</v>
      </c>
      <c r="N383" s="75">
        <v>2573.264404296875</v>
      </c>
      <c r="O383" s="76"/>
      <c r="P383" s="77"/>
      <c r="Q383" s="77"/>
      <c r="R383" s="89"/>
      <c r="S383" s="49">
        <v>1</v>
      </c>
      <c r="T383" s="49">
        <v>1</v>
      </c>
      <c r="U383" s="50">
        <v>0</v>
      </c>
      <c r="V383" s="50">
        <v>0.047619</v>
      </c>
      <c r="W383" s="50">
        <v>0</v>
      </c>
      <c r="X383" s="50">
        <v>0.55881</v>
      </c>
      <c r="Y383" s="50">
        <v>0</v>
      </c>
      <c r="Z383" s="50">
        <v>1</v>
      </c>
      <c r="AA383" s="72">
        <v>383</v>
      </c>
      <c r="AB383" s="72"/>
      <c r="AC383" s="73"/>
      <c r="AD383" s="80" t="s">
        <v>1934</v>
      </c>
      <c r="AE383" s="80"/>
      <c r="AF383" s="80"/>
      <c r="AG383" s="80"/>
      <c r="AH383" s="80"/>
      <c r="AI383" s="80"/>
      <c r="AJ383" s="87">
        <v>42949.65087962963</v>
      </c>
      <c r="AK383" s="85" t="str">
        <f>HYPERLINK("https://yt3.ggpht.com/ytc/AKedOLQMus6LwWZ0q3FuAeyv6dBmNDed5G6JHS1QBJhhOQ=s88-c-k-c0x00ffffff-no-rj")</f>
        <v>https://yt3.ggpht.com/ytc/AKedOLQMus6LwWZ0q3FuAeyv6dBmNDed5G6JHS1QBJhhOQ=s88-c-k-c0x00ffffff-no-rj</v>
      </c>
      <c r="AL383" s="80">
        <v>0</v>
      </c>
      <c r="AM383" s="80">
        <v>0</v>
      </c>
      <c r="AN383" s="80">
        <v>1</v>
      </c>
      <c r="AO383" s="80" t="b">
        <v>0</v>
      </c>
      <c r="AP383" s="80">
        <v>0</v>
      </c>
      <c r="AQ383" s="80"/>
      <c r="AR383" s="80"/>
      <c r="AS383" s="80" t="s">
        <v>3412</v>
      </c>
      <c r="AT383" s="85" t="str">
        <f>HYPERLINK("https://www.youtube.com/channel/UC4pzPMhXszpN8yBq9BtJRFg")</f>
        <v>https://www.youtube.com/channel/UC4pzPMhXszpN8yBq9BtJRFg</v>
      </c>
      <c r="AU383" s="80" t="str">
        <f>REPLACE(INDEX(GroupVertices[Group],MATCH(Vertices[[#This Row],[Vertex]],GroupVertices[Vertex],0)),1,1,"")</f>
        <v>12</v>
      </c>
      <c r="AV383" s="49">
        <v>1</v>
      </c>
      <c r="AW383" s="50">
        <v>6.25</v>
      </c>
      <c r="AX383" s="49">
        <v>0</v>
      </c>
      <c r="AY383" s="50">
        <v>0</v>
      </c>
      <c r="AZ383" s="49">
        <v>0</v>
      </c>
      <c r="BA383" s="50">
        <v>0</v>
      </c>
      <c r="BB383" s="49">
        <v>15</v>
      </c>
      <c r="BC383" s="50">
        <v>93.75</v>
      </c>
      <c r="BD383" s="49">
        <v>16</v>
      </c>
      <c r="BE383" s="49"/>
      <c r="BF383" s="49"/>
      <c r="BG383" s="49"/>
      <c r="BH383" s="49"/>
      <c r="BI383" s="49"/>
      <c r="BJ383" s="49"/>
      <c r="BK383" s="111" t="s">
        <v>4740</v>
      </c>
      <c r="BL383" s="111" t="s">
        <v>4740</v>
      </c>
      <c r="BM383" s="111" t="s">
        <v>5212</v>
      </c>
      <c r="BN383" s="111" t="s">
        <v>5212</v>
      </c>
      <c r="BO383" s="2"/>
      <c r="BP383" s="3"/>
      <c r="BQ383" s="3"/>
      <c r="BR383" s="3"/>
      <c r="BS383" s="3"/>
    </row>
    <row r="384" spans="1:71" ht="15">
      <c r="A384" s="65" t="s">
        <v>607</v>
      </c>
      <c r="B384" s="66"/>
      <c r="C384" s="66"/>
      <c r="D384" s="67">
        <v>1000</v>
      </c>
      <c r="E384" s="69"/>
      <c r="F384" s="103" t="str">
        <f>HYPERLINK("https://yt3.ggpht.com/UJm3adIXAC2P6H0Gutm1MKDXjRe2bSonrfUfQ9TxE5RE__EZqaMOsJIvibHfR_F3LBZYCDedEw=s88-c-k-c0x00ffffff-no-rj")</f>
        <v>https://yt3.ggpht.com/UJm3adIXAC2P6H0Gutm1MKDXjRe2bSonrfUfQ9TxE5RE__EZqaMOsJIvibHfR_F3LBZYCDedEw=s88-c-k-c0x00ffffff-no-rj</v>
      </c>
      <c r="G384" s="66"/>
      <c r="H384" s="70" t="s">
        <v>1935</v>
      </c>
      <c r="I384" s="71"/>
      <c r="J384" s="71" t="s">
        <v>75</v>
      </c>
      <c r="K384" s="70" t="s">
        <v>1935</v>
      </c>
      <c r="L384" s="74">
        <v>783.2529463116543</v>
      </c>
      <c r="M384" s="75">
        <v>8487.4833984375</v>
      </c>
      <c r="N384" s="75">
        <v>3658.650634765625</v>
      </c>
      <c r="O384" s="76"/>
      <c r="P384" s="77"/>
      <c r="Q384" s="77"/>
      <c r="R384" s="89"/>
      <c r="S384" s="49">
        <v>14</v>
      </c>
      <c r="T384" s="49">
        <v>13</v>
      </c>
      <c r="U384" s="50">
        <v>2868</v>
      </c>
      <c r="V384" s="50">
        <v>0.002717</v>
      </c>
      <c r="W384" s="50">
        <v>0</v>
      </c>
      <c r="X384" s="50">
        <v>5.987532</v>
      </c>
      <c r="Y384" s="50">
        <v>0</v>
      </c>
      <c r="Z384" s="50">
        <v>0.9230769230769231</v>
      </c>
      <c r="AA384" s="72">
        <v>384</v>
      </c>
      <c r="AB384" s="72"/>
      <c r="AC384" s="73"/>
      <c r="AD384" s="80" t="s">
        <v>1935</v>
      </c>
      <c r="AE384" s="80" t="s">
        <v>2946</v>
      </c>
      <c r="AF384" s="80"/>
      <c r="AG384" s="80"/>
      <c r="AH384" s="80"/>
      <c r="AI384" s="80" t="s">
        <v>3076</v>
      </c>
      <c r="AJ384" s="80" t="s">
        <v>3319</v>
      </c>
      <c r="AK384" s="85" t="str">
        <f>HYPERLINK("https://yt3.ggpht.com/UJm3adIXAC2P6H0Gutm1MKDXjRe2bSonrfUfQ9TxE5RE__EZqaMOsJIvibHfR_F3LBZYCDedEw=s88-c-k-c0x00ffffff-no-rj")</f>
        <v>https://yt3.ggpht.com/UJm3adIXAC2P6H0Gutm1MKDXjRe2bSonrfUfQ9TxE5RE__EZqaMOsJIvibHfR_F3LBZYCDedEw=s88-c-k-c0x00ffffff-no-rj</v>
      </c>
      <c r="AL384" s="80">
        <v>3020628</v>
      </c>
      <c r="AM384" s="80">
        <v>0</v>
      </c>
      <c r="AN384" s="80">
        <v>0</v>
      </c>
      <c r="AO384" s="80" t="b">
        <v>1</v>
      </c>
      <c r="AP384" s="80">
        <v>680</v>
      </c>
      <c r="AQ384" s="80"/>
      <c r="AR384" s="80"/>
      <c r="AS384" s="80" t="s">
        <v>3412</v>
      </c>
      <c r="AT384" s="85" t="str">
        <f>HYPERLINK("https://www.youtube.com/channel/UCU29V2Jl2unpcOxm1kPDqmw")</f>
        <v>https://www.youtube.com/channel/UCU29V2Jl2unpcOxm1kPDqmw</v>
      </c>
      <c r="AU384" s="80" t="str">
        <f>REPLACE(INDEX(GroupVertices[Group],MATCH(Vertices[[#This Row],[Vertex]],GroupVertices[Vertex],0)),1,1,"")</f>
        <v>9</v>
      </c>
      <c r="AV384" s="49">
        <v>11</v>
      </c>
      <c r="AW384" s="50">
        <v>21.153846153846153</v>
      </c>
      <c r="AX384" s="49">
        <v>0</v>
      </c>
      <c r="AY384" s="50">
        <v>0</v>
      </c>
      <c r="AZ384" s="49">
        <v>0</v>
      </c>
      <c r="BA384" s="50">
        <v>0</v>
      </c>
      <c r="BB384" s="49">
        <v>41</v>
      </c>
      <c r="BC384" s="50">
        <v>78.84615384615384</v>
      </c>
      <c r="BD384" s="49">
        <v>52</v>
      </c>
      <c r="BE384" s="49"/>
      <c r="BF384" s="49"/>
      <c r="BG384" s="49"/>
      <c r="BH384" s="49"/>
      <c r="BI384" s="49"/>
      <c r="BJ384" s="49"/>
      <c r="BK384" s="111" t="s">
        <v>4741</v>
      </c>
      <c r="BL384" s="111" t="s">
        <v>4741</v>
      </c>
      <c r="BM384" s="111" t="s">
        <v>5213</v>
      </c>
      <c r="BN384" s="111" t="s">
        <v>5213</v>
      </c>
      <c r="BO384" s="2"/>
      <c r="BP384" s="3"/>
      <c r="BQ384" s="3"/>
      <c r="BR384" s="3"/>
      <c r="BS384" s="3"/>
    </row>
    <row r="385" spans="1:71" ht="15">
      <c r="A385" s="65" t="s">
        <v>608</v>
      </c>
      <c r="B385" s="66"/>
      <c r="C385" s="66"/>
      <c r="D385" s="67">
        <v>150</v>
      </c>
      <c r="E385" s="69"/>
      <c r="F385" s="103" t="str">
        <f>HYPERLINK("https://yt3.ggpht.com/ytc/AKedOLQUD-GOHh7pEJVttWJaKJPn7Z_2zveATnmd2QlLppc=s88-c-k-c0x00ffffff-no-rj")</f>
        <v>https://yt3.ggpht.com/ytc/AKedOLQUD-GOHh7pEJVttWJaKJPn7Z_2zveATnmd2QlLppc=s88-c-k-c0x00ffffff-no-rj</v>
      </c>
      <c r="G385" s="66"/>
      <c r="H385" s="70" t="s">
        <v>1936</v>
      </c>
      <c r="I385" s="71"/>
      <c r="J385" s="71" t="s">
        <v>159</v>
      </c>
      <c r="K385" s="70" t="s">
        <v>1936</v>
      </c>
      <c r="L385" s="74">
        <v>1</v>
      </c>
      <c r="M385" s="75">
        <v>7945.76904296875</v>
      </c>
      <c r="N385" s="75">
        <v>3829.767578125</v>
      </c>
      <c r="O385" s="76"/>
      <c r="P385" s="77"/>
      <c r="Q385" s="77"/>
      <c r="R385" s="89"/>
      <c r="S385" s="49">
        <v>1</v>
      </c>
      <c r="T385" s="49">
        <v>1</v>
      </c>
      <c r="U385" s="50">
        <v>0</v>
      </c>
      <c r="V385" s="50">
        <v>0.002169</v>
      </c>
      <c r="W385" s="50">
        <v>0</v>
      </c>
      <c r="X385" s="50">
        <v>0.513529</v>
      </c>
      <c r="Y385" s="50">
        <v>0</v>
      </c>
      <c r="Z385" s="50">
        <v>1</v>
      </c>
      <c r="AA385" s="72">
        <v>385</v>
      </c>
      <c r="AB385" s="72"/>
      <c r="AC385" s="73"/>
      <c r="AD385" s="80" t="s">
        <v>1936</v>
      </c>
      <c r="AE385" s="80" t="s">
        <v>2947</v>
      </c>
      <c r="AF385" s="80"/>
      <c r="AG385" s="80"/>
      <c r="AH385" s="80"/>
      <c r="AI385" s="80"/>
      <c r="AJ385" s="87">
        <v>38996.04023148148</v>
      </c>
      <c r="AK385" s="85" t="str">
        <f>HYPERLINK("https://yt3.ggpht.com/ytc/AKedOLQUD-GOHh7pEJVttWJaKJPn7Z_2zveATnmd2QlLppc=s88-c-k-c0x00ffffff-no-rj")</f>
        <v>https://yt3.ggpht.com/ytc/AKedOLQUD-GOHh7pEJVttWJaKJPn7Z_2zveATnmd2QlLppc=s88-c-k-c0x00ffffff-no-rj</v>
      </c>
      <c r="AL385" s="80">
        <v>1407</v>
      </c>
      <c r="AM385" s="80">
        <v>0</v>
      </c>
      <c r="AN385" s="80">
        <v>15</v>
      </c>
      <c r="AO385" s="80" t="b">
        <v>0</v>
      </c>
      <c r="AP385" s="80">
        <v>8</v>
      </c>
      <c r="AQ385" s="80"/>
      <c r="AR385" s="80"/>
      <c r="AS385" s="80" t="s">
        <v>3412</v>
      </c>
      <c r="AT385" s="85" t="str">
        <f>HYPERLINK("https://www.youtube.com/channel/UCeRGeymjMqtEP54ltDnyHjg")</f>
        <v>https://www.youtube.com/channel/UCeRGeymjMqtEP54ltDnyHjg</v>
      </c>
      <c r="AU385" s="80" t="str">
        <f>REPLACE(INDEX(GroupVertices[Group],MATCH(Vertices[[#This Row],[Vertex]],GroupVertices[Vertex],0)),1,1,"")</f>
        <v>9</v>
      </c>
      <c r="AV385" s="49">
        <v>2</v>
      </c>
      <c r="AW385" s="50">
        <v>15.384615384615385</v>
      </c>
      <c r="AX385" s="49">
        <v>0</v>
      </c>
      <c r="AY385" s="50">
        <v>0</v>
      </c>
      <c r="AZ385" s="49">
        <v>0</v>
      </c>
      <c r="BA385" s="50">
        <v>0</v>
      </c>
      <c r="BB385" s="49">
        <v>11</v>
      </c>
      <c r="BC385" s="50">
        <v>84.61538461538461</v>
      </c>
      <c r="BD385" s="49">
        <v>13</v>
      </c>
      <c r="BE385" s="49"/>
      <c r="BF385" s="49"/>
      <c r="BG385" s="49"/>
      <c r="BH385" s="49"/>
      <c r="BI385" s="49"/>
      <c r="BJ385" s="49"/>
      <c r="BK385" s="111" t="s">
        <v>4742</v>
      </c>
      <c r="BL385" s="111" t="s">
        <v>4742</v>
      </c>
      <c r="BM385" s="111" t="s">
        <v>5214</v>
      </c>
      <c r="BN385" s="111" t="s">
        <v>5214</v>
      </c>
      <c r="BO385" s="2"/>
      <c r="BP385" s="3"/>
      <c r="BQ385" s="3"/>
      <c r="BR385" s="3"/>
      <c r="BS385" s="3"/>
    </row>
    <row r="386" spans="1:71" ht="15">
      <c r="A386" s="65" t="s">
        <v>609</v>
      </c>
      <c r="B386" s="66"/>
      <c r="C386" s="66"/>
      <c r="D386" s="67">
        <v>150</v>
      </c>
      <c r="E386" s="69"/>
      <c r="F386" s="103" t="str">
        <f>HYPERLINK("https://yt3.ggpht.com/ytc/AKedOLS-njslG59PIh-pOQbYAtHuiLFMSp9-uX_H2Q=s88-c-k-c0x00ffffff-no-rj")</f>
        <v>https://yt3.ggpht.com/ytc/AKedOLS-njslG59PIh-pOQbYAtHuiLFMSp9-uX_H2Q=s88-c-k-c0x00ffffff-no-rj</v>
      </c>
      <c r="G386" s="66"/>
      <c r="H386" s="70" t="s">
        <v>1937</v>
      </c>
      <c r="I386" s="71"/>
      <c r="J386" s="71" t="s">
        <v>159</v>
      </c>
      <c r="K386" s="70" t="s">
        <v>1937</v>
      </c>
      <c r="L386" s="74">
        <v>1</v>
      </c>
      <c r="M386" s="75">
        <v>7927.77880859375</v>
      </c>
      <c r="N386" s="75">
        <v>3647.177001953125</v>
      </c>
      <c r="O386" s="76"/>
      <c r="P386" s="77"/>
      <c r="Q386" s="77"/>
      <c r="R386" s="89"/>
      <c r="S386" s="49">
        <v>1</v>
      </c>
      <c r="T386" s="49">
        <v>1</v>
      </c>
      <c r="U386" s="50">
        <v>0</v>
      </c>
      <c r="V386" s="50">
        <v>0.002169</v>
      </c>
      <c r="W386" s="50">
        <v>0</v>
      </c>
      <c r="X386" s="50">
        <v>0.513529</v>
      </c>
      <c r="Y386" s="50">
        <v>0</v>
      </c>
      <c r="Z386" s="50">
        <v>1</v>
      </c>
      <c r="AA386" s="72">
        <v>386</v>
      </c>
      <c r="AB386" s="72"/>
      <c r="AC386" s="73"/>
      <c r="AD386" s="80" t="s">
        <v>1937</v>
      </c>
      <c r="AE386" s="80"/>
      <c r="AF386" s="80"/>
      <c r="AG386" s="80"/>
      <c r="AH386" s="80"/>
      <c r="AI386" s="80"/>
      <c r="AJ386" s="87">
        <v>43507.522465277776</v>
      </c>
      <c r="AK386" s="85" t="str">
        <f>HYPERLINK("https://yt3.ggpht.com/ytc/AKedOLS-njslG59PIh-pOQbYAtHuiLFMSp9-uX_H2Q=s88-c-k-c0x00ffffff-no-rj")</f>
        <v>https://yt3.ggpht.com/ytc/AKedOLS-njslG59PIh-pOQbYAtHuiLFMSp9-uX_H2Q=s88-c-k-c0x00ffffff-no-rj</v>
      </c>
      <c r="AL386" s="80">
        <v>0</v>
      </c>
      <c r="AM386" s="80">
        <v>0</v>
      </c>
      <c r="AN386" s="80">
        <v>1</v>
      </c>
      <c r="AO386" s="80" t="b">
        <v>0</v>
      </c>
      <c r="AP386" s="80">
        <v>0</v>
      </c>
      <c r="AQ386" s="80"/>
      <c r="AR386" s="80"/>
      <c r="AS386" s="80" t="s">
        <v>3412</v>
      </c>
      <c r="AT386" s="85" t="str">
        <f>HYPERLINK("https://www.youtube.com/channel/UCx8-g0ntcsj12vZ9eHA2qYQ")</f>
        <v>https://www.youtube.com/channel/UCx8-g0ntcsj12vZ9eHA2qYQ</v>
      </c>
      <c r="AU386" s="80" t="str">
        <f>REPLACE(INDEX(GroupVertices[Group],MATCH(Vertices[[#This Row],[Vertex]],GroupVertices[Vertex],0)),1,1,"")</f>
        <v>9</v>
      </c>
      <c r="AV386" s="49">
        <v>1</v>
      </c>
      <c r="AW386" s="50">
        <v>50</v>
      </c>
      <c r="AX386" s="49">
        <v>0</v>
      </c>
      <c r="AY386" s="50">
        <v>0</v>
      </c>
      <c r="AZ386" s="49">
        <v>0</v>
      </c>
      <c r="BA386" s="50">
        <v>0</v>
      </c>
      <c r="BB386" s="49">
        <v>1</v>
      </c>
      <c r="BC386" s="50">
        <v>50</v>
      </c>
      <c r="BD386" s="49">
        <v>2</v>
      </c>
      <c r="BE386" s="49"/>
      <c r="BF386" s="49"/>
      <c r="BG386" s="49"/>
      <c r="BH386" s="49"/>
      <c r="BI386" s="49"/>
      <c r="BJ386" s="49"/>
      <c r="BK386" s="111" t="s">
        <v>1152</v>
      </c>
      <c r="BL386" s="111" t="s">
        <v>1152</v>
      </c>
      <c r="BM386" s="111" t="s">
        <v>2782</v>
      </c>
      <c r="BN386" s="111" t="s">
        <v>2782</v>
      </c>
      <c r="BO386" s="2"/>
      <c r="BP386" s="3"/>
      <c r="BQ386" s="3"/>
      <c r="BR386" s="3"/>
      <c r="BS386" s="3"/>
    </row>
    <row r="387" spans="1:71" ht="15">
      <c r="A387" s="65" t="s">
        <v>610</v>
      </c>
      <c r="B387" s="66"/>
      <c r="C387" s="66"/>
      <c r="D387" s="67">
        <v>150</v>
      </c>
      <c r="E387" s="69"/>
      <c r="F387" s="103" t="str">
        <f>HYPERLINK("https://yt3.ggpht.com/ytc/AKedOLS_z_L8ZOB6ueB1zWS6BzmDo92MEzhXKQ53gPTVOQ=s88-c-k-c0x00ffffff-no-rj")</f>
        <v>https://yt3.ggpht.com/ytc/AKedOLS_z_L8ZOB6ueB1zWS6BzmDo92MEzhXKQ53gPTVOQ=s88-c-k-c0x00ffffff-no-rj</v>
      </c>
      <c r="G387" s="66"/>
      <c r="H387" s="70" t="s">
        <v>1938</v>
      </c>
      <c r="I387" s="71"/>
      <c r="J387" s="71" t="s">
        <v>159</v>
      </c>
      <c r="K387" s="70" t="s">
        <v>1938</v>
      </c>
      <c r="L387" s="74">
        <v>1</v>
      </c>
      <c r="M387" s="75">
        <v>8386.953125</v>
      </c>
      <c r="N387" s="75">
        <v>2962.131591796875</v>
      </c>
      <c r="O387" s="76"/>
      <c r="P387" s="77"/>
      <c r="Q387" s="77"/>
      <c r="R387" s="89"/>
      <c r="S387" s="49">
        <v>0</v>
      </c>
      <c r="T387" s="49">
        <v>1</v>
      </c>
      <c r="U387" s="50">
        <v>0</v>
      </c>
      <c r="V387" s="50">
        <v>0.001812</v>
      </c>
      <c r="W387" s="50">
        <v>0</v>
      </c>
      <c r="X387" s="50">
        <v>0.576516</v>
      </c>
      <c r="Y387" s="50">
        <v>0</v>
      </c>
      <c r="Z387" s="50">
        <v>0</v>
      </c>
      <c r="AA387" s="72">
        <v>387</v>
      </c>
      <c r="AB387" s="72"/>
      <c r="AC387" s="73"/>
      <c r="AD387" s="80" t="s">
        <v>1938</v>
      </c>
      <c r="AE387" s="80" t="s">
        <v>2948</v>
      </c>
      <c r="AF387" s="80"/>
      <c r="AG387" s="80"/>
      <c r="AH387" s="80"/>
      <c r="AI387" s="80"/>
      <c r="AJ387" s="80" t="s">
        <v>3320</v>
      </c>
      <c r="AK387" s="85" t="str">
        <f>HYPERLINK("https://yt3.ggpht.com/ytc/AKedOLS_z_L8ZOB6ueB1zWS6BzmDo92MEzhXKQ53gPTVOQ=s88-c-k-c0x00ffffff-no-rj")</f>
        <v>https://yt3.ggpht.com/ytc/AKedOLS_z_L8ZOB6ueB1zWS6BzmDo92MEzhXKQ53gPTVOQ=s88-c-k-c0x00ffffff-no-rj</v>
      </c>
      <c r="AL387" s="80">
        <v>106132</v>
      </c>
      <c r="AM387" s="80">
        <v>0</v>
      </c>
      <c r="AN387" s="80">
        <v>45</v>
      </c>
      <c r="AO387" s="80" t="b">
        <v>0</v>
      </c>
      <c r="AP387" s="80">
        <v>37</v>
      </c>
      <c r="AQ387" s="80"/>
      <c r="AR387" s="80"/>
      <c r="AS387" s="80" t="s">
        <v>3412</v>
      </c>
      <c r="AT387" s="85" t="str">
        <f>HYPERLINK("https://www.youtube.com/channel/UCvW5HZMqEQoN6JOz7h611Hg")</f>
        <v>https://www.youtube.com/channel/UCvW5HZMqEQoN6JOz7h611Hg</v>
      </c>
      <c r="AU387" s="80" t="str">
        <f>REPLACE(INDEX(GroupVertices[Group],MATCH(Vertices[[#This Row],[Vertex]],GroupVertices[Vertex],0)),1,1,"")</f>
        <v>9</v>
      </c>
      <c r="AV387" s="49">
        <v>0</v>
      </c>
      <c r="AW387" s="50">
        <v>0</v>
      </c>
      <c r="AX387" s="49">
        <v>0</v>
      </c>
      <c r="AY387" s="50">
        <v>0</v>
      </c>
      <c r="AZ387" s="49">
        <v>0</v>
      </c>
      <c r="BA387" s="50">
        <v>0</v>
      </c>
      <c r="BB387" s="49">
        <v>10</v>
      </c>
      <c r="BC387" s="50">
        <v>100</v>
      </c>
      <c r="BD387" s="49">
        <v>10</v>
      </c>
      <c r="BE387" s="49"/>
      <c r="BF387" s="49"/>
      <c r="BG387" s="49"/>
      <c r="BH387" s="49"/>
      <c r="BI387" s="49"/>
      <c r="BJ387" s="49"/>
      <c r="BK387" s="111" t="s">
        <v>4743</v>
      </c>
      <c r="BL387" s="111" t="s">
        <v>4743</v>
      </c>
      <c r="BM387" s="111" t="s">
        <v>5215</v>
      </c>
      <c r="BN387" s="111" t="s">
        <v>5215</v>
      </c>
      <c r="BO387" s="2"/>
      <c r="BP387" s="3"/>
      <c r="BQ387" s="3"/>
      <c r="BR387" s="3"/>
      <c r="BS387" s="3"/>
    </row>
    <row r="388" spans="1:71" ht="15">
      <c r="A388" s="65" t="s">
        <v>611</v>
      </c>
      <c r="B388" s="66"/>
      <c r="C388" s="66"/>
      <c r="D388" s="67">
        <v>244.10714285714286</v>
      </c>
      <c r="E388" s="69"/>
      <c r="F388" s="103" t="str">
        <f>HYPERLINK("https://yt3.ggpht.com/ytc/AKedOLTB4VNOjbJBV7oWanwTyxn9HxsqXpLyA7O6Rg=s88-c-k-c0x00ffffff-no-rj")</f>
        <v>https://yt3.ggpht.com/ytc/AKedOLTB4VNOjbJBV7oWanwTyxn9HxsqXpLyA7O6Rg=s88-c-k-c0x00ffffff-no-rj</v>
      </c>
      <c r="G388" s="66"/>
      <c r="H388" s="70" t="s">
        <v>1939</v>
      </c>
      <c r="I388" s="71"/>
      <c r="J388" s="71" t="s">
        <v>75</v>
      </c>
      <c r="K388" s="70" t="s">
        <v>1939</v>
      </c>
      <c r="L388" s="74">
        <v>51.73188563945875</v>
      </c>
      <c r="M388" s="75">
        <v>8414.158203125</v>
      </c>
      <c r="N388" s="75">
        <v>3275.6171875</v>
      </c>
      <c r="O388" s="76"/>
      <c r="P388" s="77"/>
      <c r="Q388" s="77"/>
      <c r="R388" s="89"/>
      <c r="S388" s="49">
        <v>2</v>
      </c>
      <c r="T388" s="49">
        <v>1</v>
      </c>
      <c r="U388" s="50">
        <v>186</v>
      </c>
      <c r="V388" s="50">
        <v>0.002179</v>
      </c>
      <c r="W388" s="50">
        <v>0</v>
      </c>
      <c r="X388" s="50">
        <v>1.003567</v>
      </c>
      <c r="Y388" s="50">
        <v>0</v>
      </c>
      <c r="Z388" s="50">
        <v>0.5</v>
      </c>
      <c r="AA388" s="72">
        <v>388</v>
      </c>
      <c r="AB388" s="72"/>
      <c r="AC388" s="73"/>
      <c r="AD388" s="80" t="s">
        <v>1939</v>
      </c>
      <c r="AE388" s="80"/>
      <c r="AF388" s="80"/>
      <c r="AG388" s="80"/>
      <c r="AH388" s="80"/>
      <c r="AI388" s="80"/>
      <c r="AJ388" s="87">
        <v>42645.46841435185</v>
      </c>
      <c r="AK388" s="85" t="str">
        <f>HYPERLINK("https://yt3.ggpht.com/ytc/AKedOLTB4VNOjbJBV7oWanwTyxn9HxsqXpLyA7O6Rg=s88-c-k-c0x00ffffff-no-rj")</f>
        <v>https://yt3.ggpht.com/ytc/AKedOLTB4VNOjbJBV7oWanwTyxn9HxsqXpLyA7O6Rg=s88-c-k-c0x00ffffff-no-rj</v>
      </c>
      <c r="AL388" s="80">
        <v>0</v>
      </c>
      <c r="AM388" s="80">
        <v>0</v>
      </c>
      <c r="AN388" s="80">
        <v>22</v>
      </c>
      <c r="AO388" s="80" t="b">
        <v>0</v>
      </c>
      <c r="AP388" s="80">
        <v>0</v>
      </c>
      <c r="AQ388" s="80"/>
      <c r="AR388" s="80"/>
      <c r="AS388" s="80" t="s">
        <v>3412</v>
      </c>
      <c r="AT388" s="85" t="str">
        <f>HYPERLINK("https://www.youtube.com/channel/UCza8Jbus7GND3s3oCDVTJhA")</f>
        <v>https://www.youtube.com/channel/UCza8Jbus7GND3s3oCDVTJhA</v>
      </c>
      <c r="AU388" s="80" t="str">
        <f>REPLACE(INDEX(GroupVertices[Group],MATCH(Vertices[[#This Row],[Vertex]],GroupVertices[Vertex],0)),1,1,"")</f>
        <v>9</v>
      </c>
      <c r="AV388" s="49">
        <v>0</v>
      </c>
      <c r="AW388" s="50">
        <v>0</v>
      </c>
      <c r="AX388" s="49">
        <v>0</v>
      </c>
      <c r="AY388" s="50">
        <v>0</v>
      </c>
      <c r="AZ388" s="49">
        <v>0</v>
      </c>
      <c r="BA388" s="50">
        <v>0</v>
      </c>
      <c r="BB388" s="49">
        <v>9</v>
      </c>
      <c r="BC388" s="50">
        <v>100</v>
      </c>
      <c r="BD388" s="49">
        <v>9</v>
      </c>
      <c r="BE388" s="49"/>
      <c r="BF388" s="49"/>
      <c r="BG388" s="49"/>
      <c r="BH388" s="49"/>
      <c r="BI388" s="49"/>
      <c r="BJ388" s="49"/>
      <c r="BK388" s="111" t="s">
        <v>4744</v>
      </c>
      <c r="BL388" s="111" t="s">
        <v>4744</v>
      </c>
      <c r="BM388" s="111" t="s">
        <v>5216</v>
      </c>
      <c r="BN388" s="111" t="s">
        <v>5216</v>
      </c>
      <c r="BO388" s="2"/>
      <c r="BP388" s="3"/>
      <c r="BQ388" s="3"/>
      <c r="BR388" s="3"/>
      <c r="BS388" s="3"/>
    </row>
    <row r="389" spans="1:71" ht="15">
      <c r="A389" s="65" t="s">
        <v>612</v>
      </c>
      <c r="B389" s="66"/>
      <c r="C389" s="66"/>
      <c r="D389" s="67">
        <v>150</v>
      </c>
      <c r="E389" s="69"/>
      <c r="F389" s="103" t="str">
        <f>HYPERLINK("https://yt3.ggpht.com/ytc/AKedOLToG4tWYt4sDITNtqPWhI62UTkdica8N2DKeQ=s88-c-k-c0x00ffffff-no-rj")</f>
        <v>https://yt3.ggpht.com/ytc/AKedOLToG4tWYt4sDITNtqPWhI62UTkdica8N2DKeQ=s88-c-k-c0x00ffffff-no-rj</v>
      </c>
      <c r="G389" s="66"/>
      <c r="H389" s="70" t="s">
        <v>1940</v>
      </c>
      <c r="I389" s="71"/>
      <c r="J389" s="71" t="s">
        <v>159</v>
      </c>
      <c r="K389" s="70" t="s">
        <v>1940</v>
      </c>
      <c r="L389" s="74">
        <v>1</v>
      </c>
      <c r="M389" s="75">
        <v>8252.65234375</v>
      </c>
      <c r="N389" s="75">
        <v>3466.810791015625</v>
      </c>
      <c r="O389" s="76"/>
      <c r="P389" s="77"/>
      <c r="Q389" s="77"/>
      <c r="R389" s="89"/>
      <c r="S389" s="49">
        <v>1</v>
      </c>
      <c r="T389" s="49">
        <v>1</v>
      </c>
      <c r="U389" s="50">
        <v>0</v>
      </c>
      <c r="V389" s="50">
        <v>0.002169</v>
      </c>
      <c r="W389" s="50">
        <v>0</v>
      </c>
      <c r="X389" s="50">
        <v>0.513529</v>
      </c>
      <c r="Y389" s="50">
        <v>0</v>
      </c>
      <c r="Z389" s="50">
        <v>1</v>
      </c>
      <c r="AA389" s="72">
        <v>389</v>
      </c>
      <c r="AB389" s="72"/>
      <c r="AC389" s="73"/>
      <c r="AD389" s="80" t="s">
        <v>1940</v>
      </c>
      <c r="AE389" s="80"/>
      <c r="AF389" s="80"/>
      <c r="AG389" s="80"/>
      <c r="AH389" s="80"/>
      <c r="AI389" s="80"/>
      <c r="AJ389" s="87">
        <v>43872.56997685185</v>
      </c>
      <c r="AK389" s="85" t="str">
        <f>HYPERLINK("https://yt3.ggpht.com/ytc/AKedOLToG4tWYt4sDITNtqPWhI62UTkdica8N2DKeQ=s88-c-k-c0x00ffffff-no-rj")</f>
        <v>https://yt3.ggpht.com/ytc/AKedOLToG4tWYt4sDITNtqPWhI62UTkdica8N2DKeQ=s88-c-k-c0x00ffffff-no-rj</v>
      </c>
      <c r="AL389" s="80">
        <v>0</v>
      </c>
      <c r="AM389" s="80">
        <v>0</v>
      </c>
      <c r="AN389" s="80">
        <v>0</v>
      </c>
      <c r="AO389" s="80" t="b">
        <v>0</v>
      </c>
      <c r="AP389" s="80">
        <v>0</v>
      </c>
      <c r="AQ389" s="80"/>
      <c r="AR389" s="80"/>
      <c r="AS389" s="80" t="s">
        <v>3412</v>
      </c>
      <c r="AT389" s="85" t="str">
        <f>HYPERLINK("https://www.youtube.com/channel/UC_z4oJziNx-b_14cMN4j5SQ")</f>
        <v>https://www.youtube.com/channel/UC_z4oJziNx-b_14cMN4j5SQ</v>
      </c>
      <c r="AU389" s="80" t="str">
        <f>REPLACE(INDEX(GroupVertices[Group],MATCH(Vertices[[#This Row],[Vertex]],GroupVertices[Vertex],0)),1,1,"")</f>
        <v>9</v>
      </c>
      <c r="AV389" s="49">
        <v>1</v>
      </c>
      <c r="AW389" s="50">
        <v>3.5714285714285716</v>
      </c>
      <c r="AX389" s="49">
        <v>0</v>
      </c>
      <c r="AY389" s="50">
        <v>0</v>
      </c>
      <c r="AZ389" s="49">
        <v>0</v>
      </c>
      <c r="BA389" s="50">
        <v>0</v>
      </c>
      <c r="BB389" s="49">
        <v>27</v>
      </c>
      <c r="BC389" s="50">
        <v>96.42857142857143</v>
      </c>
      <c r="BD389" s="49">
        <v>28</v>
      </c>
      <c r="BE389" s="49"/>
      <c r="BF389" s="49"/>
      <c r="BG389" s="49"/>
      <c r="BH389" s="49"/>
      <c r="BI389" s="49"/>
      <c r="BJ389" s="49"/>
      <c r="BK389" s="111" t="s">
        <v>4745</v>
      </c>
      <c r="BL389" s="111" t="s">
        <v>4745</v>
      </c>
      <c r="BM389" s="111" t="s">
        <v>5217</v>
      </c>
      <c r="BN389" s="111" t="s">
        <v>5217</v>
      </c>
      <c r="BO389" s="2"/>
      <c r="BP389" s="3"/>
      <c r="BQ389" s="3"/>
      <c r="BR389" s="3"/>
      <c r="BS389" s="3"/>
    </row>
    <row r="390" spans="1:71" ht="15">
      <c r="A390" s="65" t="s">
        <v>613</v>
      </c>
      <c r="B390" s="66"/>
      <c r="C390" s="66"/>
      <c r="D390" s="67">
        <v>150</v>
      </c>
      <c r="E390" s="69"/>
      <c r="F390" s="103" t="str">
        <f>HYPERLINK("https://yt3.ggpht.com/ytc/AKedOLSbqy1sdXajb0b8koz_m-ToTuXkIxsd5fzNVA=s88-c-k-c0x00ffffff-no-rj")</f>
        <v>https://yt3.ggpht.com/ytc/AKedOLSbqy1sdXajb0b8koz_m-ToTuXkIxsd5fzNVA=s88-c-k-c0x00ffffff-no-rj</v>
      </c>
      <c r="G390" s="66"/>
      <c r="H390" s="70" t="s">
        <v>1941</v>
      </c>
      <c r="I390" s="71"/>
      <c r="J390" s="71" t="s">
        <v>159</v>
      </c>
      <c r="K390" s="70" t="s">
        <v>1941</v>
      </c>
      <c r="L390" s="74">
        <v>1</v>
      </c>
      <c r="M390" s="75">
        <v>8992.3154296875</v>
      </c>
      <c r="N390" s="75">
        <v>3531.10302734375</v>
      </c>
      <c r="O390" s="76"/>
      <c r="P390" s="77"/>
      <c r="Q390" s="77"/>
      <c r="R390" s="89"/>
      <c r="S390" s="49">
        <v>1</v>
      </c>
      <c r="T390" s="49">
        <v>1</v>
      </c>
      <c r="U390" s="50">
        <v>0</v>
      </c>
      <c r="V390" s="50">
        <v>0.002169</v>
      </c>
      <c r="W390" s="50">
        <v>0</v>
      </c>
      <c r="X390" s="50">
        <v>0.513529</v>
      </c>
      <c r="Y390" s="50">
        <v>0</v>
      </c>
      <c r="Z390" s="50">
        <v>1</v>
      </c>
      <c r="AA390" s="72">
        <v>390</v>
      </c>
      <c r="AB390" s="72"/>
      <c r="AC390" s="73"/>
      <c r="AD390" s="80" t="s">
        <v>1941</v>
      </c>
      <c r="AE390" s="80"/>
      <c r="AF390" s="80"/>
      <c r="AG390" s="80"/>
      <c r="AH390" s="80"/>
      <c r="AI390" s="80"/>
      <c r="AJ390" s="87">
        <v>42257.92626157407</v>
      </c>
      <c r="AK390" s="85" t="str">
        <f>HYPERLINK("https://yt3.ggpht.com/ytc/AKedOLSbqy1sdXajb0b8koz_m-ToTuXkIxsd5fzNVA=s88-c-k-c0x00ffffff-no-rj")</f>
        <v>https://yt3.ggpht.com/ytc/AKedOLSbqy1sdXajb0b8koz_m-ToTuXkIxsd5fzNVA=s88-c-k-c0x00ffffff-no-rj</v>
      </c>
      <c r="AL390" s="80">
        <v>0</v>
      </c>
      <c r="AM390" s="80">
        <v>0</v>
      </c>
      <c r="AN390" s="80">
        <v>0</v>
      </c>
      <c r="AO390" s="80" t="b">
        <v>0</v>
      </c>
      <c r="AP390" s="80">
        <v>0</v>
      </c>
      <c r="AQ390" s="80"/>
      <c r="AR390" s="80"/>
      <c r="AS390" s="80" t="s">
        <v>3412</v>
      </c>
      <c r="AT390" s="85" t="str">
        <f>HYPERLINK("https://www.youtube.com/channel/UC0-2AlkyVVIDIl20zMFzWXw")</f>
        <v>https://www.youtube.com/channel/UC0-2AlkyVVIDIl20zMFzWXw</v>
      </c>
      <c r="AU390" s="80" t="str">
        <f>REPLACE(INDEX(GroupVertices[Group],MATCH(Vertices[[#This Row],[Vertex]],GroupVertices[Vertex],0)),1,1,"")</f>
        <v>9</v>
      </c>
      <c r="AV390" s="49">
        <v>2</v>
      </c>
      <c r="AW390" s="50">
        <v>25</v>
      </c>
      <c r="AX390" s="49">
        <v>0</v>
      </c>
      <c r="AY390" s="50">
        <v>0</v>
      </c>
      <c r="AZ390" s="49">
        <v>0</v>
      </c>
      <c r="BA390" s="50">
        <v>0</v>
      </c>
      <c r="BB390" s="49">
        <v>6</v>
      </c>
      <c r="BC390" s="50">
        <v>75</v>
      </c>
      <c r="BD390" s="49">
        <v>8</v>
      </c>
      <c r="BE390" s="49"/>
      <c r="BF390" s="49"/>
      <c r="BG390" s="49"/>
      <c r="BH390" s="49"/>
      <c r="BI390" s="49"/>
      <c r="BJ390" s="49"/>
      <c r="BK390" s="111" t="s">
        <v>4746</v>
      </c>
      <c r="BL390" s="111" t="s">
        <v>4746</v>
      </c>
      <c r="BM390" s="111" t="s">
        <v>5218</v>
      </c>
      <c r="BN390" s="111" t="s">
        <v>5218</v>
      </c>
      <c r="BO390" s="2"/>
      <c r="BP390" s="3"/>
      <c r="BQ390" s="3"/>
      <c r="BR390" s="3"/>
      <c r="BS390" s="3"/>
    </row>
    <row r="391" spans="1:71" ht="15">
      <c r="A391" s="65" t="s">
        <v>614</v>
      </c>
      <c r="B391" s="66"/>
      <c r="C391" s="66"/>
      <c r="D391" s="67">
        <v>514.2857142857143</v>
      </c>
      <c r="E391" s="69"/>
      <c r="F391" s="103" t="str">
        <f>HYPERLINK("https://yt3.ggpht.com/ytc/AKedOLSqEIMahdBfvjE8inmr0c_Z9xTkyHlyzoSwSg=s88-c-k-c0x00ffffff-no-rj")</f>
        <v>https://yt3.ggpht.com/ytc/AKedOLSqEIMahdBfvjE8inmr0c_Z9xTkyHlyzoSwSg=s88-c-k-c0x00ffffff-no-rj</v>
      </c>
      <c r="G391" s="66"/>
      <c r="H391" s="70" t="s">
        <v>1942</v>
      </c>
      <c r="I391" s="71"/>
      <c r="J391" s="71" t="s">
        <v>75</v>
      </c>
      <c r="K391" s="70" t="s">
        <v>1942</v>
      </c>
      <c r="L391" s="74">
        <v>197.38149279790485</v>
      </c>
      <c r="M391" s="75">
        <v>8903.3466796875</v>
      </c>
      <c r="N391" s="75">
        <v>3914.927734375</v>
      </c>
      <c r="O391" s="76"/>
      <c r="P391" s="77"/>
      <c r="Q391" s="77"/>
      <c r="R391" s="89"/>
      <c r="S391" s="49">
        <v>2</v>
      </c>
      <c r="T391" s="49">
        <v>2</v>
      </c>
      <c r="U391" s="50">
        <v>720</v>
      </c>
      <c r="V391" s="50">
        <v>0.002208</v>
      </c>
      <c r="W391" s="50">
        <v>0</v>
      </c>
      <c r="X391" s="50">
        <v>0.907136</v>
      </c>
      <c r="Y391" s="50">
        <v>0</v>
      </c>
      <c r="Z391" s="50">
        <v>1</v>
      </c>
      <c r="AA391" s="72">
        <v>391</v>
      </c>
      <c r="AB391" s="72"/>
      <c r="AC391" s="73"/>
      <c r="AD391" s="80" t="s">
        <v>1942</v>
      </c>
      <c r="AE391" s="80"/>
      <c r="AF391" s="80"/>
      <c r="AG391" s="80"/>
      <c r="AH391" s="80"/>
      <c r="AI391" s="80"/>
      <c r="AJ391" s="80" t="s">
        <v>3321</v>
      </c>
      <c r="AK391" s="85" t="str">
        <f>HYPERLINK("https://yt3.ggpht.com/ytc/AKedOLSqEIMahdBfvjE8inmr0c_Z9xTkyHlyzoSwSg=s88-c-k-c0x00ffffff-no-rj")</f>
        <v>https://yt3.ggpht.com/ytc/AKedOLSqEIMahdBfvjE8inmr0c_Z9xTkyHlyzoSwSg=s88-c-k-c0x00ffffff-no-rj</v>
      </c>
      <c r="AL391" s="80">
        <v>0</v>
      </c>
      <c r="AM391" s="80">
        <v>0</v>
      </c>
      <c r="AN391" s="80">
        <v>15</v>
      </c>
      <c r="AO391" s="80" t="b">
        <v>0</v>
      </c>
      <c r="AP391" s="80">
        <v>0</v>
      </c>
      <c r="AQ391" s="80"/>
      <c r="AR391" s="80"/>
      <c r="AS391" s="80" t="s">
        <v>3412</v>
      </c>
      <c r="AT391" s="85" t="str">
        <f>HYPERLINK("https://www.youtube.com/channel/UCpGstId4PMmF5RGEavbz95A")</f>
        <v>https://www.youtube.com/channel/UCpGstId4PMmF5RGEavbz95A</v>
      </c>
      <c r="AU391" s="80" t="str">
        <f>REPLACE(INDEX(GroupVertices[Group],MATCH(Vertices[[#This Row],[Vertex]],GroupVertices[Vertex],0)),1,1,"")</f>
        <v>9</v>
      </c>
      <c r="AV391" s="49">
        <v>3</v>
      </c>
      <c r="AW391" s="50">
        <v>50</v>
      </c>
      <c r="AX391" s="49">
        <v>0</v>
      </c>
      <c r="AY391" s="50">
        <v>0</v>
      </c>
      <c r="AZ391" s="49">
        <v>0</v>
      </c>
      <c r="BA391" s="50">
        <v>0</v>
      </c>
      <c r="BB391" s="49">
        <v>3</v>
      </c>
      <c r="BC391" s="50">
        <v>50</v>
      </c>
      <c r="BD391" s="49">
        <v>6</v>
      </c>
      <c r="BE391" s="49"/>
      <c r="BF391" s="49"/>
      <c r="BG391" s="49"/>
      <c r="BH391" s="49"/>
      <c r="BI391" s="49"/>
      <c r="BJ391" s="49"/>
      <c r="BK391" s="111" t="s">
        <v>4747</v>
      </c>
      <c r="BL391" s="111" t="s">
        <v>4521</v>
      </c>
      <c r="BM391" s="111" t="s">
        <v>4999</v>
      </c>
      <c r="BN391" s="111" t="s">
        <v>4999</v>
      </c>
      <c r="BO391" s="2"/>
      <c r="BP391" s="3"/>
      <c r="BQ391" s="3"/>
      <c r="BR391" s="3"/>
      <c r="BS391" s="3"/>
    </row>
    <row r="392" spans="1:71" ht="15">
      <c r="A392" s="65" t="s">
        <v>615</v>
      </c>
      <c r="B392" s="66"/>
      <c r="C392" s="66"/>
      <c r="D392" s="67">
        <v>150</v>
      </c>
      <c r="E392" s="69"/>
      <c r="F392" s="103" t="str">
        <f>HYPERLINK("https://yt3.ggpht.com/ytc/AKedOLSAfpKZDcCwv32mJud4Sp51iveA2uiexqKwXuQ5RQ=s88-c-k-c0x00ffffff-no-rj")</f>
        <v>https://yt3.ggpht.com/ytc/AKedOLSAfpKZDcCwv32mJud4Sp51iveA2uiexqKwXuQ5RQ=s88-c-k-c0x00ffffff-no-rj</v>
      </c>
      <c r="G392" s="66"/>
      <c r="H392" s="70" t="s">
        <v>1943</v>
      </c>
      <c r="I392" s="71"/>
      <c r="J392" s="71" t="s">
        <v>159</v>
      </c>
      <c r="K392" s="70" t="s">
        <v>1943</v>
      </c>
      <c r="L392" s="74">
        <v>1</v>
      </c>
      <c r="M392" s="75">
        <v>8629.7646484375</v>
      </c>
      <c r="N392" s="75">
        <v>3419.463134765625</v>
      </c>
      <c r="O392" s="76"/>
      <c r="P392" s="77"/>
      <c r="Q392" s="77"/>
      <c r="R392" s="89"/>
      <c r="S392" s="49">
        <v>1</v>
      </c>
      <c r="T392" s="49">
        <v>1</v>
      </c>
      <c r="U392" s="50">
        <v>0</v>
      </c>
      <c r="V392" s="50">
        <v>0.002169</v>
      </c>
      <c r="W392" s="50">
        <v>0</v>
      </c>
      <c r="X392" s="50">
        <v>0.513529</v>
      </c>
      <c r="Y392" s="50">
        <v>0</v>
      </c>
      <c r="Z392" s="50">
        <v>1</v>
      </c>
      <c r="AA392" s="72">
        <v>392</v>
      </c>
      <c r="AB392" s="72"/>
      <c r="AC392" s="73"/>
      <c r="AD392" s="80" t="s">
        <v>1943</v>
      </c>
      <c r="AE392" s="80" t="s">
        <v>2949</v>
      </c>
      <c r="AF392" s="80"/>
      <c r="AG392" s="80"/>
      <c r="AH392" s="80"/>
      <c r="AI392" s="80"/>
      <c r="AJ392" s="80" t="s">
        <v>3322</v>
      </c>
      <c r="AK392" s="85" t="str">
        <f>HYPERLINK("https://yt3.ggpht.com/ytc/AKedOLSAfpKZDcCwv32mJud4Sp51iveA2uiexqKwXuQ5RQ=s88-c-k-c0x00ffffff-no-rj")</f>
        <v>https://yt3.ggpht.com/ytc/AKedOLSAfpKZDcCwv32mJud4Sp51iveA2uiexqKwXuQ5RQ=s88-c-k-c0x00ffffff-no-rj</v>
      </c>
      <c r="AL392" s="80">
        <v>207491</v>
      </c>
      <c r="AM392" s="80">
        <v>0</v>
      </c>
      <c r="AN392" s="80">
        <v>0</v>
      </c>
      <c r="AO392" s="80" t="b">
        <v>1</v>
      </c>
      <c r="AP392" s="80">
        <v>386</v>
      </c>
      <c r="AQ392" s="80"/>
      <c r="AR392" s="80"/>
      <c r="AS392" s="80" t="s">
        <v>3412</v>
      </c>
      <c r="AT392" s="85" t="str">
        <f>HYPERLINK("https://www.youtube.com/channel/UC9aYwZBu_tBNxOMz2UKTOrw")</f>
        <v>https://www.youtube.com/channel/UC9aYwZBu_tBNxOMz2UKTOrw</v>
      </c>
      <c r="AU392" s="80" t="str">
        <f>REPLACE(INDEX(GroupVertices[Group],MATCH(Vertices[[#This Row],[Vertex]],GroupVertices[Vertex],0)),1,1,"")</f>
        <v>9</v>
      </c>
      <c r="AV392" s="49">
        <v>1</v>
      </c>
      <c r="AW392" s="50">
        <v>16.666666666666668</v>
      </c>
      <c r="AX392" s="49">
        <v>0</v>
      </c>
      <c r="AY392" s="50">
        <v>0</v>
      </c>
      <c r="AZ392" s="49">
        <v>0</v>
      </c>
      <c r="BA392" s="50">
        <v>0</v>
      </c>
      <c r="BB392" s="49">
        <v>5</v>
      </c>
      <c r="BC392" s="50">
        <v>83.33333333333333</v>
      </c>
      <c r="BD392" s="49">
        <v>6</v>
      </c>
      <c r="BE392" s="49"/>
      <c r="BF392" s="49"/>
      <c r="BG392" s="49"/>
      <c r="BH392" s="49"/>
      <c r="BI392" s="49"/>
      <c r="BJ392" s="49"/>
      <c r="BK392" s="111" t="s">
        <v>4515</v>
      </c>
      <c r="BL392" s="111" t="s">
        <v>4515</v>
      </c>
      <c r="BM392" s="111" t="s">
        <v>4317</v>
      </c>
      <c r="BN392" s="111" t="s">
        <v>4317</v>
      </c>
      <c r="BO392" s="2"/>
      <c r="BP392" s="3"/>
      <c r="BQ392" s="3"/>
      <c r="BR392" s="3"/>
      <c r="BS392" s="3"/>
    </row>
    <row r="393" spans="1:71" ht="15">
      <c r="A393" s="65" t="s">
        <v>616</v>
      </c>
      <c r="B393" s="66"/>
      <c r="C393" s="66"/>
      <c r="D393" s="67">
        <v>150</v>
      </c>
      <c r="E393" s="69"/>
      <c r="F393" s="103" t="str">
        <f>HYPERLINK("https://yt3.ggpht.com/ytc/AKedOLTZ-qVrwkKOSX1rP3JltKonGHOWBd-dkCE6VLve4g=s88-c-k-c0x00ffffff-no-rj")</f>
        <v>https://yt3.ggpht.com/ytc/AKedOLTZ-qVrwkKOSX1rP3JltKonGHOWBd-dkCE6VLve4g=s88-c-k-c0x00ffffff-no-rj</v>
      </c>
      <c r="G393" s="66"/>
      <c r="H393" s="70" t="s">
        <v>1944</v>
      </c>
      <c r="I393" s="71"/>
      <c r="J393" s="71" t="s">
        <v>159</v>
      </c>
      <c r="K393" s="70" t="s">
        <v>1944</v>
      </c>
      <c r="L393" s="74">
        <v>1</v>
      </c>
      <c r="M393" s="75">
        <v>8445.955078125</v>
      </c>
      <c r="N393" s="75">
        <v>3941.180419921875</v>
      </c>
      <c r="O393" s="76"/>
      <c r="P393" s="77"/>
      <c r="Q393" s="77"/>
      <c r="R393" s="89"/>
      <c r="S393" s="49">
        <v>2</v>
      </c>
      <c r="T393" s="49">
        <v>2</v>
      </c>
      <c r="U393" s="50">
        <v>0</v>
      </c>
      <c r="V393" s="50">
        <v>0.002169</v>
      </c>
      <c r="W393" s="50">
        <v>0</v>
      </c>
      <c r="X393" s="50">
        <v>0.893093</v>
      </c>
      <c r="Y393" s="50">
        <v>0</v>
      </c>
      <c r="Z393" s="50">
        <v>1</v>
      </c>
      <c r="AA393" s="72">
        <v>393</v>
      </c>
      <c r="AB393" s="72"/>
      <c r="AC393" s="73"/>
      <c r="AD393" s="80" t="s">
        <v>1944</v>
      </c>
      <c r="AE393" s="80"/>
      <c r="AF393" s="80"/>
      <c r="AG393" s="80"/>
      <c r="AH393" s="80"/>
      <c r="AI393" s="80"/>
      <c r="AJ393" s="87">
        <v>39423.00748842592</v>
      </c>
      <c r="AK393" s="85" t="str">
        <f>HYPERLINK("https://yt3.ggpht.com/ytc/AKedOLTZ-qVrwkKOSX1rP3JltKonGHOWBd-dkCE6VLve4g=s88-c-k-c0x00ffffff-no-rj")</f>
        <v>https://yt3.ggpht.com/ytc/AKedOLTZ-qVrwkKOSX1rP3JltKonGHOWBd-dkCE6VLve4g=s88-c-k-c0x00ffffff-no-rj</v>
      </c>
      <c r="AL393" s="80">
        <v>1827</v>
      </c>
      <c r="AM393" s="80">
        <v>0</v>
      </c>
      <c r="AN393" s="80">
        <v>18</v>
      </c>
      <c r="AO393" s="80" t="b">
        <v>0</v>
      </c>
      <c r="AP393" s="80">
        <v>4</v>
      </c>
      <c r="AQ393" s="80"/>
      <c r="AR393" s="80"/>
      <c r="AS393" s="80" t="s">
        <v>3412</v>
      </c>
      <c r="AT393" s="85" t="str">
        <f>HYPERLINK("https://www.youtube.com/channel/UCAp5XEq385osuzaIt6UNPkQ")</f>
        <v>https://www.youtube.com/channel/UCAp5XEq385osuzaIt6UNPkQ</v>
      </c>
      <c r="AU393" s="80" t="str">
        <f>REPLACE(INDEX(GroupVertices[Group],MATCH(Vertices[[#This Row],[Vertex]],GroupVertices[Vertex],0)),1,1,"")</f>
        <v>9</v>
      </c>
      <c r="AV393" s="49">
        <v>4</v>
      </c>
      <c r="AW393" s="50">
        <v>8.333333333333334</v>
      </c>
      <c r="AX393" s="49">
        <v>1</v>
      </c>
      <c r="AY393" s="50">
        <v>2.0833333333333335</v>
      </c>
      <c r="AZ393" s="49">
        <v>0</v>
      </c>
      <c r="BA393" s="50">
        <v>0</v>
      </c>
      <c r="BB393" s="49">
        <v>43</v>
      </c>
      <c r="BC393" s="50">
        <v>89.58333333333333</v>
      </c>
      <c r="BD393" s="49">
        <v>48</v>
      </c>
      <c r="BE393" s="49"/>
      <c r="BF393" s="49"/>
      <c r="BG393" s="49"/>
      <c r="BH393" s="49"/>
      <c r="BI393" s="49"/>
      <c r="BJ393" s="49"/>
      <c r="BK393" s="111" t="s">
        <v>4748</v>
      </c>
      <c r="BL393" s="111" t="s">
        <v>4883</v>
      </c>
      <c r="BM393" s="111" t="s">
        <v>5219</v>
      </c>
      <c r="BN393" s="111" t="s">
        <v>5219</v>
      </c>
      <c r="BO393" s="2"/>
      <c r="BP393" s="3"/>
      <c r="BQ393" s="3"/>
      <c r="BR393" s="3"/>
      <c r="BS393" s="3"/>
    </row>
    <row r="394" spans="1:71" ht="15">
      <c r="A394" s="65" t="s">
        <v>617</v>
      </c>
      <c r="B394" s="66"/>
      <c r="C394" s="66"/>
      <c r="D394" s="67">
        <v>150</v>
      </c>
      <c r="E394" s="69"/>
      <c r="F394" s="103" t="str">
        <f>HYPERLINK("https://yt3.ggpht.com/V5-2mtSNLwlFTtAyarYehXUxMZ5TdZQIUL9TO7mr9alurOZEWkw_6uoJ5PjlIrb2WhAYt1dfyPA=s88-c-k-c0x00ffffff-no-rj")</f>
        <v>https://yt3.ggpht.com/V5-2mtSNLwlFTtAyarYehXUxMZ5TdZQIUL9TO7mr9alurOZEWkw_6uoJ5PjlIrb2WhAYt1dfyPA=s88-c-k-c0x00ffffff-no-rj</v>
      </c>
      <c r="G394" s="66"/>
      <c r="H394" s="70" t="s">
        <v>1945</v>
      </c>
      <c r="I394" s="71"/>
      <c r="J394" s="71" t="s">
        <v>159</v>
      </c>
      <c r="K394" s="70" t="s">
        <v>1945</v>
      </c>
      <c r="L394" s="74">
        <v>1</v>
      </c>
      <c r="M394" s="75">
        <v>8162.69775390625</v>
      </c>
      <c r="N394" s="75">
        <v>3979.302001953125</v>
      </c>
      <c r="O394" s="76"/>
      <c r="P394" s="77"/>
      <c r="Q394" s="77"/>
      <c r="R394" s="89"/>
      <c r="S394" s="49">
        <v>1</v>
      </c>
      <c r="T394" s="49">
        <v>1</v>
      </c>
      <c r="U394" s="50">
        <v>0</v>
      </c>
      <c r="V394" s="50">
        <v>0.002169</v>
      </c>
      <c r="W394" s="50">
        <v>0</v>
      </c>
      <c r="X394" s="50">
        <v>0.513529</v>
      </c>
      <c r="Y394" s="50">
        <v>0</v>
      </c>
      <c r="Z394" s="50">
        <v>1</v>
      </c>
      <c r="AA394" s="72">
        <v>394</v>
      </c>
      <c r="AB394" s="72"/>
      <c r="AC394" s="73"/>
      <c r="AD394" s="80" t="s">
        <v>1945</v>
      </c>
      <c r="AE394" s="80" t="s">
        <v>2950</v>
      </c>
      <c r="AF394" s="80"/>
      <c r="AG394" s="80"/>
      <c r="AH394" s="80"/>
      <c r="AI394" s="80" t="s">
        <v>3077</v>
      </c>
      <c r="AJ394" s="80" t="s">
        <v>3323</v>
      </c>
      <c r="AK394" s="85" t="str">
        <f>HYPERLINK("https://yt3.ggpht.com/V5-2mtSNLwlFTtAyarYehXUxMZ5TdZQIUL9TO7mr9alurOZEWkw_6uoJ5PjlIrb2WhAYt1dfyPA=s88-c-k-c0x00ffffff-no-rj")</f>
        <v>https://yt3.ggpht.com/V5-2mtSNLwlFTtAyarYehXUxMZ5TdZQIUL9TO7mr9alurOZEWkw_6uoJ5PjlIrb2WhAYt1dfyPA=s88-c-k-c0x00ffffff-no-rj</v>
      </c>
      <c r="AL394" s="80">
        <v>308424</v>
      </c>
      <c r="AM394" s="80">
        <v>0</v>
      </c>
      <c r="AN394" s="80">
        <v>3690</v>
      </c>
      <c r="AO394" s="80" t="b">
        <v>0</v>
      </c>
      <c r="AP394" s="80">
        <v>155</v>
      </c>
      <c r="AQ394" s="80"/>
      <c r="AR394" s="80"/>
      <c r="AS394" s="80" t="s">
        <v>3412</v>
      </c>
      <c r="AT394" s="85" t="str">
        <f>HYPERLINK("https://www.youtube.com/channel/UCEIFtzIuCgX9eaBh1mcf0uw")</f>
        <v>https://www.youtube.com/channel/UCEIFtzIuCgX9eaBh1mcf0uw</v>
      </c>
      <c r="AU394" s="80" t="str">
        <f>REPLACE(INDEX(GroupVertices[Group],MATCH(Vertices[[#This Row],[Vertex]],GroupVertices[Vertex],0)),1,1,"")</f>
        <v>9</v>
      </c>
      <c r="AV394" s="49">
        <v>1</v>
      </c>
      <c r="AW394" s="50">
        <v>14.285714285714286</v>
      </c>
      <c r="AX394" s="49">
        <v>0</v>
      </c>
      <c r="AY394" s="50">
        <v>0</v>
      </c>
      <c r="AZ394" s="49">
        <v>0</v>
      </c>
      <c r="BA394" s="50">
        <v>0</v>
      </c>
      <c r="BB394" s="49">
        <v>6</v>
      </c>
      <c r="BC394" s="50">
        <v>85.71428571428571</v>
      </c>
      <c r="BD394" s="49">
        <v>7</v>
      </c>
      <c r="BE394" s="49"/>
      <c r="BF394" s="49"/>
      <c r="BG394" s="49"/>
      <c r="BH394" s="49"/>
      <c r="BI394" s="49"/>
      <c r="BJ394" s="49"/>
      <c r="BK394" s="111" t="s">
        <v>4749</v>
      </c>
      <c r="BL394" s="111" t="s">
        <v>4749</v>
      </c>
      <c r="BM394" s="111" t="s">
        <v>5220</v>
      </c>
      <c r="BN394" s="111" t="s">
        <v>5220</v>
      </c>
      <c r="BO394" s="2"/>
      <c r="BP394" s="3"/>
      <c r="BQ394" s="3"/>
      <c r="BR394" s="3"/>
      <c r="BS394" s="3"/>
    </row>
    <row r="395" spans="1:71" ht="15">
      <c r="A395" s="65" t="s">
        <v>618</v>
      </c>
      <c r="B395" s="66"/>
      <c r="C395" s="66"/>
      <c r="D395" s="67">
        <v>1000</v>
      </c>
      <c r="E395" s="69"/>
      <c r="F395" s="103" t="str">
        <f>HYPERLINK("https://yt3.ggpht.com/ytc/AKedOLTPmMG1xllT9R2ZxkRs0alIQq6E-aWY397jgqRY=s88-c-k-c0x00ffffff-no-rj")</f>
        <v>https://yt3.ggpht.com/ytc/AKedOLTPmMG1xllT9R2ZxkRs0alIQq6E-aWY397jgqRY=s88-c-k-c0x00ffffff-no-rj</v>
      </c>
      <c r="G395" s="66"/>
      <c r="H395" s="70" t="s">
        <v>1946</v>
      </c>
      <c r="I395" s="71"/>
      <c r="J395" s="71" t="s">
        <v>75</v>
      </c>
      <c r="K395" s="70" t="s">
        <v>1946</v>
      </c>
      <c r="L395" s="74">
        <v>747.2496726320384</v>
      </c>
      <c r="M395" s="75">
        <v>8002.65771484375</v>
      </c>
      <c r="N395" s="75">
        <v>3477.358154296875</v>
      </c>
      <c r="O395" s="76"/>
      <c r="P395" s="77"/>
      <c r="Q395" s="77"/>
      <c r="R395" s="89"/>
      <c r="S395" s="49">
        <v>3</v>
      </c>
      <c r="T395" s="49">
        <v>3</v>
      </c>
      <c r="U395" s="50">
        <v>2736</v>
      </c>
      <c r="V395" s="50">
        <v>0.003236</v>
      </c>
      <c r="W395" s="50">
        <v>0</v>
      </c>
      <c r="X395" s="50">
        <v>1.249046</v>
      </c>
      <c r="Y395" s="50">
        <v>0</v>
      </c>
      <c r="Z395" s="50">
        <v>1</v>
      </c>
      <c r="AA395" s="72">
        <v>395</v>
      </c>
      <c r="AB395" s="72"/>
      <c r="AC395" s="73"/>
      <c r="AD395" s="80" t="s">
        <v>1946</v>
      </c>
      <c r="AE395" s="80" t="s">
        <v>2951</v>
      </c>
      <c r="AF395" s="80"/>
      <c r="AG395" s="80"/>
      <c r="AH395" s="80"/>
      <c r="AI395" s="80" t="s">
        <v>3078</v>
      </c>
      <c r="AJ395" s="80" t="s">
        <v>3324</v>
      </c>
      <c r="AK395" s="85" t="str">
        <f>HYPERLINK("https://yt3.ggpht.com/ytc/AKedOLTPmMG1xllT9R2ZxkRs0alIQq6E-aWY397jgqRY=s88-c-k-c0x00ffffff-no-rj")</f>
        <v>https://yt3.ggpht.com/ytc/AKedOLTPmMG1xllT9R2ZxkRs0alIQq6E-aWY397jgqRY=s88-c-k-c0x00ffffff-no-rj</v>
      </c>
      <c r="AL395" s="80">
        <v>386702</v>
      </c>
      <c r="AM395" s="80">
        <v>0</v>
      </c>
      <c r="AN395" s="80">
        <v>0</v>
      </c>
      <c r="AO395" s="80" t="b">
        <v>1</v>
      </c>
      <c r="AP395" s="80">
        <v>256</v>
      </c>
      <c r="AQ395" s="80"/>
      <c r="AR395" s="80"/>
      <c r="AS395" s="80" t="s">
        <v>3412</v>
      </c>
      <c r="AT395" s="85" t="str">
        <f>HYPERLINK("https://www.youtube.com/channel/UCAjXxpardFUDo42i7VFrDew")</f>
        <v>https://www.youtube.com/channel/UCAjXxpardFUDo42i7VFrDew</v>
      </c>
      <c r="AU395" s="80" t="str">
        <f>REPLACE(INDEX(GroupVertices[Group],MATCH(Vertices[[#This Row],[Vertex]],GroupVertices[Vertex],0)),1,1,"")</f>
        <v>9</v>
      </c>
      <c r="AV395" s="49">
        <v>10</v>
      </c>
      <c r="AW395" s="50">
        <v>28.571428571428573</v>
      </c>
      <c r="AX395" s="49">
        <v>0</v>
      </c>
      <c r="AY395" s="50">
        <v>0</v>
      </c>
      <c r="AZ395" s="49">
        <v>0</v>
      </c>
      <c r="BA395" s="50">
        <v>0</v>
      </c>
      <c r="BB395" s="49">
        <v>25</v>
      </c>
      <c r="BC395" s="50">
        <v>71.42857142857143</v>
      </c>
      <c r="BD395" s="49">
        <v>35</v>
      </c>
      <c r="BE395" s="49"/>
      <c r="BF395" s="49"/>
      <c r="BG395" s="49"/>
      <c r="BH395" s="49"/>
      <c r="BI395" s="49"/>
      <c r="BJ395" s="49"/>
      <c r="BK395" s="111" t="s">
        <v>4750</v>
      </c>
      <c r="BL395" s="111" t="s">
        <v>4884</v>
      </c>
      <c r="BM395" s="111" t="s">
        <v>5221</v>
      </c>
      <c r="BN395" s="111" t="s">
        <v>5221</v>
      </c>
      <c r="BO395" s="2"/>
      <c r="BP395" s="3"/>
      <c r="BQ395" s="3"/>
      <c r="BR395" s="3"/>
      <c r="BS395" s="3"/>
    </row>
    <row r="396" spans="1:71" ht="15">
      <c r="A396" s="65" t="s">
        <v>619</v>
      </c>
      <c r="B396" s="66"/>
      <c r="C396" s="66"/>
      <c r="D396" s="67">
        <v>150</v>
      </c>
      <c r="E396" s="69"/>
      <c r="F396" s="103" t="str">
        <f>HYPERLINK("https://yt3.ggpht.com/ytc/AKedOLQefbE0R-u6VNDJFZ0zj9S_KX_S2RLNlY1QQbYdDQ=s88-c-k-c0x00ffffff-no-rj")</f>
        <v>https://yt3.ggpht.com/ytc/AKedOLQefbE0R-u6VNDJFZ0zj9S_KX_S2RLNlY1QQbYdDQ=s88-c-k-c0x00ffffff-no-rj</v>
      </c>
      <c r="G396" s="66"/>
      <c r="H396" s="70" t="s">
        <v>1947</v>
      </c>
      <c r="I396" s="71"/>
      <c r="J396" s="71" t="s">
        <v>159</v>
      </c>
      <c r="K396" s="70" t="s">
        <v>1947</v>
      </c>
      <c r="L396" s="74">
        <v>1</v>
      </c>
      <c r="M396" s="75">
        <v>8887.01171875</v>
      </c>
      <c r="N396" s="75">
        <v>3376.406005859375</v>
      </c>
      <c r="O396" s="76"/>
      <c r="P396" s="77"/>
      <c r="Q396" s="77"/>
      <c r="R396" s="89"/>
      <c r="S396" s="49">
        <v>1</v>
      </c>
      <c r="T396" s="49">
        <v>1</v>
      </c>
      <c r="U396" s="50">
        <v>0</v>
      </c>
      <c r="V396" s="50">
        <v>0.002169</v>
      </c>
      <c r="W396" s="50">
        <v>0</v>
      </c>
      <c r="X396" s="50">
        <v>0.513529</v>
      </c>
      <c r="Y396" s="50">
        <v>0</v>
      </c>
      <c r="Z396" s="50">
        <v>1</v>
      </c>
      <c r="AA396" s="72">
        <v>396</v>
      </c>
      <c r="AB396" s="72"/>
      <c r="AC396" s="73"/>
      <c r="AD396" s="80" t="s">
        <v>1947</v>
      </c>
      <c r="AE396" s="80"/>
      <c r="AF396" s="80"/>
      <c r="AG396" s="80"/>
      <c r="AH396" s="80"/>
      <c r="AI396" s="80"/>
      <c r="AJ396" s="80" t="s">
        <v>3325</v>
      </c>
      <c r="AK396" s="85" t="str">
        <f>HYPERLINK("https://yt3.ggpht.com/ytc/AKedOLQefbE0R-u6VNDJFZ0zj9S_KX_S2RLNlY1QQbYdDQ=s88-c-k-c0x00ffffff-no-rj")</f>
        <v>https://yt3.ggpht.com/ytc/AKedOLQefbE0R-u6VNDJFZ0zj9S_KX_S2RLNlY1QQbYdDQ=s88-c-k-c0x00ffffff-no-rj</v>
      </c>
      <c r="AL396" s="80">
        <v>579</v>
      </c>
      <c r="AM396" s="80">
        <v>0</v>
      </c>
      <c r="AN396" s="80">
        <v>10</v>
      </c>
      <c r="AO396" s="80" t="b">
        <v>0</v>
      </c>
      <c r="AP396" s="80">
        <v>3</v>
      </c>
      <c r="AQ396" s="80"/>
      <c r="AR396" s="80"/>
      <c r="AS396" s="80" t="s">
        <v>3412</v>
      </c>
      <c r="AT396" s="85" t="str">
        <f>HYPERLINK("https://www.youtube.com/channel/UCsfazTT7oD8it_nvwSmxI1w")</f>
        <v>https://www.youtube.com/channel/UCsfazTT7oD8it_nvwSmxI1w</v>
      </c>
      <c r="AU396" s="80" t="str">
        <f>REPLACE(INDEX(GroupVertices[Group],MATCH(Vertices[[#This Row],[Vertex]],GroupVertices[Vertex],0)),1,1,"")</f>
        <v>9</v>
      </c>
      <c r="AV396" s="49">
        <v>0</v>
      </c>
      <c r="AW396" s="50">
        <v>0</v>
      </c>
      <c r="AX396" s="49">
        <v>0</v>
      </c>
      <c r="AY396" s="50">
        <v>0</v>
      </c>
      <c r="AZ396" s="49">
        <v>0</v>
      </c>
      <c r="BA396" s="50">
        <v>0</v>
      </c>
      <c r="BB396" s="49">
        <v>25</v>
      </c>
      <c r="BC396" s="50">
        <v>100</v>
      </c>
      <c r="BD396" s="49">
        <v>25</v>
      </c>
      <c r="BE396" s="49"/>
      <c r="BF396" s="49"/>
      <c r="BG396" s="49"/>
      <c r="BH396" s="49"/>
      <c r="BI396" s="49"/>
      <c r="BJ396" s="49"/>
      <c r="BK396" s="111" t="s">
        <v>4751</v>
      </c>
      <c r="BL396" s="111" t="s">
        <v>4751</v>
      </c>
      <c r="BM396" s="111" t="s">
        <v>5222</v>
      </c>
      <c r="BN396" s="111" t="s">
        <v>5222</v>
      </c>
      <c r="BO396" s="2"/>
      <c r="BP396" s="3"/>
      <c r="BQ396" s="3"/>
      <c r="BR396" s="3"/>
      <c r="BS396" s="3"/>
    </row>
    <row r="397" spans="1:71" ht="15">
      <c r="A397" s="65" t="s">
        <v>620</v>
      </c>
      <c r="B397" s="66"/>
      <c r="C397" s="66"/>
      <c r="D397" s="67">
        <v>150</v>
      </c>
      <c r="E397" s="69"/>
      <c r="F397" s="103" t="str">
        <f>HYPERLINK("https://yt3.ggpht.com/ytc/AKedOLTTZD19lJv3sdwyZm_8s45fw58W2PUV64Bp=s88-c-k-c0x00ffffff-no-rj")</f>
        <v>https://yt3.ggpht.com/ytc/AKedOLTTZD19lJv3sdwyZm_8s45fw58W2PUV64Bp=s88-c-k-c0x00ffffff-no-rj</v>
      </c>
      <c r="G397" s="66"/>
      <c r="H397" s="70" t="s">
        <v>1948</v>
      </c>
      <c r="I397" s="71"/>
      <c r="J397" s="71" t="s">
        <v>159</v>
      </c>
      <c r="K397" s="70" t="s">
        <v>1948</v>
      </c>
      <c r="L397" s="74">
        <v>1</v>
      </c>
      <c r="M397" s="75">
        <v>8794.3701171875</v>
      </c>
      <c r="N397" s="75">
        <v>3667.59423828125</v>
      </c>
      <c r="O397" s="76"/>
      <c r="P397" s="77"/>
      <c r="Q397" s="77"/>
      <c r="R397" s="89"/>
      <c r="S397" s="49">
        <v>1</v>
      </c>
      <c r="T397" s="49">
        <v>1</v>
      </c>
      <c r="U397" s="50">
        <v>0</v>
      </c>
      <c r="V397" s="50">
        <v>0.002169</v>
      </c>
      <c r="W397" s="50">
        <v>0</v>
      </c>
      <c r="X397" s="50">
        <v>0.513529</v>
      </c>
      <c r="Y397" s="50">
        <v>0</v>
      </c>
      <c r="Z397" s="50">
        <v>1</v>
      </c>
      <c r="AA397" s="72">
        <v>397</v>
      </c>
      <c r="AB397" s="72"/>
      <c r="AC397" s="73"/>
      <c r="AD397" s="80" t="s">
        <v>1948</v>
      </c>
      <c r="AE397" s="80"/>
      <c r="AF397" s="80"/>
      <c r="AG397" s="80"/>
      <c r="AH397" s="80"/>
      <c r="AI397" s="80"/>
      <c r="AJ397" s="80" t="s">
        <v>3326</v>
      </c>
      <c r="AK397" s="85" t="str">
        <f>HYPERLINK("https://yt3.ggpht.com/ytc/AKedOLTTZD19lJv3sdwyZm_8s45fw58W2PUV64Bp=s88-c-k-c0x00ffffff-no-rj")</f>
        <v>https://yt3.ggpht.com/ytc/AKedOLTTZD19lJv3sdwyZm_8s45fw58W2PUV64Bp=s88-c-k-c0x00ffffff-no-rj</v>
      </c>
      <c r="AL397" s="80">
        <v>329</v>
      </c>
      <c r="AM397" s="80">
        <v>0</v>
      </c>
      <c r="AN397" s="80">
        <v>8</v>
      </c>
      <c r="AO397" s="80" t="b">
        <v>0</v>
      </c>
      <c r="AP397" s="80">
        <v>3</v>
      </c>
      <c r="AQ397" s="80"/>
      <c r="AR397" s="80"/>
      <c r="AS397" s="80" t="s">
        <v>3412</v>
      </c>
      <c r="AT397" s="85" t="str">
        <f>HYPERLINK("https://www.youtube.com/channel/UCUxKLrOoCtzXeIrj26RBhRg")</f>
        <v>https://www.youtube.com/channel/UCUxKLrOoCtzXeIrj26RBhRg</v>
      </c>
      <c r="AU397" s="80" t="str">
        <f>REPLACE(INDEX(GroupVertices[Group],MATCH(Vertices[[#This Row],[Vertex]],GroupVertices[Vertex],0)),1,1,"")</f>
        <v>9</v>
      </c>
      <c r="AV397" s="49">
        <v>1</v>
      </c>
      <c r="AW397" s="50">
        <v>14.285714285714286</v>
      </c>
      <c r="AX397" s="49">
        <v>0</v>
      </c>
      <c r="AY397" s="50">
        <v>0</v>
      </c>
      <c r="AZ397" s="49">
        <v>0</v>
      </c>
      <c r="BA397" s="50">
        <v>0</v>
      </c>
      <c r="BB397" s="49">
        <v>6</v>
      </c>
      <c r="BC397" s="50">
        <v>85.71428571428571</v>
      </c>
      <c r="BD397" s="49">
        <v>7</v>
      </c>
      <c r="BE397" s="49"/>
      <c r="BF397" s="49"/>
      <c r="BG397" s="49"/>
      <c r="BH397" s="49"/>
      <c r="BI397" s="49"/>
      <c r="BJ397" s="49"/>
      <c r="BK397" s="111" t="s">
        <v>4752</v>
      </c>
      <c r="BL397" s="111" t="s">
        <v>4752</v>
      </c>
      <c r="BM397" s="111" t="s">
        <v>5223</v>
      </c>
      <c r="BN397" s="111" t="s">
        <v>5223</v>
      </c>
      <c r="BO397" s="2"/>
      <c r="BP397" s="3"/>
      <c r="BQ397" s="3"/>
      <c r="BR397" s="3"/>
      <c r="BS397" s="3"/>
    </row>
    <row r="398" spans="1:71" ht="15">
      <c r="A398" s="65" t="s">
        <v>621</v>
      </c>
      <c r="B398" s="66"/>
      <c r="C398" s="66"/>
      <c r="D398" s="67">
        <v>150</v>
      </c>
      <c r="E398" s="69"/>
      <c r="F398" s="103" t="str">
        <f>HYPERLINK("https://yt3.ggpht.com/ytc/AKedOLSKJpzJkPhJt-NeFweIrWbewQDf4g_ZFi60I6Scmg=s88-c-k-c0x00ffffff-no-rj")</f>
        <v>https://yt3.ggpht.com/ytc/AKedOLSKJpzJkPhJt-NeFweIrWbewQDf4g_ZFi60I6Scmg=s88-c-k-c0x00ffffff-no-rj</v>
      </c>
      <c r="G398" s="66"/>
      <c r="H398" s="70" t="s">
        <v>1949</v>
      </c>
      <c r="I398" s="71"/>
      <c r="J398" s="71" t="s">
        <v>159</v>
      </c>
      <c r="K398" s="70" t="s">
        <v>1949</v>
      </c>
      <c r="L398" s="74">
        <v>1</v>
      </c>
      <c r="M398" s="75">
        <v>8225.95703125</v>
      </c>
      <c r="N398" s="75">
        <v>3781.6904296875</v>
      </c>
      <c r="O398" s="76"/>
      <c r="P398" s="77"/>
      <c r="Q398" s="77"/>
      <c r="R398" s="89"/>
      <c r="S398" s="49">
        <v>0</v>
      </c>
      <c r="T398" s="49">
        <v>1</v>
      </c>
      <c r="U398" s="50">
        <v>0</v>
      </c>
      <c r="V398" s="50">
        <v>0.002169</v>
      </c>
      <c r="W398" s="50">
        <v>0</v>
      </c>
      <c r="X398" s="50">
        <v>0.513529</v>
      </c>
      <c r="Y398" s="50">
        <v>0</v>
      </c>
      <c r="Z398" s="50">
        <v>0</v>
      </c>
      <c r="AA398" s="72">
        <v>398</v>
      </c>
      <c r="AB398" s="72"/>
      <c r="AC398" s="73"/>
      <c r="AD398" s="80" t="s">
        <v>1949</v>
      </c>
      <c r="AE398" s="80"/>
      <c r="AF398" s="80"/>
      <c r="AG398" s="80"/>
      <c r="AH398" s="80"/>
      <c r="AI398" s="80"/>
      <c r="AJ398" s="80" t="s">
        <v>3327</v>
      </c>
      <c r="AK398" s="85" t="str">
        <f>HYPERLINK("https://yt3.ggpht.com/ytc/AKedOLSKJpzJkPhJt-NeFweIrWbewQDf4g_ZFi60I6Scmg=s88-c-k-c0x00ffffff-no-rj")</f>
        <v>https://yt3.ggpht.com/ytc/AKedOLSKJpzJkPhJt-NeFweIrWbewQDf4g_ZFi60I6Scmg=s88-c-k-c0x00ffffff-no-rj</v>
      </c>
      <c r="AL398" s="80">
        <v>0</v>
      </c>
      <c r="AM398" s="80">
        <v>0</v>
      </c>
      <c r="AN398" s="80">
        <v>24</v>
      </c>
      <c r="AO398" s="80" t="b">
        <v>0</v>
      </c>
      <c r="AP398" s="80">
        <v>0</v>
      </c>
      <c r="AQ398" s="80"/>
      <c r="AR398" s="80"/>
      <c r="AS398" s="80" t="s">
        <v>3412</v>
      </c>
      <c r="AT398" s="85" t="str">
        <f>HYPERLINK("https://www.youtube.com/channel/UCkV5aB0866koPMXuqWaUK5A")</f>
        <v>https://www.youtube.com/channel/UCkV5aB0866koPMXuqWaUK5A</v>
      </c>
      <c r="AU398" s="80" t="str">
        <f>REPLACE(INDEX(GroupVertices[Group],MATCH(Vertices[[#This Row],[Vertex]],GroupVertices[Vertex],0)),1,1,"")</f>
        <v>9</v>
      </c>
      <c r="AV398" s="49">
        <v>1</v>
      </c>
      <c r="AW398" s="50">
        <v>25</v>
      </c>
      <c r="AX398" s="49">
        <v>0</v>
      </c>
      <c r="AY398" s="50">
        <v>0</v>
      </c>
      <c r="AZ398" s="49">
        <v>0</v>
      </c>
      <c r="BA398" s="50">
        <v>0</v>
      </c>
      <c r="BB398" s="49">
        <v>3</v>
      </c>
      <c r="BC398" s="50">
        <v>75</v>
      </c>
      <c r="BD398" s="49">
        <v>4</v>
      </c>
      <c r="BE398" s="49"/>
      <c r="BF398" s="49"/>
      <c r="BG398" s="49"/>
      <c r="BH398" s="49"/>
      <c r="BI398" s="49"/>
      <c r="BJ398" s="49"/>
      <c r="BK398" s="111" t="s">
        <v>3466</v>
      </c>
      <c r="BL398" s="111" t="s">
        <v>3466</v>
      </c>
      <c r="BM398" s="111" t="s">
        <v>2782</v>
      </c>
      <c r="BN398" s="111" t="s">
        <v>2782</v>
      </c>
      <c r="BO398" s="2"/>
      <c r="BP398" s="3"/>
      <c r="BQ398" s="3"/>
      <c r="BR398" s="3"/>
      <c r="BS398" s="3"/>
    </row>
    <row r="399" spans="1:71" ht="15">
      <c r="A399" s="65" t="s">
        <v>622</v>
      </c>
      <c r="B399" s="66"/>
      <c r="C399" s="66"/>
      <c r="D399" s="67">
        <v>150</v>
      </c>
      <c r="E399" s="69"/>
      <c r="F399" s="103" t="str">
        <f>HYPERLINK("https://yt3.ggpht.com/ytc/AKedOLQiQ_Ce_5Tb3kiRM8AP7WIv4ZG22kCR8JnQaw=s88-c-k-c0x00ffffff-no-rj")</f>
        <v>https://yt3.ggpht.com/ytc/AKedOLQiQ_Ce_5Tb3kiRM8AP7WIv4ZG22kCR8JnQaw=s88-c-k-c0x00ffffff-no-rj</v>
      </c>
      <c r="G399" s="66"/>
      <c r="H399" s="70" t="s">
        <v>1950</v>
      </c>
      <c r="I399" s="71"/>
      <c r="J399" s="71" t="s">
        <v>159</v>
      </c>
      <c r="K399" s="70" t="s">
        <v>1950</v>
      </c>
      <c r="L399" s="74">
        <v>1</v>
      </c>
      <c r="M399" s="75">
        <v>2111.884033203125</v>
      </c>
      <c r="N399" s="75">
        <v>609.1448974609375</v>
      </c>
      <c r="O399" s="76"/>
      <c r="P399" s="77"/>
      <c r="Q399" s="77"/>
      <c r="R399" s="89"/>
      <c r="S399" s="49">
        <v>0</v>
      </c>
      <c r="T399" s="49">
        <v>1</v>
      </c>
      <c r="U399" s="50">
        <v>0</v>
      </c>
      <c r="V399" s="50">
        <v>0.00565</v>
      </c>
      <c r="W399" s="50">
        <v>0</v>
      </c>
      <c r="X399" s="50">
        <v>0.498142</v>
      </c>
      <c r="Y399" s="50">
        <v>0</v>
      </c>
      <c r="Z399" s="50">
        <v>0</v>
      </c>
      <c r="AA399" s="72">
        <v>399</v>
      </c>
      <c r="AB399" s="72"/>
      <c r="AC399" s="73"/>
      <c r="AD399" s="80" t="s">
        <v>1950</v>
      </c>
      <c r="AE399" s="80"/>
      <c r="AF399" s="80"/>
      <c r="AG399" s="80"/>
      <c r="AH399" s="80"/>
      <c r="AI399" s="80"/>
      <c r="AJ399" s="87">
        <v>40604.728530092594</v>
      </c>
      <c r="AK399" s="85" t="str">
        <f>HYPERLINK("https://yt3.ggpht.com/ytc/AKedOLQiQ_Ce_5Tb3kiRM8AP7WIv4ZG22kCR8JnQaw=s88-c-k-c0x00ffffff-no-rj")</f>
        <v>https://yt3.ggpht.com/ytc/AKedOLQiQ_Ce_5Tb3kiRM8AP7WIv4ZG22kCR8JnQaw=s88-c-k-c0x00ffffff-no-rj</v>
      </c>
      <c r="AL399" s="80">
        <v>0</v>
      </c>
      <c r="AM399" s="80">
        <v>0</v>
      </c>
      <c r="AN399" s="80">
        <v>0</v>
      </c>
      <c r="AO399" s="80" t="b">
        <v>0</v>
      </c>
      <c r="AP399" s="80">
        <v>0</v>
      </c>
      <c r="AQ399" s="80"/>
      <c r="AR399" s="80"/>
      <c r="AS399" s="80" t="s">
        <v>3412</v>
      </c>
      <c r="AT399" s="85" t="str">
        <f>HYPERLINK("https://www.youtube.com/channel/UCF0lvofNehz94_Ve-leaFOg")</f>
        <v>https://www.youtube.com/channel/UCF0lvofNehz94_Ve-leaFOg</v>
      </c>
      <c r="AU399" s="80" t="str">
        <f>REPLACE(INDEX(GroupVertices[Group],MATCH(Vertices[[#This Row],[Vertex]],GroupVertices[Vertex],0)),1,1,"")</f>
        <v>3</v>
      </c>
      <c r="AV399" s="49">
        <v>0</v>
      </c>
      <c r="AW399" s="50">
        <v>0</v>
      </c>
      <c r="AX399" s="49">
        <v>0</v>
      </c>
      <c r="AY399" s="50">
        <v>0</v>
      </c>
      <c r="AZ399" s="49">
        <v>0</v>
      </c>
      <c r="BA399" s="50">
        <v>0</v>
      </c>
      <c r="BB399" s="49">
        <v>6</v>
      </c>
      <c r="BC399" s="50">
        <v>100</v>
      </c>
      <c r="BD399" s="49">
        <v>6</v>
      </c>
      <c r="BE399" s="49"/>
      <c r="BF399" s="49"/>
      <c r="BG399" s="49"/>
      <c r="BH399" s="49"/>
      <c r="BI399" s="49"/>
      <c r="BJ399" s="49"/>
      <c r="BK399" s="111" t="s">
        <v>4753</v>
      </c>
      <c r="BL399" s="111" t="s">
        <v>4753</v>
      </c>
      <c r="BM399" s="111" t="s">
        <v>5224</v>
      </c>
      <c r="BN399" s="111" t="s">
        <v>5224</v>
      </c>
      <c r="BO399" s="2"/>
      <c r="BP399" s="3"/>
      <c r="BQ399" s="3"/>
      <c r="BR399" s="3"/>
      <c r="BS399" s="3"/>
    </row>
    <row r="400" spans="1:71" ht="15">
      <c r="A400" s="65" t="s">
        <v>623</v>
      </c>
      <c r="B400" s="66"/>
      <c r="C400" s="66"/>
      <c r="D400" s="67">
        <v>1000</v>
      </c>
      <c r="E400" s="69"/>
      <c r="F400" s="103" t="str">
        <f>HYPERLINK("https://yt3.ggpht.com/ytc/AKedOLQPnk3z0zaDtyvmWtldMmsyVj-r1E_Mysu96tJ3uQ=s88-c-k-c0x00ffffff-no-rj")</f>
        <v>https://yt3.ggpht.com/ytc/AKedOLQPnk3z0zaDtyvmWtldMmsyVj-r1E_Mysu96tJ3uQ=s88-c-k-c0x00ffffff-no-rj</v>
      </c>
      <c r="G400" s="66"/>
      <c r="H400" s="70" t="s">
        <v>1951</v>
      </c>
      <c r="I400" s="71"/>
      <c r="J400" s="71" t="s">
        <v>75</v>
      </c>
      <c r="K400" s="70" t="s">
        <v>1951</v>
      </c>
      <c r="L400" s="74">
        <v>1319.2107704059363</v>
      </c>
      <c r="M400" s="75">
        <v>1989.12744140625</v>
      </c>
      <c r="N400" s="75">
        <v>1476.90478515625</v>
      </c>
      <c r="O400" s="76"/>
      <c r="P400" s="77"/>
      <c r="Q400" s="77"/>
      <c r="R400" s="89"/>
      <c r="S400" s="49">
        <v>48</v>
      </c>
      <c r="T400" s="49">
        <v>28</v>
      </c>
      <c r="U400" s="50">
        <v>4833</v>
      </c>
      <c r="V400" s="50">
        <v>0.009709</v>
      </c>
      <c r="W400" s="50">
        <v>0</v>
      </c>
      <c r="X400" s="50">
        <v>19.659761</v>
      </c>
      <c r="Y400" s="50">
        <v>0.0018501387604070306</v>
      </c>
      <c r="Z400" s="50">
        <v>0.574468085106383</v>
      </c>
      <c r="AA400" s="72">
        <v>400</v>
      </c>
      <c r="AB400" s="72"/>
      <c r="AC400" s="73"/>
      <c r="AD400" s="80" t="s">
        <v>1951</v>
      </c>
      <c r="AE400" s="80" t="s">
        <v>2952</v>
      </c>
      <c r="AF400" s="80"/>
      <c r="AG400" s="80"/>
      <c r="AH400" s="80"/>
      <c r="AI400" s="80"/>
      <c r="AJ400" s="80" t="s">
        <v>3328</v>
      </c>
      <c r="AK400" s="85" t="str">
        <f>HYPERLINK("https://yt3.ggpht.com/ytc/AKedOLQPnk3z0zaDtyvmWtldMmsyVj-r1E_Mysu96tJ3uQ=s88-c-k-c0x00ffffff-no-rj")</f>
        <v>https://yt3.ggpht.com/ytc/AKedOLQPnk3z0zaDtyvmWtldMmsyVj-r1E_Mysu96tJ3uQ=s88-c-k-c0x00ffffff-no-rj</v>
      </c>
      <c r="AL400" s="80">
        <v>18900106</v>
      </c>
      <c r="AM400" s="80">
        <v>0</v>
      </c>
      <c r="AN400" s="80">
        <v>149000</v>
      </c>
      <c r="AO400" s="80" t="b">
        <v>0</v>
      </c>
      <c r="AP400" s="80">
        <v>260</v>
      </c>
      <c r="AQ400" s="80"/>
      <c r="AR400" s="80"/>
      <c r="AS400" s="80" t="s">
        <v>3412</v>
      </c>
      <c r="AT400" s="85" t="str">
        <f>HYPERLINK("https://www.youtube.com/channel/UC2n4MvLJDH2-GWzjJrC58Zw")</f>
        <v>https://www.youtube.com/channel/UC2n4MvLJDH2-GWzjJrC58Zw</v>
      </c>
      <c r="AU400" s="80" t="str">
        <f>REPLACE(INDEX(GroupVertices[Group],MATCH(Vertices[[#This Row],[Vertex]],GroupVertices[Vertex],0)),1,1,"")</f>
        <v>3</v>
      </c>
      <c r="AV400" s="49">
        <v>9</v>
      </c>
      <c r="AW400" s="50">
        <v>3.9473684210526314</v>
      </c>
      <c r="AX400" s="49">
        <v>0</v>
      </c>
      <c r="AY400" s="50">
        <v>0</v>
      </c>
      <c r="AZ400" s="49">
        <v>0</v>
      </c>
      <c r="BA400" s="50">
        <v>0</v>
      </c>
      <c r="BB400" s="49">
        <v>219</v>
      </c>
      <c r="BC400" s="50">
        <v>96.05263157894737</v>
      </c>
      <c r="BD400" s="49">
        <v>228</v>
      </c>
      <c r="BE400" s="49" t="s">
        <v>4210</v>
      </c>
      <c r="BF400" s="49" t="s">
        <v>4210</v>
      </c>
      <c r="BG400" s="49" t="s">
        <v>2772</v>
      </c>
      <c r="BH400" s="49" t="s">
        <v>2772</v>
      </c>
      <c r="BI400" s="49"/>
      <c r="BJ400" s="49"/>
      <c r="BK400" s="111" t="s">
        <v>4754</v>
      </c>
      <c r="BL400" s="111" t="s">
        <v>4885</v>
      </c>
      <c r="BM400" s="111" t="s">
        <v>5225</v>
      </c>
      <c r="BN400" s="111" t="s">
        <v>5225</v>
      </c>
      <c r="BO400" s="2"/>
      <c r="BP400" s="3"/>
      <c r="BQ400" s="3"/>
      <c r="BR400" s="3"/>
      <c r="BS400" s="3"/>
    </row>
    <row r="401" spans="1:71" ht="15">
      <c r="A401" s="65" t="s">
        <v>624</v>
      </c>
      <c r="B401" s="66"/>
      <c r="C401" s="66"/>
      <c r="D401" s="67">
        <v>150</v>
      </c>
      <c r="E401" s="69"/>
      <c r="F401" s="103" t="str">
        <f>HYPERLINK("https://yt3.ggpht.com/ytc/AKedOLTXkkskUZR1GMO8OJXE_do-sy7SMp6WWGfHaA=s88-c-k-c0x00ffffff-no-rj")</f>
        <v>https://yt3.ggpht.com/ytc/AKedOLTXkkskUZR1GMO8OJXE_do-sy7SMp6WWGfHaA=s88-c-k-c0x00ffffff-no-rj</v>
      </c>
      <c r="G401" s="66"/>
      <c r="H401" s="70" t="s">
        <v>1952</v>
      </c>
      <c r="I401" s="71"/>
      <c r="J401" s="71" t="s">
        <v>159</v>
      </c>
      <c r="K401" s="70" t="s">
        <v>1952</v>
      </c>
      <c r="L401" s="74">
        <v>1</v>
      </c>
      <c r="M401" s="75">
        <v>1756.8519287109375</v>
      </c>
      <c r="N401" s="75">
        <v>754.56689453125</v>
      </c>
      <c r="O401" s="76"/>
      <c r="P401" s="77"/>
      <c r="Q401" s="77"/>
      <c r="R401" s="89"/>
      <c r="S401" s="49">
        <v>1</v>
      </c>
      <c r="T401" s="49">
        <v>1</v>
      </c>
      <c r="U401" s="50">
        <v>0</v>
      </c>
      <c r="V401" s="50">
        <v>0.00565</v>
      </c>
      <c r="W401" s="50">
        <v>0</v>
      </c>
      <c r="X401" s="50">
        <v>0.498142</v>
      </c>
      <c r="Y401" s="50">
        <v>0</v>
      </c>
      <c r="Z401" s="50">
        <v>1</v>
      </c>
      <c r="AA401" s="72">
        <v>401</v>
      </c>
      <c r="AB401" s="72"/>
      <c r="AC401" s="73"/>
      <c r="AD401" s="80" t="s">
        <v>1952</v>
      </c>
      <c r="AE401" s="80"/>
      <c r="AF401" s="80"/>
      <c r="AG401" s="80"/>
      <c r="AH401" s="80"/>
      <c r="AI401" s="80"/>
      <c r="AJ401" s="80" t="s">
        <v>3329</v>
      </c>
      <c r="AK401" s="85" t="str">
        <f>HYPERLINK("https://yt3.ggpht.com/ytc/AKedOLTXkkskUZR1GMO8OJXE_do-sy7SMp6WWGfHaA=s88-c-k-c0x00ffffff-no-rj")</f>
        <v>https://yt3.ggpht.com/ytc/AKedOLTXkkskUZR1GMO8OJXE_do-sy7SMp6WWGfHaA=s88-c-k-c0x00ffffff-no-rj</v>
      </c>
      <c r="AL401" s="80">
        <v>175</v>
      </c>
      <c r="AM401" s="80">
        <v>0</v>
      </c>
      <c r="AN401" s="80">
        <v>11</v>
      </c>
      <c r="AO401" s="80" t="b">
        <v>0</v>
      </c>
      <c r="AP401" s="80">
        <v>4</v>
      </c>
      <c r="AQ401" s="80"/>
      <c r="AR401" s="80"/>
      <c r="AS401" s="80" t="s">
        <v>3412</v>
      </c>
      <c r="AT401" s="85" t="str">
        <f>HYPERLINK("https://www.youtube.com/channel/UCwWgsffHym9QQvqk9Okygfg")</f>
        <v>https://www.youtube.com/channel/UCwWgsffHym9QQvqk9Okygfg</v>
      </c>
      <c r="AU401" s="80" t="str">
        <f>REPLACE(INDEX(GroupVertices[Group],MATCH(Vertices[[#This Row],[Vertex]],GroupVertices[Vertex],0)),1,1,"")</f>
        <v>3</v>
      </c>
      <c r="AV401" s="49">
        <v>2</v>
      </c>
      <c r="AW401" s="50">
        <v>9.523809523809524</v>
      </c>
      <c r="AX401" s="49">
        <v>0</v>
      </c>
      <c r="AY401" s="50">
        <v>0</v>
      </c>
      <c r="AZ401" s="49">
        <v>0</v>
      </c>
      <c r="BA401" s="50">
        <v>0</v>
      </c>
      <c r="BB401" s="49">
        <v>19</v>
      </c>
      <c r="BC401" s="50">
        <v>90.47619047619048</v>
      </c>
      <c r="BD401" s="49">
        <v>21</v>
      </c>
      <c r="BE401" s="49"/>
      <c r="BF401" s="49"/>
      <c r="BG401" s="49"/>
      <c r="BH401" s="49"/>
      <c r="BI401" s="49"/>
      <c r="BJ401" s="49"/>
      <c r="BK401" s="111" t="s">
        <v>4755</v>
      </c>
      <c r="BL401" s="111" t="s">
        <v>4755</v>
      </c>
      <c r="BM401" s="111" t="s">
        <v>5226</v>
      </c>
      <c r="BN401" s="111" t="s">
        <v>5226</v>
      </c>
      <c r="BO401" s="2"/>
      <c r="BP401" s="3"/>
      <c r="BQ401" s="3"/>
      <c r="BR401" s="3"/>
      <c r="BS401" s="3"/>
    </row>
    <row r="402" spans="1:71" ht="15">
      <c r="A402" s="65" t="s">
        <v>625</v>
      </c>
      <c r="B402" s="66"/>
      <c r="C402" s="66"/>
      <c r="D402" s="67">
        <v>150</v>
      </c>
      <c r="E402" s="69"/>
      <c r="F402" s="103" t="str">
        <f>HYPERLINK("https://yt3.ggpht.com/ytc/AKedOLTDOpY7Y8Q2LPA5isMDRyTtmfuAlaTuvmmA6NAL1rw=s88-c-k-c0x00ffffff-no-rj")</f>
        <v>https://yt3.ggpht.com/ytc/AKedOLTDOpY7Y8Q2LPA5isMDRyTtmfuAlaTuvmmA6NAL1rw=s88-c-k-c0x00ffffff-no-rj</v>
      </c>
      <c r="G402" s="66"/>
      <c r="H402" s="70" t="s">
        <v>1953</v>
      </c>
      <c r="I402" s="71"/>
      <c r="J402" s="71" t="s">
        <v>159</v>
      </c>
      <c r="K402" s="70" t="s">
        <v>1953</v>
      </c>
      <c r="L402" s="74">
        <v>1</v>
      </c>
      <c r="M402" s="75">
        <v>1418.9451904296875</v>
      </c>
      <c r="N402" s="75">
        <v>1055.2593994140625</v>
      </c>
      <c r="O402" s="76"/>
      <c r="P402" s="77"/>
      <c r="Q402" s="77"/>
      <c r="R402" s="89"/>
      <c r="S402" s="49">
        <v>1</v>
      </c>
      <c r="T402" s="49">
        <v>1</v>
      </c>
      <c r="U402" s="50">
        <v>0</v>
      </c>
      <c r="V402" s="50">
        <v>0.00565</v>
      </c>
      <c r="W402" s="50">
        <v>0</v>
      </c>
      <c r="X402" s="50">
        <v>0.498142</v>
      </c>
      <c r="Y402" s="50">
        <v>0</v>
      </c>
      <c r="Z402" s="50">
        <v>1</v>
      </c>
      <c r="AA402" s="72">
        <v>402</v>
      </c>
      <c r="AB402" s="72"/>
      <c r="AC402" s="73"/>
      <c r="AD402" s="80" t="s">
        <v>1953</v>
      </c>
      <c r="AE402" s="80"/>
      <c r="AF402" s="80"/>
      <c r="AG402" s="80"/>
      <c r="AH402" s="80"/>
      <c r="AI402" s="80"/>
      <c r="AJ402" s="80" t="s">
        <v>3330</v>
      </c>
      <c r="AK402" s="85" t="str">
        <f>HYPERLINK("https://yt3.ggpht.com/ytc/AKedOLTDOpY7Y8Q2LPA5isMDRyTtmfuAlaTuvmmA6NAL1rw=s88-c-k-c0x00ffffff-no-rj")</f>
        <v>https://yt3.ggpht.com/ytc/AKedOLTDOpY7Y8Q2LPA5isMDRyTtmfuAlaTuvmmA6NAL1rw=s88-c-k-c0x00ffffff-no-rj</v>
      </c>
      <c r="AL402" s="80">
        <v>0</v>
      </c>
      <c r="AM402" s="80">
        <v>0</v>
      </c>
      <c r="AN402" s="80">
        <v>1</v>
      </c>
      <c r="AO402" s="80" t="b">
        <v>0</v>
      </c>
      <c r="AP402" s="80">
        <v>0</v>
      </c>
      <c r="AQ402" s="80"/>
      <c r="AR402" s="80"/>
      <c r="AS402" s="80" t="s">
        <v>3412</v>
      </c>
      <c r="AT402" s="85" t="str">
        <f>HYPERLINK("https://www.youtube.com/channel/UCAFg786w2v991zsc8BNQagA")</f>
        <v>https://www.youtube.com/channel/UCAFg786w2v991zsc8BNQagA</v>
      </c>
      <c r="AU402" s="80" t="str">
        <f>REPLACE(INDEX(GroupVertices[Group],MATCH(Vertices[[#This Row],[Vertex]],GroupVertices[Vertex],0)),1,1,"")</f>
        <v>3</v>
      </c>
      <c r="AV402" s="49">
        <v>0</v>
      </c>
      <c r="AW402" s="50">
        <v>0</v>
      </c>
      <c r="AX402" s="49">
        <v>0</v>
      </c>
      <c r="AY402" s="50">
        <v>0</v>
      </c>
      <c r="AZ402" s="49">
        <v>0</v>
      </c>
      <c r="BA402" s="50">
        <v>0</v>
      </c>
      <c r="BB402" s="49">
        <v>11</v>
      </c>
      <c r="BC402" s="50">
        <v>100</v>
      </c>
      <c r="BD402" s="49">
        <v>11</v>
      </c>
      <c r="BE402" s="49"/>
      <c r="BF402" s="49"/>
      <c r="BG402" s="49"/>
      <c r="BH402" s="49"/>
      <c r="BI402" s="49"/>
      <c r="BJ402" s="49"/>
      <c r="BK402" s="111" t="s">
        <v>4756</v>
      </c>
      <c r="BL402" s="111" t="s">
        <v>4756</v>
      </c>
      <c r="BM402" s="111" t="s">
        <v>5227</v>
      </c>
      <c r="BN402" s="111" t="s">
        <v>5227</v>
      </c>
      <c r="BO402" s="2"/>
      <c r="BP402" s="3"/>
      <c r="BQ402" s="3"/>
      <c r="BR402" s="3"/>
      <c r="BS402" s="3"/>
    </row>
    <row r="403" spans="1:71" ht="15">
      <c r="A403" s="65" t="s">
        <v>626</v>
      </c>
      <c r="B403" s="66"/>
      <c r="C403" s="66"/>
      <c r="D403" s="67">
        <v>150</v>
      </c>
      <c r="E403" s="69"/>
      <c r="F403" s="103" t="str">
        <f>HYPERLINK("https://yt3.ggpht.com/ytc/AKedOLSraBPL34l3fMrVEVEiR1n0FpnlEPF-Blq36g=s88-c-k-c0x00ffffff-no-rj")</f>
        <v>https://yt3.ggpht.com/ytc/AKedOLSraBPL34l3fMrVEVEiR1n0FpnlEPF-Blq36g=s88-c-k-c0x00ffffff-no-rj</v>
      </c>
      <c r="G403" s="66"/>
      <c r="H403" s="70" t="s">
        <v>1954</v>
      </c>
      <c r="I403" s="71"/>
      <c r="J403" s="71" t="s">
        <v>159</v>
      </c>
      <c r="K403" s="70" t="s">
        <v>1954</v>
      </c>
      <c r="L403" s="74">
        <v>1</v>
      </c>
      <c r="M403" s="75">
        <v>1225.42626953125</v>
      </c>
      <c r="N403" s="75">
        <v>885.2881469726562</v>
      </c>
      <c r="O403" s="76"/>
      <c r="P403" s="77"/>
      <c r="Q403" s="77"/>
      <c r="R403" s="89"/>
      <c r="S403" s="49">
        <v>0</v>
      </c>
      <c r="T403" s="49">
        <v>1</v>
      </c>
      <c r="U403" s="50">
        <v>0</v>
      </c>
      <c r="V403" s="50">
        <v>0.00565</v>
      </c>
      <c r="W403" s="50">
        <v>0</v>
      </c>
      <c r="X403" s="50">
        <v>0.498142</v>
      </c>
      <c r="Y403" s="50">
        <v>0</v>
      </c>
      <c r="Z403" s="50">
        <v>0</v>
      </c>
      <c r="AA403" s="72">
        <v>403</v>
      </c>
      <c r="AB403" s="72"/>
      <c r="AC403" s="73"/>
      <c r="AD403" s="80" t="s">
        <v>1954</v>
      </c>
      <c r="AE403" s="80"/>
      <c r="AF403" s="80"/>
      <c r="AG403" s="80"/>
      <c r="AH403" s="80"/>
      <c r="AI403" s="80"/>
      <c r="AJ403" s="80" t="s">
        <v>3331</v>
      </c>
      <c r="AK403" s="85" t="str">
        <f>HYPERLINK("https://yt3.ggpht.com/ytc/AKedOLSraBPL34l3fMrVEVEiR1n0FpnlEPF-Blq36g=s88-c-k-c0x00ffffff-no-rj")</f>
        <v>https://yt3.ggpht.com/ytc/AKedOLSraBPL34l3fMrVEVEiR1n0FpnlEPF-Blq36g=s88-c-k-c0x00ffffff-no-rj</v>
      </c>
      <c r="AL403" s="80">
        <v>0</v>
      </c>
      <c r="AM403" s="80">
        <v>0</v>
      </c>
      <c r="AN403" s="80">
        <v>1</v>
      </c>
      <c r="AO403" s="80" t="b">
        <v>0</v>
      </c>
      <c r="AP403" s="80">
        <v>0</v>
      </c>
      <c r="AQ403" s="80"/>
      <c r="AR403" s="80"/>
      <c r="AS403" s="80" t="s">
        <v>3412</v>
      </c>
      <c r="AT403" s="85" t="str">
        <f>HYPERLINK("https://www.youtube.com/channel/UCX8SRjJqk4N5n_8bjR3cPTA")</f>
        <v>https://www.youtube.com/channel/UCX8SRjJqk4N5n_8bjR3cPTA</v>
      </c>
      <c r="AU403" s="80" t="str">
        <f>REPLACE(INDEX(GroupVertices[Group],MATCH(Vertices[[#This Row],[Vertex]],GroupVertices[Vertex],0)),1,1,"")</f>
        <v>3</v>
      </c>
      <c r="AV403" s="49">
        <v>3</v>
      </c>
      <c r="AW403" s="50">
        <v>9.375</v>
      </c>
      <c r="AX403" s="49">
        <v>1</v>
      </c>
      <c r="AY403" s="50">
        <v>3.125</v>
      </c>
      <c r="AZ403" s="49">
        <v>0</v>
      </c>
      <c r="BA403" s="50">
        <v>0</v>
      </c>
      <c r="BB403" s="49">
        <v>28</v>
      </c>
      <c r="BC403" s="50">
        <v>87.5</v>
      </c>
      <c r="BD403" s="49">
        <v>32</v>
      </c>
      <c r="BE403" s="49"/>
      <c r="BF403" s="49"/>
      <c r="BG403" s="49"/>
      <c r="BH403" s="49"/>
      <c r="BI403" s="49"/>
      <c r="BJ403" s="49"/>
      <c r="BK403" s="111" t="s">
        <v>4757</v>
      </c>
      <c r="BL403" s="111" t="s">
        <v>4757</v>
      </c>
      <c r="BM403" s="111" t="s">
        <v>5228</v>
      </c>
      <c r="BN403" s="111" t="s">
        <v>5228</v>
      </c>
      <c r="BO403" s="2"/>
      <c r="BP403" s="3"/>
      <c r="BQ403" s="3"/>
      <c r="BR403" s="3"/>
      <c r="BS403" s="3"/>
    </row>
    <row r="404" spans="1:71" ht="15">
      <c r="A404" s="65" t="s">
        <v>627</v>
      </c>
      <c r="B404" s="66"/>
      <c r="C404" s="66"/>
      <c r="D404" s="67">
        <v>150</v>
      </c>
      <c r="E404" s="69"/>
      <c r="F404" s="103" t="str">
        <f>HYPERLINK("https://yt3.ggpht.com/ytc/AKedOLRG8RIkw4W5px3tp04ygTRp1948Jdf2FgKZKUuF=s88-c-k-c0x00ffffff-no-rj")</f>
        <v>https://yt3.ggpht.com/ytc/AKedOLRG8RIkw4W5px3tp04ygTRp1948Jdf2FgKZKUuF=s88-c-k-c0x00ffffff-no-rj</v>
      </c>
      <c r="G404" s="66"/>
      <c r="H404" s="70" t="s">
        <v>1955</v>
      </c>
      <c r="I404" s="71"/>
      <c r="J404" s="71" t="s">
        <v>159</v>
      </c>
      <c r="K404" s="70" t="s">
        <v>1955</v>
      </c>
      <c r="L404" s="74">
        <v>1</v>
      </c>
      <c r="M404" s="75">
        <v>1658.9527587890625</v>
      </c>
      <c r="N404" s="75">
        <v>1710.5703125</v>
      </c>
      <c r="O404" s="76"/>
      <c r="P404" s="77"/>
      <c r="Q404" s="77"/>
      <c r="R404" s="89"/>
      <c r="S404" s="49">
        <v>1</v>
      </c>
      <c r="T404" s="49">
        <v>1</v>
      </c>
      <c r="U404" s="50">
        <v>0</v>
      </c>
      <c r="V404" s="50">
        <v>0.00565</v>
      </c>
      <c r="W404" s="50">
        <v>0</v>
      </c>
      <c r="X404" s="50">
        <v>0.498142</v>
      </c>
      <c r="Y404" s="50">
        <v>0</v>
      </c>
      <c r="Z404" s="50">
        <v>1</v>
      </c>
      <c r="AA404" s="72">
        <v>404</v>
      </c>
      <c r="AB404" s="72"/>
      <c r="AC404" s="73"/>
      <c r="AD404" s="80" t="s">
        <v>1955</v>
      </c>
      <c r="AE404" s="80"/>
      <c r="AF404" s="80"/>
      <c r="AG404" s="80"/>
      <c r="AH404" s="80"/>
      <c r="AI404" s="80"/>
      <c r="AJ404" s="80" t="s">
        <v>3332</v>
      </c>
      <c r="AK404" s="85" t="str">
        <f>HYPERLINK("https://yt3.ggpht.com/ytc/AKedOLRG8RIkw4W5px3tp04ygTRp1948Jdf2FgKZKUuF=s88-c-k-c0x00ffffff-no-rj")</f>
        <v>https://yt3.ggpht.com/ytc/AKedOLRG8RIkw4W5px3tp04ygTRp1948Jdf2FgKZKUuF=s88-c-k-c0x00ffffff-no-rj</v>
      </c>
      <c r="AL404" s="80">
        <v>265</v>
      </c>
      <c r="AM404" s="80">
        <v>0</v>
      </c>
      <c r="AN404" s="80">
        <v>10</v>
      </c>
      <c r="AO404" s="80" t="b">
        <v>0</v>
      </c>
      <c r="AP404" s="80">
        <v>2</v>
      </c>
      <c r="AQ404" s="80"/>
      <c r="AR404" s="80"/>
      <c r="AS404" s="80" t="s">
        <v>3412</v>
      </c>
      <c r="AT404" s="85" t="str">
        <f>HYPERLINK("https://www.youtube.com/channel/UCUkIaf_z6ea1ajCOi6u5Xpw")</f>
        <v>https://www.youtube.com/channel/UCUkIaf_z6ea1ajCOi6u5Xpw</v>
      </c>
      <c r="AU404" s="80" t="str">
        <f>REPLACE(INDEX(GroupVertices[Group],MATCH(Vertices[[#This Row],[Vertex]],GroupVertices[Vertex],0)),1,1,"")</f>
        <v>3</v>
      </c>
      <c r="AV404" s="49">
        <v>1</v>
      </c>
      <c r="AW404" s="50">
        <v>2.6315789473684212</v>
      </c>
      <c r="AX404" s="49">
        <v>1</v>
      </c>
      <c r="AY404" s="50">
        <v>2.6315789473684212</v>
      </c>
      <c r="AZ404" s="49">
        <v>0</v>
      </c>
      <c r="BA404" s="50">
        <v>0</v>
      </c>
      <c r="BB404" s="49">
        <v>36</v>
      </c>
      <c r="BC404" s="50">
        <v>94.73684210526316</v>
      </c>
      <c r="BD404" s="49">
        <v>38</v>
      </c>
      <c r="BE404" s="49"/>
      <c r="BF404" s="49"/>
      <c r="BG404" s="49"/>
      <c r="BH404" s="49"/>
      <c r="BI404" s="49"/>
      <c r="BJ404" s="49"/>
      <c r="BK404" s="111" t="s">
        <v>4758</v>
      </c>
      <c r="BL404" s="111" t="s">
        <v>4758</v>
      </c>
      <c r="BM404" s="111" t="s">
        <v>5229</v>
      </c>
      <c r="BN404" s="111" t="s">
        <v>5229</v>
      </c>
      <c r="BO404" s="2"/>
      <c r="BP404" s="3"/>
      <c r="BQ404" s="3"/>
      <c r="BR404" s="3"/>
      <c r="BS404" s="3"/>
    </row>
    <row r="405" spans="1:71" ht="15">
      <c r="A405" s="65" t="s">
        <v>628</v>
      </c>
      <c r="B405" s="66"/>
      <c r="C405" s="66"/>
      <c r="D405" s="67">
        <v>150</v>
      </c>
      <c r="E405" s="69"/>
      <c r="F405" s="103" t="str">
        <f>HYPERLINK("https://yt3.ggpht.com/ytc/AKedOLQ2AAYTdFrDcNpY5Wz-RVck6zOTp5pB6dFl_Q=s88-c-k-c0x00ffffff-no-rj")</f>
        <v>https://yt3.ggpht.com/ytc/AKedOLQ2AAYTdFrDcNpY5Wz-RVck6zOTp5pB6dFl_Q=s88-c-k-c0x00ffffff-no-rj</v>
      </c>
      <c r="G405" s="66"/>
      <c r="H405" s="70" t="s">
        <v>1956</v>
      </c>
      <c r="I405" s="71"/>
      <c r="J405" s="71" t="s">
        <v>159</v>
      </c>
      <c r="K405" s="70" t="s">
        <v>1956</v>
      </c>
      <c r="L405" s="74">
        <v>1</v>
      </c>
      <c r="M405" s="75">
        <v>178.55357360839844</v>
      </c>
      <c r="N405" s="75">
        <v>1952.121826171875</v>
      </c>
      <c r="O405" s="76"/>
      <c r="P405" s="77"/>
      <c r="Q405" s="77"/>
      <c r="R405" s="89"/>
      <c r="S405" s="49">
        <v>0</v>
      </c>
      <c r="T405" s="49">
        <v>1</v>
      </c>
      <c r="U405" s="50">
        <v>0</v>
      </c>
      <c r="V405" s="50">
        <v>0.004016</v>
      </c>
      <c r="W405" s="50">
        <v>0</v>
      </c>
      <c r="X405" s="50">
        <v>0.522536</v>
      </c>
      <c r="Y405" s="50">
        <v>0</v>
      </c>
      <c r="Z405" s="50">
        <v>0</v>
      </c>
      <c r="AA405" s="72">
        <v>405</v>
      </c>
      <c r="AB405" s="72"/>
      <c r="AC405" s="73"/>
      <c r="AD405" s="80" t="s">
        <v>1956</v>
      </c>
      <c r="AE405" s="80"/>
      <c r="AF405" s="80"/>
      <c r="AG405" s="80"/>
      <c r="AH405" s="80"/>
      <c r="AI405" s="80"/>
      <c r="AJ405" s="87">
        <v>39880.73971064815</v>
      </c>
      <c r="AK405" s="85" t="str">
        <f>HYPERLINK("https://yt3.ggpht.com/ytc/AKedOLQ2AAYTdFrDcNpY5Wz-RVck6zOTp5pB6dFl_Q=s88-c-k-c0x00ffffff-no-rj")</f>
        <v>https://yt3.ggpht.com/ytc/AKedOLQ2AAYTdFrDcNpY5Wz-RVck6zOTp5pB6dFl_Q=s88-c-k-c0x00ffffff-no-rj</v>
      </c>
      <c r="AL405" s="80">
        <v>0</v>
      </c>
      <c r="AM405" s="80">
        <v>0</v>
      </c>
      <c r="AN405" s="80">
        <v>11</v>
      </c>
      <c r="AO405" s="80" t="b">
        <v>0</v>
      </c>
      <c r="AP405" s="80">
        <v>0</v>
      </c>
      <c r="AQ405" s="80"/>
      <c r="AR405" s="80"/>
      <c r="AS405" s="80" t="s">
        <v>3412</v>
      </c>
      <c r="AT405" s="85" t="str">
        <f>HYPERLINK("https://www.youtube.com/channel/UCYwdQkLEUnQ_bEoPdA5vYuQ")</f>
        <v>https://www.youtube.com/channel/UCYwdQkLEUnQ_bEoPdA5vYuQ</v>
      </c>
      <c r="AU405" s="80" t="str">
        <f>REPLACE(INDEX(GroupVertices[Group],MATCH(Vertices[[#This Row],[Vertex]],GroupVertices[Vertex],0)),1,1,"")</f>
        <v>3</v>
      </c>
      <c r="AV405" s="49">
        <v>0</v>
      </c>
      <c r="AW405" s="50">
        <v>0</v>
      </c>
      <c r="AX405" s="49">
        <v>0</v>
      </c>
      <c r="AY405" s="50">
        <v>0</v>
      </c>
      <c r="AZ405" s="49">
        <v>0</v>
      </c>
      <c r="BA405" s="50">
        <v>0</v>
      </c>
      <c r="BB405" s="49">
        <v>4</v>
      </c>
      <c r="BC405" s="50">
        <v>100</v>
      </c>
      <c r="BD405" s="49">
        <v>4</v>
      </c>
      <c r="BE405" s="49"/>
      <c r="BF405" s="49"/>
      <c r="BG405" s="49"/>
      <c r="BH405" s="49"/>
      <c r="BI405" s="49"/>
      <c r="BJ405" s="49"/>
      <c r="BK405" s="111" t="s">
        <v>4759</v>
      </c>
      <c r="BL405" s="111" t="s">
        <v>4759</v>
      </c>
      <c r="BM405" s="111" t="s">
        <v>5230</v>
      </c>
      <c r="BN405" s="111" t="s">
        <v>5230</v>
      </c>
      <c r="BO405" s="2"/>
      <c r="BP405" s="3"/>
      <c r="BQ405" s="3"/>
      <c r="BR405" s="3"/>
      <c r="BS405" s="3"/>
    </row>
    <row r="406" spans="1:71" ht="15">
      <c r="A406" s="65" t="s">
        <v>636</v>
      </c>
      <c r="B406" s="66"/>
      <c r="C406" s="66"/>
      <c r="D406" s="67">
        <v>224.88095238095238</v>
      </c>
      <c r="E406" s="69"/>
      <c r="F406" s="103" t="str">
        <f>HYPERLINK("https://yt3.ggpht.com/ytc/AKedOLQ4ntbcCpOOjCbdd_J2t-UArIw3_dAPp1hYzdLLEug=s88-c-k-c0x00ffffff-no-rj")</f>
        <v>https://yt3.ggpht.com/ytc/AKedOLQ4ntbcCpOOjCbdd_J2t-UArIw3_dAPp1hYzdLLEug=s88-c-k-c0x00ffffff-no-rj</v>
      </c>
      <c r="G406" s="66"/>
      <c r="H406" s="70" t="s">
        <v>1964</v>
      </c>
      <c r="I406" s="71"/>
      <c r="J406" s="71" t="s">
        <v>75</v>
      </c>
      <c r="K406" s="70" t="s">
        <v>1964</v>
      </c>
      <c r="L406" s="74">
        <v>41.367306852902665</v>
      </c>
      <c r="M406" s="75">
        <v>989.3809204101562</v>
      </c>
      <c r="N406" s="75">
        <v>1754.499755859375</v>
      </c>
      <c r="O406" s="76"/>
      <c r="P406" s="77"/>
      <c r="Q406" s="77"/>
      <c r="R406" s="89"/>
      <c r="S406" s="49">
        <v>3</v>
      </c>
      <c r="T406" s="49">
        <v>2</v>
      </c>
      <c r="U406" s="50">
        <v>148</v>
      </c>
      <c r="V406" s="50">
        <v>0.005714</v>
      </c>
      <c r="W406" s="50">
        <v>0</v>
      </c>
      <c r="X406" s="50">
        <v>1.314833</v>
      </c>
      <c r="Y406" s="50">
        <v>0</v>
      </c>
      <c r="Z406" s="50">
        <v>0.5</v>
      </c>
      <c r="AA406" s="72">
        <v>406</v>
      </c>
      <c r="AB406" s="72"/>
      <c r="AC406" s="73"/>
      <c r="AD406" s="80" t="s">
        <v>1964</v>
      </c>
      <c r="AE406" s="80" t="s">
        <v>2953</v>
      </c>
      <c r="AF406" s="80"/>
      <c r="AG406" s="80"/>
      <c r="AH406" s="80"/>
      <c r="AI406" s="80"/>
      <c r="AJ406" s="80" t="s">
        <v>3333</v>
      </c>
      <c r="AK406" s="85" t="str">
        <f>HYPERLINK("https://yt3.ggpht.com/ytc/AKedOLQ4ntbcCpOOjCbdd_J2t-UArIw3_dAPp1hYzdLLEug=s88-c-k-c0x00ffffff-no-rj")</f>
        <v>https://yt3.ggpht.com/ytc/AKedOLQ4ntbcCpOOjCbdd_J2t-UArIw3_dAPp1hYzdLLEug=s88-c-k-c0x00ffffff-no-rj</v>
      </c>
      <c r="AL406" s="80">
        <v>0</v>
      </c>
      <c r="AM406" s="80">
        <v>0</v>
      </c>
      <c r="AN406" s="80">
        <v>1</v>
      </c>
      <c r="AO406" s="80" t="b">
        <v>0</v>
      </c>
      <c r="AP406" s="80">
        <v>0</v>
      </c>
      <c r="AQ406" s="80"/>
      <c r="AR406" s="80"/>
      <c r="AS406" s="80" t="s">
        <v>3412</v>
      </c>
      <c r="AT406" s="85" t="str">
        <f>HYPERLINK("https://www.youtube.com/channel/UCgdFUdO62xb3WG9XyV2ZBwg")</f>
        <v>https://www.youtube.com/channel/UCgdFUdO62xb3WG9XyV2ZBwg</v>
      </c>
      <c r="AU406" s="80" t="str">
        <f>REPLACE(INDEX(GroupVertices[Group],MATCH(Vertices[[#This Row],[Vertex]],GroupVertices[Vertex],0)),1,1,"")</f>
        <v>3</v>
      </c>
      <c r="AV406" s="49">
        <v>3</v>
      </c>
      <c r="AW406" s="50">
        <v>3.75</v>
      </c>
      <c r="AX406" s="49">
        <v>1</v>
      </c>
      <c r="AY406" s="50">
        <v>1.25</v>
      </c>
      <c r="AZ406" s="49">
        <v>0</v>
      </c>
      <c r="BA406" s="50">
        <v>0</v>
      </c>
      <c r="BB406" s="49">
        <v>76</v>
      </c>
      <c r="BC406" s="50">
        <v>95</v>
      </c>
      <c r="BD406" s="49">
        <v>80</v>
      </c>
      <c r="BE406" s="49"/>
      <c r="BF406" s="49"/>
      <c r="BG406" s="49"/>
      <c r="BH406" s="49"/>
      <c r="BI406" s="49"/>
      <c r="BJ406" s="49"/>
      <c r="BK406" s="111" t="s">
        <v>4760</v>
      </c>
      <c r="BL406" s="111" t="s">
        <v>4886</v>
      </c>
      <c r="BM406" s="111" t="s">
        <v>5231</v>
      </c>
      <c r="BN406" s="111" t="s">
        <v>5339</v>
      </c>
      <c r="BO406" s="2"/>
      <c r="BP406" s="3"/>
      <c r="BQ406" s="3"/>
      <c r="BR406" s="3"/>
      <c r="BS406" s="3"/>
    </row>
    <row r="407" spans="1:71" ht="15">
      <c r="A407" s="65" t="s">
        <v>629</v>
      </c>
      <c r="B407" s="66"/>
      <c r="C407" s="66"/>
      <c r="D407" s="67">
        <v>150</v>
      </c>
      <c r="E407" s="69"/>
      <c r="F407" s="103" t="str">
        <f>HYPERLINK("https://yt3.ggpht.com/Kibcp77aEAahjF8TnsXHp1CM7gJwO54F4jCl9QN09IVW8BapsrUv1d6UtB61jZcJ67jQSjLdgw=s88-c-k-c0x00ffffff-no-rj")</f>
        <v>https://yt3.ggpht.com/Kibcp77aEAahjF8TnsXHp1CM7gJwO54F4jCl9QN09IVW8BapsrUv1d6UtB61jZcJ67jQSjLdgw=s88-c-k-c0x00ffffff-no-rj</v>
      </c>
      <c r="G407" s="66"/>
      <c r="H407" s="70" t="s">
        <v>1957</v>
      </c>
      <c r="I407" s="71"/>
      <c r="J407" s="71" t="s">
        <v>159</v>
      </c>
      <c r="K407" s="70" t="s">
        <v>1957</v>
      </c>
      <c r="L407" s="74">
        <v>1</v>
      </c>
      <c r="M407" s="75">
        <v>2810.490234375</v>
      </c>
      <c r="N407" s="75">
        <v>1944.0716552734375</v>
      </c>
      <c r="O407" s="76"/>
      <c r="P407" s="77"/>
      <c r="Q407" s="77"/>
      <c r="R407" s="89"/>
      <c r="S407" s="49">
        <v>0</v>
      </c>
      <c r="T407" s="49">
        <v>1</v>
      </c>
      <c r="U407" s="50">
        <v>0</v>
      </c>
      <c r="V407" s="50">
        <v>0.00565</v>
      </c>
      <c r="W407" s="50">
        <v>0</v>
      </c>
      <c r="X407" s="50">
        <v>0.498142</v>
      </c>
      <c r="Y407" s="50">
        <v>0</v>
      </c>
      <c r="Z407" s="50">
        <v>0</v>
      </c>
      <c r="AA407" s="72">
        <v>407</v>
      </c>
      <c r="AB407" s="72"/>
      <c r="AC407" s="73"/>
      <c r="AD407" s="80" t="s">
        <v>1957</v>
      </c>
      <c r="AE407" s="80" t="s">
        <v>2954</v>
      </c>
      <c r="AF407" s="80"/>
      <c r="AG407" s="80"/>
      <c r="AH407" s="80"/>
      <c r="AI407" s="80"/>
      <c r="AJ407" s="80" t="s">
        <v>3334</v>
      </c>
      <c r="AK407" s="85" t="str">
        <f>HYPERLINK("https://yt3.ggpht.com/Kibcp77aEAahjF8TnsXHp1CM7gJwO54F4jCl9QN09IVW8BapsrUv1d6UtB61jZcJ67jQSjLdgw=s88-c-k-c0x00ffffff-no-rj")</f>
        <v>https://yt3.ggpht.com/Kibcp77aEAahjF8TnsXHp1CM7gJwO54F4jCl9QN09IVW8BapsrUv1d6UtB61jZcJ67jQSjLdgw=s88-c-k-c0x00ffffff-no-rj</v>
      </c>
      <c r="AL407" s="80">
        <v>50642</v>
      </c>
      <c r="AM407" s="80">
        <v>0</v>
      </c>
      <c r="AN407" s="80">
        <v>934</v>
      </c>
      <c r="AO407" s="80" t="b">
        <v>0</v>
      </c>
      <c r="AP407" s="80">
        <v>44</v>
      </c>
      <c r="AQ407" s="80"/>
      <c r="AR407" s="80"/>
      <c r="AS407" s="80" t="s">
        <v>3412</v>
      </c>
      <c r="AT407" s="85" t="str">
        <f>HYPERLINK("https://www.youtube.com/channel/UC7W2nvuM1ObIBI5jW0TWYhw")</f>
        <v>https://www.youtube.com/channel/UC7W2nvuM1ObIBI5jW0TWYhw</v>
      </c>
      <c r="AU407" s="80" t="str">
        <f>REPLACE(INDEX(GroupVertices[Group],MATCH(Vertices[[#This Row],[Vertex]],GroupVertices[Vertex],0)),1,1,"")</f>
        <v>3</v>
      </c>
      <c r="AV407" s="49">
        <v>1</v>
      </c>
      <c r="AW407" s="50">
        <v>8.333333333333334</v>
      </c>
      <c r="AX407" s="49">
        <v>0</v>
      </c>
      <c r="AY407" s="50">
        <v>0</v>
      </c>
      <c r="AZ407" s="49">
        <v>0</v>
      </c>
      <c r="BA407" s="50">
        <v>0</v>
      </c>
      <c r="BB407" s="49">
        <v>11</v>
      </c>
      <c r="BC407" s="50">
        <v>91.66666666666667</v>
      </c>
      <c r="BD407" s="49">
        <v>12</v>
      </c>
      <c r="BE407" s="49"/>
      <c r="BF407" s="49"/>
      <c r="BG407" s="49"/>
      <c r="BH407" s="49"/>
      <c r="BI407" s="49"/>
      <c r="BJ407" s="49"/>
      <c r="BK407" s="111" t="s">
        <v>4761</v>
      </c>
      <c r="BL407" s="111" t="s">
        <v>4761</v>
      </c>
      <c r="BM407" s="111" t="s">
        <v>5232</v>
      </c>
      <c r="BN407" s="111" t="s">
        <v>5232</v>
      </c>
      <c r="BO407" s="2"/>
      <c r="BP407" s="3"/>
      <c r="BQ407" s="3"/>
      <c r="BR407" s="3"/>
      <c r="BS407" s="3"/>
    </row>
    <row r="408" spans="1:71" ht="15">
      <c r="A408" s="65" t="s">
        <v>630</v>
      </c>
      <c r="B408" s="66"/>
      <c r="C408" s="66"/>
      <c r="D408" s="67">
        <v>150</v>
      </c>
      <c r="E408" s="69"/>
      <c r="F408" s="103" t="str">
        <f>HYPERLINK("https://yt3.ggpht.com/ytc/AKedOLSJxPDGLnQ-H60p1ww-MCx0p9ZZ2s_zasVi9KVb-g=s88-c-k-c0x00ffffff-no-rj")</f>
        <v>https://yt3.ggpht.com/ytc/AKedOLSJxPDGLnQ-H60p1ww-MCx0p9ZZ2s_zasVi9KVb-g=s88-c-k-c0x00ffffff-no-rj</v>
      </c>
      <c r="G408" s="66"/>
      <c r="H408" s="70" t="s">
        <v>1958</v>
      </c>
      <c r="I408" s="71"/>
      <c r="J408" s="71" t="s">
        <v>159</v>
      </c>
      <c r="K408" s="70" t="s">
        <v>1958</v>
      </c>
      <c r="L408" s="74">
        <v>1</v>
      </c>
      <c r="M408" s="75">
        <v>3161.392333984375</v>
      </c>
      <c r="N408" s="75">
        <v>144.4942169189453</v>
      </c>
      <c r="O408" s="76"/>
      <c r="P408" s="77"/>
      <c r="Q408" s="77"/>
      <c r="R408" s="89"/>
      <c r="S408" s="49">
        <v>0</v>
      </c>
      <c r="T408" s="49">
        <v>1</v>
      </c>
      <c r="U408" s="50">
        <v>0</v>
      </c>
      <c r="V408" s="50">
        <v>0.004016</v>
      </c>
      <c r="W408" s="50">
        <v>0</v>
      </c>
      <c r="X408" s="50">
        <v>0.522536</v>
      </c>
      <c r="Y408" s="50">
        <v>0</v>
      </c>
      <c r="Z408" s="50">
        <v>0</v>
      </c>
      <c r="AA408" s="72">
        <v>408</v>
      </c>
      <c r="AB408" s="72"/>
      <c r="AC408" s="73"/>
      <c r="AD408" s="80" t="s">
        <v>1958</v>
      </c>
      <c r="AE408" s="80"/>
      <c r="AF408" s="80"/>
      <c r="AG408" s="80"/>
      <c r="AH408" s="80"/>
      <c r="AI408" s="80"/>
      <c r="AJ408" s="80" t="s">
        <v>3335</v>
      </c>
      <c r="AK408" s="85" t="str">
        <f>HYPERLINK("https://yt3.ggpht.com/ytc/AKedOLSJxPDGLnQ-H60p1ww-MCx0p9ZZ2s_zasVi9KVb-g=s88-c-k-c0x00ffffff-no-rj")</f>
        <v>https://yt3.ggpht.com/ytc/AKedOLSJxPDGLnQ-H60p1ww-MCx0p9ZZ2s_zasVi9KVb-g=s88-c-k-c0x00ffffff-no-rj</v>
      </c>
      <c r="AL408" s="80">
        <v>0</v>
      </c>
      <c r="AM408" s="80">
        <v>0</v>
      </c>
      <c r="AN408" s="80">
        <v>8</v>
      </c>
      <c r="AO408" s="80" t="b">
        <v>0</v>
      </c>
      <c r="AP408" s="80">
        <v>0</v>
      </c>
      <c r="AQ408" s="80"/>
      <c r="AR408" s="80"/>
      <c r="AS408" s="80" t="s">
        <v>3412</v>
      </c>
      <c r="AT408" s="85" t="str">
        <f>HYPERLINK("https://www.youtube.com/channel/UC7hrfW1H_cIIvcg_IeCK2iA")</f>
        <v>https://www.youtube.com/channel/UC7hrfW1H_cIIvcg_IeCK2iA</v>
      </c>
      <c r="AU408" s="80" t="str">
        <f>REPLACE(INDEX(GroupVertices[Group],MATCH(Vertices[[#This Row],[Vertex]],GroupVertices[Vertex],0)),1,1,"")</f>
        <v>3</v>
      </c>
      <c r="AV408" s="49">
        <v>0</v>
      </c>
      <c r="AW408" s="50">
        <v>0</v>
      </c>
      <c r="AX408" s="49">
        <v>1</v>
      </c>
      <c r="AY408" s="50">
        <v>4.3478260869565215</v>
      </c>
      <c r="AZ408" s="49">
        <v>0</v>
      </c>
      <c r="BA408" s="50">
        <v>0</v>
      </c>
      <c r="BB408" s="49">
        <v>22</v>
      </c>
      <c r="BC408" s="50">
        <v>95.65217391304348</v>
      </c>
      <c r="BD408" s="49">
        <v>23</v>
      </c>
      <c r="BE408" s="49"/>
      <c r="BF408" s="49"/>
      <c r="BG408" s="49"/>
      <c r="BH408" s="49"/>
      <c r="BI408" s="49"/>
      <c r="BJ408" s="49"/>
      <c r="BK408" s="111" t="s">
        <v>4762</v>
      </c>
      <c r="BL408" s="111" t="s">
        <v>4762</v>
      </c>
      <c r="BM408" s="111" t="s">
        <v>5233</v>
      </c>
      <c r="BN408" s="111" t="s">
        <v>5233</v>
      </c>
      <c r="BO408" s="2"/>
      <c r="BP408" s="3"/>
      <c r="BQ408" s="3"/>
      <c r="BR408" s="3"/>
      <c r="BS408" s="3"/>
    </row>
    <row r="409" spans="1:71" ht="15">
      <c r="A409" s="65" t="s">
        <v>631</v>
      </c>
      <c r="B409" s="66"/>
      <c r="C409" s="66"/>
      <c r="D409" s="67">
        <v>224.88095238095238</v>
      </c>
      <c r="E409" s="69"/>
      <c r="F409" s="103" t="str">
        <f>HYPERLINK("https://yt3.ggpht.com/ytc/AKedOLSBujXkNvRXfTJ4ipy-h3p32_jslGdxlx_dCMA0E1I=s88-c-k-c0x00ffffff-no-rj")</f>
        <v>https://yt3.ggpht.com/ytc/AKedOLSBujXkNvRXfTJ4ipy-h3p32_jslGdxlx_dCMA0E1I=s88-c-k-c0x00ffffff-no-rj</v>
      </c>
      <c r="G409" s="66"/>
      <c r="H409" s="70" t="s">
        <v>1959</v>
      </c>
      <c r="I409" s="71"/>
      <c r="J409" s="71" t="s">
        <v>75</v>
      </c>
      <c r="K409" s="70" t="s">
        <v>1959</v>
      </c>
      <c r="L409" s="74">
        <v>41.367306852902665</v>
      </c>
      <c r="M409" s="75">
        <v>2671.89794921875</v>
      </c>
      <c r="N409" s="75">
        <v>744.1787719726562</v>
      </c>
      <c r="O409" s="76"/>
      <c r="P409" s="77"/>
      <c r="Q409" s="77"/>
      <c r="R409" s="89"/>
      <c r="S409" s="49">
        <v>3</v>
      </c>
      <c r="T409" s="49">
        <v>2</v>
      </c>
      <c r="U409" s="50">
        <v>148</v>
      </c>
      <c r="V409" s="50">
        <v>0.005714</v>
      </c>
      <c r="W409" s="50">
        <v>0</v>
      </c>
      <c r="X409" s="50">
        <v>1.314833</v>
      </c>
      <c r="Y409" s="50">
        <v>0</v>
      </c>
      <c r="Z409" s="50">
        <v>0.5</v>
      </c>
      <c r="AA409" s="72">
        <v>409</v>
      </c>
      <c r="AB409" s="72"/>
      <c r="AC409" s="73"/>
      <c r="AD409" s="80" t="s">
        <v>1959</v>
      </c>
      <c r="AE409" s="80" t="s">
        <v>2955</v>
      </c>
      <c r="AF409" s="80"/>
      <c r="AG409" s="80"/>
      <c r="AH409" s="80"/>
      <c r="AI409" s="80"/>
      <c r="AJ409" s="87">
        <v>39269.17983796296</v>
      </c>
      <c r="AK409" s="85" t="str">
        <f>HYPERLINK("https://yt3.ggpht.com/ytc/AKedOLSBujXkNvRXfTJ4ipy-h3p32_jslGdxlx_dCMA0E1I=s88-c-k-c0x00ffffff-no-rj")</f>
        <v>https://yt3.ggpht.com/ytc/AKedOLSBujXkNvRXfTJ4ipy-h3p32_jslGdxlx_dCMA0E1I=s88-c-k-c0x00ffffff-no-rj</v>
      </c>
      <c r="AL409" s="80">
        <v>8324</v>
      </c>
      <c r="AM409" s="80">
        <v>0</v>
      </c>
      <c r="AN409" s="80">
        <v>14</v>
      </c>
      <c r="AO409" s="80" t="b">
        <v>0</v>
      </c>
      <c r="AP409" s="80">
        <v>34</v>
      </c>
      <c r="AQ409" s="80"/>
      <c r="AR409" s="80"/>
      <c r="AS409" s="80" t="s">
        <v>3412</v>
      </c>
      <c r="AT409" s="85" t="str">
        <f>HYPERLINK("https://www.youtube.com/channel/UCXK84B42lKBOwSQz4uBPy6A")</f>
        <v>https://www.youtube.com/channel/UCXK84B42lKBOwSQz4uBPy6A</v>
      </c>
      <c r="AU409" s="80" t="str">
        <f>REPLACE(INDEX(GroupVertices[Group],MATCH(Vertices[[#This Row],[Vertex]],GroupVertices[Vertex],0)),1,1,"")</f>
        <v>3</v>
      </c>
      <c r="AV409" s="49">
        <v>1</v>
      </c>
      <c r="AW409" s="50">
        <v>2.127659574468085</v>
      </c>
      <c r="AX409" s="49">
        <v>0</v>
      </c>
      <c r="AY409" s="50">
        <v>0</v>
      </c>
      <c r="AZ409" s="49">
        <v>0</v>
      </c>
      <c r="BA409" s="50">
        <v>0</v>
      </c>
      <c r="BB409" s="49">
        <v>46</v>
      </c>
      <c r="BC409" s="50">
        <v>97.87234042553192</v>
      </c>
      <c r="BD409" s="49">
        <v>47</v>
      </c>
      <c r="BE409" s="49"/>
      <c r="BF409" s="49"/>
      <c r="BG409" s="49"/>
      <c r="BH409" s="49"/>
      <c r="BI409" s="49"/>
      <c r="BJ409" s="49"/>
      <c r="BK409" s="111" t="s">
        <v>4763</v>
      </c>
      <c r="BL409" s="111" t="s">
        <v>4887</v>
      </c>
      <c r="BM409" s="111" t="s">
        <v>5234</v>
      </c>
      <c r="BN409" s="111" t="s">
        <v>5234</v>
      </c>
      <c r="BO409" s="2"/>
      <c r="BP409" s="3"/>
      <c r="BQ409" s="3"/>
      <c r="BR409" s="3"/>
      <c r="BS409" s="3"/>
    </row>
    <row r="410" spans="1:71" ht="15">
      <c r="A410" s="65" t="s">
        <v>632</v>
      </c>
      <c r="B410" s="66"/>
      <c r="C410" s="66"/>
      <c r="D410" s="67">
        <v>150</v>
      </c>
      <c r="E410" s="69"/>
      <c r="F410" s="103" t="str">
        <f>HYPERLINK("https://yt3.ggpht.com/ytc/AKedOLQZM3jjMlVmHcrpy2-uiy0onX0Lf4yvyg_NWBqA=s88-c-k-c0x00ffffff-no-rj")</f>
        <v>https://yt3.ggpht.com/ytc/AKedOLQZM3jjMlVmHcrpy2-uiy0onX0Lf4yvyg_NWBqA=s88-c-k-c0x00ffffff-no-rj</v>
      </c>
      <c r="G410" s="66"/>
      <c r="H410" s="70" t="s">
        <v>1960</v>
      </c>
      <c r="I410" s="71"/>
      <c r="J410" s="71" t="s">
        <v>159</v>
      </c>
      <c r="K410" s="70" t="s">
        <v>1960</v>
      </c>
      <c r="L410" s="74">
        <v>1</v>
      </c>
      <c r="M410" s="75">
        <v>1261.35205078125</v>
      </c>
      <c r="N410" s="75">
        <v>1318.6861572265625</v>
      </c>
      <c r="O410" s="76"/>
      <c r="P410" s="77"/>
      <c r="Q410" s="77"/>
      <c r="R410" s="89"/>
      <c r="S410" s="49">
        <v>1</v>
      </c>
      <c r="T410" s="49">
        <v>1</v>
      </c>
      <c r="U410" s="50">
        <v>0</v>
      </c>
      <c r="V410" s="50">
        <v>0.00565</v>
      </c>
      <c r="W410" s="50">
        <v>0</v>
      </c>
      <c r="X410" s="50">
        <v>0.498142</v>
      </c>
      <c r="Y410" s="50">
        <v>0</v>
      </c>
      <c r="Z410" s="50">
        <v>1</v>
      </c>
      <c r="AA410" s="72">
        <v>410</v>
      </c>
      <c r="AB410" s="72"/>
      <c r="AC410" s="73"/>
      <c r="AD410" s="80" t="s">
        <v>1960</v>
      </c>
      <c r="AE410" s="80"/>
      <c r="AF410" s="80"/>
      <c r="AG410" s="80"/>
      <c r="AH410" s="80"/>
      <c r="AI410" s="80"/>
      <c r="AJ410" s="80" t="s">
        <v>3336</v>
      </c>
      <c r="AK410" s="85" t="str">
        <f>HYPERLINK("https://yt3.ggpht.com/ytc/AKedOLQZM3jjMlVmHcrpy2-uiy0onX0Lf4yvyg_NWBqA=s88-c-k-c0x00ffffff-no-rj")</f>
        <v>https://yt3.ggpht.com/ytc/AKedOLQZM3jjMlVmHcrpy2-uiy0onX0Lf4yvyg_NWBqA=s88-c-k-c0x00ffffff-no-rj</v>
      </c>
      <c r="AL410" s="80">
        <v>0</v>
      </c>
      <c r="AM410" s="80">
        <v>0</v>
      </c>
      <c r="AN410" s="80">
        <v>0</v>
      </c>
      <c r="AO410" s="80" t="b">
        <v>0</v>
      </c>
      <c r="AP410" s="80">
        <v>0</v>
      </c>
      <c r="AQ410" s="80"/>
      <c r="AR410" s="80"/>
      <c r="AS410" s="80" t="s">
        <v>3412</v>
      </c>
      <c r="AT410" s="85" t="str">
        <f>HYPERLINK("https://www.youtube.com/channel/UCDSNPbJEtk6sci5Rn0TY1LA")</f>
        <v>https://www.youtube.com/channel/UCDSNPbJEtk6sci5Rn0TY1LA</v>
      </c>
      <c r="AU410" s="80" t="str">
        <f>REPLACE(INDEX(GroupVertices[Group],MATCH(Vertices[[#This Row],[Vertex]],GroupVertices[Vertex],0)),1,1,"")</f>
        <v>3</v>
      </c>
      <c r="AV410" s="49">
        <v>0</v>
      </c>
      <c r="AW410" s="50">
        <v>0</v>
      </c>
      <c r="AX410" s="49">
        <v>0</v>
      </c>
      <c r="AY410" s="50">
        <v>0</v>
      </c>
      <c r="AZ410" s="49">
        <v>0</v>
      </c>
      <c r="BA410" s="50">
        <v>0</v>
      </c>
      <c r="BB410" s="49">
        <v>10</v>
      </c>
      <c r="BC410" s="50">
        <v>100</v>
      </c>
      <c r="BD410" s="49">
        <v>10</v>
      </c>
      <c r="BE410" s="49"/>
      <c r="BF410" s="49"/>
      <c r="BG410" s="49"/>
      <c r="BH410" s="49"/>
      <c r="BI410" s="49"/>
      <c r="BJ410" s="49"/>
      <c r="BK410" s="111" t="s">
        <v>4764</v>
      </c>
      <c r="BL410" s="111" t="s">
        <v>4764</v>
      </c>
      <c r="BM410" s="111" t="s">
        <v>5235</v>
      </c>
      <c r="BN410" s="111" t="s">
        <v>5235</v>
      </c>
      <c r="BO410" s="2"/>
      <c r="BP410" s="3"/>
      <c r="BQ410" s="3"/>
      <c r="BR410" s="3"/>
      <c r="BS410" s="3"/>
    </row>
    <row r="411" spans="1:71" ht="15">
      <c r="A411" s="65" t="s">
        <v>633</v>
      </c>
      <c r="B411" s="66"/>
      <c r="C411" s="66"/>
      <c r="D411" s="67">
        <v>150</v>
      </c>
      <c r="E411" s="69"/>
      <c r="F411" s="103" t="str">
        <f>HYPERLINK("https://yt3.ggpht.com/ytc/AKedOLQCoyGroEHeHwJ2sr4WGtICYYSt8AS-2D6ueYZ7_Q4=s88-c-k-c0x00ffffff-no-rj")</f>
        <v>https://yt3.ggpht.com/ytc/AKedOLQCoyGroEHeHwJ2sr4WGtICYYSt8AS-2D6ueYZ7_Q4=s88-c-k-c0x00ffffff-no-rj</v>
      </c>
      <c r="G411" s="66"/>
      <c r="H411" s="70" t="s">
        <v>1961</v>
      </c>
      <c r="I411" s="71"/>
      <c r="J411" s="71" t="s">
        <v>159</v>
      </c>
      <c r="K411" s="70" t="s">
        <v>1961</v>
      </c>
      <c r="L411" s="74">
        <v>1</v>
      </c>
      <c r="M411" s="75">
        <v>1286.6041259765625</v>
      </c>
      <c r="N411" s="75">
        <v>1653.4639892578125</v>
      </c>
      <c r="O411" s="76"/>
      <c r="P411" s="77"/>
      <c r="Q411" s="77"/>
      <c r="R411" s="89"/>
      <c r="S411" s="49">
        <v>1</v>
      </c>
      <c r="T411" s="49">
        <v>1</v>
      </c>
      <c r="U411" s="50">
        <v>0</v>
      </c>
      <c r="V411" s="50">
        <v>0.00565</v>
      </c>
      <c r="W411" s="50">
        <v>0</v>
      </c>
      <c r="X411" s="50">
        <v>0.498142</v>
      </c>
      <c r="Y411" s="50">
        <v>0</v>
      </c>
      <c r="Z411" s="50">
        <v>1</v>
      </c>
      <c r="AA411" s="72">
        <v>411</v>
      </c>
      <c r="AB411" s="72"/>
      <c r="AC411" s="73"/>
      <c r="AD411" s="80" t="s">
        <v>1961</v>
      </c>
      <c r="AE411" s="80"/>
      <c r="AF411" s="80"/>
      <c r="AG411" s="80"/>
      <c r="AH411" s="80"/>
      <c r="AI411" s="80"/>
      <c r="AJ411" s="80" t="s">
        <v>3337</v>
      </c>
      <c r="AK411" s="85" t="str">
        <f>HYPERLINK("https://yt3.ggpht.com/ytc/AKedOLQCoyGroEHeHwJ2sr4WGtICYYSt8AS-2D6ueYZ7_Q4=s88-c-k-c0x00ffffff-no-rj")</f>
        <v>https://yt3.ggpht.com/ytc/AKedOLQCoyGroEHeHwJ2sr4WGtICYYSt8AS-2D6ueYZ7_Q4=s88-c-k-c0x00ffffff-no-rj</v>
      </c>
      <c r="AL411" s="80">
        <v>0</v>
      </c>
      <c r="AM411" s="80">
        <v>0</v>
      </c>
      <c r="AN411" s="80">
        <v>0</v>
      </c>
      <c r="AO411" s="80" t="b">
        <v>0</v>
      </c>
      <c r="AP411" s="80">
        <v>0</v>
      </c>
      <c r="AQ411" s="80"/>
      <c r="AR411" s="80"/>
      <c r="AS411" s="80" t="s">
        <v>3412</v>
      </c>
      <c r="AT411" s="85" t="str">
        <f>HYPERLINK("https://www.youtube.com/channel/UCuX1jvSOxY9Gn6bAj1R77Xw")</f>
        <v>https://www.youtube.com/channel/UCuX1jvSOxY9Gn6bAj1R77Xw</v>
      </c>
      <c r="AU411" s="80" t="str">
        <f>REPLACE(INDEX(GroupVertices[Group],MATCH(Vertices[[#This Row],[Vertex]],GroupVertices[Vertex],0)),1,1,"")</f>
        <v>3</v>
      </c>
      <c r="AV411" s="49">
        <v>2</v>
      </c>
      <c r="AW411" s="50">
        <v>25</v>
      </c>
      <c r="AX411" s="49">
        <v>0</v>
      </c>
      <c r="AY411" s="50">
        <v>0</v>
      </c>
      <c r="AZ411" s="49">
        <v>0</v>
      </c>
      <c r="BA411" s="50">
        <v>0</v>
      </c>
      <c r="BB411" s="49">
        <v>6</v>
      </c>
      <c r="BC411" s="50">
        <v>75</v>
      </c>
      <c r="BD411" s="49">
        <v>8</v>
      </c>
      <c r="BE411" s="49"/>
      <c r="BF411" s="49"/>
      <c r="BG411" s="49"/>
      <c r="BH411" s="49"/>
      <c r="BI411" s="49"/>
      <c r="BJ411" s="49"/>
      <c r="BK411" s="111" t="s">
        <v>4765</v>
      </c>
      <c r="BL411" s="111" t="s">
        <v>4765</v>
      </c>
      <c r="BM411" s="111" t="s">
        <v>5236</v>
      </c>
      <c r="BN411" s="111" t="s">
        <v>5236</v>
      </c>
      <c r="BO411" s="2"/>
      <c r="BP411" s="3"/>
      <c r="BQ411" s="3"/>
      <c r="BR411" s="3"/>
      <c r="BS411" s="3"/>
    </row>
    <row r="412" spans="1:71" ht="15">
      <c r="A412" s="65" t="s">
        <v>634</v>
      </c>
      <c r="B412" s="66"/>
      <c r="C412" s="66"/>
      <c r="D412" s="67">
        <v>150</v>
      </c>
      <c r="E412" s="69"/>
      <c r="F412" s="103" t="str">
        <f>HYPERLINK("https://yt3.ggpht.com/ytc/AKedOLQtttUBkySxcXk5DZuVrd5_9xYq4ByFZ5Hf=s88-c-k-c0x00ffffff-no-rj")</f>
        <v>https://yt3.ggpht.com/ytc/AKedOLQtttUBkySxcXk5DZuVrd5_9xYq4ByFZ5Hf=s88-c-k-c0x00ffffff-no-rj</v>
      </c>
      <c r="G412" s="66"/>
      <c r="H412" s="70" t="s">
        <v>1962</v>
      </c>
      <c r="I412" s="71"/>
      <c r="J412" s="71" t="s">
        <v>159</v>
      </c>
      <c r="K412" s="70" t="s">
        <v>1962</v>
      </c>
      <c r="L412" s="74">
        <v>1</v>
      </c>
      <c r="M412" s="75">
        <v>3196.10888671875</v>
      </c>
      <c r="N412" s="75">
        <v>2788.738525390625</v>
      </c>
      <c r="O412" s="76"/>
      <c r="P412" s="77"/>
      <c r="Q412" s="77"/>
      <c r="R412" s="89"/>
      <c r="S412" s="49">
        <v>0</v>
      </c>
      <c r="T412" s="49">
        <v>1</v>
      </c>
      <c r="U412" s="50">
        <v>0</v>
      </c>
      <c r="V412" s="50">
        <v>0.004016</v>
      </c>
      <c r="W412" s="50">
        <v>0</v>
      </c>
      <c r="X412" s="50">
        <v>0.566278</v>
      </c>
      <c r="Y412" s="50">
        <v>0</v>
      </c>
      <c r="Z412" s="50">
        <v>0</v>
      </c>
      <c r="AA412" s="72">
        <v>412</v>
      </c>
      <c r="AB412" s="72"/>
      <c r="AC412" s="73"/>
      <c r="AD412" s="80" t="s">
        <v>1962</v>
      </c>
      <c r="AE412" s="80"/>
      <c r="AF412" s="80"/>
      <c r="AG412" s="80"/>
      <c r="AH412" s="80"/>
      <c r="AI412" s="80"/>
      <c r="AJ412" s="87">
        <v>41550.83157407407</v>
      </c>
      <c r="AK412" s="85" t="str">
        <f>HYPERLINK("https://yt3.ggpht.com/ytc/AKedOLQtttUBkySxcXk5DZuVrd5_9xYq4ByFZ5Hf=s88-c-k-c0x00ffffff-no-rj")</f>
        <v>https://yt3.ggpht.com/ytc/AKedOLQtttUBkySxcXk5DZuVrd5_9xYq4ByFZ5Hf=s88-c-k-c0x00ffffff-no-rj</v>
      </c>
      <c r="AL412" s="80">
        <v>0</v>
      </c>
      <c r="AM412" s="80">
        <v>0</v>
      </c>
      <c r="AN412" s="80">
        <v>6</v>
      </c>
      <c r="AO412" s="80" t="b">
        <v>0</v>
      </c>
      <c r="AP412" s="80">
        <v>0</v>
      </c>
      <c r="AQ412" s="80"/>
      <c r="AR412" s="80"/>
      <c r="AS412" s="80" t="s">
        <v>3412</v>
      </c>
      <c r="AT412" s="85" t="str">
        <f>HYPERLINK("https://www.youtube.com/channel/UCVc8LVaK5eBW8Qpk6mzzieA")</f>
        <v>https://www.youtube.com/channel/UCVc8LVaK5eBW8Qpk6mzzieA</v>
      </c>
      <c r="AU412" s="80" t="str">
        <f>REPLACE(INDEX(GroupVertices[Group],MATCH(Vertices[[#This Row],[Vertex]],GroupVertices[Vertex],0)),1,1,"")</f>
        <v>3</v>
      </c>
      <c r="AV412" s="49">
        <v>0</v>
      </c>
      <c r="AW412" s="50">
        <v>0</v>
      </c>
      <c r="AX412" s="49">
        <v>0</v>
      </c>
      <c r="AY412" s="50">
        <v>0</v>
      </c>
      <c r="AZ412" s="49">
        <v>0</v>
      </c>
      <c r="BA412" s="50">
        <v>0</v>
      </c>
      <c r="BB412" s="49">
        <v>3</v>
      </c>
      <c r="BC412" s="50">
        <v>100</v>
      </c>
      <c r="BD412" s="49">
        <v>3</v>
      </c>
      <c r="BE412" s="49"/>
      <c r="BF412" s="49"/>
      <c r="BG412" s="49"/>
      <c r="BH412" s="49"/>
      <c r="BI412" s="49"/>
      <c r="BJ412" s="49"/>
      <c r="BK412" s="111" t="s">
        <v>4766</v>
      </c>
      <c r="BL412" s="111" t="s">
        <v>4766</v>
      </c>
      <c r="BM412" s="111" t="s">
        <v>5237</v>
      </c>
      <c r="BN412" s="111" t="s">
        <v>5237</v>
      </c>
      <c r="BO412" s="2"/>
      <c r="BP412" s="3"/>
      <c r="BQ412" s="3"/>
      <c r="BR412" s="3"/>
      <c r="BS412" s="3"/>
    </row>
    <row r="413" spans="1:71" ht="15">
      <c r="A413" s="65" t="s">
        <v>635</v>
      </c>
      <c r="B413" s="66"/>
      <c r="C413" s="66"/>
      <c r="D413" s="67">
        <v>224.88095238095238</v>
      </c>
      <c r="E413" s="69"/>
      <c r="F413" s="103" t="str">
        <f>HYPERLINK("https://yt3.ggpht.com/ytc/AKedOLThvd7xdEp9rTpfvZwAshWlq2trOxS_yx2mNZAm1Q=s88-c-k-c0x00ffffff-no-rj")</f>
        <v>https://yt3.ggpht.com/ytc/AKedOLThvd7xdEp9rTpfvZwAshWlq2trOxS_yx2mNZAm1Q=s88-c-k-c0x00ffffff-no-rj</v>
      </c>
      <c r="G413" s="66"/>
      <c r="H413" s="70" t="s">
        <v>1963</v>
      </c>
      <c r="I413" s="71"/>
      <c r="J413" s="71" t="s">
        <v>75</v>
      </c>
      <c r="K413" s="70" t="s">
        <v>1963</v>
      </c>
      <c r="L413" s="74">
        <v>41.367306852902665</v>
      </c>
      <c r="M413" s="75">
        <v>2663.576171875</v>
      </c>
      <c r="N413" s="75">
        <v>2217.906982421875</v>
      </c>
      <c r="O413" s="76"/>
      <c r="P413" s="77"/>
      <c r="Q413" s="77"/>
      <c r="R413" s="89"/>
      <c r="S413" s="49">
        <v>1</v>
      </c>
      <c r="T413" s="49">
        <v>1</v>
      </c>
      <c r="U413" s="50">
        <v>148</v>
      </c>
      <c r="V413" s="50">
        <v>0.005714</v>
      </c>
      <c r="W413" s="50">
        <v>0</v>
      </c>
      <c r="X413" s="50">
        <v>0.979478</v>
      </c>
      <c r="Y413" s="50">
        <v>0</v>
      </c>
      <c r="Z413" s="50">
        <v>0</v>
      </c>
      <c r="AA413" s="72">
        <v>413</v>
      </c>
      <c r="AB413" s="72"/>
      <c r="AC413" s="73"/>
      <c r="AD413" s="80" t="s">
        <v>1963</v>
      </c>
      <c r="AE413" s="80"/>
      <c r="AF413" s="80"/>
      <c r="AG413" s="80"/>
      <c r="AH413" s="80"/>
      <c r="AI413" s="80"/>
      <c r="AJ413" s="80" t="s">
        <v>3338</v>
      </c>
      <c r="AK413" s="85" t="str">
        <f>HYPERLINK("https://yt3.ggpht.com/ytc/AKedOLThvd7xdEp9rTpfvZwAshWlq2trOxS_yx2mNZAm1Q=s88-c-k-c0x00ffffff-no-rj")</f>
        <v>https://yt3.ggpht.com/ytc/AKedOLThvd7xdEp9rTpfvZwAshWlq2trOxS_yx2mNZAm1Q=s88-c-k-c0x00ffffff-no-rj</v>
      </c>
      <c r="AL413" s="80">
        <v>1335</v>
      </c>
      <c r="AM413" s="80">
        <v>0</v>
      </c>
      <c r="AN413" s="80">
        <v>2</v>
      </c>
      <c r="AO413" s="80" t="b">
        <v>0</v>
      </c>
      <c r="AP413" s="80">
        <v>7</v>
      </c>
      <c r="AQ413" s="80"/>
      <c r="AR413" s="80"/>
      <c r="AS413" s="80" t="s">
        <v>3412</v>
      </c>
      <c r="AT413" s="85" t="str">
        <f>HYPERLINK("https://www.youtube.com/channel/UC5y07HNM6EZyTiXkfQSucaw")</f>
        <v>https://www.youtube.com/channel/UC5y07HNM6EZyTiXkfQSucaw</v>
      </c>
      <c r="AU413" s="80" t="str">
        <f>REPLACE(INDEX(GroupVertices[Group],MATCH(Vertices[[#This Row],[Vertex]],GroupVertices[Vertex],0)),1,1,"")</f>
        <v>3</v>
      </c>
      <c r="AV413" s="49">
        <v>0</v>
      </c>
      <c r="AW413" s="50">
        <v>0</v>
      </c>
      <c r="AX413" s="49">
        <v>0</v>
      </c>
      <c r="AY413" s="50">
        <v>0</v>
      </c>
      <c r="AZ413" s="49">
        <v>0</v>
      </c>
      <c r="BA413" s="50">
        <v>0</v>
      </c>
      <c r="BB413" s="49">
        <v>8</v>
      </c>
      <c r="BC413" s="50">
        <v>100</v>
      </c>
      <c r="BD413" s="49">
        <v>8</v>
      </c>
      <c r="BE413" s="49"/>
      <c r="BF413" s="49"/>
      <c r="BG413" s="49"/>
      <c r="BH413" s="49"/>
      <c r="BI413" s="49"/>
      <c r="BJ413" s="49"/>
      <c r="BK413" s="111" t="s">
        <v>4767</v>
      </c>
      <c r="BL413" s="111" t="s">
        <v>4767</v>
      </c>
      <c r="BM413" s="111" t="s">
        <v>5238</v>
      </c>
      <c r="BN413" s="111" t="s">
        <v>5238</v>
      </c>
      <c r="BO413" s="2"/>
      <c r="BP413" s="3"/>
      <c r="BQ413" s="3"/>
      <c r="BR413" s="3"/>
      <c r="BS413" s="3"/>
    </row>
    <row r="414" spans="1:71" ht="15">
      <c r="A414" s="65" t="s">
        <v>637</v>
      </c>
      <c r="B414" s="66"/>
      <c r="C414" s="66"/>
      <c r="D414" s="67">
        <v>151.51785714285714</v>
      </c>
      <c r="E414" s="69"/>
      <c r="F414" s="103" t="str">
        <f>HYPERLINK("https://yt3.ggpht.com/ytc/AKedOLTRJDm6IM0QFWVrM3gO3bKr0Dg7J5gs52Fkz3LXVw=s88-c-k-c0x00ffffff-no-rj")</f>
        <v>https://yt3.ggpht.com/ytc/AKedOLTRJDm6IM0QFWVrM3gO3bKr0Dg7J5gs52Fkz3LXVw=s88-c-k-c0x00ffffff-no-rj</v>
      </c>
      <c r="G414" s="66"/>
      <c r="H414" s="70" t="s">
        <v>1965</v>
      </c>
      <c r="I414" s="71"/>
      <c r="J414" s="71" t="s">
        <v>75</v>
      </c>
      <c r="K414" s="70" t="s">
        <v>1965</v>
      </c>
      <c r="L414" s="74">
        <v>1.8182562199912702</v>
      </c>
      <c r="M414" s="75">
        <v>2283.197998046875</v>
      </c>
      <c r="N414" s="75">
        <v>1580.3155517578125</v>
      </c>
      <c r="O414" s="76"/>
      <c r="P414" s="77"/>
      <c r="Q414" s="77"/>
      <c r="R414" s="89"/>
      <c r="S414" s="49">
        <v>0</v>
      </c>
      <c r="T414" s="49">
        <v>4</v>
      </c>
      <c r="U414" s="50">
        <v>3</v>
      </c>
      <c r="V414" s="50">
        <v>0.005747</v>
      </c>
      <c r="W414" s="50">
        <v>0</v>
      </c>
      <c r="X414" s="50">
        <v>1.554423</v>
      </c>
      <c r="Y414" s="50">
        <v>0.3333333333333333</v>
      </c>
      <c r="Z414" s="50">
        <v>0</v>
      </c>
      <c r="AA414" s="72">
        <v>414</v>
      </c>
      <c r="AB414" s="72"/>
      <c r="AC414" s="73"/>
      <c r="AD414" s="80" t="s">
        <v>1965</v>
      </c>
      <c r="AE414" s="80" t="s">
        <v>2956</v>
      </c>
      <c r="AF414" s="80"/>
      <c r="AG414" s="80"/>
      <c r="AH414" s="80"/>
      <c r="AI414" s="80" t="s">
        <v>3079</v>
      </c>
      <c r="AJ414" s="80" t="s">
        <v>3339</v>
      </c>
      <c r="AK414" s="85" t="str">
        <f>HYPERLINK("https://yt3.ggpht.com/ytc/AKedOLTRJDm6IM0QFWVrM3gO3bKr0Dg7J5gs52Fkz3LXVw=s88-c-k-c0x00ffffff-no-rj")</f>
        <v>https://yt3.ggpht.com/ytc/AKedOLTRJDm6IM0QFWVrM3gO3bKr0Dg7J5gs52Fkz3LXVw=s88-c-k-c0x00ffffff-no-rj</v>
      </c>
      <c r="AL414" s="80">
        <v>91493</v>
      </c>
      <c r="AM414" s="80">
        <v>0</v>
      </c>
      <c r="AN414" s="80">
        <v>671</v>
      </c>
      <c r="AO414" s="80" t="b">
        <v>0</v>
      </c>
      <c r="AP414" s="80">
        <v>114</v>
      </c>
      <c r="AQ414" s="80"/>
      <c r="AR414" s="80"/>
      <c r="AS414" s="80" t="s">
        <v>3412</v>
      </c>
      <c r="AT414" s="85" t="str">
        <f>HYPERLINK("https://www.youtube.com/channel/UCgc2N28KF6Ki_PrCYn0jn3g")</f>
        <v>https://www.youtube.com/channel/UCgc2N28KF6Ki_PrCYn0jn3g</v>
      </c>
      <c r="AU414" s="80" t="str">
        <f>REPLACE(INDEX(GroupVertices[Group],MATCH(Vertices[[#This Row],[Vertex]],GroupVertices[Vertex],0)),1,1,"")</f>
        <v>3</v>
      </c>
      <c r="AV414" s="49">
        <v>3</v>
      </c>
      <c r="AW414" s="50">
        <v>37.5</v>
      </c>
      <c r="AX414" s="49">
        <v>0</v>
      </c>
      <c r="AY414" s="50">
        <v>0</v>
      </c>
      <c r="AZ414" s="49">
        <v>0</v>
      </c>
      <c r="BA414" s="50">
        <v>0</v>
      </c>
      <c r="BB414" s="49">
        <v>5</v>
      </c>
      <c r="BC414" s="50">
        <v>62.5</v>
      </c>
      <c r="BD414" s="49">
        <v>8</v>
      </c>
      <c r="BE414" s="49"/>
      <c r="BF414" s="49"/>
      <c r="BG414" s="49"/>
      <c r="BH414" s="49"/>
      <c r="BI414" s="49"/>
      <c r="BJ414" s="49"/>
      <c r="BK414" s="111" t="s">
        <v>4768</v>
      </c>
      <c r="BL414" s="111" t="s">
        <v>4768</v>
      </c>
      <c r="BM414" s="111" t="s">
        <v>5239</v>
      </c>
      <c r="BN414" s="111" t="s">
        <v>5239</v>
      </c>
      <c r="BO414" s="2"/>
      <c r="BP414" s="3"/>
      <c r="BQ414" s="3"/>
      <c r="BR414" s="3"/>
      <c r="BS414" s="3"/>
    </row>
    <row r="415" spans="1:71" ht="15">
      <c r="A415" s="65" t="s">
        <v>638</v>
      </c>
      <c r="B415" s="66"/>
      <c r="C415" s="66"/>
      <c r="D415" s="67">
        <v>150</v>
      </c>
      <c r="E415" s="69"/>
      <c r="F415" s="103" t="str">
        <f>HYPERLINK("https://yt3.ggpht.com/ytc/AKedOLQrx8BY4xKvfctGcCz3wLMwzCBs07DS6fYMq2hf=s88-c-k-c0x00ffffff-no-rj")</f>
        <v>https://yt3.ggpht.com/ytc/AKedOLQrx8BY4xKvfctGcCz3wLMwzCBs07DS6fYMq2hf=s88-c-k-c0x00ffffff-no-rj</v>
      </c>
      <c r="G415" s="66"/>
      <c r="H415" s="70" t="s">
        <v>1966</v>
      </c>
      <c r="I415" s="71"/>
      <c r="J415" s="71" t="s">
        <v>159</v>
      </c>
      <c r="K415" s="70" t="s">
        <v>1966</v>
      </c>
      <c r="L415" s="74">
        <v>1</v>
      </c>
      <c r="M415" s="75">
        <v>2177.99267578125</v>
      </c>
      <c r="N415" s="75">
        <v>1261.6900634765625</v>
      </c>
      <c r="O415" s="76"/>
      <c r="P415" s="77"/>
      <c r="Q415" s="77"/>
      <c r="R415" s="89"/>
      <c r="S415" s="49">
        <v>1</v>
      </c>
      <c r="T415" s="49">
        <v>1</v>
      </c>
      <c r="U415" s="50">
        <v>0</v>
      </c>
      <c r="V415" s="50">
        <v>0.005682</v>
      </c>
      <c r="W415" s="50">
        <v>0</v>
      </c>
      <c r="X415" s="50">
        <v>0.828456</v>
      </c>
      <c r="Y415" s="50">
        <v>0.5</v>
      </c>
      <c r="Z415" s="50">
        <v>0</v>
      </c>
      <c r="AA415" s="72">
        <v>415</v>
      </c>
      <c r="AB415" s="72"/>
      <c r="AC415" s="73"/>
      <c r="AD415" s="80" t="s">
        <v>1966</v>
      </c>
      <c r="AE415" s="80"/>
      <c r="AF415" s="80"/>
      <c r="AG415" s="80"/>
      <c r="AH415" s="80"/>
      <c r="AI415" s="80"/>
      <c r="AJ415" s="80" t="s">
        <v>3340</v>
      </c>
      <c r="AK415" s="85" t="str">
        <f>HYPERLINK("https://yt3.ggpht.com/ytc/AKedOLQrx8BY4xKvfctGcCz3wLMwzCBs07DS6fYMq2hf=s88-c-k-c0x00ffffff-no-rj")</f>
        <v>https://yt3.ggpht.com/ytc/AKedOLQrx8BY4xKvfctGcCz3wLMwzCBs07DS6fYMq2hf=s88-c-k-c0x00ffffff-no-rj</v>
      </c>
      <c r="AL415" s="80">
        <v>0</v>
      </c>
      <c r="AM415" s="80">
        <v>0</v>
      </c>
      <c r="AN415" s="80">
        <v>7</v>
      </c>
      <c r="AO415" s="80" t="b">
        <v>0</v>
      </c>
      <c r="AP415" s="80">
        <v>0</v>
      </c>
      <c r="AQ415" s="80"/>
      <c r="AR415" s="80"/>
      <c r="AS415" s="80" t="s">
        <v>3412</v>
      </c>
      <c r="AT415" s="85" t="str">
        <f>HYPERLINK("https://www.youtube.com/channel/UCSVjmvqok0dVmxwHSCm7_Cw")</f>
        <v>https://www.youtube.com/channel/UCSVjmvqok0dVmxwHSCm7_Cw</v>
      </c>
      <c r="AU415" s="80" t="str">
        <f>REPLACE(INDEX(GroupVertices[Group],MATCH(Vertices[[#This Row],[Vertex]],GroupVertices[Vertex],0)),1,1,"")</f>
        <v>3</v>
      </c>
      <c r="AV415" s="49">
        <v>0</v>
      </c>
      <c r="AW415" s="50">
        <v>0</v>
      </c>
      <c r="AX415" s="49">
        <v>0</v>
      </c>
      <c r="AY415" s="50">
        <v>0</v>
      </c>
      <c r="AZ415" s="49">
        <v>0</v>
      </c>
      <c r="BA415" s="50">
        <v>0</v>
      </c>
      <c r="BB415" s="49">
        <v>4</v>
      </c>
      <c r="BC415" s="50">
        <v>100</v>
      </c>
      <c r="BD415" s="49">
        <v>4</v>
      </c>
      <c r="BE415" s="49"/>
      <c r="BF415" s="49"/>
      <c r="BG415" s="49"/>
      <c r="BH415" s="49"/>
      <c r="BI415" s="49"/>
      <c r="BJ415" s="49"/>
      <c r="BK415" s="111" t="s">
        <v>3754</v>
      </c>
      <c r="BL415" s="111" t="s">
        <v>3754</v>
      </c>
      <c r="BM415" s="111" t="s">
        <v>2782</v>
      </c>
      <c r="BN415" s="111" t="s">
        <v>2782</v>
      </c>
      <c r="BO415" s="2"/>
      <c r="BP415" s="3"/>
      <c r="BQ415" s="3"/>
      <c r="BR415" s="3"/>
      <c r="BS415" s="3"/>
    </row>
    <row r="416" spans="1:71" ht="15">
      <c r="A416" s="65" t="s">
        <v>639</v>
      </c>
      <c r="B416" s="66"/>
      <c r="C416" s="66"/>
      <c r="D416" s="67">
        <v>150</v>
      </c>
      <c r="E416" s="69"/>
      <c r="F416" s="103" t="str">
        <f>HYPERLINK("https://yt3.ggpht.com/ytc/AKedOLRjme0Nv5f28BkbcdknjwMJxL-_srX0ky5cO6dt=s88-c-k-c0x00ffffff-no-rj")</f>
        <v>https://yt3.ggpht.com/ytc/AKedOLRjme0Nv5f28BkbcdknjwMJxL-_srX0ky5cO6dt=s88-c-k-c0x00ffffff-no-rj</v>
      </c>
      <c r="G416" s="66"/>
      <c r="H416" s="70" t="s">
        <v>1967</v>
      </c>
      <c r="I416" s="71"/>
      <c r="J416" s="71" t="s">
        <v>159</v>
      </c>
      <c r="K416" s="70" t="s">
        <v>1967</v>
      </c>
      <c r="L416" s="74">
        <v>1</v>
      </c>
      <c r="M416" s="75">
        <v>2927.95361328125</v>
      </c>
      <c r="N416" s="75">
        <v>1780.0631103515625</v>
      </c>
      <c r="O416" s="76"/>
      <c r="P416" s="77"/>
      <c r="Q416" s="77"/>
      <c r="R416" s="89"/>
      <c r="S416" s="49">
        <v>1</v>
      </c>
      <c r="T416" s="49">
        <v>1</v>
      </c>
      <c r="U416" s="50">
        <v>0</v>
      </c>
      <c r="V416" s="50">
        <v>0.00565</v>
      </c>
      <c r="W416" s="50">
        <v>0</v>
      </c>
      <c r="X416" s="50">
        <v>0.498142</v>
      </c>
      <c r="Y416" s="50">
        <v>0</v>
      </c>
      <c r="Z416" s="50">
        <v>1</v>
      </c>
      <c r="AA416" s="72">
        <v>416</v>
      </c>
      <c r="AB416" s="72"/>
      <c r="AC416" s="73"/>
      <c r="AD416" s="80" t="s">
        <v>1967</v>
      </c>
      <c r="AE416" s="80"/>
      <c r="AF416" s="80"/>
      <c r="AG416" s="80"/>
      <c r="AH416" s="80"/>
      <c r="AI416" s="80"/>
      <c r="AJ416" s="87">
        <v>38910.533530092594</v>
      </c>
      <c r="AK416" s="85" t="str">
        <f>HYPERLINK("https://yt3.ggpht.com/ytc/AKedOLRjme0Nv5f28BkbcdknjwMJxL-_srX0ky5cO6dt=s88-c-k-c0x00ffffff-no-rj")</f>
        <v>https://yt3.ggpht.com/ytc/AKedOLRjme0Nv5f28BkbcdknjwMJxL-_srX0ky5cO6dt=s88-c-k-c0x00ffffff-no-rj</v>
      </c>
      <c r="AL416" s="80">
        <v>0</v>
      </c>
      <c r="AM416" s="80">
        <v>0</v>
      </c>
      <c r="AN416" s="80">
        <v>4</v>
      </c>
      <c r="AO416" s="80" t="b">
        <v>0</v>
      </c>
      <c r="AP416" s="80">
        <v>0</v>
      </c>
      <c r="AQ416" s="80"/>
      <c r="AR416" s="80"/>
      <c r="AS416" s="80" t="s">
        <v>3412</v>
      </c>
      <c r="AT416" s="85" t="str">
        <f>HYPERLINK("https://www.youtube.com/channel/UCMlsfl4oyCqqH6MX6QSlASA")</f>
        <v>https://www.youtube.com/channel/UCMlsfl4oyCqqH6MX6QSlASA</v>
      </c>
      <c r="AU416" s="80" t="str">
        <f>REPLACE(INDEX(GroupVertices[Group],MATCH(Vertices[[#This Row],[Vertex]],GroupVertices[Vertex],0)),1,1,"")</f>
        <v>3</v>
      </c>
      <c r="AV416" s="49">
        <v>2</v>
      </c>
      <c r="AW416" s="50">
        <v>7.407407407407407</v>
      </c>
      <c r="AX416" s="49">
        <v>0</v>
      </c>
      <c r="AY416" s="50">
        <v>0</v>
      </c>
      <c r="AZ416" s="49">
        <v>0</v>
      </c>
      <c r="BA416" s="50">
        <v>0</v>
      </c>
      <c r="BB416" s="49">
        <v>25</v>
      </c>
      <c r="BC416" s="50">
        <v>92.5925925925926</v>
      </c>
      <c r="BD416" s="49">
        <v>27</v>
      </c>
      <c r="BE416" s="49"/>
      <c r="BF416" s="49"/>
      <c r="BG416" s="49"/>
      <c r="BH416" s="49"/>
      <c r="BI416" s="49"/>
      <c r="BJ416" s="49"/>
      <c r="BK416" s="111" t="s">
        <v>4769</v>
      </c>
      <c r="BL416" s="111" t="s">
        <v>4769</v>
      </c>
      <c r="BM416" s="111" t="s">
        <v>5240</v>
      </c>
      <c r="BN416" s="111" t="s">
        <v>5240</v>
      </c>
      <c r="BO416" s="2"/>
      <c r="BP416" s="3"/>
      <c r="BQ416" s="3"/>
      <c r="BR416" s="3"/>
      <c r="BS416" s="3"/>
    </row>
    <row r="417" spans="1:71" ht="15">
      <c r="A417" s="65" t="s">
        <v>640</v>
      </c>
      <c r="B417" s="66"/>
      <c r="C417" s="66"/>
      <c r="D417" s="67">
        <v>150</v>
      </c>
      <c r="E417" s="69"/>
      <c r="F417" s="103" t="str">
        <f>HYPERLINK("https://yt3.ggpht.com/ytc/AKedOLSYTkWo3EZqmrVHDD-1d63VzlJ-of-PL8FdpQ=s88-c-k-c0x00ffffff-no-rj")</f>
        <v>https://yt3.ggpht.com/ytc/AKedOLSYTkWo3EZqmrVHDD-1d63VzlJ-of-PL8FdpQ=s88-c-k-c0x00ffffff-no-rj</v>
      </c>
      <c r="G417" s="66"/>
      <c r="H417" s="70" t="s">
        <v>1968</v>
      </c>
      <c r="I417" s="71"/>
      <c r="J417" s="71" t="s">
        <v>159</v>
      </c>
      <c r="K417" s="70" t="s">
        <v>1968</v>
      </c>
      <c r="L417" s="74">
        <v>1</v>
      </c>
      <c r="M417" s="75">
        <v>2323.031005859375</v>
      </c>
      <c r="N417" s="75">
        <v>667.9894409179688</v>
      </c>
      <c r="O417" s="76"/>
      <c r="P417" s="77"/>
      <c r="Q417" s="77"/>
      <c r="R417" s="89"/>
      <c r="S417" s="49">
        <v>1</v>
      </c>
      <c r="T417" s="49">
        <v>1</v>
      </c>
      <c r="U417" s="50">
        <v>0</v>
      </c>
      <c r="V417" s="50">
        <v>0.00565</v>
      </c>
      <c r="W417" s="50">
        <v>0</v>
      </c>
      <c r="X417" s="50">
        <v>0.498142</v>
      </c>
      <c r="Y417" s="50">
        <v>0</v>
      </c>
      <c r="Z417" s="50">
        <v>1</v>
      </c>
      <c r="AA417" s="72">
        <v>417</v>
      </c>
      <c r="AB417" s="72"/>
      <c r="AC417" s="73"/>
      <c r="AD417" s="80" t="s">
        <v>1968</v>
      </c>
      <c r="AE417" s="80"/>
      <c r="AF417" s="80"/>
      <c r="AG417" s="80"/>
      <c r="AH417" s="80"/>
      <c r="AI417" s="80"/>
      <c r="AJ417" s="80" t="s">
        <v>3341</v>
      </c>
      <c r="AK417" s="85" t="str">
        <f>HYPERLINK("https://yt3.ggpht.com/ytc/AKedOLSYTkWo3EZqmrVHDD-1d63VzlJ-of-PL8FdpQ=s88-c-k-c0x00ffffff-no-rj")</f>
        <v>https://yt3.ggpht.com/ytc/AKedOLSYTkWo3EZqmrVHDD-1d63VzlJ-of-PL8FdpQ=s88-c-k-c0x00ffffff-no-rj</v>
      </c>
      <c r="AL417" s="80">
        <v>0</v>
      </c>
      <c r="AM417" s="80">
        <v>0</v>
      </c>
      <c r="AN417" s="80">
        <v>0</v>
      </c>
      <c r="AO417" s="80" t="b">
        <v>0</v>
      </c>
      <c r="AP417" s="80">
        <v>0</v>
      </c>
      <c r="AQ417" s="80"/>
      <c r="AR417" s="80"/>
      <c r="AS417" s="80" t="s">
        <v>3412</v>
      </c>
      <c r="AT417" s="85" t="str">
        <f>HYPERLINK("https://www.youtube.com/channel/UCGaSc49MG1nYsZa3UeoPFDw")</f>
        <v>https://www.youtube.com/channel/UCGaSc49MG1nYsZa3UeoPFDw</v>
      </c>
      <c r="AU417" s="80" t="str">
        <f>REPLACE(INDEX(GroupVertices[Group],MATCH(Vertices[[#This Row],[Vertex]],GroupVertices[Vertex],0)),1,1,"")</f>
        <v>3</v>
      </c>
      <c r="AV417" s="49">
        <v>2</v>
      </c>
      <c r="AW417" s="50">
        <v>8.695652173913043</v>
      </c>
      <c r="AX417" s="49">
        <v>0</v>
      </c>
      <c r="AY417" s="50">
        <v>0</v>
      </c>
      <c r="AZ417" s="49">
        <v>0</v>
      </c>
      <c r="BA417" s="50">
        <v>0</v>
      </c>
      <c r="BB417" s="49">
        <v>21</v>
      </c>
      <c r="BC417" s="50">
        <v>91.30434782608695</v>
      </c>
      <c r="BD417" s="49">
        <v>23</v>
      </c>
      <c r="BE417" s="49"/>
      <c r="BF417" s="49"/>
      <c r="BG417" s="49"/>
      <c r="BH417" s="49"/>
      <c r="BI417" s="49"/>
      <c r="BJ417" s="49"/>
      <c r="BK417" s="111" t="s">
        <v>4770</v>
      </c>
      <c r="BL417" s="111" t="s">
        <v>4770</v>
      </c>
      <c r="BM417" s="111" t="s">
        <v>5241</v>
      </c>
      <c r="BN417" s="111" t="s">
        <v>5241</v>
      </c>
      <c r="BO417" s="2"/>
      <c r="BP417" s="3"/>
      <c r="BQ417" s="3"/>
      <c r="BR417" s="3"/>
      <c r="BS417" s="3"/>
    </row>
    <row r="418" spans="1:71" ht="15">
      <c r="A418" s="65" t="s">
        <v>641</v>
      </c>
      <c r="B418" s="66"/>
      <c r="C418" s="66"/>
      <c r="D418" s="67">
        <v>150</v>
      </c>
      <c r="E418" s="69"/>
      <c r="F418" s="103" t="str">
        <f>HYPERLINK("https://yt3.ggpht.com/ytc/AKedOLSVwSsjDDWXP1b8x0G_CCtpXjySPjtuAmdCd763YQ=s88-c-k-c0x00ffffff-no-rj")</f>
        <v>https://yt3.ggpht.com/ytc/AKedOLSVwSsjDDWXP1b8x0G_CCtpXjySPjtuAmdCd763YQ=s88-c-k-c0x00ffffff-no-rj</v>
      </c>
      <c r="G418" s="66"/>
      <c r="H418" s="70" t="s">
        <v>1969</v>
      </c>
      <c r="I418" s="71"/>
      <c r="J418" s="71" t="s">
        <v>159</v>
      </c>
      <c r="K418" s="70" t="s">
        <v>1969</v>
      </c>
      <c r="L418" s="74">
        <v>1</v>
      </c>
      <c r="M418" s="75">
        <v>2069.149658203125</v>
      </c>
      <c r="N418" s="75">
        <v>1839.9166259765625</v>
      </c>
      <c r="O418" s="76"/>
      <c r="P418" s="77"/>
      <c r="Q418" s="77"/>
      <c r="R418" s="89"/>
      <c r="S418" s="49">
        <v>1</v>
      </c>
      <c r="T418" s="49">
        <v>1</v>
      </c>
      <c r="U418" s="50">
        <v>0</v>
      </c>
      <c r="V418" s="50">
        <v>0.005682</v>
      </c>
      <c r="W418" s="50">
        <v>0</v>
      </c>
      <c r="X418" s="50">
        <v>0.828456</v>
      </c>
      <c r="Y418" s="50">
        <v>0.5</v>
      </c>
      <c r="Z418" s="50">
        <v>0</v>
      </c>
      <c r="AA418" s="72">
        <v>418</v>
      </c>
      <c r="AB418" s="72"/>
      <c r="AC418" s="73"/>
      <c r="AD418" s="80" t="s">
        <v>1969</v>
      </c>
      <c r="AE418" s="80" t="s">
        <v>2957</v>
      </c>
      <c r="AF418" s="80"/>
      <c r="AG418" s="80"/>
      <c r="AH418" s="80"/>
      <c r="AI418" s="80"/>
      <c r="AJ418" s="87">
        <v>41309.18425925926</v>
      </c>
      <c r="AK418" s="85" t="str">
        <f>HYPERLINK("https://yt3.ggpht.com/ytc/AKedOLSVwSsjDDWXP1b8x0G_CCtpXjySPjtuAmdCd763YQ=s88-c-k-c0x00ffffff-no-rj")</f>
        <v>https://yt3.ggpht.com/ytc/AKedOLSVwSsjDDWXP1b8x0G_CCtpXjySPjtuAmdCd763YQ=s88-c-k-c0x00ffffff-no-rj</v>
      </c>
      <c r="AL418" s="80">
        <v>0</v>
      </c>
      <c r="AM418" s="80">
        <v>0</v>
      </c>
      <c r="AN418" s="80">
        <v>4</v>
      </c>
      <c r="AO418" s="80" t="b">
        <v>0</v>
      </c>
      <c r="AP418" s="80">
        <v>0</v>
      </c>
      <c r="AQ418" s="80"/>
      <c r="AR418" s="80"/>
      <c r="AS418" s="80" t="s">
        <v>3412</v>
      </c>
      <c r="AT418" s="85" t="str">
        <f>HYPERLINK("https://www.youtube.com/channel/UCowefZ8fcgBpj1keCDAw6mw")</f>
        <v>https://www.youtube.com/channel/UCowefZ8fcgBpj1keCDAw6mw</v>
      </c>
      <c r="AU418" s="80" t="str">
        <f>REPLACE(INDEX(GroupVertices[Group],MATCH(Vertices[[#This Row],[Vertex]],GroupVertices[Vertex],0)),1,1,"")</f>
        <v>3</v>
      </c>
      <c r="AV418" s="49">
        <v>0</v>
      </c>
      <c r="AW418" s="50">
        <v>0</v>
      </c>
      <c r="AX418" s="49">
        <v>1</v>
      </c>
      <c r="AY418" s="50">
        <v>5.882352941176471</v>
      </c>
      <c r="AZ418" s="49">
        <v>0</v>
      </c>
      <c r="BA418" s="50">
        <v>0</v>
      </c>
      <c r="BB418" s="49">
        <v>16</v>
      </c>
      <c r="BC418" s="50">
        <v>94.11764705882354</v>
      </c>
      <c r="BD418" s="49">
        <v>17</v>
      </c>
      <c r="BE418" s="49"/>
      <c r="BF418" s="49"/>
      <c r="BG418" s="49"/>
      <c r="BH418" s="49"/>
      <c r="BI418" s="49"/>
      <c r="BJ418" s="49"/>
      <c r="BK418" s="111" t="s">
        <v>4771</v>
      </c>
      <c r="BL418" s="111" t="s">
        <v>4771</v>
      </c>
      <c r="BM418" s="111" t="s">
        <v>5242</v>
      </c>
      <c r="BN418" s="111" t="s">
        <v>5242</v>
      </c>
      <c r="BO418" s="2"/>
      <c r="BP418" s="3"/>
      <c r="BQ418" s="3"/>
      <c r="BR418" s="3"/>
      <c r="BS418" s="3"/>
    </row>
    <row r="419" spans="1:71" ht="15">
      <c r="A419" s="65" t="s">
        <v>642</v>
      </c>
      <c r="B419" s="66"/>
      <c r="C419" s="66"/>
      <c r="D419" s="67">
        <v>150</v>
      </c>
      <c r="E419" s="69"/>
      <c r="F419" s="103" t="str">
        <f>HYPERLINK("https://yt3.ggpht.com/ytc/AKedOLSYEGIJqegmATYbfwTo1RNY6VywrAV8pe88Sg=s88-c-k-c0x00ffffff-no-rj")</f>
        <v>https://yt3.ggpht.com/ytc/AKedOLSYEGIJqegmATYbfwTo1RNY6VywrAV8pe88Sg=s88-c-k-c0x00ffffff-no-rj</v>
      </c>
      <c r="G419" s="66"/>
      <c r="H419" s="70" t="s">
        <v>1970</v>
      </c>
      <c r="I419" s="71"/>
      <c r="J419" s="71" t="s">
        <v>159</v>
      </c>
      <c r="K419" s="70" t="s">
        <v>1970</v>
      </c>
      <c r="L419" s="74">
        <v>1</v>
      </c>
      <c r="M419" s="75">
        <v>1055.8946533203125</v>
      </c>
      <c r="N419" s="75">
        <v>1515.7120361328125</v>
      </c>
      <c r="O419" s="76"/>
      <c r="P419" s="77"/>
      <c r="Q419" s="77"/>
      <c r="R419" s="89"/>
      <c r="S419" s="49">
        <v>0</v>
      </c>
      <c r="T419" s="49">
        <v>1</v>
      </c>
      <c r="U419" s="50">
        <v>0</v>
      </c>
      <c r="V419" s="50">
        <v>0.00565</v>
      </c>
      <c r="W419" s="50">
        <v>0</v>
      </c>
      <c r="X419" s="50">
        <v>0.498142</v>
      </c>
      <c r="Y419" s="50">
        <v>0</v>
      </c>
      <c r="Z419" s="50">
        <v>0</v>
      </c>
      <c r="AA419" s="72">
        <v>419</v>
      </c>
      <c r="AB419" s="72"/>
      <c r="AC419" s="73"/>
      <c r="AD419" s="80" t="s">
        <v>1970</v>
      </c>
      <c r="AE419" s="80"/>
      <c r="AF419" s="80"/>
      <c r="AG419" s="80"/>
      <c r="AH419" s="80"/>
      <c r="AI419" s="80"/>
      <c r="AJ419" s="80" t="s">
        <v>3342</v>
      </c>
      <c r="AK419" s="85" t="str">
        <f>HYPERLINK("https://yt3.ggpht.com/ytc/AKedOLSYEGIJqegmATYbfwTo1RNY6VywrAV8pe88Sg=s88-c-k-c0x00ffffff-no-rj")</f>
        <v>https://yt3.ggpht.com/ytc/AKedOLSYEGIJqegmATYbfwTo1RNY6VywrAV8pe88Sg=s88-c-k-c0x00ffffff-no-rj</v>
      </c>
      <c r="AL419" s="80">
        <v>1635</v>
      </c>
      <c r="AM419" s="80">
        <v>0</v>
      </c>
      <c r="AN419" s="80">
        <v>1</v>
      </c>
      <c r="AO419" s="80" t="b">
        <v>0</v>
      </c>
      <c r="AP419" s="80">
        <v>1</v>
      </c>
      <c r="AQ419" s="80"/>
      <c r="AR419" s="80"/>
      <c r="AS419" s="80" t="s">
        <v>3412</v>
      </c>
      <c r="AT419" s="85" t="str">
        <f>HYPERLINK("https://www.youtube.com/channel/UCxjSI-_0ihVq3fmHh3m9HYw")</f>
        <v>https://www.youtube.com/channel/UCxjSI-_0ihVq3fmHh3m9HYw</v>
      </c>
      <c r="AU419" s="80" t="str">
        <f>REPLACE(INDEX(GroupVertices[Group],MATCH(Vertices[[#This Row],[Vertex]],GroupVertices[Vertex],0)),1,1,"")</f>
        <v>3</v>
      </c>
      <c r="AV419" s="49">
        <v>4</v>
      </c>
      <c r="AW419" s="50">
        <v>5.633802816901408</v>
      </c>
      <c r="AX419" s="49">
        <v>0</v>
      </c>
      <c r="AY419" s="50">
        <v>0</v>
      </c>
      <c r="AZ419" s="49">
        <v>0</v>
      </c>
      <c r="BA419" s="50">
        <v>0</v>
      </c>
      <c r="BB419" s="49">
        <v>67</v>
      </c>
      <c r="BC419" s="50">
        <v>94.36619718309859</v>
      </c>
      <c r="BD419" s="49">
        <v>71</v>
      </c>
      <c r="BE419" s="49"/>
      <c r="BF419" s="49"/>
      <c r="BG419" s="49"/>
      <c r="BH419" s="49"/>
      <c r="BI419" s="49"/>
      <c r="BJ419" s="49"/>
      <c r="BK419" s="111" t="s">
        <v>4772</v>
      </c>
      <c r="BL419" s="111" t="s">
        <v>4772</v>
      </c>
      <c r="BM419" s="111" t="s">
        <v>5243</v>
      </c>
      <c r="BN419" s="111" t="s">
        <v>5243</v>
      </c>
      <c r="BO419" s="2"/>
      <c r="BP419" s="3"/>
      <c r="BQ419" s="3"/>
      <c r="BR419" s="3"/>
      <c r="BS419" s="3"/>
    </row>
    <row r="420" spans="1:71" ht="15">
      <c r="A420" s="65" t="s">
        <v>643</v>
      </c>
      <c r="B420" s="66"/>
      <c r="C420" s="66"/>
      <c r="D420" s="67">
        <v>150</v>
      </c>
      <c r="E420" s="69"/>
      <c r="F420" s="103" t="str">
        <f>HYPERLINK("https://yt3.ggpht.com/ytc/AKedOLTYAwoFgce409ZaA2EOX12byjmiiNr9nuMxiPEDRA=s88-c-k-c0x00ffffff-no-rj")</f>
        <v>https://yt3.ggpht.com/ytc/AKedOLTYAwoFgce409ZaA2EOX12byjmiiNr9nuMxiPEDRA=s88-c-k-c0x00ffffff-no-rj</v>
      </c>
      <c r="G420" s="66"/>
      <c r="H420" s="70" t="s">
        <v>1971</v>
      </c>
      <c r="I420" s="71"/>
      <c r="J420" s="71" t="s">
        <v>159</v>
      </c>
      <c r="K420" s="70" t="s">
        <v>1971</v>
      </c>
      <c r="L420" s="74">
        <v>1</v>
      </c>
      <c r="M420" s="75">
        <v>2260.644775390625</v>
      </c>
      <c r="N420" s="75">
        <v>2106.33837890625</v>
      </c>
      <c r="O420" s="76"/>
      <c r="P420" s="77"/>
      <c r="Q420" s="77"/>
      <c r="R420" s="89"/>
      <c r="S420" s="49">
        <v>0</v>
      </c>
      <c r="T420" s="49">
        <v>1</v>
      </c>
      <c r="U420" s="50">
        <v>0</v>
      </c>
      <c r="V420" s="50">
        <v>0.00565</v>
      </c>
      <c r="W420" s="50">
        <v>0</v>
      </c>
      <c r="X420" s="50">
        <v>0.498142</v>
      </c>
      <c r="Y420" s="50">
        <v>0</v>
      </c>
      <c r="Z420" s="50">
        <v>0</v>
      </c>
      <c r="AA420" s="72">
        <v>420</v>
      </c>
      <c r="AB420" s="72"/>
      <c r="AC420" s="73"/>
      <c r="AD420" s="80" t="s">
        <v>1971</v>
      </c>
      <c r="AE420" s="80" t="s">
        <v>2958</v>
      </c>
      <c r="AF420" s="80"/>
      <c r="AG420" s="80"/>
      <c r="AH420" s="80"/>
      <c r="AI420" s="80" t="s">
        <v>3080</v>
      </c>
      <c r="AJ420" s="87">
        <v>41276.388032407405</v>
      </c>
      <c r="AK420" s="85" t="str">
        <f>HYPERLINK("https://yt3.ggpht.com/ytc/AKedOLTYAwoFgce409ZaA2EOX12byjmiiNr9nuMxiPEDRA=s88-c-k-c0x00ffffff-no-rj")</f>
        <v>https://yt3.ggpht.com/ytc/AKedOLTYAwoFgce409ZaA2EOX12byjmiiNr9nuMxiPEDRA=s88-c-k-c0x00ffffff-no-rj</v>
      </c>
      <c r="AL420" s="80">
        <v>52456</v>
      </c>
      <c r="AM420" s="80">
        <v>0</v>
      </c>
      <c r="AN420" s="80">
        <v>219</v>
      </c>
      <c r="AO420" s="80" t="b">
        <v>0</v>
      </c>
      <c r="AP420" s="80">
        <v>53</v>
      </c>
      <c r="AQ420" s="80"/>
      <c r="AR420" s="80"/>
      <c r="AS420" s="80" t="s">
        <v>3412</v>
      </c>
      <c r="AT420" s="85" t="str">
        <f>HYPERLINK("https://www.youtube.com/channel/UCTYIArFir6lVRAAleqVoeRQ")</f>
        <v>https://www.youtube.com/channel/UCTYIArFir6lVRAAleqVoeRQ</v>
      </c>
      <c r="AU420" s="80" t="str">
        <f>REPLACE(INDEX(GroupVertices[Group],MATCH(Vertices[[#This Row],[Vertex]],GroupVertices[Vertex],0)),1,1,"")</f>
        <v>3</v>
      </c>
      <c r="AV420" s="49">
        <v>1</v>
      </c>
      <c r="AW420" s="50">
        <v>5</v>
      </c>
      <c r="AX420" s="49">
        <v>0</v>
      </c>
      <c r="AY420" s="50">
        <v>0</v>
      </c>
      <c r="AZ420" s="49">
        <v>0</v>
      </c>
      <c r="BA420" s="50">
        <v>0</v>
      </c>
      <c r="BB420" s="49">
        <v>19</v>
      </c>
      <c r="BC420" s="50">
        <v>95</v>
      </c>
      <c r="BD420" s="49">
        <v>20</v>
      </c>
      <c r="BE420" s="49"/>
      <c r="BF420" s="49"/>
      <c r="BG420" s="49"/>
      <c r="BH420" s="49"/>
      <c r="BI420" s="49"/>
      <c r="BJ420" s="49"/>
      <c r="BK420" s="111" t="s">
        <v>4773</v>
      </c>
      <c r="BL420" s="111" t="s">
        <v>4773</v>
      </c>
      <c r="BM420" s="111" t="s">
        <v>5244</v>
      </c>
      <c r="BN420" s="111" t="s">
        <v>5244</v>
      </c>
      <c r="BO420" s="2"/>
      <c r="BP420" s="3"/>
      <c r="BQ420" s="3"/>
      <c r="BR420" s="3"/>
      <c r="BS420" s="3"/>
    </row>
    <row r="421" spans="1:71" ht="15">
      <c r="A421" s="65" t="s">
        <v>644</v>
      </c>
      <c r="B421" s="66"/>
      <c r="C421" s="66"/>
      <c r="D421" s="67">
        <v>150</v>
      </c>
      <c r="E421" s="69"/>
      <c r="F421" s="103" t="str">
        <f>HYPERLINK("https://yt3.ggpht.com/ytc/AKedOLSrHRx3HfNb5LJFg3VHXgevr91UOkda_QlvcoQWng=s88-c-k-c0x00ffffff-no-rj")</f>
        <v>https://yt3.ggpht.com/ytc/AKedOLSrHRx3HfNb5LJFg3VHXgevr91UOkda_QlvcoQWng=s88-c-k-c0x00ffffff-no-rj</v>
      </c>
      <c r="G421" s="66"/>
      <c r="H421" s="70" t="s">
        <v>1972</v>
      </c>
      <c r="I421" s="71"/>
      <c r="J421" s="71" t="s">
        <v>159</v>
      </c>
      <c r="K421" s="70" t="s">
        <v>1972</v>
      </c>
      <c r="L421" s="74">
        <v>1</v>
      </c>
      <c r="M421" s="75">
        <v>2496.809326171875</v>
      </c>
      <c r="N421" s="75">
        <v>1741.4384765625</v>
      </c>
      <c r="O421" s="76"/>
      <c r="P421" s="77"/>
      <c r="Q421" s="77"/>
      <c r="R421" s="89"/>
      <c r="S421" s="49">
        <v>2</v>
      </c>
      <c r="T421" s="49">
        <v>1</v>
      </c>
      <c r="U421" s="50">
        <v>0</v>
      </c>
      <c r="V421" s="50">
        <v>0.005682</v>
      </c>
      <c r="W421" s="50">
        <v>0</v>
      </c>
      <c r="X421" s="50">
        <v>0.828456</v>
      </c>
      <c r="Y421" s="50">
        <v>0.5</v>
      </c>
      <c r="Z421" s="50">
        <v>0.5</v>
      </c>
      <c r="AA421" s="72">
        <v>421</v>
      </c>
      <c r="AB421" s="72"/>
      <c r="AC421" s="73"/>
      <c r="AD421" s="80" t="s">
        <v>1972</v>
      </c>
      <c r="AE421" s="80" t="s">
        <v>2959</v>
      </c>
      <c r="AF421" s="80"/>
      <c r="AG421" s="80"/>
      <c r="AH421" s="80"/>
      <c r="AI421" s="80" t="s">
        <v>3081</v>
      </c>
      <c r="AJ421" s="80" t="s">
        <v>3343</v>
      </c>
      <c r="AK421" s="85" t="str">
        <f>HYPERLINK("https://yt3.ggpht.com/ytc/AKedOLSrHRx3HfNb5LJFg3VHXgevr91UOkda_QlvcoQWng=s88-c-k-c0x00ffffff-no-rj")</f>
        <v>https://yt3.ggpht.com/ytc/AKedOLSrHRx3HfNb5LJFg3VHXgevr91UOkda_QlvcoQWng=s88-c-k-c0x00ffffff-no-rj</v>
      </c>
      <c r="AL421" s="80">
        <v>3769959</v>
      </c>
      <c r="AM421" s="80">
        <v>0</v>
      </c>
      <c r="AN421" s="80">
        <v>38800</v>
      </c>
      <c r="AO421" s="80" t="b">
        <v>0</v>
      </c>
      <c r="AP421" s="80">
        <v>187</v>
      </c>
      <c r="AQ421" s="80"/>
      <c r="AR421" s="80"/>
      <c r="AS421" s="80" t="s">
        <v>3412</v>
      </c>
      <c r="AT421" s="85" t="str">
        <f>HYPERLINK("https://www.youtube.com/channel/UCrnFva61tPAlG3PNeTF9acQ")</f>
        <v>https://www.youtube.com/channel/UCrnFva61tPAlG3PNeTF9acQ</v>
      </c>
      <c r="AU421" s="80" t="str">
        <f>REPLACE(INDEX(GroupVertices[Group],MATCH(Vertices[[#This Row],[Vertex]],GroupVertices[Vertex],0)),1,1,"")</f>
        <v>3</v>
      </c>
      <c r="AV421" s="49">
        <v>2</v>
      </c>
      <c r="AW421" s="50">
        <v>7.407407407407407</v>
      </c>
      <c r="AX421" s="49">
        <v>0</v>
      </c>
      <c r="AY421" s="50">
        <v>0</v>
      </c>
      <c r="AZ421" s="49">
        <v>0</v>
      </c>
      <c r="BA421" s="50">
        <v>0</v>
      </c>
      <c r="BB421" s="49">
        <v>25</v>
      </c>
      <c r="BC421" s="50">
        <v>92.5925925925926</v>
      </c>
      <c r="BD421" s="49">
        <v>27</v>
      </c>
      <c r="BE421" s="49"/>
      <c r="BF421" s="49"/>
      <c r="BG421" s="49"/>
      <c r="BH421" s="49"/>
      <c r="BI421" s="49"/>
      <c r="BJ421" s="49"/>
      <c r="BK421" s="111" t="s">
        <v>4774</v>
      </c>
      <c r="BL421" s="111" t="s">
        <v>4774</v>
      </c>
      <c r="BM421" s="111" t="s">
        <v>5245</v>
      </c>
      <c r="BN421" s="111" t="s">
        <v>5245</v>
      </c>
      <c r="BO421" s="2"/>
      <c r="BP421" s="3"/>
      <c r="BQ421" s="3"/>
      <c r="BR421" s="3"/>
      <c r="BS421" s="3"/>
    </row>
    <row r="422" spans="1:71" ht="15">
      <c r="A422" s="65" t="s">
        <v>645</v>
      </c>
      <c r="B422" s="66"/>
      <c r="C422" s="66"/>
      <c r="D422" s="67">
        <v>150</v>
      </c>
      <c r="E422" s="69"/>
      <c r="F422" s="103" t="str">
        <f>HYPERLINK("https://yt3.ggpht.com/ytc/AKedOLR_YuQQn1fDd6A1YwRtdXvGzf8f2Ohhbuy5iqkmNXs=s88-c-k-c0x00ffffff-no-rj")</f>
        <v>https://yt3.ggpht.com/ytc/AKedOLR_YuQQn1fDd6A1YwRtdXvGzf8f2Ohhbuy5iqkmNXs=s88-c-k-c0x00ffffff-no-rj</v>
      </c>
      <c r="G422" s="66"/>
      <c r="H422" s="70" t="s">
        <v>1973</v>
      </c>
      <c r="I422" s="71"/>
      <c r="J422" s="71" t="s">
        <v>159</v>
      </c>
      <c r="K422" s="70" t="s">
        <v>1973</v>
      </c>
      <c r="L422" s="74">
        <v>1</v>
      </c>
      <c r="M422" s="75">
        <v>2998.232421875</v>
      </c>
      <c r="N422" s="75">
        <v>1372.9217529296875</v>
      </c>
      <c r="O422" s="76"/>
      <c r="P422" s="77"/>
      <c r="Q422" s="77"/>
      <c r="R422" s="89"/>
      <c r="S422" s="49">
        <v>0</v>
      </c>
      <c r="T422" s="49">
        <v>1</v>
      </c>
      <c r="U422" s="50">
        <v>0</v>
      </c>
      <c r="V422" s="50">
        <v>0.00565</v>
      </c>
      <c r="W422" s="50">
        <v>0</v>
      </c>
      <c r="X422" s="50">
        <v>0.498142</v>
      </c>
      <c r="Y422" s="50">
        <v>0</v>
      </c>
      <c r="Z422" s="50">
        <v>0</v>
      </c>
      <c r="AA422" s="72">
        <v>422</v>
      </c>
      <c r="AB422" s="72"/>
      <c r="AC422" s="73"/>
      <c r="AD422" s="80" t="s">
        <v>1973</v>
      </c>
      <c r="AE422" s="80"/>
      <c r="AF422" s="80"/>
      <c r="AG422" s="80"/>
      <c r="AH422" s="80"/>
      <c r="AI422" s="80"/>
      <c r="AJ422" s="80" t="s">
        <v>3344</v>
      </c>
      <c r="AK422" s="85" t="str">
        <f>HYPERLINK("https://yt3.ggpht.com/ytc/AKedOLR_YuQQn1fDd6A1YwRtdXvGzf8f2Ohhbuy5iqkmNXs=s88-c-k-c0x00ffffff-no-rj")</f>
        <v>https://yt3.ggpht.com/ytc/AKedOLR_YuQQn1fDd6A1YwRtdXvGzf8f2Ohhbuy5iqkmNXs=s88-c-k-c0x00ffffff-no-rj</v>
      </c>
      <c r="AL422" s="80">
        <v>0</v>
      </c>
      <c r="AM422" s="80">
        <v>0</v>
      </c>
      <c r="AN422" s="80">
        <v>13</v>
      </c>
      <c r="AO422" s="80" t="b">
        <v>0</v>
      </c>
      <c r="AP422" s="80">
        <v>0</v>
      </c>
      <c r="AQ422" s="80"/>
      <c r="AR422" s="80"/>
      <c r="AS422" s="80" t="s">
        <v>3412</v>
      </c>
      <c r="AT422" s="85" t="str">
        <f>HYPERLINK("https://www.youtube.com/channel/UCUDEjKDVvLgSBD6vgc50gXw")</f>
        <v>https://www.youtube.com/channel/UCUDEjKDVvLgSBD6vgc50gXw</v>
      </c>
      <c r="AU422" s="80" t="str">
        <f>REPLACE(INDEX(GroupVertices[Group],MATCH(Vertices[[#This Row],[Vertex]],GroupVertices[Vertex],0)),1,1,"")</f>
        <v>3</v>
      </c>
      <c r="AV422" s="49">
        <v>1</v>
      </c>
      <c r="AW422" s="50">
        <v>5.555555555555555</v>
      </c>
      <c r="AX422" s="49">
        <v>1</v>
      </c>
      <c r="AY422" s="50">
        <v>5.555555555555555</v>
      </c>
      <c r="AZ422" s="49">
        <v>0</v>
      </c>
      <c r="BA422" s="50">
        <v>0</v>
      </c>
      <c r="BB422" s="49">
        <v>16</v>
      </c>
      <c r="BC422" s="50">
        <v>88.88888888888889</v>
      </c>
      <c r="BD422" s="49">
        <v>18</v>
      </c>
      <c r="BE422" s="49"/>
      <c r="BF422" s="49"/>
      <c r="BG422" s="49"/>
      <c r="BH422" s="49"/>
      <c r="BI422" s="49"/>
      <c r="BJ422" s="49"/>
      <c r="BK422" s="111" t="s">
        <v>4775</v>
      </c>
      <c r="BL422" s="111" t="s">
        <v>4775</v>
      </c>
      <c r="BM422" s="111" t="s">
        <v>5246</v>
      </c>
      <c r="BN422" s="111" t="s">
        <v>5246</v>
      </c>
      <c r="BO422" s="2"/>
      <c r="BP422" s="3"/>
      <c r="BQ422" s="3"/>
      <c r="BR422" s="3"/>
      <c r="BS422" s="3"/>
    </row>
    <row r="423" spans="1:71" ht="15">
      <c r="A423" s="65" t="s">
        <v>646</v>
      </c>
      <c r="B423" s="66"/>
      <c r="C423" s="66"/>
      <c r="D423" s="67">
        <v>150</v>
      </c>
      <c r="E423" s="69"/>
      <c r="F423" s="103" t="str">
        <f>HYPERLINK("https://yt3.ggpht.com/ytc/AKedOLRBE1BLm0wdYBybN7YuCb5uZUkyhulR3IomIDTX1w=s88-c-k-c0x00ffffff-no-rj")</f>
        <v>https://yt3.ggpht.com/ytc/AKedOLRBE1BLm0wdYBybN7YuCb5uZUkyhulR3IomIDTX1w=s88-c-k-c0x00ffffff-no-rj</v>
      </c>
      <c r="G423" s="66"/>
      <c r="H423" s="70" t="s">
        <v>1974</v>
      </c>
      <c r="I423" s="71"/>
      <c r="J423" s="71" t="s">
        <v>159</v>
      </c>
      <c r="K423" s="70" t="s">
        <v>1974</v>
      </c>
      <c r="L423" s="74">
        <v>1</v>
      </c>
      <c r="M423" s="75">
        <v>1585.582275390625</v>
      </c>
      <c r="N423" s="75">
        <v>1362.3544921875</v>
      </c>
      <c r="O423" s="76"/>
      <c r="P423" s="77"/>
      <c r="Q423" s="77"/>
      <c r="R423" s="89"/>
      <c r="S423" s="49">
        <v>0</v>
      </c>
      <c r="T423" s="49">
        <v>1</v>
      </c>
      <c r="U423" s="50">
        <v>0</v>
      </c>
      <c r="V423" s="50">
        <v>0.00565</v>
      </c>
      <c r="W423" s="50">
        <v>0</v>
      </c>
      <c r="X423" s="50">
        <v>0.498142</v>
      </c>
      <c r="Y423" s="50">
        <v>0</v>
      </c>
      <c r="Z423" s="50">
        <v>0</v>
      </c>
      <c r="AA423" s="72">
        <v>423</v>
      </c>
      <c r="AB423" s="72"/>
      <c r="AC423" s="73"/>
      <c r="AD423" s="80" t="s">
        <v>1974</v>
      </c>
      <c r="AE423" s="80"/>
      <c r="AF423" s="80"/>
      <c r="AG423" s="80"/>
      <c r="AH423" s="80"/>
      <c r="AI423" s="80"/>
      <c r="AJ423" s="80" t="s">
        <v>3345</v>
      </c>
      <c r="AK423" s="85" t="str">
        <f>HYPERLINK("https://yt3.ggpht.com/ytc/AKedOLRBE1BLm0wdYBybN7YuCb5uZUkyhulR3IomIDTX1w=s88-c-k-c0x00ffffff-no-rj")</f>
        <v>https://yt3.ggpht.com/ytc/AKedOLRBE1BLm0wdYBybN7YuCb5uZUkyhulR3IomIDTX1w=s88-c-k-c0x00ffffff-no-rj</v>
      </c>
      <c r="AL423" s="80">
        <v>0</v>
      </c>
      <c r="AM423" s="80">
        <v>0</v>
      </c>
      <c r="AN423" s="80">
        <v>2</v>
      </c>
      <c r="AO423" s="80" t="b">
        <v>0</v>
      </c>
      <c r="AP423" s="80">
        <v>0</v>
      </c>
      <c r="AQ423" s="80"/>
      <c r="AR423" s="80"/>
      <c r="AS423" s="80" t="s">
        <v>3412</v>
      </c>
      <c r="AT423" s="85" t="str">
        <f>HYPERLINK("https://www.youtube.com/channel/UCuWMrvoF3OosJnlhmLV9ZVg")</f>
        <v>https://www.youtube.com/channel/UCuWMrvoF3OosJnlhmLV9ZVg</v>
      </c>
      <c r="AU423" s="80" t="str">
        <f>REPLACE(INDEX(GroupVertices[Group],MATCH(Vertices[[#This Row],[Vertex]],GroupVertices[Vertex],0)),1,1,"")</f>
        <v>3</v>
      </c>
      <c r="AV423" s="49">
        <v>3</v>
      </c>
      <c r="AW423" s="50">
        <v>42.857142857142854</v>
      </c>
      <c r="AX423" s="49">
        <v>0</v>
      </c>
      <c r="AY423" s="50">
        <v>0</v>
      </c>
      <c r="AZ423" s="49">
        <v>0</v>
      </c>
      <c r="BA423" s="50">
        <v>0</v>
      </c>
      <c r="BB423" s="49">
        <v>4</v>
      </c>
      <c r="BC423" s="50">
        <v>57.142857142857146</v>
      </c>
      <c r="BD423" s="49">
        <v>7</v>
      </c>
      <c r="BE423" s="49"/>
      <c r="BF423" s="49"/>
      <c r="BG423" s="49"/>
      <c r="BH423" s="49"/>
      <c r="BI423" s="49"/>
      <c r="BJ423" s="49"/>
      <c r="BK423" s="111" t="s">
        <v>4776</v>
      </c>
      <c r="BL423" s="111" t="s">
        <v>4776</v>
      </c>
      <c r="BM423" s="111" t="s">
        <v>5247</v>
      </c>
      <c r="BN423" s="111" t="s">
        <v>5247</v>
      </c>
      <c r="BO423" s="2"/>
      <c r="BP423" s="3"/>
      <c r="BQ423" s="3"/>
      <c r="BR423" s="3"/>
      <c r="BS423" s="3"/>
    </row>
    <row r="424" spans="1:71" ht="15">
      <c r="A424" s="65" t="s">
        <v>647</v>
      </c>
      <c r="B424" s="66"/>
      <c r="C424" s="66"/>
      <c r="D424" s="67">
        <v>150</v>
      </c>
      <c r="E424" s="69"/>
      <c r="F424" s="103" t="str">
        <f>HYPERLINK("https://yt3.ggpht.com/ytc/AKedOLSGV0V1RCWFTIwFiATfpE-LFNvNqWIJm8IVa9Ar=s88-c-k-c0x00ffffff-no-rj")</f>
        <v>https://yt3.ggpht.com/ytc/AKedOLSGV0V1RCWFTIwFiATfpE-LFNvNqWIJm8IVa9Ar=s88-c-k-c0x00ffffff-no-rj</v>
      </c>
      <c r="G424" s="66"/>
      <c r="H424" s="70" t="s">
        <v>1975</v>
      </c>
      <c r="I424" s="71"/>
      <c r="J424" s="71" t="s">
        <v>159</v>
      </c>
      <c r="K424" s="70" t="s">
        <v>1975</v>
      </c>
      <c r="L424" s="74">
        <v>1</v>
      </c>
      <c r="M424" s="75">
        <v>2460.36279296875</v>
      </c>
      <c r="N424" s="75">
        <v>854.4913940429688</v>
      </c>
      <c r="O424" s="76"/>
      <c r="P424" s="77"/>
      <c r="Q424" s="77"/>
      <c r="R424" s="89"/>
      <c r="S424" s="49">
        <v>1</v>
      </c>
      <c r="T424" s="49">
        <v>1</v>
      </c>
      <c r="U424" s="50">
        <v>0</v>
      </c>
      <c r="V424" s="50">
        <v>0.00565</v>
      </c>
      <c r="W424" s="50">
        <v>0</v>
      </c>
      <c r="X424" s="50">
        <v>0.498142</v>
      </c>
      <c r="Y424" s="50">
        <v>0</v>
      </c>
      <c r="Z424" s="50">
        <v>1</v>
      </c>
      <c r="AA424" s="72">
        <v>424</v>
      </c>
      <c r="AB424" s="72"/>
      <c r="AC424" s="73"/>
      <c r="AD424" s="80" t="s">
        <v>1975</v>
      </c>
      <c r="AE424" s="80"/>
      <c r="AF424" s="80"/>
      <c r="AG424" s="80"/>
      <c r="AH424" s="80"/>
      <c r="AI424" s="80"/>
      <c r="AJ424" s="87">
        <v>42981.91952546296</v>
      </c>
      <c r="AK424" s="85" t="str">
        <f>HYPERLINK("https://yt3.ggpht.com/ytc/AKedOLSGV0V1RCWFTIwFiATfpE-LFNvNqWIJm8IVa9Ar=s88-c-k-c0x00ffffff-no-rj")</f>
        <v>https://yt3.ggpht.com/ytc/AKedOLSGV0V1RCWFTIwFiATfpE-LFNvNqWIJm8IVa9Ar=s88-c-k-c0x00ffffff-no-rj</v>
      </c>
      <c r="AL424" s="80">
        <v>469</v>
      </c>
      <c r="AM424" s="80">
        <v>0</v>
      </c>
      <c r="AN424" s="80">
        <v>3</v>
      </c>
      <c r="AO424" s="80" t="b">
        <v>0</v>
      </c>
      <c r="AP424" s="80">
        <v>1</v>
      </c>
      <c r="AQ424" s="80"/>
      <c r="AR424" s="80"/>
      <c r="AS424" s="80" t="s">
        <v>3412</v>
      </c>
      <c r="AT424" s="85" t="str">
        <f>HYPERLINK("https://www.youtube.com/channel/UCSq4Im1vFNOVF1R4Q0iZvmw")</f>
        <v>https://www.youtube.com/channel/UCSq4Im1vFNOVF1R4Q0iZvmw</v>
      </c>
      <c r="AU424" s="80" t="str">
        <f>REPLACE(INDEX(GroupVertices[Group],MATCH(Vertices[[#This Row],[Vertex]],GroupVertices[Vertex],0)),1,1,"")</f>
        <v>3</v>
      </c>
      <c r="AV424" s="49">
        <v>0</v>
      </c>
      <c r="AW424" s="50">
        <v>0</v>
      </c>
      <c r="AX424" s="49">
        <v>0</v>
      </c>
      <c r="AY424" s="50">
        <v>0</v>
      </c>
      <c r="AZ424" s="49">
        <v>0</v>
      </c>
      <c r="BA424" s="50">
        <v>0</v>
      </c>
      <c r="BB424" s="49">
        <v>14</v>
      </c>
      <c r="BC424" s="50">
        <v>100</v>
      </c>
      <c r="BD424" s="49">
        <v>14</v>
      </c>
      <c r="BE424" s="49"/>
      <c r="BF424" s="49"/>
      <c r="BG424" s="49"/>
      <c r="BH424" s="49"/>
      <c r="BI424" s="49"/>
      <c r="BJ424" s="49"/>
      <c r="BK424" s="111" t="s">
        <v>4777</v>
      </c>
      <c r="BL424" s="111" t="s">
        <v>4777</v>
      </c>
      <c r="BM424" s="111" t="s">
        <v>5248</v>
      </c>
      <c r="BN424" s="111" t="s">
        <v>5248</v>
      </c>
      <c r="BO424" s="2"/>
      <c r="BP424" s="3"/>
      <c r="BQ424" s="3"/>
      <c r="BR424" s="3"/>
      <c r="BS424" s="3"/>
    </row>
    <row r="425" spans="1:71" ht="15">
      <c r="A425" s="65" t="s">
        <v>648</v>
      </c>
      <c r="B425" s="66"/>
      <c r="C425" s="66"/>
      <c r="D425" s="67">
        <v>150</v>
      </c>
      <c r="E425" s="69"/>
      <c r="F425" s="103" t="str">
        <f>HYPERLINK("https://yt3.ggpht.com/ytc/AKedOLQvzTtTzAF_U41IOzXA-k3zGOofKnIE6QgyynW6rw=s88-c-k-c0x00ffffff-no-rj")</f>
        <v>https://yt3.ggpht.com/ytc/AKedOLQvzTtTzAF_U41IOzXA-k3zGOofKnIE6QgyynW6rw=s88-c-k-c0x00ffffff-no-rj</v>
      </c>
      <c r="G425" s="66"/>
      <c r="H425" s="70" t="s">
        <v>1976</v>
      </c>
      <c r="I425" s="71"/>
      <c r="J425" s="71" t="s">
        <v>159</v>
      </c>
      <c r="K425" s="70" t="s">
        <v>1976</v>
      </c>
      <c r="L425" s="74">
        <v>1</v>
      </c>
      <c r="M425" s="75">
        <v>1098.257080078125</v>
      </c>
      <c r="N425" s="75">
        <v>1068.0587158203125</v>
      </c>
      <c r="O425" s="76"/>
      <c r="P425" s="77"/>
      <c r="Q425" s="77"/>
      <c r="R425" s="89"/>
      <c r="S425" s="49">
        <v>1</v>
      </c>
      <c r="T425" s="49">
        <v>1</v>
      </c>
      <c r="U425" s="50">
        <v>0</v>
      </c>
      <c r="V425" s="50">
        <v>0.00565</v>
      </c>
      <c r="W425" s="50">
        <v>0</v>
      </c>
      <c r="X425" s="50">
        <v>0.498142</v>
      </c>
      <c r="Y425" s="50">
        <v>0</v>
      </c>
      <c r="Z425" s="50">
        <v>1</v>
      </c>
      <c r="AA425" s="72">
        <v>425</v>
      </c>
      <c r="AB425" s="72"/>
      <c r="AC425" s="73"/>
      <c r="AD425" s="80" t="s">
        <v>1976</v>
      </c>
      <c r="AE425" s="80"/>
      <c r="AF425" s="80"/>
      <c r="AG425" s="80"/>
      <c r="AH425" s="80"/>
      <c r="AI425" s="80"/>
      <c r="AJ425" s="87">
        <v>41679.91939814815</v>
      </c>
      <c r="AK425" s="85" t="str">
        <f>HYPERLINK("https://yt3.ggpht.com/ytc/AKedOLQvzTtTzAF_U41IOzXA-k3zGOofKnIE6QgyynW6rw=s88-c-k-c0x00ffffff-no-rj")</f>
        <v>https://yt3.ggpht.com/ytc/AKedOLQvzTtTzAF_U41IOzXA-k3zGOofKnIE6QgyynW6rw=s88-c-k-c0x00ffffff-no-rj</v>
      </c>
      <c r="AL425" s="80">
        <v>0</v>
      </c>
      <c r="AM425" s="80">
        <v>0</v>
      </c>
      <c r="AN425" s="80">
        <v>0</v>
      </c>
      <c r="AO425" s="80" t="b">
        <v>0</v>
      </c>
      <c r="AP425" s="80">
        <v>0</v>
      </c>
      <c r="AQ425" s="80"/>
      <c r="AR425" s="80"/>
      <c r="AS425" s="80" t="s">
        <v>3412</v>
      </c>
      <c r="AT425" s="85" t="str">
        <f>HYPERLINK("https://www.youtube.com/channel/UCZ9uwWHcFPq0X0kLK6rnEgQ")</f>
        <v>https://www.youtube.com/channel/UCZ9uwWHcFPq0X0kLK6rnEgQ</v>
      </c>
      <c r="AU425" s="80" t="str">
        <f>REPLACE(INDEX(GroupVertices[Group],MATCH(Vertices[[#This Row],[Vertex]],GroupVertices[Vertex],0)),1,1,"")</f>
        <v>3</v>
      </c>
      <c r="AV425" s="49">
        <v>3</v>
      </c>
      <c r="AW425" s="50">
        <v>13.636363636363637</v>
      </c>
      <c r="AX425" s="49">
        <v>0</v>
      </c>
      <c r="AY425" s="50">
        <v>0</v>
      </c>
      <c r="AZ425" s="49">
        <v>0</v>
      </c>
      <c r="BA425" s="50">
        <v>0</v>
      </c>
      <c r="BB425" s="49">
        <v>19</v>
      </c>
      <c r="BC425" s="50">
        <v>86.36363636363636</v>
      </c>
      <c r="BD425" s="49">
        <v>22</v>
      </c>
      <c r="BE425" s="49"/>
      <c r="BF425" s="49"/>
      <c r="BG425" s="49"/>
      <c r="BH425" s="49"/>
      <c r="BI425" s="49"/>
      <c r="BJ425" s="49"/>
      <c r="BK425" s="111" t="s">
        <v>4778</v>
      </c>
      <c r="BL425" s="111" t="s">
        <v>4778</v>
      </c>
      <c r="BM425" s="111" t="s">
        <v>5249</v>
      </c>
      <c r="BN425" s="111" t="s">
        <v>5249</v>
      </c>
      <c r="BO425" s="2"/>
      <c r="BP425" s="3"/>
      <c r="BQ425" s="3"/>
      <c r="BR425" s="3"/>
      <c r="BS425" s="3"/>
    </row>
    <row r="426" spans="1:71" ht="15">
      <c r="A426" s="65" t="s">
        <v>649</v>
      </c>
      <c r="B426" s="66"/>
      <c r="C426" s="66"/>
      <c r="D426" s="67">
        <v>150</v>
      </c>
      <c r="E426" s="69"/>
      <c r="F426" s="103" t="str">
        <f>HYPERLINK("https://yt3.ggpht.com/ytc/AKedOLRo_IiG_sBRVPzHLBwug8ivw9MmIAw3WZViIkv4QtU=s88-c-k-c0x00ffffff-no-rj")</f>
        <v>https://yt3.ggpht.com/ytc/AKedOLRo_IiG_sBRVPzHLBwug8ivw9MmIAw3WZViIkv4QtU=s88-c-k-c0x00ffffff-no-rj</v>
      </c>
      <c r="G426" s="66"/>
      <c r="H426" s="70" t="s">
        <v>1977</v>
      </c>
      <c r="I426" s="71"/>
      <c r="J426" s="71" t="s">
        <v>159</v>
      </c>
      <c r="K426" s="70" t="s">
        <v>1977</v>
      </c>
      <c r="L426" s="74">
        <v>1</v>
      </c>
      <c r="M426" s="75">
        <v>1407.553955078125</v>
      </c>
      <c r="N426" s="75">
        <v>763.5263671875</v>
      </c>
      <c r="O426" s="76"/>
      <c r="P426" s="77"/>
      <c r="Q426" s="77"/>
      <c r="R426" s="89"/>
      <c r="S426" s="49">
        <v>0</v>
      </c>
      <c r="T426" s="49">
        <v>1</v>
      </c>
      <c r="U426" s="50">
        <v>0</v>
      </c>
      <c r="V426" s="50">
        <v>0.00565</v>
      </c>
      <c r="W426" s="50">
        <v>0</v>
      </c>
      <c r="X426" s="50">
        <v>0.498142</v>
      </c>
      <c r="Y426" s="50">
        <v>0</v>
      </c>
      <c r="Z426" s="50">
        <v>0</v>
      </c>
      <c r="AA426" s="72">
        <v>426</v>
      </c>
      <c r="AB426" s="72"/>
      <c r="AC426" s="73"/>
      <c r="AD426" s="80" t="s">
        <v>1977</v>
      </c>
      <c r="AE426" s="80"/>
      <c r="AF426" s="80"/>
      <c r="AG426" s="80"/>
      <c r="AH426" s="80"/>
      <c r="AI426" s="80"/>
      <c r="AJ426" s="80" t="s">
        <v>3346</v>
      </c>
      <c r="AK426" s="85" t="str">
        <f>HYPERLINK("https://yt3.ggpht.com/ytc/AKedOLRo_IiG_sBRVPzHLBwug8ivw9MmIAw3WZViIkv4QtU=s88-c-k-c0x00ffffff-no-rj")</f>
        <v>https://yt3.ggpht.com/ytc/AKedOLRo_IiG_sBRVPzHLBwug8ivw9MmIAw3WZViIkv4QtU=s88-c-k-c0x00ffffff-no-rj</v>
      </c>
      <c r="AL426" s="80">
        <v>6895</v>
      </c>
      <c r="AM426" s="80">
        <v>0</v>
      </c>
      <c r="AN426" s="80">
        <v>5</v>
      </c>
      <c r="AO426" s="80" t="b">
        <v>0</v>
      </c>
      <c r="AP426" s="80">
        <v>85</v>
      </c>
      <c r="AQ426" s="80"/>
      <c r="AR426" s="80"/>
      <c r="AS426" s="80" t="s">
        <v>3412</v>
      </c>
      <c r="AT426" s="85" t="str">
        <f>HYPERLINK("https://www.youtube.com/channel/UCSYMV5ebJmRbv2r9e2-rc6w")</f>
        <v>https://www.youtube.com/channel/UCSYMV5ebJmRbv2r9e2-rc6w</v>
      </c>
      <c r="AU426" s="80" t="str">
        <f>REPLACE(INDEX(GroupVertices[Group],MATCH(Vertices[[#This Row],[Vertex]],GroupVertices[Vertex],0)),1,1,"")</f>
        <v>3</v>
      </c>
      <c r="AV426" s="49">
        <v>0</v>
      </c>
      <c r="AW426" s="50">
        <v>0</v>
      </c>
      <c r="AX426" s="49">
        <v>0</v>
      </c>
      <c r="AY426" s="50">
        <v>0</v>
      </c>
      <c r="AZ426" s="49">
        <v>0</v>
      </c>
      <c r="BA426" s="50">
        <v>0</v>
      </c>
      <c r="BB426" s="49">
        <v>40</v>
      </c>
      <c r="BC426" s="50">
        <v>100</v>
      </c>
      <c r="BD426" s="49">
        <v>40</v>
      </c>
      <c r="BE426" s="49"/>
      <c r="BF426" s="49"/>
      <c r="BG426" s="49"/>
      <c r="BH426" s="49"/>
      <c r="BI426" s="49"/>
      <c r="BJ426" s="49"/>
      <c r="BK426" s="111" t="s">
        <v>4779</v>
      </c>
      <c r="BL426" s="111" t="s">
        <v>4779</v>
      </c>
      <c r="BM426" s="111" t="s">
        <v>5250</v>
      </c>
      <c r="BN426" s="111" t="s">
        <v>5250</v>
      </c>
      <c r="BO426" s="2"/>
      <c r="BP426" s="3"/>
      <c r="BQ426" s="3"/>
      <c r="BR426" s="3"/>
      <c r="BS426" s="3"/>
    </row>
    <row r="427" spans="1:71" ht="15">
      <c r="A427" s="65" t="s">
        <v>650</v>
      </c>
      <c r="B427" s="66"/>
      <c r="C427" s="66"/>
      <c r="D427" s="67">
        <v>150</v>
      </c>
      <c r="E427" s="69"/>
      <c r="F427" s="103" t="str">
        <f>HYPERLINK("https://yt3.ggpht.com/ytc/AKedOLTbMiRgnLJFNCfA0ueaNlV2weXnL58TXVDzW8cgCA=s88-c-k-c0x00ffffff-no-rj")</f>
        <v>https://yt3.ggpht.com/ytc/AKedOLTbMiRgnLJFNCfA0ueaNlV2weXnL58TXVDzW8cgCA=s88-c-k-c0x00ffffff-no-rj</v>
      </c>
      <c r="G427" s="66"/>
      <c r="H427" s="70" t="s">
        <v>1978</v>
      </c>
      <c r="I427" s="71"/>
      <c r="J427" s="71" t="s">
        <v>159</v>
      </c>
      <c r="K427" s="70" t="s">
        <v>1978</v>
      </c>
      <c r="L427" s="74">
        <v>1</v>
      </c>
      <c r="M427" s="75">
        <v>2940.7451171875</v>
      </c>
      <c r="N427" s="75">
        <v>1167.06689453125</v>
      </c>
      <c r="O427" s="76"/>
      <c r="P427" s="77"/>
      <c r="Q427" s="77"/>
      <c r="R427" s="89"/>
      <c r="S427" s="49">
        <v>0</v>
      </c>
      <c r="T427" s="49">
        <v>1</v>
      </c>
      <c r="U427" s="50">
        <v>0</v>
      </c>
      <c r="V427" s="50">
        <v>0.00565</v>
      </c>
      <c r="W427" s="50">
        <v>0</v>
      </c>
      <c r="X427" s="50">
        <v>0.498142</v>
      </c>
      <c r="Y427" s="50">
        <v>0</v>
      </c>
      <c r="Z427" s="50">
        <v>0</v>
      </c>
      <c r="AA427" s="72">
        <v>427</v>
      </c>
      <c r="AB427" s="72"/>
      <c r="AC427" s="73"/>
      <c r="AD427" s="80" t="s">
        <v>1978</v>
      </c>
      <c r="AE427" s="80" t="s">
        <v>2960</v>
      </c>
      <c r="AF427" s="80"/>
      <c r="AG427" s="80"/>
      <c r="AH427" s="80"/>
      <c r="AI427" s="80"/>
      <c r="AJ427" s="80" t="s">
        <v>3347</v>
      </c>
      <c r="AK427" s="85" t="str">
        <f>HYPERLINK("https://yt3.ggpht.com/ytc/AKedOLTbMiRgnLJFNCfA0ueaNlV2weXnL58TXVDzW8cgCA=s88-c-k-c0x00ffffff-no-rj")</f>
        <v>https://yt3.ggpht.com/ytc/AKedOLTbMiRgnLJFNCfA0ueaNlV2weXnL58TXVDzW8cgCA=s88-c-k-c0x00ffffff-no-rj</v>
      </c>
      <c r="AL427" s="80">
        <v>7578</v>
      </c>
      <c r="AM427" s="80">
        <v>0</v>
      </c>
      <c r="AN427" s="80">
        <v>109</v>
      </c>
      <c r="AO427" s="80" t="b">
        <v>0</v>
      </c>
      <c r="AP427" s="80">
        <v>19</v>
      </c>
      <c r="AQ427" s="80"/>
      <c r="AR427" s="80"/>
      <c r="AS427" s="80" t="s">
        <v>3412</v>
      </c>
      <c r="AT427" s="85" t="str">
        <f>HYPERLINK("https://www.youtube.com/channel/UC_RwyrxC63yOTY42eQaJ-9g")</f>
        <v>https://www.youtube.com/channel/UC_RwyrxC63yOTY42eQaJ-9g</v>
      </c>
      <c r="AU427" s="80" t="str">
        <f>REPLACE(INDEX(GroupVertices[Group],MATCH(Vertices[[#This Row],[Vertex]],GroupVertices[Vertex],0)),1,1,"")</f>
        <v>3</v>
      </c>
      <c r="AV427" s="49">
        <v>1</v>
      </c>
      <c r="AW427" s="50">
        <v>4.166666666666667</v>
      </c>
      <c r="AX427" s="49">
        <v>1</v>
      </c>
      <c r="AY427" s="50">
        <v>4.166666666666667</v>
      </c>
      <c r="AZ427" s="49">
        <v>0</v>
      </c>
      <c r="BA427" s="50">
        <v>0</v>
      </c>
      <c r="BB427" s="49">
        <v>22</v>
      </c>
      <c r="BC427" s="50">
        <v>91.66666666666667</v>
      </c>
      <c r="BD427" s="49">
        <v>24</v>
      </c>
      <c r="BE427" s="49"/>
      <c r="BF427" s="49"/>
      <c r="BG427" s="49"/>
      <c r="BH427" s="49"/>
      <c r="BI427" s="49"/>
      <c r="BJ427" s="49"/>
      <c r="BK427" s="111" t="s">
        <v>4780</v>
      </c>
      <c r="BL427" s="111" t="s">
        <v>4780</v>
      </c>
      <c r="BM427" s="111" t="s">
        <v>5251</v>
      </c>
      <c r="BN427" s="111" t="s">
        <v>5251</v>
      </c>
      <c r="BO427" s="2"/>
      <c r="BP427" s="3"/>
      <c r="BQ427" s="3"/>
      <c r="BR427" s="3"/>
      <c r="BS427" s="3"/>
    </row>
    <row r="428" spans="1:71" ht="15">
      <c r="A428" s="65" t="s">
        <v>651</v>
      </c>
      <c r="B428" s="66"/>
      <c r="C428" s="66"/>
      <c r="D428" s="67">
        <v>150</v>
      </c>
      <c r="E428" s="69"/>
      <c r="F428" s="103" t="str">
        <f>HYPERLINK("https://yt3.ggpht.com/ytc/AKedOLRBrY_QI41DoEMG3AhTN_PlRXZaoA3_zujtmfNEvw=s88-c-k-c0x00ffffff-no-rj")</f>
        <v>https://yt3.ggpht.com/ytc/AKedOLRBrY_QI41DoEMG3AhTN_PlRXZaoA3_zujtmfNEvw=s88-c-k-c0x00ffffff-no-rj</v>
      </c>
      <c r="G428" s="66"/>
      <c r="H428" s="70" t="s">
        <v>1979</v>
      </c>
      <c r="I428" s="71"/>
      <c r="J428" s="71" t="s">
        <v>159</v>
      </c>
      <c r="K428" s="70" t="s">
        <v>1979</v>
      </c>
      <c r="L428" s="74">
        <v>1</v>
      </c>
      <c r="M428" s="75">
        <v>2562.537353515625</v>
      </c>
      <c r="N428" s="75">
        <v>2022.608642578125</v>
      </c>
      <c r="O428" s="76"/>
      <c r="P428" s="77"/>
      <c r="Q428" s="77"/>
      <c r="R428" s="89"/>
      <c r="S428" s="49">
        <v>1</v>
      </c>
      <c r="T428" s="49">
        <v>1</v>
      </c>
      <c r="U428" s="50">
        <v>0</v>
      </c>
      <c r="V428" s="50">
        <v>0.00565</v>
      </c>
      <c r="W428" s="50">
        <v>0</v>
      </c>
      <c r="X428" s="50">
        <v>0.498142</v>
      </c>
      <c r="Y428" s="50">
        <v>0</v>
      </c>
      <c r="Z428" s="50">
        <v>1</v>
      </c>
      <c r="AA428" s="72">
        <v>428</v>
      </c>
      <c r="AB428" s="72"/>
      <c r="AC428" s="73"/>
      <c r="AD428" s="80" t="s">
        <v>1979</v>
      </c>
      <c r="AE428" s="80"/>
      <c r="AF428" s="80"/>
      <c r="AG428" s="80"/>
      <c r="AH428" s="80"/>
      <c r="AI428" s="80"/>
      <c r="AJ428" s="87">
        <v>42746.081238425926</v>
      </c>
      <c r="AK428" s="85" t="str">
        <f>HYPERLINK("https://yt3.ggpht.com/ytc/AKedOLRBrY_QI41DoEMG3AhTN_PlRXZaoA3_zujtmfNEvw=s88-c-k-c0x00ffffff-no-rj")</f>
        <v>https://yt3.ggpht.com/ytc/AKedOLRBrY_QI41DoEMG3AhTN_PlRXZaoA3_zujtmfNEvw=s88-c-k-c0x00ffffff-no-rj</v>
      </c>
      <c r="AL428" s="80">
        <v>0</v>
      </c>
      <c r="AM428" s="80">
        <v>0</v>
      </c>
      <c r="AN428" s="80">
        <v>4</v>
      </c>
      <c r="AO428" s="80" t="b">
        <v>0</v>
      </c>
      <c r="AP428" s="80">
        <v>0</v>
      </c>
      <c r="AQ428" s="80"/>
      <c r="AR428" s="80"/>
      <c r="AS428" s="80" t="s">
        <v>3412</v>
      </c>
      <c r="AT428" s="85" t="str">
        <f>HYPERLINK("https://www.youtube.com/channel/UCcZS64S5payPuqr38_1BCFg")</f>
        <v>https://www.youtube.com/channel/UCcZS64S5payPuqr38_1BCFg</v>
      </c>
      <c r="AU428" s="80" t="str">
        <f>REPLACE(INDEX(GroupVertices[Group],MATCH(Vertices[[#This Row],[Vertex]],GroupVertices[Vertex],0)),1,1,"")</f>
        <v>3</v>
      </c>
      <c r="AV428" s="49">
        <v>0</v>
      </c>
      <c r="AW428" s="50">
        <v>0</v>
      </c>
      <c r="AX428" s="49">
        <v>0</v>
      </c>
      <c r="AY428" s="50">
        <v>0</v>
      </c>
      <c r="AZ428" s="49">
        <v>0</v>
      </c>
      <c r="BA428" s="50">
        <v>0</v>
      </c>
      <c r="BB428" s="49">
        <v>18</v>
      </c>
      <c r="BC428" s="50">
        <v>100</v>
      </c>
      <c r="BD428" s="49">
        <v>18</v>
      </c>
      <c r="BE428" s="49"/>
      <c r="BF428" s="49"/>
      <c r="BG428" s="49"/>
      <c r="BH428" s="49"/>
      <c r="BI428" s="49"/>
      <c r="BJ428" s="49"/>
      <c r="BK428" s="111" t="s">
        <v>4781</v>
      </c>
      <c r="BL428" s="111" t="s">
        <v>4781</v>
      </c>
      <c r="BM428" s="111" t="s">
        <v>5252</v>
      </c>
      <c r="BN428" s="111" t="s">
        <v>5252</v>
      </c>
      <c r="BO428" s="2"/>
      <c r="BP428" s="3"/>
      <c r="BQ428" s="3"/>
      <c r="BR428" s="3"/>
      <c r="BS428" s="3"/>
    </row>
    <row r="429" spans="1:71" ht="15">
      <c r="A429" s="65" t="s">
        <v>652</v>
      </c>
      <c r="B429" s="66"/>
      <c r="C429" s="66"/>
      <c r="D429" s="67">
        <v>150</v>
      </c>
      <c r="E429" s="69"/>
      <c r="F429" s="103" t="str">
        <f>HYPERLINK("https://yt3.ggpht.com/ytc/AKedOLRvwAkpx8OL1kopSWGtSYSAuj9HuVaVMOMyUx4u=s88-c-k-c0x00ffffff-no-rj")</f>
        <v>https://yt3.ggpht.com/ytc/AKedOLRvwAkpx8OL1kopSWGtSYSAuj9HuVaVMOMyUx4u=s88-c-k-c0x00ffffff-no-rj</v>
      </c>
      <c r="G429" s="66"/>
      <c r="H429" s="70" t="s">
        <v>1980</v>
      </c>
      <c r="I429" s="71"/>
      <c r="J429" s="71" t="s">
        <v>159</v>
      </c>
      <c r="K429" s="70" t="s">
        <v>1980</v>
      </c>
      <c r="L429" s="74">
        <v>1</v>
      </c>
      <c r="M429" s="75">
        <v>1370.439453125</v>
      </c>
      <c r="N429" s="75">
        <v>2178.752197265625</v>
      </c>
      <c r="O429" s="76"/>
      <c r="P429" s="77"/>
      <c r="Q429" s="77"/>
      <c r="R429" s="89"/>
      <c r="S429" s="49">
        <v>1</v>
      </c>
      <c r="T429" s="49">
        <v>1</v>
      </c>
      <c r="U429" s="50">
        <v>0</v>
      </c>
      <c r="V429" s="50">
        <v>0.00565</v>
      </c>
      <c r="W429" s="50">
        <v>0</v>
      </c>
      <c r="X429" s="50">
        <v>0.498142</v>
      </c>
      <c r="Y429" s="50">
        <v>0</v>
      </c>
      <c r="Z429" s="50">
        <v>1</v>
      </c>
      <c r="AA429" s="72">
        <v>429</v>
      </c>
      <c r="AB429" s="72"/>
      <c r="AC429" s="73"/>
      <c r="AD429" s="80" t="s">
        <v>1980</v>
      </c>
      <c r="AE429" s="80"/>
      <c r="AF429" s="80"/>
      <c r="AG429" s="80"/>
      <c r="AH429" s="80"/>
      <c r="AI429" s="80"/>
      <c r="AJ429" s="80" t="s">
        <v>3348</v>
      </c>
      <c r="AK429" s="85" t="str">
        <f>HYPERLINK("https://yt3.ggpht.com/ytc/AKedOLRvwAkpx8OL1kopSWGtSYSAuj9HuVaVMOMyUx4u=s88-c-k-c0x00ffffff-no-rj")</f>
        <v>https://yt3.ggpht.com/ytc/AKedOLRvwAkpx8OL1kopSWGtSYSAuj9HuVaVMOMyUx4u=s88-c-k-c0x00ffffff-no-rj</v>
      </c>
      <c r="AL429" s="80">
        <v>0</v>
      </c>
      <c r="AM429" s="80">
        <v>0</v>
      </c>
      <c r="AN429" s="80">
        <v>44</v>
      </c>
      <c r="AO429" s="80" t="b">
        <v>0</v>
      </c>
      <c r="AP429" s="80">
        <v>0</v>
      </c>
      <c r="AQ429" s="80"/>
      <c r="AR429" s="80"/>
      <c r="AS429" s="80" t="s">
        <v>3412</v>
      </c>
      <c r="AT429" s="85" t="str">
        <f>HYPERLINK("https://www.youtube.com/channel/UCoPPC9D1NnQDCtKSJKTjYOw")</f>
        <v>https://www.youtube.com/channel/UCoPPC9D1NnQDCtKSJKTjYOw</v>
      </c>
      <c r="AU429" s="80" t="str">
        <f>REPLACE(INDEX(GroupVertices[Group],MATCH(Vertices[[#This Row],[Vertex]],GroupVertices[Vertex],0)),1,1,"")</f>
        <v>3</v>
      </c>
      <c r="AV429" s="49">
        <v>0</v>
      </c>
      <c r="AW429" s="50">
        <v>0</v>
      </c>
      <c r="AX429" s="49">
        <v>0</v>
      </c>
      <c r="AY429" s="50">
        <v>0</v>
      </c>
      <c r="AZ429" s="49">
        <v>0</v>
      </c>
      <c r="BA429" s="50">
        <v>0</v>
      </c>
      <c r="BB429" s="49">
        <v>80</v>
      </c>
      <c r="BC429" s="50">
        <v>100</v>
      </c>
      <c r="BD429" s="49">
        <v>80</v>
      </c>
      <c r="BE429" s="49"/>
      <c r="BF429" s="49"/>
      <c r="BG429" s="49"/>
      <c r="BH429" s="49"/>
      <c r="BI429" s="49"/>
      <c r="BJ429" s="49"/>
      <c r="BK429" s="111" t="s">
        <v>4782</v>
      </c>
      <c r="BL429" s="111" t="s">
        <v>4782</v>
      </c>
      <c r="BM429" s="111" t="s">
        <v>5253</v>
      </c>
      <c r="BN429" s="111" t="s">
        <v>5253</v>
      </c>
      <c r="BO429" s="2"/>
      <c r="BP429" s="3"/>
      <c r="BQ429" s="3"/>
      <c r="BR429" s="3"/>
      <c r="BS429" s="3"/>
    </row>
    <row r="430" spans="1:71" ht="15">
      <c r="A430" s="65" t="s">
        <v>653</v>
      </c>
      <c r="B430" s="66"/>
      <c r="C430" s="66"/>
      <c r="D430" s="67">
        <v>150</v>
      </c>
      <c r="E430" s="69"/>
      <c r="F430" s="103" t="str">
        <f>HYPERLINK("https://yt3.ggpht.com/ytc/AKedOLTUsqhgRyr5l22-mmjBgywPGmJorCqY2Ow2R0Zc=s88-c-k-c0x00ffffff-no-rj")</f>
        <v>https://yt3.ggpht.com/ytc/AKedOLTUsqhgRyr5l22-mmjBgywPGmJorCqY2Ow2R0Zc=s88-c-k-c0x00ffffff-no-rj</v>
      </c>
      <c r="G430" s="66"/>
      <c r="H430" s="70" t="s">
        <v>1981</v>
      </c>
      <c r="I430" s="71"/>
      <c r="J430" s="71" t="s">
        <v>159</v>
      </c>
      <c r="K430" s="70" t="s">
        <v>1981</v>
      </c>
      <c r="L430" s="74">
        <v>1</v>
      </c>
      <c r="M430" s="75">
        <v>1580.5069580078125</v>
      </c>
      <c r="N430" s="75">
        <v>2294.911865234375</v>
      </c>
      <c r="O430" s="76"/>
      <c r="P430" s="77"/>
      <c r="Q430" s="77"/>
      <c r="R430" s="89"/>
      <c r="S430" s="49">
        <v>0</v>
      </c>
      <c r="T430" s="49">
        <v>1</v>
      </c>
      <c r="U430" s="50">
        <v>0</v>
      </c>
      <c r="V430" s="50">
        <v>0.00565</v>
      </c>
      <c r="W430" s="50">
        <v>0</v>
      </c>
      <c r="X430" s="50">
        <v>0.498142</v>
      </c>
      <c r="Y430" s="50">
        <v>0</v>
      </c>
      <c r="Z430" s="50">
        <v>0</v>
      </c>
      <c r="AA430" s="72">
        <v>430</v>
      </c>
      <c r="AB430" s="72"/>
      <c r="AC430" s="73"/>
      <c r="AD430" s="80" t="s">
        <v>1981</v>
      </c>
      <c r="AE430" s="80" t="s">
        <v>2961</v>
      </c>
      <c r="AF430" s="80"/>
      <c r="AG430" s="80"/>
      <c r="AH430" s="80"/>
      <c r="AI430" s="80"/>
      <c r="AJ430" s="87">
        <v>42343.85358796296</v>
      </c>
      <c r="AK430" s="85" t="str">
        <f>HYPERLINK("https://yt3.ggpht.com/ytc/AKedOLTUsqhgRyr5l22-mmjBgywPGmJorCqY2Ow2R0Zc=s88-c-k-c0x00ffffff-no-rj")</f>
        <v>https://yt3.ggpht.com/ytc/AKedOLTUsqhgRyr5l22-mmjBgywPGmJorCqY2Ow2R0Zc=s88-c-k-c0x00ffffff-no-rj</v>
      </c>
      <c r="AL430" s="80">
        <v>38</v>
      </c>
      <c r="AM430" s="80">
        <v>0</v>
      </c>
      <c r="AN430" s="80">
        <v>4</v>
      </c>
      <c r="AO430" s="80" t="b">
        <v>0</v>
      </c>
      <c r="AP430" s="80">
        <v>2</v>
      </c>
      <c r="AQ430" s="80"/>
      <c r="AR430" s="80"/>
      <c r="AS430" s="80" t="s">
        <v>3412</v>
      </c>
      <c r="AT430" s="85" t="str">
        <f>HYPERLINK("https://www.youtube.com/channel/UCDbDnHE8fwWNgRNK7c8Nwog")</f>
        <v>https://www.youtube.com/channel/UCDbDnHE8fwWNgRNK7c8Nwog</v>
      </c>
      <c r="AU430" s="80" t="str">
        <f>REPLACE(INDEX(GroupVertices[Group],MATCH(Vertices[[#This Row],[Vertex]],GroupVertices[Vertex],0)),1,1,"")</f>
        <v>3</v>
      </c>
      <c r="AV430" s="49">
        <v>0</v>
      </c>
      <c r="AW430" s="50">
        <v>0</v>
      </c>
      <c r="AX430" s="49">
        <v>0</v>
      </c>
      <c r="AY430" s="50">
        <v>0</v>
      </c>
      <c r="AZ430" s="49">
        <v>0</v>
      </c>
      <c r="BA430" s="50">
        <v>0</v>
      </c>
      <c r="BB430" s="49">
        <v>0</v>
      </c>
      <c r="BC430" s="50">
        <v>0</v>
      </c>
      <c r="BD430" s="49">
        <v>0</v>
      </c>
      <c r="BE430" s="49"/>
      <c r="BF430" s="49"/>
      <c r="BG430" s="49"/>
      <c r="BH430" s="49"/>
      <c r="BI430" s="49"/>
      <c r="BJ430" s="49"/>
      <c r="BK430" s="111" t="s">
        <v>2782</v>
      </c>
      <c r="BL430" s="111" t="s">
        <v>2782</v>
      </c>
      <c r="BM430" s="111" t="s">
        <v>2782</v>
      </c>
      <c r="BN430" s="111" t="s">
        <v>2782</v>
      </c>
      <c r="BO430" s="2"/>
      <c r="BP430" s="3"/>
      <c r="BQ430" s="3"/>
      <c r="BR430" s="3"/>
      <c r="BS430" s="3"/>
    </row>
    <row r="431" spans="1:71" ht="15">
      <c r="A431" s="65" t="s">
        <v>654</v>
      </c>
      <c r="B431" s="66"/>
      <c r="C431" s="66"/>
      <c r="D431" s="67">
        <v>150</v>
      </c>
      <c r="E431" s="69"/>
      <c r="F431" s="103" t="str">
        <f>HYPERLINK("https://yt3.ggpht.com/ytc/AKedOLTokAnxDz_Tx0WlS1mDVydCF4Z-lZftKr6CFsTWvg=s88-c-k-c0x00ffffff-no-rj")</f>
        <v>https://yt3.ggpht.com/ytc/AKedOLTokAnxDz_Tx0WlS1mDVydCF4Z-lZftKr6CFsTWvg=s88-c-k-c0x00ffffff-no-rj</v>
      </c>
      <c r="G431" s="66"/>
      <c r="H431" s="70" t="s">
        <v>1982</v>
      </c>
      <c r="I431" s="71"/>
      <c r="J431" s="71" t="s">
        <v>159</v>
      </c>
      <c r="K431" s="70" t="s">
        <v>1982</v>
      </c>
      <c r="L431" s="74">
        <v>1</v>
      </c>
      <c r="M431" s="75">
        <v>1885.44921875</v>
      </c>
      <c r="N431" s="75">
        <v>575.6441650390625</v>
      </c>
      <c r="O431" s="76"/>
      <c r="P431" s="77"/>
      <c r="Q431" s="77"/>
      <c r="R431" s="89"/>
      <c r="S431" s="49">
        <v>1</v>
      </c>
      <c r="T431" s="49">
        <v>1</v>
      </c>
      <c r="U431" s="50">
        <v>0</v>
      </c>
      <c r="V431" s="50">
        <v>0.00565</v>
      </c>
      <c r="W431" s="50">
        <v>0</v>
      </c>
      <c r="X431" s="50">
        <v>0.498142</v>
      </c>
      <c r="Y431" s="50">
        <v>0</v>
      </c>
      <c r="Z431" s="50">
        <v>1</v>
      </c>
      <c r="AA431" s="72">
        <v>431</v>
      </c>
      <c r="AB431" s="72"/>
      <c r="AC431" s="73"/>
      <c r="AD431" s="80" t="s">
        <v>1982</v>
      </c>
      <c r="AE431" s="80"/>
      <c r="AF431" s="80"/>
      <c r="AG431" s="80"/>
      <c r="AH431" s="80"/>
      <c r="AI431" s="80"/>
      <c r="AJ431" s="80" t="s">
        <v>3349</v>
      </c>
      <c r="AK431" s="85" t="str">
        <f>HYPERLINK("https://yt3.ggpht.com/ytc/AKedOLTokAnxDz_Tx0WlS1mDVydCF4Z-lZftKr6CFsTWvg=s88-c-k-c0x00ffffff-no-rj")</f>
        <v>https://yt3.ggpht.com/ytc/AKedOLTokAnxDz_Tx0WlS1mDVydCF4Z-lZftKr6CFsTWvg=s88-c-k-c0x00ffffff-no-rj</v>
      </c>
      <c r="AL431" s="80">
        <v>0</v>
      </c>
      <c r="AM431" s="80">
        <v>0</v>
      </c>
      <c r="AN431" s="80">
        <v>2</v>
      </c>
      <c r="AO431" s="80" t="b">
        <v>0</v>
      </c>
      <c r="AP431" s="80">
        <v>0</v>
      </c>
      <c r="AQ431" s="80"/>
      <c r="AR431" s="80"/>
      <c r="AS431" s="80" t="s">
        <v>3412</v>
      </c>
      <c r="AT431" s="85" t="str">
        <f>HYPERLINK("https://www.youtube.com/channel/UChr2W5ZUUxJGwGuwyXPjGRw")</f>
        <v>https://www.youtube.com/channel/UChr2W5ZUUxJGwGuwyXPjGRw</v>
      </c>
      <c r="AU431" s="80" t="str">
        <f>REPLACE(INDEX(GroupVertices[Group],MATCH(Vertices[[#This Row],[Vertex]],GroupVertices[Vertex],0)),1,1,"")</f>
        <v>3</v>
      </c>
      <c r="AV431" s="49">
        <v>1</v>
      </c>
      <c r="AW431" s="50">
        <v>12.5</v>
      </c>
      <c r="AX431" s="49">
        <v>0</v>
      </c>
      <c r="AY431" s="50">
        <v>0</v>
      </c>
      <c r="AZ431" s="49">
        <v>0</v>
      </c>
      <c r="BA431" s="50">
        <v>0</v>
      </c>
      <c r="BB431" s="49">
        <v>7</v>
      </c>
      <c r="BC431" s="50">
        <v>87.5</v>
      </c>
      <c r="BD431" s="49">
        <v>8</v>
      </c>
      <c r="BE431" s="49"/>
      <c r="BF431" s="49"/>
      <c r="BG431" s="49"/>
      <c r="BH431" s="49"/>
      <c r="BI431" s="49"/>
      <c r="BJ431" s="49"/>
      <c r="BK431" s="111" t="s">
        <v>4783</v>
      </c>
      <c r="BL431" s="111" t="s">
        <v>4783</v>
      </c>
      <c r="BM431" s="111" t="s">
        <v>5254</v>
      </c>
      <c r="BN431" s="111" t="s">
        <v>5254</v>
      </c>
      <c r="BO431" s="2"/>
      <c r="BP431" s="3"/>
      <c r="BQ431" s="3"/>
      <c r="BR431" s="3"/>
      <c r="BS431" s="3"/>
    </row>
    <row r="432" spans="1:71" ht="15">
      <c r="A432" s="65" t="s">
        <v>655</v>
      </c>
      <c r="B432" s="66"/>
      <c r="C432" s="66"/>
      <c r="D432" s="67">
        <v>150</v>
      </c>
      <c r="E432" s="69"/>
      <c r="F432" s="103" t="str">
        <f>HYPERLINK("https://yt3.ggpht.com/ytc/AKedOLTh-QM2bqx2hJ6o0-paNopLZo-8yqZ4W4UjDwqwnw=s88-c-k-c0x00ffffff-no-rj")</f>
        <v>https://yt3.ggpht.com/ytc/AKedOLTh-QM2bqx2hJ6o0-paNopLZo-8yqZ4W4UjDwqwnw=s88-c-k-c0x00ffffff-no-rj</v>
      </c>
      <c r="G432" s="66"/>
      <c r="H432" s="70" t="s">
        <v>1983</v>
      </c>
      <c r="I432" s="71"/>
      <c r="J432" s="71" t="s">
        <v>159</v>
      </c>
      <c r="K432" s="70" t="s">
        <v>1983</v>
      </c>
      <c r="L432" s="74">
        <v>1</v>
      </c>
      <c r="M432" s="75">
        <v>1013.593994140625</v>
      </c>
      <c r="N432" s="75">
        <v>1286.35302734375</v>
      </c>
      <c r="O432" s="76"/>
      <c r="P432" s="77"/>
      <c r="Q432" s="77"/>
      <c r="R432" s="89"/>
      <c r="S432" s="49">
        <v>1</v>
      </c>
      <c r="T432" s="49">
        <v>1</v>
      </c>
      <c r="U432" s="50">
        <v>0</v>
      </c>
      <c r="V432" s="50">
        <v>0.00565</v>
      </c>
      <c r="W432" s="50">
        <v>0</v>
      </c>
      <c r="X432" s="50">
        <v>0.498142</v>
      </c>
      <c r="Y432" s="50">
        <v>0</v>
      </c>
      <c r="Z432" s="50">
        <v>1</v>
      </c>
      <c r="AA432" s="72">
        <v>432</v>
      </c>
      <c r="AB432" s="72"/>
      <c r="AC432" s="73"/>
      <c r="AD432" s="80" t="s">
        <v>1983</v>
      </c>
      <c r="AE432" s="80" t="s">
        <v>2962</v>
      </c>
      <c r="AF432" s="80"/>
      <c r="AG432" s="80"/>
      <c r="AH432" s="80"/>
      <c r="AI432" s="80"/>
      <c r="AJ432" s="87">
        <v>41550.54814814815</v>
      </c>
      <c r="AK432" s="85" t="str">
        <f>HYPERLINK("https://yt3.ggpht.com/ytc/AKedOLTh-QM2bqx2hJ6o0-paNopLZo-8yqZ4W4UjDwqwnw=s88-c-k-c0x00ffffff-no-rj")</f>
        <v>https://yt3.ggpht.com/ytc/AKedOLTh-QM2bqx2hJ6o0-paNopLZo-8yqZ4W4UjDwqwnw=s88-c-k-c0x00ffffff-no-rj</v>
      </c>
      <c r="AL432" s="80">
        <v>0</v>
      </c>
      <c r="AM432" s="80">
        <v>0</v>
      </c>
      <c r="AN432" s="80">
        <v>67</v>
      </c>
      <c r="AO432" s="80" t="b">
        <v>0</v>
      </c>
      <c r="AP432" s="80">
        <v>0</v>
      </c>
      <c r="AQ432" s="80"/>
      <c r="AR432" s="80"/>
      <c r="AS432" s="80" t="s">
        <v>3412</v>
      </c>
      <c r="AT432" s="85" t="str">
        <f>HYPERLINK("https://www.youtube.com/channel/UCdNaLUj1g121JiHM_z0CUlg")</f>
        <v>https://www.youtube.com/channel/UCdNaLUj1g121JiHM_z0CUlg</v>
      </c>
      <c r="AU432" s="80" t="str">
        <f>REPLACE(INDEX(GroupVertices[Group],MATCH(Vertices[[#This Row],[Vertex]],GroupVertices[Vertex],0)),1,1,"")</f>
        <v>3</v>
      </c>
      <c r="AV432" s="49">
        <v>9</v>
      </c>
      <c r="AW432" s="50">
        <v>12.162162162162161</v>
      </c>
      <c r="AX432" s="49">
        <v>0</v>
      </c>
      <c r="AY432" s="50">
        <v>0</v>
      </c>
      <c r="AZ432" s="49">
        <v>0</v>
      </c>
      <c r="BA432" s="50">
        <v>0</v>
      </c>
      <c r="BB432" s="49">
        <v>65</v>
      </c>
      <c r="BC432" s="50">
        <v>87.83783783783784</v>
      </c>
      <c r="BD432" s="49">
        <v>74</v>
      </c>
      <c r="BE432" s="49"/>
      <c r="BF432" s="49"/>
      <c r="BG432" s="49"/>
      <c r="BH432" s="49"/>
      <c r="BI432" s="49"/>
      <c r="BJ432" s="49"/>
      <c r="BK432" s="111" t="s">
        <v>4784</v>
      </c>
      <c r="BL432" s="111" t="s">
        <v>4784</v>
      </c>
      <c r="BM432" s="111" t="s">
        <v>5255</v>
      </c>
      <c r="BN432" s="111" t="s">
        <v>5255</v>
      </c>
      <c r="BO432" s="2"/>
      <c r="BP432" s="3"/>
      <c r="BQ432" s="3"/>
      <c r="BR432" s="3"/>
      <c r="BS432" s="3"/>
    </row>
    <row r="433" spans="1:71" ht="15">
      <c r="A433" s="65" t="s">
        <v>656</v>
      </c>
      <c r="B433" s="66"/>
      <c r="C433" s="66"/>
      <c r="D433" s="67">
        <v>150</v>
      </c>
      <c r="E433" s="69"/>
      <c r="F433" s="103" t="str">
        <f>HYPERLINK("https://yt3.ggpht.com/ytc/AKedOLTTGO5AwsfDMd9kWWipeCBWMTadBJ5b1JNR1UB98A=s88-c-k-c0x00ffffff-no-rj")</f>
        <v>https://yt3.ggpht.com/ytc/AKedOLTTGO5AwsfDMd9kWWipeCBWMTadBJ5b1JNR1UB98A=s88-c-k-c0x00ffffff-no-rj</v>
      </c>
      <c r="G433" s="66"/>
      <c r="H433" s="70" t="s">
        <v>1984</v>
      </c>
      <c r="I433" s="71"/>
      <c r="J433" s="71" t="s">
        <v>159</v>
      </c>
      <c r="K433" s="70" t="s">
        <v>1984</v>
      </c>
      <c r="L433" s="74">
        <v>1</v>
      </c>
      <c r="M433" s="75">
        <v>2057.84130859375</v>
      </c>
      <c r="N433" s="75">
        <v>888.3211059570312</v>
      </c>
      <c r="O433" s="76"/>
      <c r="P433" s="77"/>
      <c r="Q433" s="77"/>
      <c r="R433" s="89"/>
      <c r="S433" s="49">
        <v>1</v>
      </c>
      <c r="T433" s="49">
        <v>1</v>
      </c>
      <c r="U433" s="50">
        <v>0</v>
      </c>
      <c r="V433" s="50">
        <v>0.00565</v>
      </c>
      <c r="W433" s="50">
        <v>0</v>
      </c>
      <c r="X433" s="50">
        <v>0.498142</v>
      </c>
      <c r="Y433" s="50">
        <v>0</v>
      </c>
      <c r="Z433" s="50">
        <v>1</v>
      </c>
      <c r="AA433" s="72">
        <v>433</v>
      </c>
      <c r="AB433" s="72"/>
      <c r="AC433" s="73"/>
      <c r="AD433" s="80" t="s">
        <v>1984</v>
      </c>
      <c r="AE433" s="80"/>
      <c r="AF433" s="80"/>
      <c r="AG433" s="80"/>
      <c r="AH433" s="80"/>
      <c r="AI433" s="80"/>
      <c r="AJ433" s="87">
        <v>42407.02836805556</v>
      </c>
      <c r="AK433" s="85" t="str">
        <f>HYPERLINK("https://yt3.ggpht.com/ytc/AKedOLTTGO5AwsfDMd9kWWipeCBWMTadBJ5b1JNR1UB98A=s88-c-k-c0x00ffffff-no-rj")</f>
        <v>https://yt3.ggpht.com/ytc/AKedOLTTGO5AwsfDMd9kWWipeCBWMTadBJ5b1JNR1UB98A=s88-c-k-c0x00ffffff-no-rj</v>
      </c>
      <c r="AL433" s="80">
        <v>0</v>
      </c>
      <c r="AM433" s="80">
        <v>0</v>
      </c>
      <c r="AN433" s="80">
        <v>0</v>
      </c>
      <c r="AO433" s="80" t="b">
        <v>0</v>
      </c>
      <c r="AP433" s="80">
        <v>0</v>
      </c>
      <c r="AQ433" s="80"/>
      <c r="AR433" s="80"/>
      <c r="AS433" s="80" t="s">
        <v>3412</v>
      </c>
      <c r="AT433" s="85" t="str">
        <f>HYPERLINK("https://www.youtube.com/channel/UCtqb24bCSdxnEkcQQLR2pMA")</f>
        <v>https://www.youtube.com/channel/UCtqb24bCSdxnEkcQQLR2pMA</v>
      </c>
      <c r="AU433" s="80" t="str">
        <f>REPLACE(INDEX(GroupVertices[Group],MATCH(Vertices[[#This Row],[Vertex]],GroupVertices[Vertex],0)),1,1,"")</f>
        <v>3</v>
      </c>
      <c r="AV433" s="49">
        <v>2</v>
      </c>
      <c r="AW433" s="50">
        <v>7.407407407407407</v>
      </c>
      <c r="AX433" s="49">
        <v>0</v>
      </c>
      <c r="AY433" s="50">
        <v>0</v>
      </c>
      <c r="AZ433" s="49">
        <v>0</v>
      </c>
      <c r="BA433" s="50">
        <v>0</v>
      </c>
      <c r="BB433" s="49">
        <v>25</v>
      </c>
      <c r="BC433" s="50">
        <v>92.5925925925926</v>
      </c>
      <c r="BD433" s="49">
        <v>27</v>
      </c>
      <c r="BE433" s="49"/>
      <c r="BF433" s="49"/>
      <c r="BG433" s="49"/>
      <c r="BH433" s="49"/>
      <c r="BI433" s="49"/>
      <c r="BJ433" s="49"/>
      <c r="BK433" s="111" t="s">
        <v>4785</v>
      </c>
      <c r="BL433" s="111" t="s">
        <v>4785</v>
      </c>
      <c r="BM433" s="111" t="s">
        <v>5256</v>
      </c>
      <c r="BN433" s="111" t="s">
        <v>5256</v>
      </c>
      <c r="BO433" s="2"/>
      <c r="BP433" s="3"/>
      <c r="BQ433" s="3"/>
      <c r="BR433" s="3"/>
      <c r="BS433" s="3"/>
    </row>
    <row r="434" spans="1:71" ht="15">
      <c r="A434" s="65" t="s">
        <v>657</v>
      </c>
      <c r="B434" s="66"/>
      <c r="C434" s="66"/>
      <c r="D434" s="67">
        <v>150</v>
      </c>
      <c r="E434" s="69"/>
      <c r="F434" s="103" t="str">
        <f>HYPERLINK("https://yt3.ggpht.com/ytc/AKedOLSwMtn6pgBOyUdY3A_4WjFvHV1n5Q0V6NJjivPtJA=s88-c-k-c0x00ffffff-no-rj")</f>
        <v>https://yt3.ggpht.com/ytc/AKedOLSwMtn6pgBOyUdY3A_4WjFvHV1n5Q0V6NJjivPtJA=s88-c-k-c0x00ffffff-no-rj</v>
      </c>
      <c r="G434" s="66"/>
      <c r="H434" s="70" t="s">
        <v>1985</v>
      </c>
      <c r="I434" s="71"/>
      <c r="J434" s="71" t="s">
        <v>159</v>
      </c>
      <c r="K434" s="70" t="s">
        <v>1985</v>
      </c>
      <c r="L434" s="74">
        <v>1</v>
      </c>
      <c r="M434" s="75">
        <v>1754.5430908203125</v>
      </c>
      <c r="N434" s="75">
        <v>1050.7174072265625</v>
      </c>
      <c r="O434" s="76"/>
      <c r="P434" s="77"/>
      <c r="Q434" s="77"/>
      <c r="R434" s="89"/>
      <c r="S434" s="49">
        <v>0</v>
      </c>
      <c r="T434" s="49">
        <v>1</v>
      </c>
      <c r="U434" s="50">
        <v>0</v>
      </c>
      <c r="V434" s="50">
        <v>0.00565</v>
      </c>
      <c r="W434" s="50">
        <v>0</v>
      </c>
      <c r="X434" s="50">
        <v>0.498142</v>
      </c>
      <c r="Y434" s="50">
        <v>0</v>
      </c>
      <c r="Z434" s="50">
        <v>0</v>
      </c>
      <c r="AA434" s="72">
        <v>434</v>
      </c>
      <c r="AB434" s="72"/>
      <c r="AC434" s="73"/>
      <c r="AD434" s="80" t="s">
        <v>1985</v>
      </c>
      <c r="AE434" s="80"/>
      <c r="AF434" s="80"/>
      <c r="AG434" s="80"/>
      <c r="AH434" s="80"/>
      <c r="AI434" s="80"/>
      <c r="AJ434" s="87">
        <v>43016.54945601852</v>
      </c>
      <c r="AK434" s="85" t="str">
        <f>HYPERLINK("https://yt3.ggpht.com/ytc/AKedOLSwMtn6pgBOyUdY3A_4WjFvHV1n5Q0V6NJjivPtJA=s88-c-k-c0x00ffffff-no-rj")</f>
        <v>https://yt3.ggpht.com/ytc/AKedOLSwMtn6pgBOyUdY3A_4WjFvHV1n5Q0V6NJjivPtJA=s88-c-k-c0x00ffffff-no-rj</v>
      </c>
      <c r="AL434" s="80">
        <v>0</v>
      </c>
      <c r="AM434" s="80">
        <v>0</v>
      </c>
      <c r="AN434" s="80">
        <v>0</v>
      </c>
      <c r="AO434" s="80" t="b">
        <v>0</v>
      </c>
      <c r="AP434" s="80">
        <v>0</v>
      </c>
      <c r="AQ434" s="80"/>
      <c r="AR434" s="80"/>
      <c r="AS434" s="80" t="s">
        <v>3412</v>
      </c>
      <c r="AT434" s="85" t="str">
        <f>HYPERLINK("https://www.youtube.com/channel/UCFMHocMbkfmF0YiiyozVYZA")</f>
        <v>https://www.youtube.com/channel/UCFMHocMbkfmF0YiiyozVYZA</v>
      </c>
      <c r="AU434" s="80" t="str">
        <f>REPLACE(INDEX(GroupVertices[Group],MATCH(Vertices[[#This Row],[Vertex]],GroupVertices[Vertex],0)),1,1,"")</f>
        <v>3</v>
      </c>
      <c r="AV434" s="49">
        <v>1</v>
      </c>
      <c r="AW434" s="50">
        <v>7.142857142857143</v>
      </c>
      <c r="AX434" s="49">
        <v>0</v>
      </c>
      <c r="AY434" s="50">
        <v>0</v>
      </c>
      <c r="AZ434" s="49">
        <v>0</v>
      </c>
      <c r="BA434" s="50">
        <v>0</v>
      </c>
      <c r="BB434" s="49">
        <v>13</v>
      </c>
      <c r="BC434" s="50">
        <v>92.85714285714286</v>
      </c>
      <c r="BD434" s="49">
        <v>14</v>
      </c>
      <c r="BE434" s="49"/>
      <c r="BF434" s="49"/>
      <c r="BG434" s="49"/>
      <c r="BH434" s="49"/>
      <c r="BI434" s="49"/>
      <c r="BJ434" s="49"/>
      <c r="BK434" s="111" t="s">
        <v>4786</v>
      </c>
      <c r="BL434" s="111" t="s">
        <v>4786</v>
      </c>
      <c r="BM434" s="111" t="s">
        <v>5257</v>
      </c>
      <c r="BN434" s="111" t="s">
        <v>5257</v>
      </c>
      <c r="BO434" s="2"/>
      <c r="BP434" s="3"/>
      <c r="BQ434" s="3"/>
      <c r="BR434" s="3"/>
      <c r="BS434" s="3"/>
    </row>
    <row r="435" spans="1:71" ht="15">
      <c r="A435" s="65" t="s">
        <v>658</v>
      </c>
      <c r="B435" s="66"/>
      <c r="C435" s="66"/>
      <c r="D435" s="67">
        <v>150</v>
      </c>
      <c r="E435" s="69"/>
      <c r="F435" s="103" t="str">
        <f>HYPERLINK("https://yt3.ggpht.com/ytc/AKedOLQci1Vvgoj31YzYYQlf7YeBR4qTYidoZM3O5054hA=s88-c-k-c0x00ffffff-no-rj")</f>
        <v>https://yt3.ggpht.com/ytc/AKedOLQci1Vvgoj31YzYYQlf7YeBR4qTYidoZM3O5054hA=s88-c-k-c0x00ffffff-no-rj</v>
      </c>
      <c r="G435" s="66"/>
      <c r="H435" s="70" t="s">
        <v>1986</v>
      </c>
      <c r="I435" s="71"/>
      <c r="J435" s="71" t="s">
        <v>159</v>
      </c>
      <c r="K435" s="70" t="s">
        <v>1986</v>
      </c>
      <c r="L435" s="74">
        <v>1</v>
      </c>
      <c r="M435" s="75">
        <v>1661.12890625</v>
      </c>
      <c r="N435" s="75">
        <v>2050.491455078125</v>
      </c>
      <c r="O435" s="76"/>
      <c r="P435" s="77"/>
      <c r="Q435" s="77"/>
      <c r="R435" s="89"/>
      <c r="S435" s="49">
        <v>1</v>
      </c>
      <c r="T435" s="49">
        <v>1</v>
      </c>
      <c r="U435" s="50">
        <v>0</v>
      </c>
      <c r="V435" s="50">
        <v>0.00565</v>
      </c>
      <c r="W435" s="50">
        <v>0</v>
      </c>
      <c r="X435" s="50">
        <v>0.498142</v>
      </c>
      <c r="Y435" s="50">
        <v>0</v>
      </c>
      <c r="Z435" s="50">
        <v>1</v>
      </c>
      <c r="AA435" s="72">
        <v>435</v>
      </c>
      <c r="AB435" s="72"/>
      <c r="AC435" s="73"/>
      <c r="AD435" s="80" t="s">
        <v>1986</v>
      </c>
      <c r="AE435" s="80"/>
      <c r="AF435" s="80"/>
      <c r="AG435" s="80"/>
      <c r="AH435" s="80"/>
      <c r="AI435" s="80"/>
      <c r="AJ435" s="80" t="s">
        <v>3350</v>
      </c>
      <c r="AK435" s="85" t="str">
        <f>HYPERLINK("https://yt3.ggpht.com/ytc/AKedOLQci1Vvgoj31YzYYQlf7YeBR4qTYidoZM3O5054hA=s88-c-k-c0x00ffffff-no-rj")</f>
        <v>https://yt3.ggpht.com/ytc/AKedOLQci1Vvgoj31YzYYQlf7YeBR4qTYidoZM3O5054hA=s88-c-k-c0x00ffffff-no-rj</v>
      </c>
      <c r="AL435" s="80">
        <v>0</v>
      </c>
      <c r="AM435" s="80">
        <v>0</v>
      </c>
      <c r="AN435" s="80">
        <v>16</v>
      </c>
      <c r="AO435" s="80" t="b">
        <v>0</v>
      </c>
      <c r="AP435" s="80">
        <v>0</v>
      </c>
      <c r="AQ435" s="80"/>
      <c r="AR435" s="80"/>
      <c r="AS435" s="80" t="s">
        <v>3412</v>
      </c>
      <c r="AT435" s="85" t="str">
        <f>HYPERLINK("https://www.youtube.com/channel/UCroL4lQdZE0O3aZuklwBheA")</f>
        <v>https://www.youtube.com/channel/UCroL4lQdZE0O3aZuklwBheA</v>
      </c>
      <c r="AU435" s="80" t="str">
        <f>REPLACE(INDEX(GroupVertices[Group],MATCH(Vertices[[#This Row],[Vertex]],GroupVertices[Vertex],0)),1,1,"")</f>
        <v>3</v>
      </c>
      <c r="AV435" s="49">
        <v>1</v>
      </c>
      <c r="AW435" s="50">
        <v>3.8461538461538463</v>
      </c>
      <c r="AX435" s="49">
        <v>0</v>
      </c>
      <c r="AY435" s="50">
        <v>0</v>
      </c>
      <c r="AZ435" s="49">
        <v>0</v>
      </c>
      <c r="BA435" s="50">
        <v>0</v>
      </c>
      <c r="BB435" s="49">
        <v>25</v>
      </c>
      <c r="BC435" s="50">
        <v>96.15384615384616</v>
      </c>
      <c r="BD435" s="49">
        <v>26</v>
      </c>
      <c r="BE435" s="49"/>
      <c r="BF435" s="49"/>
      <c r="BG435" s="49"/>
      <c r="BH435" s="49"/>
      <c r="BI435" s="49"/>
      <c r="BJ435" s="49"/>
      <c r="BK435" s="111" t="s">
        <v>4787</v>
      </c>
      <c r="BL435" s="111" t="s">
        <v>4787</v>
      </c>
      <c r="BM435" s="111" t="s">
        <v>5258</v>
      </c>
      <c r="BN435" s="111" t="s">
        <v>5258</v>
      </c>
      <c r="BO435" s="2"/>
      <c r="BP435" s="3"/>
      <c r="BQ435" s="3"/>
      <c r="BR435" s="3"/>
      <c r="BS435" s="3"/>
    </row>
    <row r="436" spans="1:71" ht="15">
      <c r="A436" s="65" t="s">
        <v>659</v>
      </c>
      <c r="B436" s="66"/>
      <c r="C436" s="66"/>
      <c r="D436" s="67">
        <v>150</v>
      </c>
      <c r="E436" s="69"/>
      <c r="F436" s="103" t="str">
        <f>HYPERLINK("https://yt3.ggpht.com/ytc/AKedOLSI4Gk4t5_Vs9GwBo9YH9y0GT_sLTwm9A7Ogzds=s88-c-k-c0x00ffffff-no-rj")</f>
        <v>https://yt3.ggpht.com/ytc/AKedOLSI4Gk4t5_Vs9GwBo9YH9y0GT_sLTwm9A7Ogzds=s88-c-k-c0x00ffffff-no-rj</v>
      </c>
      <c r="G436" s="66"/>
      <c r="H436" s="70" t="s">
        <v>1987</v>
      </c>
      <c r="I436" s="71"/>
      <c r="J436" s="71" t="s">
        <v>159</v>
      </c>
      <c r="K436" s="70" t="s">
        <v>1987</v>
      </c>
      <c r="L436" s="74">
        <v>1</v>
      </c>
      <c r="M436" s="75">
        <v>2794.60009765625</v>
      </c>
      <c r="N436" s="75">
        <v>998.76953125</v>
      </c>
      <c r="O436" s="76"/>
      <c r="P436" s="77"/>
      <c r="Q436" s="77"/>
      <c r="R436" s="89"/>
      <c r="S436" s="49">
        <v>1</v>
      </c>
      <c r="T436" s="49">
        <v>1</v>
      </c>
      <c r="U436" s="50">
        <v>0</v>
      </c>
      <c r="V436" s="50">
        <v>0.00565</v>
      </c>
      <c r="W436" s="50">
        <v>0</v>
      </c>
      <c r="X436" s="50">
        <v>0.498142</v>
      </c>
      <c r="Y436" s="50">
        <v>0</v>
      </c>
      <c r="Z436" s="50">
        <v>1</v>
      </c>
      <c r="AA436" s="72">
        <v>436</v>
      </c>
      <c r="AB436" s="72"/>
      <c r="AC436" s="73"/>
      <c r="AD436" s="80" t="s">
        <v>1987</v>
      </c>
      <c r="AE436" s="80"/>
      <c r="AF436" s="80"/>
      <c r="AG436" s="80"/>
      <c r="AH436" s="80"/>
      <c r="AI436" s="80"/>
      <c r="AJ436" s="80" t="s">
        <v>3351</v>
      </c>
      <c r="AK436" s="85" t="str">
        <f>HYPERLINK("https://yt3.ggpht.com/ytc/AKedOLSI4Gk4t5_Vs9GwBo9YH9y0GT_sLTwm9A7Ogzds=s88-c-k-c0x00ffffff-no-rj")</f>
        <v>https://yt3.ggpht.com/ytc/AKedOLSI4Gk4t5_Vs9GwBo9YH9y0GT_sLTwm9A7Ogzds=s88-c-k-c0x00ffffff-no-rj</v>
      </c>
      <c r="AL436" s="80">
        <v>16</v>
      </c>
      <c r="AM436" s="80">
        <v>0</v>
      </c>
      <c r="AN436" s="80">
        <v>0</v>
      </c>
      <c r="AO436" s="80" t="b">
        <v>0</v>
      </c>
      <c r="AP436" s="80">
        <v>1</v>
      </c>
      <c r="AQ436" s="80"/>
      <c r="AR436" s="80"/>
      <c r="AS436" s="80" t="s">
        <v>3412</v>
      </c>
      <c r="AT436" s="85" t="str">
        <f>HYPERLINK("https://www.youtube.com/channel/UCsoD8hpsvu01rtHhlgqKIOw")</f>
        <v>https://www.youtube.com/channel/UCsoD8hpsvu01rtHhlgqKIOw</v>
      </c>
      <c r="AU436" s="80" t="str">
        <f>REPLACE(INDEX(GroupVertices[Group],MATCH(Vertices[[#This Row],[Vertex]],GroupVertices[Vertex],0)),1,1,"")</f>
        <v>3</v>
      </c>
      <c r="AV436" s="49">
        <v>0</v>
      </c>
      <c r="AW436" s="50">
        <v>0</v>
      </c>
      <c r="AX436" s="49">
        <v>0</v>
      </c>
      <c r="AY436" s="50">
        <v>0</v>
      </c>
      <c r="AZ436" s="49">
        <v>0</v>
      </c>
      <c r="BA436" s="50">
        <v>0</v>
      </c>
      <c r="BB436" s="49">
        <v>16</v>
      </c>
      <c r="BC436" s="50">
        <v>100</v>
      </c>
      <c r="BD436" s="49">
        <v>16</v>
      </c>
      <c r="BE436" s="49"/>
      <c r="BF436" s="49"/>
      <c r="BG436" s="49"/>
      <c r="BH436" s="49"/>
      <c r="BI436" s="49"/>
      <c r="BJ436" s="49"/>
      <c r="BK436" s="111" t="s">
        <v>4788</v>
      </c>
      <c r="BL436" s="111" t="s">
        <v>4788</v>
      </c>
      <c r="BM436" s="111" t="s">
        <v>5259</v>
      </c>
      <c r="BN436" s="111" t="s">
        <v>5259</v>
      </c>
      <c r="BO436" s="2"/>
      <c r="BP436" s="3"/>
      <c r="BQ436" s="3"/>
      <c r="BR436" s="3"/>
      <c r="BS436" s="3"/>
    </row>
    <row r="437" spans="1:71" ht="15">
      <c r="A437" s="65" t="s">
        <v>660</v>
      </c>
      <c r="B437" s="66"/>
      <c r="C437" s="66"/>
      <c r="D437" s="67">
        <v>150</v>
      </c>
      <c r="E437" s="69"/>
      <c r="F437" s="103" t="str">
        <f>HYPERLINK("https://yt3.ggpht.com/ytc/AKedOLTK-tnYzDpxN30ZAbroBVWwX8n0vZAk3J1ppQ-A=s88-c-k-c0x00ffffff-no-rj")</f>
        <v>https://yt3.ggpht.com/ytc/AKedOLTK-tnYzDpxN30ZAbroBVWwX8n0vZAk3J1ppQ-A=s88-c-k-c0x00ffffff-no-rj</v>
      </c>
      <c r="G437" s="66"/>
      <c r="H437" s="70" t="s">
        <v>1988</v>
      </c>
      <c r="I437" s="71"/>
      <c r="J437" s="71" t="s">
        <v>159</v>
      </c>
      <c r="K437" s="70" t="s">
        <v>1988</v>
      </c>
      <c r="L437" s="74">
        <v>1</v>
      </c>
      <c r="M437" s="75">
        <v>2091.720703125</v>
      </c>
      <c r="N437" s="75">
        <v>2367.38037109375</v>
      </c>
      <c r="O437" s="76"/>
      <c r="P437" s="77"/>
      <c r="Q437" s="77"/>
      <c r="R437" s="89"/>
      <c r="S437" s="49">
        <v>2</v>
      </c>
      <c r="T437" s="49">
        <v>2</v>
      </c>
      <c r="U437" s="50">
        <v>0</v>
      </c>
      <c r="V437" s="50">
        <v>0.00565</v>
      </c>
      <c r="W437" s="50">
        <v>0</v>
      </c>
      <c r="X437" s="50">
        <v>0.866333</v>
      </c>
      <c r="Y437" s="50">
        <v>0</v>
      </c>
      <c r="Z437" s="50">
        <v>1</v>
      </c>
      <c r="AA437" s="72">
        <v>437</v>
      </c>
      <c r="AB437" s="72"/>
      <c r="AC437" s="73"/>
      <c r="AD437" s="80" t="s">
        <v>1988</v>
      </c>
      <c r="AE437" s="80" t="s">
        <v>2963</v>
      </c>
      <c r="AF437" s="80"/>
      <c r="AG437" s="80"/>
      <c r="AH437" s="80"/>
      <c r="AI437" s="80"/>
      <c r="AJ437" s="80" t="s">
        <v>3352</v>
      </c>
      <c r="AK437" s="85" t="str">
        <f>HYPERLINK("https://yt3.ggpht.com/ytc/AKedOLTK-tnYzDpxN30ZAbroBVWwX8n0vZAk3J1ppQ-A=s88-c-k-c0x00ffffff-no-rj")</f>
        <v>https://yt3.ggpht.com/ytc/AKedOLTK-tnYzDpxN30ZAbroBVWwX8n0vZAk3J1ppQ-A=s88-c-k-c0x00ffffff-no-rj</v>
      </c>
      <c r="AL437" s="80">
        <v>0</v>
      </c>
      <c r="AM437" s="80">
        <v>0</v>
      </c>
      <c r="AN437" s="80">
        <v>1</v>
      </c>
      <c r="AO437" s="80" t="b">
        <v>0</v>
      </c>
      <c r="AP437" s="80">
        <v>0</v>
      </c>
      <c r="AQ437" s="80"/>
      <c r="AR437" s="80"/>
      <c r="AS437" s="80" t="s">
        <v>3412</v>
      </c>
      <c r="AT437" s="85" t="str">
        <f>HYPERLINK("https://www.youtube.com/channel/UCbqFE9BJW8BhDn4gRxo3iKw")</f>
        <v>https://www.youtube.com/channel/UCbqFE9BJW8BhDn4gRxo3iKw</v>
      </c>
      <c r="AU437" s="80" t="str">
        <f>REPLACE(INDEX(GroupVertices[Group],MATCH(Vertices[[#This Row],[Vertex]],GroupVertices[Vertex],0)),1,1,"")</f>
        <v>3</v>
      </c>
      <c r="AV437" s="49">
        <v>3</v>
      </c>
      <c r="AW437" s="50">
        <v>5.555555555555555</v>
      </c>
      <c r="AX437" s="49">
        <v>1</v>
      </c>
      <c r="AY437" s="50">
        <v>1.8518518518518519</v>
      </c>
      <c r="AZ437" s="49">
        <v>0</v>
      </c>
      <c r="BA437" s="50">
        <v>0</v>
      </c>
      <c r="BB437" s="49">
        <v>50</v>
      </c>
      <c r="BC437" s="50">
        <v>92.5925925925926</v>
      </c>
      <c r="BD437" s="49">
        <v>54</v>
      </c>
      <c r="BE437" s="49"/>
      <c r="BF437" s="49"/>
      <c r="BG437" s="49"/>
      <c r="BH437" s="49"/>
      <c r="BI437" s="49"/>
      <c r="BJ437" s="49"/>
      <c r="BK437" s="111" t="s">
        <v>4789</v>
      </c>
      <c r="BL437" s="111" t="s">
        <v>4888</v>
      </c>
      <c r="BM437" s="111" t="s">
        <v>5260</v>
      </c>
      <c r="BN437" s="111" t="s">
        <v>5260</v>
      </c>
      <c r="BO437" s="2"/>
      <c r="BP437" s="3"/>
      <c r="BQ437" s="3"/>
      <c r="BR437" s="3"/>
      <c r="BS437" s="3"/>
    </row>
    <row r="438" spans="1:71" ht="15">
      <c r="A438" s="65" t="s">
        <v>661</v>
      </c>
      <c r="B438" s="66"/>
      <c r="C438" s="66"/>
      <c r="D438" s="67">
        <v>150</v>
      </c>
      <c r="E438" s="69"/>
      <c r="F438" s="103" t="str">
        <f>HYPERLINK("https://yt3.ggpht.com/ytc/AKedOLSUfNcJV4XwcQob5UCt5ePE8eaGRGOmYqp74huqjw=s88-c-k-c0x00ffffff-no-rj")</f>
        <v>https://yt3.ggpht.com/ytc/AKedOLSUfNcJV4XwcQob5UCt5ePE8eaGRGOmYqp74huqjw=s88-c-k-c0x00ffffff-no-rj</v>
      </c>
      <c r="G438" s="66"/>
      <c r="H438" s="70" t="s">
        <v>1989</v>
      </c>
      <c r="I438" s="71"/>
      <c r="J438" s="71" t="s">
        <v>159</v>
      </c>
      <c r="K438" s="70" t="s">
        <v>1989</v>
      </c>
      <c r="L438" s="74">
        <v>1</v>
      </c>
      <c r="M438" s="75">
        <v>1384.823974609375</v>
      </c>
      <c r="N438" s="75">
        <v>1912.099365234375</v>
      </c>
      <c r="O438" s="76"/>
      <c r="P438" s="77"/>
      <c r="Q438" s="77"/>
      <c r="R438" s="89"/>
      <c r="S438" s="49">
        <v>0</v>
      </c>
      <c r="T438" s="49">
        <v>1</v>
      </c>
      <c r="U438" s="50">
        <v>0</v>
      </c>
      <c r="V438" s="50">
        <v>0.00565</v>
      </c>
      <c r="W438" s="50">
        <v>0</v>
      </c>
      <c r="X438" s="50">
        <v>0.498142</v>
      </c>
      <c r="Y438" s="50">
        <v>0</v>
      </c>
      <c r="Z438" s="50">
        <v>0</v>
      </c>
      <c r="AA438" s="72">
        <v>438</v>
      </c>
      <c r="AB438" s="72"/>
      <c r="AC438" s="73"/>
      <c r="AD438" s="80" t="s">
        <v>1989</v>
      </c>
      <c r="AE438" s="80" t="s">
        <v>2964</v>
      </c>
      <c r="AF438" s="80"/>
      <c r="AG438" s="80"/>
      <c r="AH438" s="80"/>
      <c r="AI438" s="80"/>
      <c r="AJ438" s="87">
        <v>41950.82090277778</v>
      </c>
      <c r="AK438" s="85" t="str">
        <f>HYPERLINK("https://yt3.ggpht.com/ytc/AKedOLSUfNcJV4XwcQob5UCt5ePE8eaGRGOmYqp74huqjw=s88-c-k-c0x00ffffff-no-rj")</f>
        <v>https://yt3.ggpht.com/ytc/AKedOLSUfNcJV4XwcQob5UCt5ePE8eaGRGOmYqp74huqjw=s88-c-k-c0x00ffffff-no-rj</v>
      </c>
      <c r="AL438" s="80">
        <v>0</v>
      </c>
      <c r="AM438" s="80">
        <v>0</v>
      </c>
      <c r="AN438" s="80">
        <v>6</v>
      </c>
      <c r="AO438" s="80" t="b">
        <v>0</v>
      </c>
      <c r="AP438" s="80">
        <v>0</v>
      </c>
      <c r="AQ438" s="80"/>
      <c r="AR438" s="80"/>
      <c r="AS438" s="80" t="s">
        <v>3412</v>
      </c>
      <c r="AT438" s="85" t="str">
        <f>HYPERLINK("https://www.youtube.com/channel/UCkW_9O022ywlyfy-5SGRW1Q")</f>
        <v>https://www.youtube.com/channel/UCkW_9O022ywlyfy-5SGRW1Q</v>
      </c>
      <c r="AU438" s="80" t="str">
        <f>REPLACE(INDEX(GroupVertices[Group],MATCH(Vertices[[#This Row],[Vertex]],GroupVertices[Vertex],0)),1,1,"")</f>
        <v>3</v>
      </c>
      <c r="AV438" s="49">
        <v>3</v>
      </c>
      <c r="AW438" s="50">
        <v>18.75</v>
      </c>
      <c r="AX438" s="49">
        <v>0</v>
      </c>
      <c r="AY438" s="50">
        <v>0</v>
      </c>
      <c r="AZ438" s="49">
        <v>0</v>
      </c>
      <c r="BA438" s="50">
        <v>0</v>
      </c>
      <c r="BB438" s="49">
        <v>13</v>
      </c>
      <c r="BC438" s="50">
        <v>81.25</v>
      </c>
      <c r="BD438" s="49">
        <v>16</v>
      </c>
      <c r="BE438" s="49"/>
      <c r="BF438" s="49"/>
      <c r="BG438" s="49"/>
      <c r="BH438" s="49"/>
      <c r="BI438" s="49"/>
      <c r="BJ438" s="49"/>
      <c r="BK438" s="111" t="s">
        <v>4790</v>
      </c>
      <c r="BL438" s="111" t="s">
        <v>4790</v>
      </c>
      <c r="BM438" s="111" t="s">
        <v>5261</v>
      </c>
      <c r="BN438" s="111" t="s">
        <v>5261</v>
      </c>
      <c r="BO438" s="2"/>
      <c r="BP438" s="3"/>
      <c r="BQ438" s="3"/>
      <c r="BR438" s="3"/>
      <c r="BS438" s="3"/>
    </row>
    <row r="439" spans="1:71" ht="15">
      <c r="A439" s="65" t="s">
        <v>662</v>
      </c>
      <c r="B439" s="66"/>
      <c r="C439" s="66"/>
      <c r="D439" s="67">
        <v>150</v>
      </c>
      <c r="E439" s="69"/>
      <c r="F439" s="103" t="str">
        <f>HYPERLINK("https://yt3.ggpht.com/ytc/AKedOLT5KnrnkOKLSjmKpJW88HLCSylb2hITJe1oCOWa=s88-c-k-c0x00ffffff-no-rj")</f>
        <v>https://yt3.ggpht.com/ytc/AKedOLT5KnrnkOKLSjmKpJW88HLCSylb2hITJe1oCOWa=s88-c-k-c0x00ffffff-no-rj</v>
      </c>
      <c r="G439" s="66"/>
      <c r="H439" s="70" t="s">
        <v>1990</v>
      </c>
      <c r="I439" s="71"/>
      <c r="J439" s="71" t="s">
        <v>159</v>
      </c>
      <c r="K439" s="70" t="s">
        <v>1990</v>
      </c>
      <c r="L439" s="74">
        <v>1</v>
      </c>
      <c r="M439" s="75">
        <v>1184.8646240234375</v>
      </c>
      <c r="N439" s="75">
        <v>1982.881591796875</v>
      </c>
      <c r="O439" s="76"/>
      <c r="P439" s="77"/>
      <c r="Q439" s="77"/>
      <c r="R439" s="89"/>
      <c r="S439" s="49">
        <v>1</v>
      </c>
      <c r="T439" s="49">
        <v>1</v>
      </c>
      <c r="U439" s="50">
        <v>0</v>
      </c>
      <c r="V439" s="50">
        <v>0.00565</v>
      </c>
      <c r="W439" s="50">
        <v>0</v>
      </c>
      <c r="X439" s="50">
        <v>0.498142</v>
      </c>
      <c r="Y439" s="50">
        <v>0</v>
      </c>
      <c r="Z439" s="50">
        <v>1</v>
      </c>
      <c r="AA439" s="72">
        <v>439</v>
      </c>
      <c r="AB439" s="72"/>
      <c r="AC439" s="73"/>
      <c r="AD439" s="80" t="s">
        <v>1990</v>
      </c>
      <c r="AE439" s="80"/>
      <c r="AF439" s="80"/>
      <c r="AG439" s="80"/>
      <c r="AH439" s="80"/>
      <c r="AI439" s="80"/>
      <c r="AJ439" s="80" t="s">
        <v>3353</v>
      </c>
      <c r="AK439" s="85" t="str">
        <f>HYPERLINK("https://yt3.ggpht.com/ytc/AKedOLT5KnrnkOKLSjmKpJW88HLCSylb2hITJe1oCOWa=s88-c-k-c0x00ffffff-no-rj")</f>
        <v>https://yt3.ggpht.com/ytc/AKedOLT5KnrnkOKLSjmKpJW88HLCSylb2hITJe1oCOWa=s88-c-k-c0x00ffffff-no-rj</v>
      </c>
      <c r="AL439" s="80">
        <v>0</v>
      </c>
      <c r="AM439" s="80">
        <v>0</v>
      </c>
      <c r="AN439" s="80">
        <v>1</v>
      </c>
      <c r="AO439" s="80" t="b">
        <v>0</v>
      </c>
      <c r="AP439" s="80">
        <v>0</v>
      </c>
      <c r="AQ439" s="80"/>
      <c r="AR439" s="80"/>
      <c r="AS439" s="80" t="s">
        <v>3412</v>
      </c>
      <c r="AT439" s="85" t="str">
        <f>HYPERLINK("https://www.youtube.com/channel/UCkRsNZVbMS_0Wr2B-cxCCIQ")</f>
        <v>https://www.youtube.com/channel/UCkRsNZVbMS_0Wr2B-cxCCIQ</v>
      </c>
      <c r="AU439" s="80" t="str">
        <f>REPLACE(INDEX(GroupVertices[Group],MATCH(Vertices[[#This Row],[Vertex]],GroupVertices[Vertex],0)),1,1,"")</f>
        <v>3</v>
      </c>
      <c r="AV439" s="49">
        <v>2</v>
      </c>
      <c r="AW439" s="50">
        <v>10.526315789473685</v>
      </c>
      <c r="AX439" s="49">
        <v>0</v>
      </c>
      <c r="AY439" s="50">
        <v>0</v>
      </c>
      <c r="AZ439" s="49">
        <v>0</v>
      </c>
      <c r="BA439" s="50">
        <v>0</v>
      </c>
      <c r="BB439" s="49">
        <v>17</v>
      </c>
      <c r="BC439" s="50">
        <v>89.47368421052632</v>
      </c>
      <c r="BD439" s="49">
        <v>19</v>
      </c>
      <c r="BE439" s="49"/>
      <c r="BF439" s="49"/>
      <c r="BG439" s="49"/>
      <c r="BH439" s="49"/>
      <c r="BI439" s="49"/>
      <c r="BJ439" s="49"/>
      <c r="BK439" s="111" t="s">
        <v>4791</v>
      </c>
      <c r="BL439" s="111" t="s">
        <v>4791</v>
      </c>
      <c r="BM439" s="111" t="s">
        <v>5262</v>
      </c>
      <c r="BN439" s="111" t="s">
        <v>5262</v>
      </c>
      <c r="BO439" s="2"/>
      <c r="BP439" s="3"/>
      <c r="BQ439" s="3"/>
      <c r="BR439" s="3"/>
      <c r="BS439" s="3"/>
    </row>
    <row r="440" spans="1:71" ht="15">
      <c r="A440" s="65" t="s">
        <v>663</v>
      </c>
      <c r="B440" s="66"/>
      <c r="C440" s="66"/>
      <c r="D440" s="67">
        <v>150</v>
      </c>
      <c r="E440" s="69"/>
      <c r="F440" s="103" t="str">
        <f>HYPERLINK("https://yt3.ggpht.com/ytc/AKedOLQd6QUo0f3O4jvlFIbgrQ-vPhNX-cMOy7aty4Zsgg=s88-c-k-c0x00ffffff-no-rj")</f>
        <v>https://yt3.ggpht.com/ytc/AKedOLQd6QUo0f3O4jvlFIbgrQ-vPhNX-cMOy7aty4Zsgg=s88-c-k-c0x00ffffff-no-rj</v>
      </c>
      <c r="G440" s="66"/>
      <c r="H440" s="70" t="s">
        <v>1991</v>
      </c>
      <c r="I440" s="71"/>
      <c r="J440" s="71" t="s">
        <v>159</v>
      </c>
      <c r="K440" s="70" t="s">
        <v>1991</v>
      </c>
      <c r="L440" s="74">
        <v>1</v>
      </c>
      <c r="M440" s="75">
        <v>1817.242431640625</v>
      </c>
      <c r="N440" s="75">
        <v>2375.54345703125</v>
      </c>
      <c r="O440" s="76"/>
      <c r="P440" s="77"/>
      <c r="Q440" s="77"/>
      <c r="R440" s="89"/>
      <c r="S440" s="49">
        <v>1</v>
      </c>
      <c r="T440" s="49">
        <v>1</v>
      </c>
      <c r="U440" s="50">
        <v>0</v>
      </c>
      <c r="V440" s="50">
        <v>0.00565</v>
      </c>
      <c r="W440" s="50">
        <v>0</v>
      </c>
      <c r="X440" s="50">
        <v>0.498142</v>
      </c>
      <c r="Y440" s="50">
        <v>0</v>
      </c>
      <c r="Z440" s="50">
        <v>1</v>
      </c>
      <c r="AA440" s="72">
        <v>440</v>
      </c>
      <c r="AB440" s="72"/>
      <c r="AC440" s="73"/>
      <c r="AD440" s="80" t="s">
        <v>1991</v>
      </c>
      <c r="AE440" s="80"/>
      <c r="AF440" s="80"/>
      <c r="AG440" s="80"/>
      <c r="AH440" s="80"/>
      <c r="AI440" s="80"/>
      <c r="AJ440" s="80" t="s">
        <v>3354</v>
      </c>
      <c r="AK440" s="85" t="str">
        <f>HYPERLINK("https://yt3.ggpht.com/ytc/AKedOLQd6QUo0f3O4jvlFIbgrQ-vPhNX-cMOy7aty4Zsgg=s88-c-k-c0x00ffffff-no-rj")</f>
        <v>https://yt3.ggpht.com/ytc/AKedOLQd6QUo0f3O4jvlFIbgrQ-vPhNX-cMOy7aty4Zsgg=s88-c-k-c0x00ffffff-no-rj</v>
      </c>
      <c r="AL440" s="80">
        <v>0</v>
      </c>
      <c r="AM440" s="80">
        <v>0</v>
      </c>
      <c r="AN440" s="80">
        <v>8</v>
      </c>
      <c r="AO440" s="80" t="b">
        <v>0</v>
      </c>
      <c r="AP440" s="80">
        <v>0</v>
      </c>
      <c r="AQ440" s="80"/>
      <c r="AR440" s="80"/>
      <c r="AS440" s="80" t="s">
        <v>3412</v>
      </c>
      <c r="AT440" s="85" t="str">
        <f>HYPERLINK("https://www.youtube.com/channel/UCavg-qvmdkYDGwdNU_ZzU_Q")</f>
        <v>https://www.youtube.com/channel/UCavg-qvmdkYDGwdNU_ZzU_Q</v>
      </c>
      <c r="AU440" s="80" t="str">
        <f>REPLACE(INDEX(GroupVertices[Group],MATCH(Vertices[[#This Row],[Vertex]],GroupVertices[Vertex],0)),1,1,"")</f>
        <v>3</v>
      </c>
      <c r="AV440" s="49">
        <v>0</v>
      </c>
      <c r="AW440" s="50">
        <v>0</v>
      </c>
      <c r="AX440" s="49">
        <v>1</v>
      </c>
      <c r="AY440" s="50">
        <v>10</v>
      </c>
      <c r="AZ440" s="49">
        <v>0</v>
      </c>
      <c r="BA440" s="50">
        <v>0</v>
      </c>
      <c r="BB440" s="49">
        <v>9</v>
      </c>
      <c r="BC440" s="50">
        <v>90</v>
      </c>
      <c r="BD440" s="49">
        <v>10</v>
      </c>
      <c r="BE440" s="49"/>
      <c r="BF440" s="49"/>
      <c r="BG440" s="49"/>
      <c r="BH440" s="49"/>
      <c r="BI440" s="49"/>
      <c r="BJ440" s="49"/>
      <c r="BK440" s="111" t="s">
        <v>4792</v>
      </c>
      <c r="BL440" s="111" t="s">
        <v>4792</v>
      </c>
      <c r="BM440" s="111" t="s">
        <v>5263</v>
      </c>
      <c r="BN440" s="111" t="s">
        <v>5263</v>
      </c>
      <c r="BO440" s="2"/>
      <c r="BP440" s="3"/>
      <c r="BQ440" s="3"/>
      <c r="BR440" s="3"/>
      <c r="BS440" s="3"/>
    </row>
    <row r="441" spans="1:71" ht="15">
      <c r="A441" s="65" t="s">
        <v>664</v>
      </c>
      <c r="B441" s="66"/>
      <c r="C441" s="66"/>
      <c r="D441" s="67">
        <v>150</v>
      </c>
      <c r="E441" s="69"/>
      <c r="F441" s="103" t="str">
        <f>HYPERLINK("https://yt3.ggpht.com/ytc/AKedOLRpKIj7ScfPGGlcP3vbSTXaOpIoJKuanp2iYQ=s88-c-k-c0x00ffffff-no-rj")</f>
        <v>https://yt3.ggpht.com/ytc/AKedOLRpKIj7ScfPGGlcP3vbSTXaOpIoJKuanp2iYQ=s88-c-k-c0x00ffffff-no-rj</v>
      </c>
      <c r="G441" s="66"/>
      <c r="H441" s="70" t="s">
        <v>1992</v>
      </c>
      <c r="I441" s="71"/>
      <c r="J441" s="71" t="s">
        <v>159</v>
      </c>
      <c r="K441" s="70" t="s">
        <v>1992</v>
      </c>
      <c r="L441" s="74">
        <v>1</v>
      </c>
      <c r="M441" s="75">
        <v>1922.7469482421875</v>
      </c>
      <c r="N441" s="75">
        <v>2177.777587890625</v>
      </c>
      <c r="O441" s="76"/>
      <c r="P441" s="77"/>
      <c r="Q441" s="77"/>
      <c r="R441" s="89"/>
      <c r="S441" s="49">
        <v>0</v>
      </c>
      <c r="T441" s="49">
        <v>1</v>
      </c>
      <c r="U441" s="50">
        <v>0</v>
      </c>
      <c r="V441" s="50">
        <v>0.00565</v>
      </c>
      <c r="W441" s="50">
        <v>0</v>
      </c>
      <c r="X441" s="50">
        <v>0.498142</v>
      </c>
      <c r="Y441" s="50">
        <v>0</v>
      </c>
      <c r="Z441" s="50">
        <v>0</v>
      </c>
      <c r="AA441" s="72">
        <v>441</v>
      </c>
      <c r="AB441" s="72"/>
      <c r="AC441" s="73"/>
      <c r="AD441" s="80" t="s">
        <v>1992</v>
      </c>
      <c r="AE441" s="80"/>
      <c r="AF441" s="80"/>
      <c r="AG441" s="80"/>
      <c r="AH441" s="80"/>
      <c r="AI441" s="80"/>
      <c r="AJ441" s="80" t="s">
        <v>3355</v>
      </c>
      <c r="AK441" s="85" t="str">
        <f>HYPERLINK("https://yt3.ggpht.com/ytc/AKedOLRpKIj7ScfPGGlcP3vbSTXaOpIoJKuanp2iYQ=s88-c-k-c0x00ffffff-no-rj")</f>
        <v>https://yt3.ggpht.com/ytc/AKedOLRpKIj7ScfPGGlcP3vbSTXaOpIoJKuanp2iYQ=s88-c-k-c0x00ffffff-no-rj</v>
      </c>
      <c r="AL441" s="80">
        <v>0</v>
      </c>
      <c r="AM441" s="80">
        <v>0</v>
      </c>
      <c r="AN441" s="80">
        <v>8</v>
      </c>
      <c r="AO441" s="80" t="b">
        <v>0</v>
      </c>
      <c r="AP441" s="80">
        <v>0</v>
      </c>
      <c r="AQ441" s="80"/>
      <c r="AR441" s="80"/>
      <c r="AS441" s="80" t="s">
        <v>3412</v>
      </c>
      <c r="AT441" s="85" t="str">
        <f>HYPERLINK("https://www.youtube.com/channel/UCGCA-4ya4S2u1DL-T9HqzjA")</f>
        <v>https://www.youtube.com/channel/UCGCA-4ya4S2u1DL-T9HqzjA</v>
      </c>
      <c r="AU441" s="80" t="str">
        <f>REPLACE(INDEX(GroupVertices[Group],MATCH(Vertices[[#This Row],[Vertex]],GroupVertices[Vertex],0)),1,1,"")</f>
        <v>3</v>
      </c>
      <c r="AV441" s="49">
        <v>1</v>
      </c>
      <c r="AW441" s="50">
        <v>5</v>
      </c>
      <c r="AX441" s="49">
        <v>0</v>
      </c>
      <c r="AY441" s="50">
        <v>0</v>
      </c>
      <c r="AZ441" s="49">
        <v>0</v>
      </c>
      <c r="BA441" s="50">
        <v>0</v>
      </c>
      <c r="BB441" s="49">
        <v>19</v>
      </c>
      <c r="BC441" s="50">
        <v>95</v>
      </c>
      <c r="BD441" s="49">
        <v>20</v>
      </c>
      <c r="BE441" s="49"/>
      <c r="BF441" s="49"/>
      <c r="BG441" s="49"/>
      <c r="BH441" s="49"/>
      <c r="BI441" s="49"/>
      <c r="BJ441" s="49"/>
      <c r="BK441" s="111" t="s">
        <v>4793</v>
      </c>
      <c r="BL441" s="111" t="s">
        <v>4793</v>
      </c>
      <c r="BM441" s="111" t="s">
        <v>5264</v>
      </c>
      <c r="BN441" s="111" t="s">
        <v>5264</v>
      </c>
      <c r="BO441" s="2"/>
      <c r="BP441" s="3"/>
      <c r="BQ441" s="3"/>
      <c r="BR441" s="3"/>
      <c r="BS441" s="3"/>
    </row>
    <row r="442" spans="1:71" ht="15">
      <c r="A442" s="65" t="s">
        <v>665</v>
      </c>
      <c r="B442" s="66"/>
      <c r="C442" s="66"/>
      <c r="D442" s="67">
        <v>150</v>
      </c>
      <c r="E442" s="69"/>
      <c r="F442" s="103" t="str">
        <f>HYPERLINK("https://yt3.ggpht.com/ytc/AKedOLQRn0ixyDZX4jGZipxaO4XlinniUlheExnXa2NYOQ=s88-c-k-c0x00ffffff-no-rj")</f>
        <v>https://yt3.ggpht.com/ytc/AKedOLQRn0ixyDZX4jGZipxaO4XlinniUlheExnXa2NYOQ=s88-c-k-c0x00ffffff-no-rj</v>
      </c>
      <c r="G442" s="66"/>
      <c r="H442" s="70" t="s">
        <v>1993</v>
      </c>
      <c r="I442" s="71"/>
      <c r="J442" s="71" t="s">
        <v>159</v>
      </c>
      <c r="K442" s="70" t="s">
        <v>1993</v>
      </c>
      <c r="L442" s="74">
        <v>1</v>
      </c>
      <c r="M442" s="75">
        <v>3009.00048828125</v>
      </c>
      <c r="N442" s="75">
        <v>1585.324951171875</v>
      </c>
      <c r="O442" s="76"/>
      <c r="P442" s="77"/>
      <c r="Q442" s="77"/>
      <c r="R442" s="89"/>
      <c r="S442" s="49">
        <v>2</v>
      </c>
      <c r="T442" s="49">
        <v>2</v>
      </c>
      <c r="U442" s="50">
        <v>0</v>
      </c>
      <c r="V442" s="50">
        <v>0.00565</v>
      </c>
      <c r="W442" s="50">
        <v>0</v>
      </c>
      <c r="X442" s="50">
        <v>0.866333</v>
      </c>
      <c r="Y442" s="50">
        <v>0</v>
      </c>
      <c r="Z442" s="50">
        <v>1</v>
      </c>
      <c r="AA442" s="72">
        <v>442</v>
      </c>
      <c r="AB442" s="72"/>
      <c r="AC442" s="73"/>
      <c r="AD442" s="80" t="s">
        <v>1993</v>
      </c>
      <c r="AE442" s="80" t="s">
        <v>2965</v>
      </c>
      <c r="AF442" s="80"/>
      <c r="AG442" s="80"/>
      <c r="AH442" s="80"/>
      <c r="AI442" s="80"/>
      <c r="AJ442" s="80" t="s">
        <v>3356</v>
      </c>
      <c r="AK442" s="85" t="str">
        <f>HYPERLINK("https://yt3.ggpht.com/ytc/AKedOLQRn0ixyDZX4jGZipxaO4XlinniUlheExnXa2NYOQ=s88-c-k-c0x00ffffff-no-rj")</f>
        <v>https://yt3.ggpht.com/ytc/AKedOLQRn0ixyDZX4jGZipxaO4XlinniUlheExnXa2NYOQ=s88-c-k-c0x00ffffff-no-rj</v>
      </c>
      <c r="AL442" s="80">
        <v>0</v>
      </c>
      <c r="AM442" s="80">
        <v>0</v>
      </c>
      <c r="AN442" s="80">
        <v>19</v>
      </c>
      <c r="AO442" s="80" t="b">
        <v>0</v>
      </c>
      <c r="AP442" s="80">
        <v>0</v>
      </c>
      <c r="AQ442" s="80"/>
      <c r="AR442" s="80"/>
      <c r="AS442" s="80" t="s">
        <v>3412</v>
      </c>
      <c r="AT442" s="85" t="str">
        <f>HYPERLINK("https://www.youtube.com/channel/UCJHXYwTuPLT9JFb5xoHZbVg")</f>
        <v>https://www.youtube.com/channel/UCJHXYwTuPLT9JFb5xoHZbVg</v>
      </c>
      <c r="AU442" s="80" t="str">
        <f>REPLACE(INDEX(GroupVertices[Group],MATCH(Vertices[[#This Row],[Vertex]],GroupVertices[Vertex],0)),1,1,"")</f>
        <v>3</v>
      </c>
      <c r="AV442" s="49">
        <v>3</v>
      </c>
      <c r="AW442" s="50">
        <v>9.375</v>
      </c>
      <c r="AX442" s="49">
        <v>0</v>
      </c>
      <c r="AY442" s="50">
        <v>0</v>
      </c>
      <c r="AZ442" s="49">
        <v>0</v>
      </c>
      <c r="BA442" s="50">
        <v>0</v>
      </c>
      <c r="BB442" s="49">
        <v>29</v>
      </c>
      <c r="BC442" s="50">
        <v>90.625</v>
      </c>
      <c r="BD442" s="49">
        <v>32</v>
      </c>
      <c r="BE442" s="49"/>
      <c r="BF442" s="49"/>
      <c r="BG442" s="49"/>
      <c r="BH442" s="49"/>
      <c r="BI442" s="49"/>
      <c r="BJ442" s="49"/>
      <c r="BK442" s="111" t="s">
        <v>4794</v>
      </c>
      <c r="BL442" s="111" t="s">
        <v>4794</v>
      </c>
      <c r="BM442" s="111" t="s">
        <v>5265</v>
      </c>
      <c r="BN442" s="111" t="s">
        <v>5265</v>
      </c>
      <c r="BO442" s="2"/>
      <c r="BP442" s="3"/>
      <c r="BQ442" s="3"/>
      <c r="BR442" s="3"/>
      <c r="BS442" s="3"/>
    </row>
    <row r="443" spans="1:71" ht="15">
      <c r="A443" s="65" t="s">
        <v>666</v>
      </c>
      <c r="B443" s="66"/>
      <c r="C443" s="66"/>
      <c r="D443" s="67">
        <v>150</v>
      </c>
      <c r="E443" s="69"/>
      <c r="F443" s="103" t="str">
        <f>HYPERLINK("https://yt3.ggpht.com/ytc/AKedOLQRCwSz7EzjadkSwp7cq75TuZC1mWmLBQiGtA=s88-c-k-c0x00ffffff-no-rj")</f>
        <v>https://yt3.ggpht.com/ytc/AKedOLQRCwSz7EzjadkSwp7cq75TuZC1mWmLBQiGtA=s88-c-k-c0x00ffffff-no-rj</v>
      </c>
      <c r="G443" s="66"/>
      <c r="H443" s="70" t="s">
        <v>1994</v>
      </c>
      <c r="I443" s="71"/>
      <c r="J443" s="71" t="s">
        <v>159</v>
      </c>
      <c r="K443" s="70" t="s">
        <v>1994</v>
      </c>
      <c r="L443" s="74">
        <v>1</v>
      </c>
      <c r="M443" s="75">
        <v>2676.1982421875</v>
      </c>
      <c r="N443" s="75">
        <v>1265.0096435546875</v>
      </c>
      <c r="O443" s="76"/>
      <c r="P443" s="77"/>
      <c r="Q443" s="77"/>
      <c r="R443" s="89"/>
      <c r="S443" s="49">
        <v>2</v>
      </c>
      <c r="T443" s="49">
        <v>2</v>
      </c>
      <c r="U443" s="50">
        <v>0</v>
      </c>
      <c r="V443" s="50">
        <v>0.00565</v>
      </c>
      <c r="W443" s="50">
        <v>0</v>
      </c>
      <c r="X443" s="50">
        <v>0.866333</v>
      </c>
      <c r="Y443" s="50">
        <v>0</v>
      </c>
      <c r="Z443" s="50">
        <v>1</v>
      </c>
      <c r="AA443" s="72">
        <v>443</v>
      </c>
      <c r="AB443" s="72"/>
      <c r="AC443" s="73"/>
      <c r="AD443" s="80" t="s">
        <v>1994</v>
      </c>
      <c r="AE443" s="80"/>
      <c r="AF443" s="80"/>
      <c r="AG443" s="80"/>
      <c r="AH443" s="80"/>
      <c r="AI443" s="80"/>
      <c r="AJ443" s="87">
        <v>40553.56787037037</v>
      </c>
      <c r="AK443" s="85" t="str">
        <f>HYPERLINK("https://yt3.ggpht.com/ytc/AKedOLQRCwSz7EzjadkSwp7cq75TuZC1mWmLBQiGtA=s88-c-k-c0x00ffffff-no-rj")</f>
        <v>https://yt3.ggpht.com/ytc/AKedOLQRCwSz7EzjadkSwp7cq75TuZC1mWmLBQiGtA=s88-c-k-c0x00ffffff-no-rj</v>
      </c>
      <c r="AL443" s="80">
        <v>0</v>
      </c>
      <c r="AM443" s="80">
        <v>0</v>
      </c>
      <c r="AN443" s="80">
        <v>0</v>
      </c>
      <c r="AO443" s="80" t="b">
        <v>0</v>
      </c>
      <c r="AP443" s="80">
        <v>0</v>
      </c>
      <c r="AQ443" s="80"/>
      <c r="AR443" s="80"/>
      <c r="AS443" s="80" t="s">
        <v>3412</v>
      </c>
      <c r="AT443" s="85" t="str">
        <f>HYPERLINK("https://www.youtube.com/channel/UCvCQlpJFjnnhl3JjtEU1ARw")</f>
        <v>https://www.youtube.com/channel/UCvCQlpJFjnnhl3JjtEU1ARw</v>
      </c>
      <c r="AU443" s="80" t="str">
        <f>REPLACE(INDEX(GroupVertices[Group],MATCH(Vertices[[#This Row],[Vertex]],GroupVertices[Vertex],0)),1,1,"")</f>
        <v>3</v>
      </c>
      <c r="AV443" s="49">
        <v>7</v>
      </c>
      <c r="AW443" s="50">
        <v>6.862745098039215</v>
      </c>
      <c r="AX443" s="49">
        <v>1</v>
      </c>
      <c r="AY443" s="50">
        <v>0.9803921568627451</v>
      </c>
      <c r="AZ443" s="49">
        <v>0</v>
      </c>
      <c r="BA443" s="50">
        <v>0</v>
      </c>
      <c r="BB443" s="49">
        <v>94</v>
      </c>
      <c r="BC443" s="50">
        <v>92.15686274509804</v>
      </c>
      <c r="BD443" s="49">
        <v>102</v>
      </c>
      <c r="BE443" s="49"/>
      <c r="BF443" s="49"/>
      <c r="BG443" s="49"/>
      <c r="BH443" s="49"/>
      <c r="BI443" s="49"/>
      <c r="BJ443" s="49"/>
      <c r="BK443" s="111" t="s">
        <v>4795</v>
      </c>
      <c r="BL443" s="111" t="s">
        <v>4889</v>
      </c>
      <c r="BM443" s="111" t="s">
        <v>5266</v>
      </c>
      <c r="BN443" s="111" t="s">
        <v>5266</v>
      </c>
      <c r="BO443" s="2"/>
      <c r="BP443" s="3"/>
      <c r="BQ443" s="3"/>
      <c r="BR443" s="3"/>
      <c r="BS443" s="3"/>
    </row>
    <row r="444" spans="1:71" ht="15">
      <c r="A444" s="65" t="s">
        <v>667</v>
      </c>
      <c r="B444" s="66"/>
      <c r="C444" s="66"/>
      <c r="D444" s="67">
        <v>150</v>
      </c>
      <c r="E444" s="69"/>
      <c r="F444" s="103" t="str">
        <f>HYPERLINK("https://yt3.ggpht.com/ytc/AKedOLQSxZAXaWan42MNLOT8CvQqkEo5wUbQkvkciYNK=s88-c-k-c0x00ffffff-no-rj")</f>
        <v>https://yt3.ggpht.com/ytc/AKedOLQSxZAXaWan42MNLOT8CvQqkEo5wUbQkvkciYNK=s88-c-k-c0x00ffffff-no-rj</v>
      </c>
      <c r="G444" s="66"/>
      <c r="H444" s="70" t="s">
        <v>1995</v>
      </c>
      <c r="I444" s="71"/>
      <c r="J444" s="71" t="s">
        <v>159</v>
      </c>
      <c r="K444" s="70" t="s">
        <v>1995</v>
      </c>
      <c r="L444" s="74">
        <v>1</v>
      </c>
      <c r="M444" s="75">
        <v>2744.02880859375</v>
      </c>
      <c r="N444" s="75">
        <v>1544.1505126953125</v>
      </c>
      <c r="O444" s="76"/>
      <c r="P444" s="77"/>
      <c r="Q444" s="77"/>
      <c r="R444" s="89"/>
      <c r="S444" s="49">
        <v>0</v>
      </c>
      <c r="T444" s="49">
        <v>1</v>
      </c>
      <c r="U444" s="50">
        <v>0</v>
      </c>
      <c r="V444" s="50">
        <v>0.00565</v>
      </c>
      <c r="W444" s="50">
        <v>0</v>
      </c>
      <c r="X444" s="50">
        <v>0.498142</v>
      </c>
      <c r="Y444" s="50">
        <v>0</v>
      </c>
      <c r="Z444" s="50">
        <v>0</v>
      </c>
      <c r="AA444" s="72">
        <v>444</v>
      </c>
      <c r="AB444" s="72"/>
      <c r="AC444" s="73"/>
      <c r="AD444" s="80" t="s">
        <v>1995</v>
      </c>
      <c r="AE444" s="80"/>
      <c r="AF444" s="80"/>
      <c r="AG444" s="80"/>
      <c r="AH444" s="80"/>
      <c r="AI444" s="80"/>
      <c r="AJ444" s="80" t="s">
        <v>3357</v>
      </c>
      <c r="AK444" s="85" t="str">
        <f>HYPERLINK("https://yt3.ggpht.com/ytc/AKedOLQSxZAXaWan42MNLOT8CvQqkEo5wUbQkvkciYNK=s88-c-k-c0x00ffffff-no-rj")</f>
        <v>https://yt3.ggpht.com/ytc/AKedOLQSxZAXaWan42MNLOT8CvQqkEo5wUbQkvkciYNK=s88-c-k-c0x00ffffff-no-rj</v>
      </c>
      <c r="AL444" s="80">
        <v>0</v>
      </c>
      <c r="AM444" s="80">
        <v>0</v>
      </c>
      <c r="AN444" s="80">
        <v>1</v>
      </c>
      <c r="AO444" s="80" t="b">
        <v>0</v>
      </c>
      <c r="AP444" s="80">
        <v>0</v>
      </c>
      <c r="AQ444" s="80"/>
      <c r="AR444" s="80"/>
      <c r="AS444" s="80" t="s">
        <v>3412</v>
      </c>
      <c r="AT444" s="85" t="str">
        <f>HYPERLINK("https://www.youtube.com/channel/UCnWnhN-9oKU3jRE-M7WsjwA")</f>
        <v>https://www.youtube.com/channel/UCnWnhN-9oKU3jRE-M7WsjwA</v>
      </c>
      <c r="AU444" s="80" t="str">
        <f>REPLACE(INDEX(GroupVertices[Group],MATCH(Vertices[[#This Row],[Vertex]],GroupVertices[Vertex],0)),1,1,"")</f>
        <v>3</v>
      </c>
      <c r="AV444" s="49">
        <v>1</v>
      </c>
      <c r="AW444" s="50">
        <v>100</v>
      </c>
      <c r="AX444" s="49">
        <v>0</v>
      </c>
      <c r="AY444" s="50">
        <v>0</v>
      </c>
      <c r="AZ444" s="49">
        <v>0</v>
      </c>
      <c r="BA444" s="50">
        <v>0</v>
      </c>
      <c r="BB444" s="49">
        <v>0</v>
      </c>
      <c r="BC444" s="50">
        <v>0</v>
      </c>
      <c r="BD444" s="49">
        <v>1</v>
      </c>
      <c r="BE444" s="49"/>
      <c r="BF444" s="49"/>
      <c r="BG444" s="49"/>
      <c r="BH444" s="49"/>
      <c r="BI444" s="49"/>
      <c r="BJ444" s="49"/>
      <c r="BK444" s="111" t="s">
        <v>3469</v>
      </c>
      <c r="BL444" s="111" t="s">
        <v>3469</v>
      </c>
      <c r="BM444" s="111" t="s">
        <v>2782</v>
      </c>
      <c r="BN444" s="111" t="s">
        <v>2782</v>
      </c>
      <c r="BO444" s="2"/>
      <c r="BP444" s="3"/>
      <c r="BQ444" s="3"/>
      <c r="BR444" s="3"/>
      <c r="BS444" s="3"/>
    </row>
    <row r="445" spans="1:71" ht="15">
      <c r="A445" s="65" t="s">
        <v>668</v>
      </c>
      <c r="B445" s="66"/>
      <c r="C445" s="66"/>
      <c r="D445" s="67">
        <v>150</v>
      </c>
      <c r="E445" s="69"/>
      <c r="F445" s="103" t="str">
        <f>HYPERLINK("https://yt3.ggpht.com/ytc/AKedOLRhctJx0GoN7RoQRWeKujd7oxOkwE4HKSZ6iEqrlw=s88-c-k-c0x00ffffff-no-rj")</f>
        <v>https://yt3.ggpht.com/ytc/AKedOLRhctJx0GoN7RoQRWeKujd7oxOkwE4HKSZ6iEqrlw=s88-c-k-c0x00ffffff-no-rj</v>
      </c>
      <c r="G445" s="66"/>
      <c r="H445" s="70" t="s">
        <v>1996</v>
      </c>
      <c r="I445" s="71"/>
      <c r="J445" s="71" t="s">
        <v>159</v>
      </c>
      <c r="K445" s="70" t="s">
        <v>1996</v>
      </c>
      <c r="L445" s="74">
        <v>1</v>
      </c>
      <c r="M445" s="75">
        <v>3877.65771484375</v>
      </c>
      <c r="N445" s="75">
        <v>3789.946533203125</v>
      </c>
      <c r="O445" s="76"/>
      <c r="P445" s="77"/>
      <c r="Q445" s="77"/>
      <c r="R445" s="89"/>
      <c r="S445" s="49">
        <v>0</v>
      </c>
      <c r="T445" s="49">
        <v>2</v>
      </c>
      <c r="U445" s="50">
        <v>0</v>
      </c>
      <c r="V445" s="50">
        <v>0.006623</v>
      </c>
      <c r="W445" s="50">
        <v>0</v>
      </c>
      <c r="X445" s="50">
        <v>0.872113</v>
      </c>
      <c r="Y445" s="50">
        <v>0.5</v>
      </c>
      <c r="Z445" s="50">
        <v>0</v>
      </c>
      <c r="AA445" s="72">
        <v>445</v>
      </c>
      <c r="AB445" s="72"/>
      <c r="AC445" s="73"/>
      <c r="AD445" s="80" t="s">
        <v>1996</v>
      </c>
      <c r="AE445" s="80" t="s">
        <v>2966</v>
      </c>
      <c r="AF445" s="80"/>
      <c r="AG445" s="80"/>
      <c r="AH445" s="80"/>
      <c r="AI445" s="80" t="s">
        <v>3082</v>
      </c>
      <c r="AJ445" s="87">
        <v>43866.499930555554</v>
      </c>
      <c r="AK445" s="85" t="str">
        <f>HYPERLINK("https://yt3.ggpht.com/ytc/AKedOLRhctJx0GoN7RoQRWeKujd7oxOkwE4HKSZ6iEqrlw=s88-c-k-c0x00ffffff-no-rj")</f>
        <v>https://yt3.ggpht.com/ytc/AKedOLRhctJx0GoN7RoQRWeKujd7oxOkwE4HKSZ6iEqrlw=s88-c-k-c0x00ffffff-no-rj</v>
      </c>
      <c r="AL445" s="80">
        <v>29531</v>
      </c>
      <c r="AM445" s="80">
        <v>0</v>
      </c>
      <c r="AN445" s="80">
        <v>786</v>
      </c>
      <c r="AO445" s="80" t="b">
        <v>0</v>
      </c>
      <c r="AP445" s="80">
        <v>41</v>
      </c>
      <c r="AQ445" s="80"/>
      <c r="AR445" s="80"/>
      <c r="AS445" s="80" t="s">
        <v>3412</v>
      </c>
      <c r="AT445" s="85" t="str">
        <f>HYPERLINK("https://www.youtube.com/channel/UCqUQtnm8XzvKqaiSFYgztaw")</f>
        <v>https://www.youtube.com/channel/UCqUQtnm8XzvKqaiSFYgztaw</v>
      </c>
      <c r="AU445" s="80" t="str">
        <f>REPLACE(INDEX(GroupVertices[Group],MATCH(Vertices[[#This Row],[Vertex]],GroupVertices[Vertex],0)),1,1,"")</f>
        <v>6</v>
      </c>
      <c r="AV445" s="49">
        <v>10</v>
      </c>
      <c r="AW445" s="50">
        <v>12.195121951219512</v>
      </c>
      <c r="AX445" s="49">
        <v>0</v>
      </c>
      <c r="AY445" s="50">
        <v>0</v>
      </c>
      <c r="AZ445" s="49">
        <v>0</v>
      </c>
      <c r="BA445" s="50">
        <v>0</v>
      </c>
      <c r="BB445" s="49">
        <v>72</v>
      </c>
      <c r="BC445" s="50">
        <v>87.8048780487805</v>
      </c>
      <c r="BD445" s="49">
        <v>82</v>
      </c>
      <c r="BE445" s="49"/>
      <c r="BF445" s="49"/>
      <c r="BG445" s="49"/>
      <c r="BH445" s="49"/>
      <c r="BI445" s="49"/>
      <c r="BJ445" s="49"/>
      <c r="BK445" s="111" t="s">
        <v>4796</v>
      </c>
      <c r="BL445" s="111" t="s">
        <v>4890</v>
      </c>
      <c r="BM445" s="111" t="s">
        <v>5267</v>
      </c>
      <c r="BN445" s="111" t="s">
        <v>5340</v>
      </c>
      <c r="BO445" s="2"/>
      <c r="BP445" s="3"/>
      <c r="BQ445" s="3"/>
      <c r="BR445" s="3"/>
      <c r="BS445" s="3"/>
    </row>
    <row r="446" spans="1:71" ht="15">
      <c r="A446" s="65" t="s">
        <v>669</v>
      </c>
      <c r="B446" s="66"/>
      <c r="C446" s="66"/>
      <c r="D446" s="67">
        <v>150</v>
      </c>
      <c r="E446" s="69"/>
      <c r="F446" s="103" t="str">
        <f>HYPERLINK("https://yt3.ggpht.com/ytc/AKedOLQmAyDgei2RH5He8X9DgdBxSy67xxt_OgF9IQ=s88-c-k-c0x00ffffff-no-rj")</f>
        <v>https://yt3.ggpht.com/ytc/AKedOLQmAyDgei2RH5He8X9DgdBxSy67xxt_OgF9IQ=s88-c-k-c0x00ffffff-no-rj</v>
      </c>
      <c r="G446" s="66"/>
      <c r="H446" s="70" t="s">
        <v>1997</v>
      </c>
      <c r="I446" s="71"/>
      <c r="J446" s="71" t="s">
        <v>159</v>
      </c>
      <c r="K446" s="70" t="s">
        <v>1997</v>
      </c>
      <c r="L446" s="74">
        <v>1</v>
      </c>
      <c r="M446" s="75">
        <v>1578.804443359375</v>
      </c>
      <c r="N446" s="75">
        <v>640.5051879882812</v>
      </c>
      <c r="O446" s="76"/>
      <c r="P446" s="77"/>
      <c r="Q446" s="77"/>
      <c r="R446" s="89"/>
      <c r="S446" s="49">
        <v>1</v>
      </c>
      <c r="T446" s="49">
        <v>1</v>
      </c>
      <c r="U446" s="50">
        <v>0</v>
      </c>
      <c r="V446" s="50">
        <v>0.00565</v>
      </c>
      <c r="W446" s="50">
        <v>0</v>
      </c>
      <c r="X446" s="50">
        <v>0.498142</v>
      </c>
      <c r="Y446" s="50">
        <v>0</v>
      </c>
      <c r="Z446" s="50">
        <v>1</v>
      </c>
      <c r="AA446" s="72">
        <v>446</v>
      </c>
      <c r="AB446" s="72"/>
      <c r="AC446" s="73"/>
      <c r="AD446" s="80" t="s">
        <v>1997</v>
      </c>
      <c r="AE446" s="80"/>
      <c r="AF446" s="80"/>
      <c r="AG446" s="80"/>
      <c r="AH446" s="80"/>
      <c r="AI446" s="80"/>
      <c r="AJ446" s="87">
        <v>41466.00662037037</v>
      </c>
      <c r="AK446" s="85" t="str">
        <f>HYPERLINK("https://yt3.ggpht.com/ytc/AKedOLQmAyDgei2RH5He8X9DgdBxSy67xxt_OgF9IQ=s88-c-k-c0x00ffffff-no-rj")</f>
        <v>https://yt3.ggpht.com/ytc/AKedOLQmAyDgei2RH5He8X9DgdBxSy67xxt_OgF9IQ=s88-c-k-c0x00ffffff-no-rj</v>
      </c>
      <c r="AL446" s="80">
        <v>0</v>
      </c>
      <c r="AM446" s="80">
        <v>0</v>
      </c>
      <c r="AN446" s="80">
        <v>0</v>
      </c>
      <c r="AO446" s="80" t="b">
        <v>0</v>
      </c>
      <c r="AP446" s="80">
        <v>0</v>
      </c>
      <c r="AQ446" s="80"/>
      <c r="AR446" s="80"/>
      <c r="AS446" s="80" t="s">
        <v>3412</v>
      </c>
      <c r="AT446" s="85" t="str">
        <f>HYPERLINK("https://www.youtube.com/channel/UCf2vOAqfiP6Cnf3zDUPIF6g")</f>
        <v>https://www.youtube.com/channel/UCf2vOAqfiP6Cnf3zDUPIF6g</v>
      </c>
      <c r="AU446" s="80" t="str">
        <f>REPLACE(INDEX(GroupVertices[Group],MATCH(Vertices[[#This Row],[Vertex]],GroupVertices[Vertex],0)),1,1,"")</f>
        <v>3</v>
      </c>
      <c r="AV446" s="49">
        <v>2</v>
      </c>
      <c r="AW446" s="50">
        <v>6.896551724137931</v>
      </c>
      <c r="AX446" s="49">
        <v>0</v>
      </c>
      <c r="AY446" s="50">
        <v>0</v>
      </c>
      <c r="AZ446" s="49">
        <v>0</v>
      </c>
      <c r="BA446" s="50">
        <v>0</v>
      </c>
      <c r="BB446" s="49">
        <v>27</v>
      </c>
      <c r="BC446" s="50">
        <v>93.10344827586206</v>
      </c>
      <c r="BD446" s="49">
        <v>29</v>
      </c>
      <c r="BE446" s="49"/>
      <c r="BF446" s="49"/>
      <c r="BG446" s="49"/>
      <c r="BH446" s="49"/>
      <c r="BI446" s="49"/>
      <c r="BJ446" s="49"/>
      <c r="BK446" s="111" t="s">
        <v>4797</v>
      </c>
      <c r="BL446" s="111" t="s">
        <v>4797</v>
      </c>
      <c r="BM446" s="111" t="s">
        <v>5268</v>
      </c>
      <c r="BN446" s="111" t="s">
        <v>5268</v>
      </c>
      <c r="BO446" s="2"/>
      <c r="BP446" s="3"/>
      <c r="BQ446" s="3"/>
      <c r="BR446" s="3"/>
      <c r="BS446" s="3"/>
    </row>
    <row r="447" spans="1:71" ht="15">
      <c r="A447" s="65" t="s">
        <v>670</v>
      </c>
      <c r="B447" s="66"/>
      <c r="C447" s="66"/>
      <c r="D447" s="67">
        <v>150</v>
      </c>
      <c r="E447" s="69"/>
      <c r="F447" s="103" t="str">
        <f>HYPERLINK("https://yt3.ggpht.com/gwIqMj0RZrS6DmfjNvS1UbK6YcYuy8cmwIv7khUTrYtpF7cFGxa5k1IeJ7kljcMwcTB73QIPVw=s88-c-k-c0x00ffffff-no-rj")</f>
        <v>https://yt3.ggpht.com/gwIqMj0RZrS6DmfjNvS1UbK6YcYuy8cmwIv7khUTrYtpF7cFGxa5k1IeJ7kljcMwcTB73QIPVw=s88-c-k-c0x00ffffff-no-rj</v>
      </c>
      <c r="G447" s="66"/>
      <c r="H447" s="70" t="s">
        <v>1998</v>
      </c>
      <c r="I447" s="71"/>
      <c r="J447" s="71" t="s">
        <v>159</v>
      </c>
      <c r="K447" s="70" t="s">
        <v>1998</v>
      </c>
      <c r="L447" s="74">
        <v>1</v>
      </c>
      <c r="M447" s="75">
        <v>2431.8720703125</v>
      </c>
      <c r="N447" s="75">
        <v>1087.798828125</v>
      </c>
      <c r="O447" s="76"/>
      <c r="P447" s="77"/>
      <c r="Q447" s="77"/>
      <c r="R447" s="89"/>
      <c r="S447" s="49">
        <v>2</v>
      </c>
      <c r="T447" s="49">
        <v>2</v>
      </c>
      <c r="U447" s="50">
        <v>0</v>
      </c>
      <c r="V447" s="50">
        <v>0.00565</v>
      </c>
      <c r="W447" s="50">
        <v>0</v>
      </c>
      <c r="X447" s="50">
        <v>0.866333</v>
      </c>
      <c r="Y447" s="50">
        <v>0</v>
      </c>
      <c r="Z447" s="50">
        <v>1</v>
      </c>
      <c r="AA447" s="72">
        <v>447</v>
      </c>
      <c r="AB447" s="72"/>
      <c r="AC447" s="73"/>
      <c r="AD447" s="80" t="s">
        <v>1998</v>
      </c>
      <c r="AE447" s="80"/>
      <c r="AF447" s="80"/>
      <c r="AG447" s="80"/>
      <c r="AH447" s="80"/>
      <c r="AI447" s="80"/>
      <c r="AJ447" s="80" t="s">
        <v>3358</v>
      </c>
      <c r="AK447" s="85" t="str">
        <f>HYPERLINK("https://yt3.ggpht.com/gwIqMj0RZrS6DmfjNvS1UbK6YcYuy8cmwIv7khUTrYtpF7cFGxa5k1IeJ7kljcMwcTB73QIPVw=s88-c-k-c0x00ffffff-no-rj")</f>
        <v>https://yt3.ggpht.com/gwIqMj0RZrS6DmfjNvS1UbK6YcYuy8cmwIv7khUTrYtpF7cFGxa5k1IeJ7kljcMwcTB73QIPVw=s88-c-k-c0x00ffffff-no-rj</v>
      </c>
      <c r="AL447" s="80">
        <v>159</v>
      </c>
      <c r="AM447" s="80">
        <v>0</v>
      </c>
      <c r="AN447" s="80">
        <v>5</v>
      </c>
      <c r="AO447" s="80" t="b">
        <v>0</v>
      </c>
      <c r="AP447" s="80">
        <v>6</v>
      </c>
      <c r="AQ447" s="80"/>
      <c r="AR447" s="80"/>
      <c r="AS447" s="80" t="s">
        <v>3412</v>
      </c>
      <c r="AT447" s="85" t="str">
        <f>HYPERLINK("https://www.youtube.com/channel/UCkeAucrTycuWwkJMQ6yMHIg")</f>
        <v>https://www.youtube.com/channel/UCkeAucrTycuWwkJMQ6yMHIg</v>
      </c>
      <c r="AU447" s="80" t="str">
        <f>REPLACE(INDEX(GroupVertices[Group],MATCH(Vertices[[#This Row],[Vertex]],GroupVertices[Vertex],0)),1,1,"")</f>
        <v>3</v>
      </c>
      <c r="AV447" s="49">
        <v>1</v>
      </c>
      <c r="AW447" s="50">
        <v>4.545454545454546</v>
      </c>
      <c r="AX447" s="49">
        <v>0</v>
      </c>
      <c r="AY447" s="50">
        <v>0</v>
      </c>
      <c r="AZ447" s="49">
        <v>0</v>
      </c>
      <c r="BA447" s="50">
        <v>0</v>
      </c>
      <c r="BB447" s="49">
        <v>21</v>
      </c>
      <c r="BC447" s="50">
        <v>95.45454545454545</v>
      </c>
      <c r="BD447" s="49">
        <v>22</v>
      </c>
      <c r="BE447" s="49"/>
      <c r="BF447" s="49"/>
      <c r="BG447" s="49"/>
      <c r="BH447" s="49"/>
      <c r="BI447" s="49"/>
      <c r="BJ447" s="49"/>
      <c r="BK447" s="111" t="s">
        <v>4798</v>
      </c>
      <c r="BL447" s="111" t="s">
        <v>4798</v>
      </c>
      <c r="BM447" s="111" t="s">
        <v>5269</v>
      </c>
      <c r="BN447" s="111" t="s">
        <v>5269</v>
      </c>
      <c r="BO447" s="2"/>
      <c r="BP447" s="3"/>
      <c r="BQ447" s="3"/>
      <c r="BR447" s="3"/>
      <c r="BS447" s="3"/>
    </row>
    <row r="448" spans="1:71" ht="15">
      <c r="A448" s="65" t="s">
        <v>671</v>
      </c>
      <c r="B448" s="66"/>
      <c r="C448" s="66"/>
      <c r="D448" s="67">
        <v>150</v>
      </c>
      <c r="E448" s="69"/>
      <c r="F448" s="103" t="str">
        <f>HYPERLINK("https://yt3.ggpht.com/ytc/AKedOLSxF-JHm91DM-xjmGpXWLOoEv4yl_yum-2fx_YtLxs=s88-c-k-c0x00ffffff-no-rj")</f>
        <v>https://yt3.ggpht.com/ytc/AKedOLSxF-JHm91DM-xjmGpXWLOoEv4yl_yum-2fx_YtLxs=s88-c-k-c0x00ffffff-no-rj</v>
      </c>
      <c r="G448" s="66"/>
      <c r="H448" s="70" t="s">
        <v>1999</v>
      </c>
      <c r="I448" s="71"/>
      <c r="J448" s="71" t="s">
        <v>159</v>
      </c>
      <c r="K448" s="70" t="s">
        <v>1999</v>
      </c>
      <c r="L448" s="74">
        <v>1</v>
      </c>
      <c r="M448" s="75">
        <v>2339.067626953125</v>
      </c>
      <c r="N448" s="75">
        <v>2301.815673828125</v>
      </c>
      <c r="O448" s="76"/>
      <c r="P448" s="77"/>
      <c r="Q448" s="77"/>
      <c r="R448" s="89"/>
      <c r="S448" s="49">
        <v>1</v>
      </c>
      <c r="T448" s="49">
        <v>1</v>
      </c>
      <c r="U448" s="50">
        <v>0</v>
      </c>
      <c r="V448" s="50">
        <v>0.00565</v>
      </c>
      <c r="W448" s="50">
        <v>0</v>
      </c>
      <c r="X448" s="50">
        <v>0.498142</v>
      </c>
      <c r="Y448" s="50">
        <v>0</v>
      </c>
      <c r="Z448" s="50">
        <v>1</v>
      </c>
      <c r="AA448" s="72">
        <v>448</v>
      </c>
      <c r="AB448" s="72"/>
      <c r="AC448" s="73"/>
      <c r="AD448" s="80" t="s">
        <v>1999</v>
      </c>
      <c r="AE448" s="80"/>
      <c r="AF448" s="80"/>
      <c r="AG448" s="80"/>
      <c r="AH448" s="80"/>
      <c r="AI448" s="80"/>
      <c r="AJ448" s="80" t="s">
        <v>3359</v>
      </c>
      <c r="AK448" s="85" t="str">
        <f>HYPERLINK("https://yt3.ggpht.com/ytc/AKedOLSxF-JHm91DM-xjmGpXWLOoEv4yl_yum-2fx_YtLxs=s88-c-k-c0x00ffffff-no-rj")</f>
        <v>https://yt3.ggpht.com/ytc/AKedOLSxF-JHm91DM-xjmGpXWLOoEv4yl_yum-2fx_YtLxs=s88-c-k-c0x00ffffff-no-rj</v>
      </c>
      <c r="AL448" s="80">
        <v>2128</v>
      </c>
      <c r="AM448" s="80">
        <v>0</v>
      </c>
      <c r="AN448" s="80">
        <v>11</v>
      </c>
      <c r="AO448" s="80" t="b">
        <v>0</v>
      </c>
      <c r="AP448" s="80">
        <v>1</v>
      </c>
      <c r="AQ448" s="80"/>
      <c r="AR448" s="80"/>
      <c r="AS448" s="80" t="s">
        <v>3412</v>
      </c>
      <c r="AT448" s="85" t="str">
        <f>HYPERLINK("https://www.youtube.com/channel/UCO8wnd7l7D83prtjHV_wiyA")</f>
        <v>https://www.youtube.com/channel/UCO8wnd7l7D83prtjHV_wiyA</v>
      </c>
      <c r="AU448" s="80" t="str">
        <f>REPLACE(INDEX(GroupVertices[Group],MATCH(Vertices[[#This Row],[Vertex]],GroupVertices[Vertex],0)),1,1,"")</f>
        <v>3</v>
      </c>
      <c r="AV448" s="49">
        <v>1</v>
      </c>
      <c r="AW448" s="50">
        <v>25</v>
      </c>
      <c r="AX448" s="49">
        <v>0</v>
      </c>
      <c r="AY448" s="50">
        <v>0</v>
      </c>
      <c r="AZ448" s="49">
        <v>0</v>
      </c>
      <c r="BA448" s="50">
        <v>0</v>
      </c>
      <c r="BB448" s="49">
        <v>3</v>
      </c>
      <c r="BC448" s="50">
        <v>75</v>
      </c>
      <c r="BD448" s="49">
        <v>4</v>
      </c>
      <c r="BE448" s="49"/>
      <c r="BF448" s="49"/>
      <c r="BG448" s="49"/>
      <c r="BH448" s="49"/>
      <c r="BI448" s="49"/>
      <c r="BJ448" s="49"/>
      <c r="BK448" s="111" t="s">
        <v>2782</v>
      </c>
      <c r="BL448" s="111" t="s">
        <v>2782</v>
      </c>
      <c r="BM448" s="111" t="s">
        <v>2782</v>
      </c>
      <c r="BN448" s="111" t="s">
        <v>2782</v>
      </c>
      <c r="BO448" s="2"/>
      <c r="BP448" s="3"/>
      <c r="BQ448" s="3"/>
      <c r="BR448" s="3"/>
      <c r="BS448" s="3"/>
    </row>
    <row r="449" spans="1:71" ht="15">
      <c r="A449" s="65" t="s">
        <v>672</v>
      </c>
      <c r="B449" s="66"/>
      <c r="C449" s="66"/>
      <c r="D449" s="67">
        <v>150</v>
      </c>
      <c r="E449" s="69"/>
      <c r="F449" s="103" t="str">
        <f>HYPERLINK("https://yt3.ggpht.com/ytc/AKedOLTY4U6wMvVasWXcYddyzIDW-S-fFwXC509q6Q=s88-c-k-c0x00ffffff-no-rj")</f>
        <v>https://yt3.ggpht.com/ytc/AKedOLTY4U6wMvVasWXcYddyzIDW-S-fFwXC509q6Q=s88-c-k-c0x00ffffff-no-rj</v>
      </c>
      <c r="G449" s="66"/>
      <c r="H449" s="70" t="s">
        <v>2000</v>
      </c>
      <c r="I449" s="71"/>
      <c r="J449" s="71" t="s">
        <v>159</v>
      </c>
      <c r="K449" s="70" t="s">
        <v>2000</v>
      </c>
      <c r="L449" s="74">
        <v>1</v>
      </c>
      <c r="M449" s="75">
        <v>9659.748046875</v>
      </c>
      <c r="N449" s="75">
        <v>577.9768676757812</v>
      </c>
      <c r="O449" s="76"/>
      <c r="P449" s="77"/>
      <c r="Q449" s="77"/>
      <c r="R449" s="89"/>
      <c r="S449" s="49">
        <v>0</v>
      </c>
      <c r="T449" s="49">
        <v>1</v>
      </c>
      <c r="U449" s="50">
        <v>0</v>
      </c>
      <c r="V449" s="50">
        <v>1</v>
      </c>
      <c r="W449" s="50">
        <v>0</v>
      </c>
      <c r="X449" s="50">
        <v>0.701754</v>
      </c>
      <c r="Y449" s="50">
        <v>0</v>
      </c>
      <c r="Z449" s="50">
        <v>0</v>
      </c>
      <c r="AA449" s="72">
        <v>449</v>
      </c>
      <c r="AB449" s="72"/>
      <c r="AC449" s="73"/>
      <c r="AD449" s="80" t="s">
        <v>2000</v>
      </c>
      <c r="AE449" s="80"/>
      <c r="AF449" s="80"/>
      <c r="AG449" s="80"/>
      <c r="AH449" s="80"/>
      <c r="AI449" s="80"/>
      <c r="AJ449" s="80" t="s">
        <v>3360</v>
      </c>
      <c r="AK449" s="85" t="str">
        <f>HYPERLINK("https://yt3.ggpht.com/ytc/AKedOLTY4U6wMvVasWXcYddyzIDW-S-fFwXC509q6Q=s88-c-k-c0x00ffffff-no-rj")</f>
        <v>https://yt3.ggpht.com/ytc/AKedOLTY4U6wMvVasWXcYddyzIDW-S-fFwXC509q6Q=s88-c-k-c0x00ffffff-no-rj</v>
      </c>
      <c r="AL449" s="80">
        <v>0</v>
      </c>
      <c r="AM449" s="80">
        <v>0</v>
      </c>
      <c r="AN449" s="80">
        <v>3</v>
      </c>
      <c r="AO449" s="80" t="b">
        <v>0</v>
      </c>
      <c r="AP449" s="80">
        <v>0</v>
      </c>
      <c r="AQ449" s="80"/>
      <c r="AR449" s="80"/>
      <c r="AS449" s="80" t="s">
        <v>3412</v>
      </c>
      <c r="AT449" s="85" t="str">
        <f>HYPERLINK("https://www.youtube.com/channel/UCJAsDqyUYYar1fo71XRvIXw")</f>
        <v>https://www.youtube.com/channel/UCJAsDqyUYYar1fo71XRvIXw</v>
      </c>
      <c r="AU449" s="80" t="str">
        <f>REPLACE(INDEX(GroupVertices[Group],MATCH(Vertices[[#This Row],[Vertex]],GroupVertices[Vertex],0)),1,1,"")</f>
        <v>17</v>
      </c>
      <c r="AV449" s="49">
        <v>1</v>
      </c>
      <c r="AW449" s="50">
        <v>7.142857142857143</v>
      </c>
      <c r="AX449" s="49">
        <v>0</v>
      </c>
      <c r="AY449" s="50">
        <v>0</v>
      </c>
      <c r="AZ449" s="49">
        <v>0</v>
      </c>
      <c r="BA449" s="50">
        <v>0</v>
      </c>
      <c r="BB449" s="49">
        <v>13</v>
      </c>
      <c r="BC449" s="50">
        <v>92.85714285714286</v>
      </c>
      <c r="BD449" s="49">
        <v>14</v>
      </c>
      <c r="BE449" s="49"/>
      <c r="BF449" s="49"/>
      <c r="BG449" s="49"/>
      <c r="BH449" s="49"/>
      <c r="BI449" s="49"/>
      <c r="BJ449" s="49"/>
      <c r="BK449" s="111" t="s">
        <v>4799</v>
      </c>
      <c r="BL449" s="111" t="s">
        <v>4799</v>
      </c>
      <c r="BM449" s="111" t="s">
        <v>5270</v>
      </c>
      <c r="BN449" s="111" t="s">
        <v>5270</v>
      </c>
      <c r="BO449" s="2"/>
      <c r="BP449" s="3"/>
      <c r="BQ449" s="3"/>
      <c r="BR449" s="3"/>
      <c r="BS449" s="3"/>
    </row>
    <row r="450" spans="1:71" ht="15">
      <c r="A450" s="65" t="s">
        <v>756</v>
      </c>
      <c r="B450" s="66"/>
      <c r="C450" s="66"/>
      <c r="D450" s="67">
        <v>150</v>
      </c>
      <c r="E450" s="69"/>
      <c r="F450" s="103" t="str">
        <f>HYPERLINK("https://yt3.ggpht.com/ytc/AKedOLS9F1SQeaRjb2n-qnUZpP1lpZoctk0UczkgAN2J=s88-c-k-c0x00ffffff-no-rj")</f>
        <v>https://yt3.ggpht.com/ytc/AKedOLS9F1SQeaRjb2n-qnUZpP1lpZoctk0UczkgAN2J=s88-c-k-c0x00ffffff-no-rj</v>
      </c>
      <c r="G450" s="66"/>
      <c r="H450" s="70" t="s">
        <v>2799</v>
      </c>
      <c r="I450" s="71"/>
      <c r="J450" s="71" t="s">
        <v>159</v>
      </c>
      <c r="K450" s="70" t="s">
        <v>2799</v>
      </c>
      <c r="L450" s="74">
        <v>1</v>
      </c>
      <c r="M450" s="75">
        <v>9659.748046875</v>
      </c>
      <c r="N450" s="75">
        <v>288.9884338378906</v>
      </c>
      <c r="O450" s="76"/>
      <c r="P450" s="77"/>
      <c r="Q450" s="77"/>
      <c r="R450" s="89"/>
      <c r="S450" s="49">
        <v>2</v>
      </c>
      <c r="T450" s="49">
        <v>1</v>
      </c>
      <c r="U450" s="50">
        <v>0</v>
      </c>
      <c r="V450" s="50">
        <v>1</v>
      </c>
      <c r="W450" s="50">
        <v>0</v>
      </c>
      <c r="X450" s="50">
        <v>1.298244</v>
      </c>
      <c r="Y450" s="50">
        <v>0</v>
      </c>
      <c r="Z450" s="50">
        <v>0</v>
      </c>
      <c r="AA450" s="72">
        <v>450</v>
      </c>
      <c r="AB450" s="72"/>
      <c r="AC450" s="73"/>
      <c r="AD450" s="80" t="s">
        <v>2799</v>
      </c>
      <c r="AE450" s="80" t="s">
        <v>2967</v>
      </c>
      <c r="AF450" s="80"/>
      <c r="AG450" s="80"/>
      <c r="AH450" s="80"/>
      <c r="AI450" s="80"/>
      <c r="AJ450" s="80" t="s">
        <v>3361</v>
      </c>
      <c r="AK450" s="85" t="str">
        <f>HYPERLINK("https://yt3.ggpht.com/ytc/AKedOLS9F1SQeaRjb2n-qnUZpP1lpZoctk0UczkgAN2J=s88-c-k-c0x00ffffff-no-rj")</f>
        <v>https://yt3.ggpht.com/ytc/AKedOLS9F1SQeaRjb2n-qnUZpP1lpZoctk0UczkgAN2J=s88-c-k-c0x00ffffff-no-rj</v>
      </c>
      <c r="AL450" s="80">
        <v>6898504</v>
      </c>
      <c r="AM450" s="80">
        <v>0</v>
      </c>
      <c r="AN450" s="80">
        <v>0</v>
      </c>
      <c r="AO450" s="80" t="b">
        <v>1</v>
      </c>
      <c r="AP450" s="80">
        <v>6584</v>
      </c>
      <c r="AQ450" s="80"/>
      <c r="AR450" s="80"/>
      <c r="AS450" s="80" t="s">
        <v>3412</v>
      </c>
      <c r="AT450" s="85" t="str">
        <f>HYPERLINK("https://www.youtube.com/channel/UCLP2J3yzHO9rZDyzie5Y5Og")</f>
        <v>https://www.youtube.com/channel/UCLP2J3yzHO9rZDyzie5Y5Og</v>
      </c>
      <c r="AU450" s="80" t="str">
        <f>REPLACE(INDEX(GroupVertices[Group],MATCH(Vertices[[#This Row],[Vertex]],GroupVertices[Vertex],0)),1,1,"")</f>
        <v>17</v>
      </c>
      <c r="AV450" s="49"/>
      <c r="AW450" s="50"/>
      <c r="AX450" s="49"/>
      <c r="AY450" s="50"/>
      <c r="AZ450" s="49"/>
      <c r="BA450" s="50"/>
      <c r="BB450" s="49"/>
      <c r="BC450" s="50"/>
      <c r="BD450" s="49"/>
      <c r="BE450" s="49"/>
      <c r="BF450" s="49"/>
      <c r="BG450" s="49"/>
      <c r="BH450" s="49"/>
      <c r="BI450" s="49"/>
      <c r="BJ450" s="49"/>
      <c r="BK450" s="111" t="s">
        <v>2782</v>
      </c>
      <c r="BL450" s="111" t="s">
        <v>2782</v>
      </c>
      <c r="BM450" s="111" t="s">
        <v>2782</v>
      </c>
      <c r="BN450" s="111" t="s">
        <v>2782</v>
      </c>
      <c r="BO450" s="2"/>
      <c r="BP450" s="3"/>
      <c r="BQ450" s="3"/>
      <c r="BR450" s="3"/>
      <c r="BS450" s="3"/>
    </row>
    <row r="451" spans="1:71" ht="15">
      <c r="A451" s="65" t="s">
        <v>673</v>
      </c>
      <c r="B451" s="66"/>
      <c r="C451" s="66"/>
      <c r="D451" s="67">
        <v>150</v>
      </c>
      <c r="E451" s="69"/>
      <c r="F451" s="103" t="str">
        <f>HYPERLINK("https://yt3.ggpht.com/ytc/AKedOLR3HRQRrECDvRgUDhRcErK1BBcYbzPFyTbMSOu5Sw=s88-c-k-c0x00ffffff-no-rj")</f>
        <v>https://yt3.ggpht.com/ytc/AKedOLR3HRQRrECDvRgUDhRcErK1BBcYbzPFyTbMSOu5Sw=s88-c-k-c0x00ffffff-no-rj</v>
      </c>
      <c r="G451" s="66"/>
      <c r="H451" s="70" t="s">
        <v>2001</v>
      </c>
      <c r="I451" s="71"/>
      <c r="J451" s="71" t="s">
        <v>159</v>
      </c>
      <c r="K451" s="70" t="s">
        <v>2001</v>
      </c>
      <c r="L451" s="74">
        <v>1</v>
      </c>
      <c r="M451" s="75">
        <v>7413.68896484375</v>
      </c>
      <c r="N451" s="75">
        <v>3740.005859375</v>
      </c>
      <c r="O451" s="76"/>
      <c r="P451" s="77"/>
      <c r="Q451" s="77"/>
      <c r="R451" s="89"/>
      <c r="S451" s="49">
        <v>0</v>
      </c>
      <c r="T451" s="49">
        <v>1</v>
      </c>
      <c r="U451" s="50">
        <v>0</v>
      </c>
      <c r="V451" s="50">
        <v>0.019608</v>
      </c>
      <c r="W451" s="50">
        <v>0</v>
      </c>
      <c r="X451" s="50">
        <v>0.53334</v>
      </c>
      <c r="Y451" s="50">
        <v>0</v>
      </c>
      <c r="Z451" s="50">
        <v>0</v>
      </c>
      <c r="AA451" s="72">
        <v>451</v>
      </c>
      <c r="AB451" s="72"/>
      <c r="AC451" s="73"/>
      <c r="AD451" s="80" t="s">
        <v>2001</v>
      </c>
      <c r="AE451" s="80" t="s">
        <v>2968</v>
      </c>
      <c r="AF451" s="80"/>
      <c r="AG451" s="80"/>
      <c r="AH451" s="80"/>
      <c r="AI451" s="80" t="s">
        <v>3083</v>
      </c>
      <c r="AJ451" s="80" t="s">
        <v>3362</v>
      </c>
      <c r="AK451" s="85" t="str">
        <f>HYPERLINK("https://yt3.ggpht.com/ytc/AKedOLR3HRQRrECDvRgUDhRcErK1BBcYbzPFyTbMSOu5Sw=s88-c-k-c0x00ffffff-no-rj")</f>
        <v>https://yt3.ggpht.com/ytc/AKedOLR3HRQRrECDvRgUDhRcErK1BBcYbzPFyTbMSOu5Sw=s88-c-k-c0x00ffffff-no-rj</v>
      </c>
      <c r="AL451" s="80">
        <v>12741796</v>
      </c>
      <c r="AM451" s="80">
        <v>0</v>
      </c>
      <c r="AN451" s="80">
        <v>259000</v>
      </c>
      <c r="AO451" s="80" t="b">
        <v>0</v>
      </c>
      <c r="AP451" s="80">
        <v>179</v>
      </c>
      <c r="AQ451" s="80"/>
      <c r="AR451" s="80"/>
      <c r="AS451" s="80" t="s">
        <v>3412</v>
      </c>
      <c r="AT451" s="85" t="str">
        <f>HYPERLINK("https://www.youtube.com/channel/UC9lyUdwosxq_OxC1uggjUPA")</f>
        <v>https://www.youtube.com/channel/UC9lyUdwosxq_OxC1uggjUPA</v>
      </c>
      <c r="AU451" s="80" t="str">
        <f>REPLACE(INDEX(GroupVertices[Group],MATCH(Vertices[[#This Row],[Vertex]],GroupVertices[Vertex],0)),1,1,"")</f>
        <v>8</v>
      </c>
      <c r="AV451" s="49">
        <v>2</v>
      </c>
      <c r="AW451" s="50">
        <v>12.5</v>
      </c>
      <c r="AX451" s="49">
        <v>0</v>
      </c>
      <c r="AY451" s="50">
        <v>0</v>
      </c>
      <c r="AZ451" s="49">
        <v>0</v>
      </c>
      <c r="BA451" s="50">
        <v>0</v>
      </c>
      <c r="BB451" s="49">
        <v>14</v>
      </c>
      <c r="BC451" s="50">
        <v>87.5</v>
      </c>
      <c r="BD451" s="49">
        <v>16</v>
      </c>
      <c r="BE451" s="49"/>
      <c r="BF451" s="49"/>
      <c r="BG451" s="49"/>
      <c r="BH451" s="49"/>
      <c r="BI451" s="49"/>
      <c r="BJ451" s="49"/>
      <c r="BK451" s="111" t="s">
        <v>4800</v>
      </c>
      <c r="BL451" s="111" t="s">
        <v>4800</v>
      </c>
      <c r="BM451" s="111" t="s">
        <v>5271</v>
      </c>
      <c r="BN451" s="111" t="s">
        <v>5271</v>
      </c>
      <c r="BO451" s="2"/>
      <c r="BP451" s="3"/>
      <c r="BQ451" s="3"/>
      <c r="BR451" s="3"/>
      <c r="BS451" s="3"/>
    </row>
    <row r="452" spans="1:71" ht="15">
      <c r="A452" s="65" t="s">
        <v>757</v>
      </c>
      <c r="B452" s="66"/>
      <c r="C452" s="66"/>
      <c r="D452" s="67">
        <v>347.32142857142856</v>
      </c>
      <c r="E452" s="69"/>
      <c r="F452" s="103" t="str">
        <f>HYPERLINK("https://yt3.ggpht.com/ytc/AKedOLTOk1BBHYJW-wfsKeIobId79LpoQe6goMLsnViY=s88-c-k-c0x00ffffff-no-rj")</f>
        <v>https://yt3.ggpht.com/ytc/AKedOLTOk1BBHYJW-wfsKeIobId79LpoQe6goMLsnViY=s88-c-k-c0x00ffffff-no-rj</v>
      </c>
      <c r="G452" s="66"/>
      <c r="H452" s="70" t="s">
        <v>2800</v>
      </c>
      <c r="I452" s="71"/>
      <c r="J452" s="71" t="s">
        <v>75</v>
      </c>
      <c r="K452" s="70" t="s">
        <v>2800</v>
      </c>
      <c r="L452" s="74">
        <v>107.37330859886512</v>
      </c>
      <c r="M452" s="75">
        <v>7120.33984375</v>
      </c>
      <c r="N452" s="75">
        <v>3369.166259765625</v>
      </c>
      <c r="O452" s="76"/>
      <c r="P452" s="77"/>
      <c r="Q452" s="77"/>
      <c r="R452" s="89"/>
      <c r="S452" s="49">
        <v>17</v>
      </c>
      <c r="T452" s="49">
        <v>1</v>
      </c>
      <c r="U452" s="50">
        <v>390</v>
      </c>
      <c r="V452" s="50">
        <v>0.032258</v>
      </c>
      <c r="W452" s="50">
        <v>0</v>
      </c>
      <c r="X452" s="50">
        <v>7.666795</v>
      </c>
      <c r="Y452" s="50">
        <v>0</v>
      </c>
      <c r="Z452" s="50">
        <v>0</v>
      </c>
      <c r="AA452" s="72">
        <v>452</v>
      </c>
      <c r="AB452" s="72"/>
      <c r="AC452" s="73"/>
      <c r="AD452" s="80" t="s">
        <v>2800</v>
      </c>
      <c r="AE452" s="80" t="s">
        <v>2969</v>
      </c>
      <c r="AF452" s="80"/>
      <c r="AG452" s="80"/>
      <c r="AH452" s="80"/>
      <c r="AI452" s="80" t="s">
        <v>3084</v>
      </c>
      <c r="AJ452" s="80" t="s">
        <v>3363</v>
      </c>
      <c r="AK452" s="85" t="str">
        <f>HYPERLINK("https://yt3.ggpht.com/ytc/AKedOLTOk1BBHYJW-wfsKeIobId79LpoQe6goMLsnViY=s88-c-k-c0x00ffffff-no-rj")</f>
        <v>https://yt3.ggpht.com/ytc/AKedOLTOk1BBHYJW-wfsKeIobId79LpoQe6goMLsnViY=s88-c-k-c0x00ffffff-no-rj</v>
      </c>
      <c r="AL452" s="80">
        <v>573553</v>
      </c>
      <c r="AM452" s="80">
        <v>0</v>
      </c>
      <c r="AN452" s="80">
        <v>5530</v>
      </c>
      <c r="AO452" s="80" t="b">
        <v>0</v>
      </c>
      <c r="AP452" s="80">
        <v>122</v>
      </c>
      <c r="AQ452" s="80"/>
      <c r="AR452" s="80"/>
      <c r="AS452" s="80" t="s">
        <v>3412</v>
      </c>
      <c r="AT452" s="85" t="str">
        <f>HYPERLINK("https://www.youtube.com/channel/UCLi0tnnxNwrs2dpMT0s07Mw")</f>
        <v>https://www.youtube.com/channel/UCLi0tnnxNwrs2dpMT0s07Mw</v>
      </c>
      <c r="AU452" s="80" t="str">
        <f>REPLACE(INDEX(GroupVertices[Group],MATCH(Vertices[[#This Row],[Vertex]],GroupVertices[Vertex],0)),1,1,"")</f>
        <v>8</v>
      </c>
      <c r="AV452" s="49"/>
      <c r="AW452" s="50"/>
      <c r="AX452" s="49"/>
      <c r="AY452" s="50"/>
      <c r="AZ452" s="49"/>
      <c r="BA452" s="50"/>
      <c r="BB452" s="49"/>
      <c r="BC452" s="50"/>
      <c r="BD452" s="49"/>
      <c r="BE452" s="49"/>
      <c r="BF452" s="49"/>
      <c r="BG452" s="49"/>
      <c r="BH452" s="49"/>
      <c r="BI452" s="49"/>
      <c r="BJ452" s="49"/>
      <c r="BK452" s="111" t="s">
        <v>2782</v>
      </c>
      <c r="BL452" s="111" t="s">
        <v>2782</v>
      </c>
      <c r="BM452" s="111" t="s">
        <v>2782</v>
      </c>
      <c r="BN452" s="111" t="s">
        <v>2782</v>
      </c>
      <c r="BO452" s="2"/>
      <c r="BP452" s="3"/>
      <c r="BQ452" s="3"/>
      <c r="BR452" s="3"/>
      <c r="BS452" s="3"/>
    </row>
    <row r="453" spans="1:71" ht="15">
      <c r="A453" s="65" t="s">
        <v>674</v>
      </c>
      <c r="B453" s="66"/>
      <c r="C453" s="66"/>
      <c r="D453" s="67">
        <v>150</v>
      </c>
      <c r="E453" s="69"/>
      <c r="F453" s="103" t="str">
        <f>HYPERLINK("https://yt3.ggpht.com/ytc/AKedOLRqMHCXZAr15Er7vd0GOgKILs2l1lr3Ah9rjBap=s88-c-k-c0x00ffffff-no-rj")</f>
        <v>https://yt3.ggpht.com/ytc/AKedOLRqMHCXZAr15Er7vd0GOgKILs2l1lr3Ah9rjBap=s88-c-k-c0x00ffffff-no-rj</v>
      </c>
      <c r="G453" s="66"/>
      <c r="H453" s="70" t="s">
        <v>2002</v>
      </c>
      <c r="I453" s="71"/>
      <c r="J453" s="71" t="s">
        <v>159</v>
      </c>
      <c r="K453" s="70" t="s">
        <v>2002</v>
      </c>
      <c r="L453" s="74">
        <v>1</v>
      </c>
      <c r="M453" s="75">
        <v>6930.11376953125</v>
      </c>
      <c r="N453" s="75">
        <v>2972.900634765625</v>
      </c>
      <c r="O453" s="76"/>
      <c r="P453" s="77"/>
      <c r="Q453" s="77"/>
      <c r="R453" s="89"/>
      <c r="S453" s="49">
        <v>0</v>
      </c>
      <c r="T453" s="49">
        <v>1</v>
      </c>
      <c r="U453" s="50">
        <v>0</v>
      </c>
      <c r="V453" s="50">
        <v>0.019608</v>
      </c>
      <c r="W453" s="50">
        <v>0</v>
      </c>
      <c r="X453" s="50">
        <v>0.53334</v>
      </c>
      <c r="Y453" s="50">
        <v>0</v>
      </c>
      <c r="Z453" s="50">
        <v>0</v>
      </c>
      <c r="AA453" s="72">
        <v>453</v>
      </c>
      <c r="AB453" s="72"/>
      <c r="AC453" s="73"/>
      <c r="AD453" s="80" t="s">
        <v>2002</v>
      </c>
      <c r="AE453" s="80" t="s">
        <v>2970</v>
      </c>
      <c r="AF453" s="80"/>
      <c r="AG453" s="80"/>
      <c r="AH453" s="80"/>
      <c r="AI453" s="80"/>
      <c r="AJ453" s="80" t="s">
        <v>3364</v>
      </c>
      <c r="AK453" s="85" t="str">
        <f>HYPERLINK("https://yt3.ggpht.com/ytc/AKedOLRqMHCXZAr15Er7vd0GOgKILs2l1lr3Ah9rjBap=s88-c-k-c0x00ffffff-no-rj")</f>
        <v>https://yt3.ggpht.com/ytc/AKedOLRqMHCXZAr15Er7vd0GOgKILs2l1lr3Ah9rjBap=s88-c-k-c0x00ffffff-no-rj</v>
      </c>
      <c r="AL453" s="80">
        <v>3494</v>
      </c>
      <c r="AM453" s="80">
        <v>0</v>
      </c>
      <c r="AN453" s="80">
        <v>13</v>
      </c>
      <c r="AO453" s="80" t="b">
        <v>0</v>
      </c>
      <c r="AP453" s="80">
        <v>18</v>
      </c>
      <c r="AQ453" s="80"/>
      <c r="AR453" s="80"/>
      <c r="AS453" s="80" t="s">
        <v>3412</v>
      </c>
      <c r="AT453" s="85" t="str">
        <f>HYPERLINK("https://www.youtube.com/channel/UCppyzV1-pGYK2ZBeDekNw6g")</f>
        <v>https://www.youtube.com/channel/UCppyzV1-pGYK2ZBeDekNw6g</v>
      </c>
      <c r="AU453" s="80" t="str">
        <f>REPLACE(INDEX(GroupVertices[Group],MATCH(Vertices[[#This Row],[Vertex]],GroupVertices[Vertex],0)),1,1,"")</f>
        <v>8</v>
      </c>
      <c r="AV453" s="49">
        <v>2</v>
      </c>
      <c r="AW453" s="50">
        <v>33.333333333333336</v>
      </c>
      <c r="AX453" s="49">
        <v>0</v>
      </c>
      <c r="AY453" s="50">
        <v>0</v>
      </c>
      <c r="AZ453" s="49">
        <v>0</v>
      </c>
      <c r="BA453" s="50">
        <v>0</v>
      </c>
      <c r="BB453" s="49">
        <v>4</v>
      </c>
      <c r="BC453" s="50">
        <v>66.66666666666667</v>
      </c>
      <c r="BD453" s="49">
        <v>6</v>
      </c>
      <c r="BE453" s="49"/>
      <c r="BF453" s="49"/>
      <c r="BG453" s="49"/>
      <c r="BH453" s="49"/>
      <c r="BI453" s="49"/>
      <c r="BJ453" s="49"/>
      <c r="BK453" s="111" t="s">
        <v>4801</v>
      </c>
      <c r="BL453" s="111" t="s">
        <v>4801</v>
      </c>
      <c r="BM453" s="111" t="s">
        <v>5272</v>
      </c>
      <c r="BN453" s="111" t="s">
        <v>5272</v>
      </c>
      <c r="BO453" s="2"/>
      <c r="BP453" s="3"/>
      <c r="BQ453" s="3"/>
      <c r="BR453" s="3"/>
      <c r="BS453" s="3"/>
    </row>
    <row r="454" spans="1:71" ht="15">
      <c r="A454" s="65" t="s">
        <v>675</v>
      </c>
      <c r="B454" s="66"/>
      <c r="C454" s="66"/>
      <c r="D454" s="67">
        <v>150</v>
      </c>
      <c r="E454" s="69"/>
      <c r="F454" s="103" t="str">
        <f>HYPERLINK("https://yt3.ggpht.com/ytc/AKedOLTCr7kKpAdgEUI890ma3rB49pisRwe-uxK-Q5qIIg=s88-c-k-c0x00ffffff-no-rj")</f>
        <v>https://yt3.ggpht.com/ytc/AKedOLTCr7kKpAdgEUI890ma3rB49pisRwe-uxK-Q5qIIg=s88-c-k-c0x00ffffff-no-rj</v>
      </c>
      <c r="G454" s="66"/>
      <c r="H454" s="70" t="s">
        <v>2003</v>
      </c>
      <c r="I454" s="71"/>
      <c r="J454" s="71" t="s">
        <v>159</v>
      </c>
      <c r="K454" s="70" t="s">
        <v>2003</v>
      </c>
      <c r="L454" s="74">
        <v>1</v>
      </c>
      <c r="M454" s="75">
        <v>7749.22509765625</v>
      </c>
      <c r="N454" s="75">
        <v>3477.941650390625</v>
      </c>
      <c r="O454" s="76"/>
      <c r="P454" s="77"/>
      <c r="Q454" s="77"/>
      <c r="R454" s="89"/>
      <c r="S454" s="49">
        <v>0</v>
      </c>
      <c r="T454" s="49">
        <v>1</v>
      </c>
      <c r="U454" s="50">
        <v>0</v>
      </c>
      <c r="V454" s="50">
        <v>0.019608</v>
      </c>
      <c r="W454" s="50">
        <v>0</v>
      </c>
      <c r="X454" s="50">
        <v>0.53334</v>
      </c>
      <c r="Y454" s="50">
        <v>0</v>
      </c>
      <c r="Z454" s="50">
        <v>0</v>
      </c>
      <c r="AA454" s="72">
        <v>454</v>
      </c>
      <c r="AB454" s="72"/>
      <c r="AC454" s="73"/>
      <c r="AD454" s="80" t="s">
        <v>2003</v>
      </c>
      <c r="AE454" s="80" t="s">
        <v>2971</v>
      </c>
      <c r="AF454" s="80"/>
      <c r="AG454" s="80"/>
      <c r="AH454" s="80"/>
      <c r="AI454" s="80"/>
      <c r="AJ454" s="87">
        <v>41792.79556712963</v>
      </c>
      <c r="AK454" s="85" t="str">
        <f>HYPERLINK("https://yt3.ggpht.com/ytc/AKedOLTCr7kKpAdgEUI890ma3rB49pisRwe-uxK-Q5qIIg=s88-c-k-c0x00ffffff-no-rj")</f>
        <v>https://yt3.ggpht.com/ytc/AKedOLTCr7kKpAdgEUI890ma3rB49pisRwe-uxK-Q5qIIg=s88-c-k-c0x00ffffff-no-rj</v>
      </c>
      <c r="AL454" s="80">
        <v>137</v>
      </c>
      <c r="AM454" s="80">
        <v>0</v>
      </c>
      <c r="AN454" s="80">
        <v>26</v>
      </c>
      <c r="AO454" s="80" t="b">
        <v>0</v>
      </c>
      <c r="AP454" s="80">
        <v>1</v>
      </c>
      <c r="AQ454" s="80"/>
      <c r="AR454" s="80"/>
      <c r="AS454" s="80" t="s">
        <v>3412</v>
      </c>
      <c r="AT454" s="85" t="str">
        <f>HYPERLINK("https://www.youtube.com/channel/UCHKKr8QSIW8l560WdeSw-Fw")</f>
        <v>https://www.youtube.com/channel/UCHKKr8QSIW8l560WdeSw-Fw</v>
      </c>
      <c r="AU454" s="80" t="str">
        <f>REPLACE(INDEX(GroupVertices[Group],MATCH(Vertices[[#This Row],[Vertex]],GroupVertices[Vertex],0)),1,1,"")</f>
        <v>8</v>
      </c>
      <c r="AV454" s="49">
        <v>2</v>
      </c>
      <c r="AW454" s="50">
        <v>25</v>
      </c>
      <c r="AX454" s="49">
        <v>0</v>
      </c>
      <c r="AY454" s="50">
        <v>0</v>
      </c>
      <c r="AZ454" s="49">
        <v>0</v>
      </c>
      <c r="BA454" s="50">
        <v>0</v>
      </c>
      <c r="BB454" s="49">
        <v>6</v>
      </c>
      <c r="BC454" s="50">
        <v>75</v>
      </c>
      <c r="BD454" s="49">
        <v>8</v>
      </c>
      <c r="BE454" s="49"/>
      <c r="BF454" s="49"/>
      <c r="BG454" s="49"/>
      <c r="BH454" s="49"/>
      <c r="BI454" s="49"/>
      <c r="BJ454" s="49"/>
      <c r="BK454" s="111" t="s">
        <v>4802</v>
      </c>
      <c r="BL454" s="111" t="s">
        <v>4802</v>
      </c>
      <c r="BM454" s="111" t="s">
        <v>5273</v>
      </c>
      <c r="BN454" s="111" t="s">
        <v>5273</v>
      </c>
      <c r="BO454" s="2"/>
      <c r="BP454" s="3"/>
      <c r="BQ454" s="3"/>
      <c r="BR454" s="3"/>
      <c r="BS454" s="3"/>
    </row>
    <row r="455" spans="1:71" ht="15">
      <c r="A455" s="65" t="s">
        <v>676</v>
      </c>
      <c r="B455" s="66"/>
      <c r="C455" s="66"/>
      <c r="D455" s="67">
        <v>150</v>
      </c>
      <c r="E455" s="69"/>
      <c r="F455" s="103" t="str">
        <f>HYPERLINK("https://yt3.ggpht.com/ytc/AKedOLSTpxS6ll3FayrXuU3ZO6KqDIxlTnzIWJWmDPpd=s88-c-k-c0x00ffffff-no-rj")</f>
        <v>https://yt3.ggpht.com/ytc/AKedOLSTpxS6ll3FayrXuU3ZO6KqDIxlTnzIWJWmDPpd=s88-c-k-c0x00ffffff-no-rj</v>
      </c>
      <c r="G455" s="66"/>
      <c r="H455" s="70" t="s">
        <v>2004</v>
      </c>
      <c r="I455" s="71"/>
      <c r="J455" s="71" t="s">
        <v>159</v>
      </c>
      <c r="K455" s="70" t="s">
        <v>2004</v>
      </c>
      <c r="L455" s="74">
        <v>1</v>
      </c>
      <c r="M455" s="75">
        <v>7621.2548828125</v>
      </c>
      <c r="N455" s="75">
        <v>3167.87255859375</v>
      </c>
      <c r="O455" s="76"/>
      <c r="P455" s="77"/>
      <c r="Q455" s="77"/>
      <c r="R455" s="89"/>
      <c r="S455" s="49">
        <v>0</v>
      </c>
      <c r="T455" s="49">
        <v>1</v>
      </c>
      <c r="U455" s="50">
        <v>0</v>
      </c>
      <c r="V455" s="50">
        <v>0.019608</v>
      </c>
      <c r="W455" s="50">
        <v>0</v>
      </c>
      <c r="X455" s="50">
        <v>0.53334</v>
      </c>
      <c r="Y455" s="50">
        <v>0</v>
      </c>
      <c r="Z455" s="50">
        <v>0</v>
      </c>
      <c r="AA455" s="72">
        <v>455</v>
      </c>
      <c r="AB455" s="72"/>
      <c r="AC455" s="73"/>
      <c r="AD455" s="80" t="s">
        <v>2004</v>
      </c>
      <c r="AE455" s="80"/>
      <c r="AF455" s="80"/>
      <c r="AG455" s="80"/>
      <c r="AH455" s="80"/>
      <c r="AI455" s="80"/>
      <c r="AJ455" s="87">
        <v>40818.267488425925</v>
      </c>
      <c r="AK455" s="85" t="str">
        <f>HYPERLINK("https://yt3.ggpht.com/ytc/AKedOLSTpxS6ll3FayrXuU3ZO6KqDIxlTnzIWJWmDPpd=s88-c-k-c0x00ffffff-no-rj")</f>
        <v>https://yt3.ggpht.com/ytc/AKedOLSTpxS6ll3FayrXuU3ZO6KqDIxlTnzIWJWmDPpd=s88-c-k-c0x00ffffff-no-rj</v>
      </c>
      <c r="AL455" s="80">
        <v>0</v>
      </c>
      <c r="AM455" s="80">
        <v>0</v>
      </c>
      <c r="AN455" s="80">
        <v>0</v>
      </c>
      <c r="AO455" s="80" t="b">
        <v>0</v>
      </c>
      <c r="AP455" s="80">
        <v>0</v>
      </c>
      <c r="AQ455" s="80"/>
      <c r="AR455" s="80"/>
      <c r="AS455" s="80" t="s">
        <v>3412</v>
      </c>
      <c r="AT455" s="85" t="str">
        <f>HYPERLINK("https://www.youtube.com/channel/UCUmkdKGjFVeTr3lScUidE8A")</f>
        <v>https://www.youtube.com/channel/UCUmkdKGjFVeTr3lScUidE8A</v>
      </c>
      <c r="AU455" s="80" t="str">
        <f>REPLACE(INDEX(GroupVertices[Group],MATCH(Vertices[[#This Row],[Vertex]],GroupVertices[Vertex],0)),1,1,"")</f>
        <v>8</v>
      </c>
      <c r="AV455" s="49">
        <v>2</v>
      </c>
      <c r="AW455" s="50">
        <v>28.571428571428573</v>
      </c>
      <c r="AX455" s="49">
        <v>0</v>
      </c>
      <c r="AY455" s="50">
        <v>0</v>
      </c>
      <c r="AZ455" s="49">
        <v>0</v>
      </c>
      <c r="BA455" s="50">
        <v>0</v>
      </c>
      <c r="BB455" s="49">
        <v>5</v>
      </c>
      <c r="BC455" s="50">
        <v>71.42857142857143</v>
      </c>
      <c r="BD455" s="49">
        <v>7</v>
      </c>
      <c r="BE455" s="49"/>
      <c r="BF455" s="49"/>
      <c r="BG455" s="49"/>
      <c r="BH455" s="49"/>
      <c r="BI455" s="49"/>
      <c r="BJ455" s="49"/>
      <c r="BK455" s="111" t="s">
        <v>4803</v>
      </c>
      <c r="BL455" s="111" t="s">
        <v>4803</v>
      </c>
      <c r="BM455" s="111" t="s">
        <v>5274</v>
      </c>
      <c r="BN455" s="111" t="s">
        <v>5274</v>
      </c>
      <c r="BO455" s="2"/>
      <c r="BP455" s="3"/>
      <c r="BQ455" s="3"/>
      <c r="BR455" s="3"/>
      <c r="BS455" s="3"/>
    </row>
    <row r="456" spans="1:71" ht="15">
      <c r="A456" s="65" t="s">
        <v>677</v>
      </c>
      <c r="B456" s="66"/>
      <c r="C456" s="66"/>
      <c r="D456" s="67">
        <v>150</v>
      </c>
      <c r="E456" s="69"/>
      <c r="F456" s="103" t="str">
        <f>HYPERLINK("https://yt3.ggpht.com/ytc/AKedOLTFbWw2NrvnmxbeTfCAeThg3T-SA3kfq9eFJXzg6Q=s88-c-k-c0x00ffffff-no-rj")</f>
        <v>https://yt3.ggpht.com/ytc/AKedOLTFbWw2NrvnmxbeTfCAeThg3T-SA3kfq9eFJXzg6Q=s88-c-k-c0x00ffffff-no-rj</v>
      </c>
      <c r="G456" s="66"/>
      <c r="H456" s="70" t="s">
        <v>2005</v>
      </c>
      <c r="I456" s="71"/>
      <c r="J456" s="71" t="s">
        <v>159</v>
      </c>
      <c r="K456" s="70" t="s">
        <v>2005</v>
      </c>
      <c r="L456" s="74">
        <v>1</v>
      </c>
      <c r="M456" s="75">
        <v>7623.126953125</v>
      </c>
      <c r="N456" s="75">
        <v>3642.05078125</v>
      </c>
      <c r="O456" s="76"/>
      <c r="P456" s="77"/>
      <c r="Q456" s="77"/>
      <c r="R456" s="89"/>
      <c r="S456" s="49">
        <v>0</v>
      </c>
      <c r="T456" s="49">
        <v>1</v>
      </c>
      <c r="U456" s="50">
        <v>0</v>
      </c>
      <c r="V456" s="50">
        <v>0.019608</v>
      </c>
      <c r="W456" s="50">
        <v>0</v>
      </c>
      <c r="X456" s="50">
        <v>0.53334</v>
      </c>
      <c r="Y456" s="50">
        <v>0</v>
      </c>
      <c r="Z456" s="50">
        <v>0</v>
      </c>
      <c r="AA456" s="72">
        <v>456</v>
      </c>
      <c r="AB456" s="72"/>
      <c r="AC456" s="73"/>
      <c r="AD456" s="80" t="s">
        <v>2005</v>
      </c>
      <c r="AE456" s="80" t="s">
        <v>2972</v>
      </c>
      <c r="AF456" s="80"/>
      <c r="AG456" s="80"/>
      <c r="AH456" s="80"/>
      <c r="AI456" s="80" t="s">
        <v>3085</v>
      </c>
      <c r="AJ456" s="80" t="s">
        <v>3365</v>
      </c>
      <c r="AK456" s="85" t="str">
        <f>HYPERLINK("https://yt3.ggpht.com/ytc/AKedOLTFbWw2NrvnmxbeTfCAeThg3T-SA3kfq9eFJXzg6Q=s88-c-k-c0x00ffffff-no-rj")</f>
        <v>https://yt3.ggpht.com/ytc/AKedOLTFbWw2NrvnmxbeTfCAeThg3T-SA3kfq9eFJXzg6Q=s88-c-k-c0x00ffffff-no-rj</v>
      </c>
      <c r="AL456" s="80">
        <v>257731</v>
      </c>
      <c r="AM456" s="80">
        <v>0</v>
      </c>
      <c r="AN456" s="80">
        <v>1530</v>
      </c>
      <c r="AO456" s="80" t="b">
        <v>0</v>
      </c>
      <c r="AP456" s="80">
        <v>120</v>
      </c>
      <c r="AQ456" s="80"/>
      <c r="AR456" s="80"/>
      <c r="AS456" s="80" t="s">
        <v>3412</v>
      </c>
      <c r="AT456" s="85" t="str">
        <f>HYPERLINK("https://www.youtube.com/channel/UCha_5G6T3039lCb38VtkDIQ")</f>
        <v>https://www.youtube.com/channel/UCha_5G6T3039lCb38VtkDIQ</v>
      </c>
      <c r="AU456" s="80" t="str">
        <f>REPLACE(INDEX(GroupVertices[Group],MATCH(Vertices[[#This Row],[Vertex]],GroupVertices[Vertex],0)),1,1,"")</f>
        <v>8</v>
      </c>
      <c r="AV456" s="49">
        <v>1</v>
      </c>
      <c r="AW456" s="50">
        <v>20</v>
      </c>
      <c r="AX456" s="49">
        <v>0</v>
      </c>
      <c r="AY456" s="50">
        <v>0</v>
      </c>
      <c r="AZ456" s="49">
        <v>0</v>
      </c>
      <c r="BA456" s="50">
        <v>0</v>
      </c>
      <c r="BB456" s="49">
        <v>4</v>
      </c>
      <c r="BC456" s="50">
        <v>80</v>
      </c>
      <c r="BD456" s="49">
        <v>5</v>
      </c>
      <c r="BE456" s="49"/>
      <c r="BF456" s="49"/>
      <c r="BG456" s="49"/>
      <c r="BH456" s="49"/>
      <c r="BI456" s="49"/>
      <c r="BJ456" s="49"/>
      <c r="BK456" s="111" t="s">
        <v>4804</v>
      </c>
      <c r="BL456" s="111" t="s">
        <v>4804</v>
      </c>
      <c r="BM456" s="111" t="s">
        <v>5275</v>
      </c>
      <c r="BN456" s="111" t="s">
        <v>5275</v>
      </c>
      <c r="BO456" s="2"/>
      <c r="BP456" s="3"/>
      <c r="BQ456" s="3"/>
      <c r="BR456" s="3"/>
      <c r="BS456" s="3"/>
    </row>
    <row r="457" spans="1:71" ht="15">
      <c r="A457" s="65" t="s">
        <v>678</v>
      </c>
      <c r="B457" s="66"/>
      <c r="C457" s="66"/>
      <c r="D457" s="67">
        <v>150</v>
      </c>
      <c r="E457" s="69"/>
      <c r="F457" s="103" t="str">
        <f>HYPERLINK("https://yt3.ggpht.com/ytc/AKedOLT-uufiaB-jXj0tWZq3cCSg59zLWT_5yUVcCQUV=s88-c-k-c0x00ffffff-no-rj")</f>
        <v>https://yt3.ggpht.com/ytc/AKedOLT-uufiaB-jXj0tWZq3cCSg59zLWT_5yUVcCQUV=s88-c-k-c0x00ffffff-no-rj</v>
      </c>
      <c r="G457" s="66"/>
      <c r="H457" s="70" t="s">
        <v>2006</v>
      </c>
      <c r="I457" s="71"/>
      <c r="J457" s="71" t="s">
        <v>159</v>
      </c>
      <c r="K457" s="70" t="s">
        <v>2006</v>
      </c>
      <c r="L457" s="74">
        <v>1</v>
      </c>
      <c r="M457" s="75">
        <v>6600.388671875</v>
      </c>
      <c r="N457" s="75">
        <v>3191.1142578125</v>
      </c>
      <c r="O457" s="76"/>
      <c r="P457" s="77"/>
      <c r="Q457" s="77"/>
      <c r="R457" s="89"/>
      <c r="S457" s="49">
        <v>0</v>
      </c>
      <c r="T457" s="49">
        <v>1</v>
      </c>
      <c r="U457" s="50">
        <v>0</v>
      </c>
      <c r="V457" s="50">
        <v>0.019608</v>
      </c>
      <c r="W457" s="50">
        <v>0</v>
      </c>
      <c r="X457" s="50">
        <v>0.53334</v>
      </c>
      <c r="Y457" s="50">
        <v>0</v>
      </c>
      <c r="Z457" s="50">
        <v>0</v>
      </c>
      <c r="AA457" s="72">
        <v>457</v>
      </c>
      <c r="AB457" s="72"/>
      <c r="AC457" s="73"/>
      <c r="AD457" s="80" t="s">
        <v>2006</v>
      </c>
      <c r="AE457" s="80"/>
      <c r="AF457" s="80"/>
      <c r="AG457" s="80"/>
      <c r="AH457" s="80"/>
      <c r="AI457" s="80"/>
      <c r="AJ457" s="87">
        <v>41000.88390046296</v>
      </c>
      <c r="AK457" s="85" t="str">
        <f>HYPERLINK("https://yt3.ggpht.com/ytc/AKedOLT-uufiaB-jXj0tWZq3cCSg59zLWT_5yUVcCQUV=s88-c-k-c0x00ffffff-no-rj")</f>
        <v>https://yt3.ggpht.com/ytc/AKedOLT-uufiaB-jXj0tWZq3cCSg59zLWT_5yUVcCQUV=s88-c-k-c0x00ffffff-no-rj</v>
      </c>
      <c r="AL457" s="80">
        <v>0</v>
      </c>
      <c r="AM457" s="80">
        <v>0</v>
      </c>
      <c r="AN457" s="80">
        <v>1</v>
      </c>
      <c r="AO457" s="80" t="b">
        <v>0</v>
      </c>
      <c r="AP457" s="80">
        <v>0</v>
      </c>
      <c r="AQ457" s="80"/>
      <c r="AR457" s="80"/>
      <c r="AS457" s="80" t="s">
        <v>3412</v>
      </c>
      <c r="AT457" s="85" t="str">
        <f>HYPERLINK("https://www.youtube.com/channel/UCt0pc4cGojE6o-lNJSZvCfA")</f>
        <v>https://www.youtube.com/channel/UCt0pc4cGojE6o-lNJSZvCfA</v>
      </c>
      <c r="AU457" s="80" t="str">
        <f>REPLACE(INDEX(GroupVertices[Group],MATCH(Vertices[[#This Row],[Vertex]],GroupVertices[Vertex],0)),1,1,"")</f>
        <v>8</v>
      </c>
      <c r="AV457" s="49">
        <v>0</v>
      </c>
      <c r="AW457" s="50">
        <v>0</v>
      </c>
      <c r="AX457" s="49">
        <v>0</v>
      </c>
      <c r="AY457" s="50">
        <v>0</v>
      </c>
      <c r="AZ457" s="49">
        <v>0</v>
      </c>
      <c r="BA457" s="50">
        <v>0</v>
      </c>
      <c r="BB457" s="49">
        <v>10</v>
      </c>
      <c r="BC457" s="50">
        <v>100</v>
      </c>
      <c r="BD457" s="49">
        <v>10</v>
      </c>
      <c r="BE457" s="49"/>
      <c r="BF457" s="49"/>
      <c r="BG457" s="49"/>
      <c r="BH457" s="49"/>
      <c r="BI457" s="49"/>
      <c r="BJ457" s="49"/>
      <c r="BK457" s="111" t="s">
        <v>4805</v>
      </c>
      <c r="BL457" s="111" t="s">
        <v>4805</v>
      </c>
      <c r="BM457" s="111" t="s">
        <v>5276</v>
      </c>
      <c r="BN457" s="111" t="s">
        <v>5276</v>
      </c>
      <c r="BO457" s="2"/>
      <c r="BP457" s="3"/>
      <c r="BQ457" s="3"/>
      <c r="BR457" s="3"/>
      <c r="BS457" s="3"/>
    </row>
    <row r="458" spans="1:71" ht="15">
      <c r="A458" s="65" t="s">
        <v>679</v>
      </c>
      <c r="B458" s="66"/>
      <c r="C458" s="66"/>
      <c r="D458" s="67">
        <v>150</v>
      </c>
      <c r="E458" s="69"/>
      <c r="F458" s="103" t="str">
        <f>HYPERLINK("https://yt3.ggpht.com/ytc/AKedOLSdU3ZNRFM-wbNP00p2lIHXZPAKR9l6qtB3W60QWQ=s88-c-k-c0x00ffffff-no-rj")</f>
        <v>https://yt3.ggpht.com/ytc/AKedOLSdU3ZNRFM-wbNP00p2lIHXZPAKR9l6qtB3W60QWQ=s88-c-k-c0x00ffffff-no-rj</v>
      </c>
      <c r="G458" s="66"/>
      <c r="H458" s="70" t="s">
        <v>2007</v>
      </c>
      <c r="I458" s="71"/>
      <c r="J458" s="71" t="s">
        <v>159</v>
      </c>
      <c r="K458" s="70" t="s">
        <v>2007</v>
      </c>
      <c r="L458" s="74">
        <v>1</v>
      </c>
      <c r="M458" s="75">
        <v>7422.7509765625</v>
      </c>
      <c r="N458" s="75">
        <v>3463.782470703125</v>
      </c>
      <c r="O458" s="76"/>
      <c r="P458" s="77"/>
      <c r="Q458" s="77"/>
      <c r="R458" s="89"/>
      <c r="S458" s="49">
        <v>0</v>
      </c>
      <c r="T458" s="49">
        <v>1</v>
      </c>
      <c r="U458" s="50">
        <v>0</v>
      </c>
      <c r="V458" s="50">
        <v>0.019608</v>
      </c>
      <c r="W458" s="50">
        <v>0</v>
      </c>
      <c r="X458" s="50">
        <v>0.53334</v>
      </c>
      <c r="Y458" s="50">
        <v>0</v>
      </c>
      <c r="Z458" s="50">
        <v>0</v>
      </c>
      <c r="AA458" s="72">
        <v>458</v>
      </c>
      <c r="AB458" s="72"/>
      <c r="AC458" s="73"/>
      <c r="AD458" s="80" t="s">
        <v>2007</v>
      </c>
      <c r="AE458" s="80" t="s">
        <v>2973</v>
      </c>
      <c r="AF458" s="80"/>
      <c r="AG458" s="80"/>
      <c r="AH458" s="80"/>
      <c r="AI458" s="80" t="s">
        <v>3086</v>
      </c>
      <c r="AJ458" s="80" t="s">
        <v>3366</v>
      </c>
      <c r="AK458" s="85" t="str">
        <f>HYPERLINK("https://yt3.ggpht.com/ytc/AKedOLSdU3ZNRFM-wbNP00p2lIHXZPAKR9l6qtB3W60QWQ=s88-c-k-c0x00ffffff-no-rj")</f>
        <v>https://yt3.ggpht.com/ytc/AKedOLSdU3ZNRFM-wbNP00p2lIHXZPAKR9l6qtB3W60QWQ=s88-c-k-c0x00ffffff-no-rj</v>
      </c>
      <c r="AL458" s="80">
        <v>37754</v>
      </c>
      <c r="AM458" s="80">
        <v>0</v>
      </c>
      <c r="AN458" s="80">
        <v>238</v>
      </c>
      <c r="AO458" s="80" t="b">
        <v>0</v>
      </c>
      <c r="AP458" s="80">
        <v>80</v>
      </c>
      <c r="AQ458" s="80"/>
      <c r="AR458" s="80"/>
      <c r="AS458" s="80" t="s">
        <v>3412</v>
      </c>
      <c r="AT458" s="85" t="str">
        <f>HYPERLINK("https://www.youtube.com/channel/UCSNotlkaQzaA1x41XyDEnUQ")</f>
        <v>https://www.youtube.com/channel/UCSNotlkaQzaA1x41XyDEnUQ</v>
      </c>
      <c r="AU458" s="80" t="str">
        <f>REPLACE(INDEX(GroupVertices[Group],MATCH(Vertices[[#This Row],[Vertex]],GroupVertices[Vertex],0)),1,1,"")</f>
        <v>8</v>
      </c>
      <c r="AV458" s="49">
        <v>1</v>
      </c>
      <c r="AW458" s="50">
        <v>8.333333333333334</v>
      </c>
      <c r="AX458" s="49">
        <v>0</v>
      </c>
      <c r="AY458" s="50">
        <v>0</v>
      </c>
      <c r="AZ458" s="49">
        <v>0</v>
      </c>
      <c r="BA458" s="50">
        <v>0</v>
      </c>
      <c r="BB458" s="49">
        <v>11</v>
      </c>
      <c r="BC458" s="50">
        <v>91.66666666666667</v>
      </c>
      <c r="BD458" s="49">
        <v>12</v>
      </c>
      <c r="BE458" s="49"/>
      <c r="BF458" s="49"/>
      <c r="BG458" s="49"/>
      <c r="BH458" s="49"/>
      <c r="BI458" s="49"/>
      <c r="BJ458" s="49"/>
      <c r="BK458" s="111" t="s">
        <v>4806</v>
      </c>
      <c r="BL458" s="111" t="s">
        <v>4806</v>
      </c>
      <c r="BM458" s="111" t="s">
        <v>5277</v>
      </c>
      <c r="BN458" s="111" t="s">
        <v>5277</v>
      </c>
      <c r="BO458" s="2"/>
      <c r="BP458" s="3"/>
      <c r="BQ458" s="3"/>
      <c r="BR458" s="3"/>
      <c r="BS458" s="3"/>
    </row>
    <row r="459" spans="1:71" ht="15">
      <c r="A459" s="65" t="s">
        <v>680</v>
      </c>
      <c r="B459" s="66"/>
      <c r="C459" s="66"/>
      <c r="D459" s="67">
        <v>150</v>
      </c>
      <c r="E459" s="69"/>
      <c r="F459" s="103" t="str">
        <f>HYPERLINK("https://yt3.ggpht.com/ytc/AKedOLRZp7aRUzZNxa8inbe0iOTOQcv9NE2mZdGDM9M0=s88-c-k-c0x00ffffff-no-rj")</f>
        <v>https://yt3.ggpht.com/ytc/AKedOLRZp7aRUzZNxa8inbe0iOTOQcv9NE2mZdGDM9M0=s88-c-k-c0x00ffffff-no-rj</v>
      </c>
      <c r="G459" s="66"/>
      <c r="H459" s="70" t="s">
        <v>2008</v>
      </c>
      <c r="I459" s="71"/>
      <c r="J459" s="71" t="s">
        <v>159</v>
      </c>
      <c r="K459" s="70" t="s">
        <v>2008</v>
      </c>
      <c r="L459" s="74">
        <v>1</v>
      </c>
      <c r="M459" s="75">
        <v>7461.16015625</v>
      </c>
      <c r="N459" s="75">
        <v>3048.332275390625</v>
      </c>
      <c r="O459" s="76"/>
      <c r="P459" s="77"/>
      <c r="Q459" s="77"/>
      <c r="R459" s="89"/>
      <c r="S459" s="49">
        <v>0</v>
      </c>
      <c r="T459" s="49">
        <v>1</v>
      </c>
      <c r="U459" s="50">
        <v>0</v>
      </c>
      <c r="V459" s="50">
        <v>0.019608</v>
      </c>
      <c r="W459" s="50">
        <v>0</v>
      </c>
      <c r="X459" s="50">
        <v>0.53334</v>
      </c>
      <c r="Y459" s="50">
        <v>0</v>
      </c>
      <c r="Z459" s="50">
        <v>0</v>
      </c>
      <c r="AA459" s="72">
        <v>459</v>
      </c>
      <c r="AB459" s="72"/>
      <c r="AC459" s="73"/>
      <c r="AD459" s="80" t="s">
        <v>2008</v>
      </c>
      <c r="AE459" s="80" t="s">
        <v>2974</v>
      </c>
      <c r="AF459" s="80"/>
      <c r="AG459" s="80"/>
      <c r="AH459" s="80"/>
      <c r="AI459" s="80"/>
      <c r="AJ459" s="87">
        <v>40577.88773148148</v>
      </c>
      <c r="AK459" s="85" t="str">
        <f>HYPERLINK("https://yt3.ggpht.com/ytc/AKedOLRZp7aRUzZNxa8inbe0iOTOQcv9NE2mZdGDM9M0=s88-c-k-c0x00ffffff-no-rj")</f>
        <v>https://yt3.ggpht.com/ytc/AKedOLRZp7aRUzZNxa8inbe0iOTOQcv9NE2mZdGDM9M0=s88-c-k-c0x00ffffff-no-rj</v>
      </c>
      <c r="AL459" s="80">
        <v>968</v>
      </c>
      <c r="AM459" s="80">
        <v>0</v>
      </c>
      <c r="AN459" s="80">
        <v>62</v>
      </c>
      <c r="AO459" s="80" t="b">
        <v>0</v>
      </c>
      <c r="AP459" s="80">
        <v>2</v>
      </c>
      <c r="AQ459" s="80"/>
      <c r="AR459" s="80"/>
      <c r="AS459" s="80" t="s">
        <v>3412</v>
      </c>
      <c r="AT459" s="85" t="str">
        <f>HYPERLINK("https://www.youtube.com/channel/UCzBRTGLhzuaB2An2otGPEzA")</f>
        <v>https://www.youtube.com/channel/UCzBRTGLhzuaB2An2otGPEzA</v>
      </c>
      <c r="AU459" s="80" t="str">
        <f>REPLACE(INDEX(GroupVertices[Group],MATCH(Vertices[[#This Row],[Vertex]],GroupVertices[Vertex],0)),1,1,"")</f>
        <v>8</v>
      </c>
      <c r="AV459" s="49">
        <v>0</v>
      </c>
      <c r="AW459" s="50">
        <v>0</v>
      </c>
      <c r="AX459" s="49">
        <v>0</v>
      </c>
      <c r="AY459" s="50">
        <v>0</v>
      </c>
      <c r="AZ459" s="49">
        <v>0</v>
      </c>
      <c r="BA459" s="50">
        <v>0</v>
      </c>
      <c r="BB459" s="49">
        <v>3</v>
      </c>
      <c r="BC459" s="50">
        <v>100</v>
      </c>
      <c r="BD459" s="49">
        <v>3</v>
      </c>
      <c r="BE459" s="49"/>
      <c r="BF459" s="49"/>
      <c r="BG459" s="49"/>
      <c r="BH459" s="49"/>
      <c r="BI459" s="49"/>
      <c r="BJ459" s="49"/>
      <c r="BK459" s="111" t="s">
        <v>4807</v>
      </c>
      <c r="BL459" s="111" t="s">
        <v>4807</v>
      </c>
      <c r="BM459" s="111" t="s">
        <v>5278</v>
      </c>
      <c r="BN459" s="111" t="s">
        <v>5278</v>
      </c>
      <c r="BO459" s="2"/>
      <c r="BP459" s="3"/>
      <c r="BQ459" s="3"/>
      <c r="BR459" s="3"/>
      <c r="BS459" s="3"/>
    </row>
    <row r="460" spans="1:71" ht="15">
      <c r="A460" s="65" t="s">
        <v>681</v>
      </c>
      <c r="B460" s="66"/>
      <c r="C460" s="66"/>
      <c r="D460" s="67">
        <v>150</v>
      </c>
      <c r="E460" s="69"/>
      <c r="F460" s="103" t="str">
        <f>HYPERLINK("https://yt3.ggpht.com/ytc/AKedOLSZ0hSa00e5xu7h3cVM-ZB1R_zhxe55beZ9Y_fE=s88-c-k-c0x00ffffff-no-rj")</f>
        <v>https://yt3.ggpht.com/ytc/AKedOLSZ0hSa00e5xu7h3cVM-ZB1R_zhxe55beZ9Y_fE=s88-c-k-c0x00ffffff-no-rj</v>
      </c>
      <c r="G460" s="66"/>
      <c r="H460" s="70" t="s">
        <v>2009</v>
      </c>
      <c r="I460" s="71"/>
      <c r="J460" s="71" t="s">
        <v>159</v>
      </c>
      <c r="K460" s="70" t="s">
        <v>2009</v>
      </c>
      <c r="L460" s="74">
        <v>1</v>
      </c>
      <c r="M460" s="75">
        <v>7214.88037109375</v>
      </c>
      <c r="N460" s="75">
        <v>2962.131591796875</v>
      </c>
      <c r="O460" s="76"/>
      <c r="P460" s="77"/>
      <c r="Q460" s="77"/>
      <c r="R460" s="89"/>
      <c r="S460" s="49">
        <v>1</v>
      </c>
      <c r="T460" s="49">
        <v>2</v>
      </c>
      <c r="U460" s="50">
        <v>0</v>
      </c>
      <c r="V460" s="50">
        <v>0.019608</v>
      </c>
      <c r="W460" s="50">
        <v>0</v>
      </c>
      <c r="X460" s="50">
        <v>0.927547</v>
      </c>
      <c r="Y460" s="50">
        <v>0</v>
      </c>
      <c r="Z460" s="50">
        <v>0</v>
      </c>
      <c r="AA460" s="72">
        <v>460</v>
      </c>
      <c r="AB460" s="72"/>
      <c r="AC460" s="73"/>
      <c r="AD460" s="80" t="s">
        <v>2009</v>
      </c>
      <c r="AE460" s="80"/>
      <c r="AF460" s="80"/>
      <c r="AG460" s="80"/>
      <c r="AH460" s="80"/>
      <c r="AI460" s="80"/>
      <c r="AJ460" s="80" t="s">
        <v>3367</v>
      </c>
      <c r="AK460" s="85" t="str">
        <f>HYPERLINK("https://yt3.ggpht.com/ytc/AKedOLSZ0hSa00e5xu7h3cVM-ZB1R_zhxe55beZ9Y_fE=s88-c-k-c0x00ffffff-no-rj")</f>
        <v>https://yt3.ggpht.com/ytc/AKedOLSZ0hSa00e5xu7h3cVM-ZB1R_zhxe55beZ9Y_fE=s88-c-k-c0x00ffffff-no-rj</v>
      </c>
      <c r="AL460" s="80">
        <v>3378</v>
      </c>
      <c r="AM460" s="80">
        <v>0</v>
      </c>
      <c r="AN460" s="80">
        <v>6</v>
      </c>
      <c r="AO460" s="80" t="b">
        <v>0</v>
      </c>
      <c r="AP460" s="80">
        <v>11</v>
      </c>
      <c r="AQ460" s="80"/>
      <c r="AR460" s="80"/>
      <c r="AS460" s="80" t="s">
        <v>3412</v>
      </c>
      <c r="AT460" s="85" t="str">
        <f>HYPERLINK("https://www.youtube.com/channel/UCt9_kJMwRziGaAUjifzys-Q")</f>
        <v>https://www.youtube.com/channel/UCt9_kJMwRziGaAUjifzys-Q</v>
      </c>
      <c r="AU460" s="80" t="str">
        <f>REPLACE(INDEX(GroupVertices[Group],MATCH(Vertices[[#This Row],[Vertex]],GroupVertices[Vertex],0)),1,1,"")</f>
        <v>8</v>
      </c>
      <c r="AV460" s="49">
        <v>2</v>
      </c>
      <c r="AW460" s="50">
        <v>5.405405405405405</v>
      </c>
      <c r="AX460" s="49">
        <v>0</v>
      </c>
      <c r="AY460" s="50">
        <v>0</v>
      </c>
      <c r="AZ460" s="49">
        <v>0</v>
      </c>
      <c r="BA460" s="50">
        <v>0</v>
      </c>
      <c r="BB460" s="49">
        <v>35</v>
      </c>
      <c r="BC460" s="50">
        <v>94.5945945945946</v>
      </c>
      <c r="BD460" s="49">
        <v>37</v>
      </c>
      <c r="BE460" s="49"/>
      <c r="BF460" s="49"/>
      <c r="BG460" s="49"/>
      <c r="BH460" s="49"/>
      <c r="BI460" s="49"/>
      <c r="BJ460" s="49"/>
      <c r="BK460" s="111" t="s">
        <v>4808</v>
      </c>
      <c r="BL460" s="111" t="s">
        <v>4808</v>
      </c>
      <c r="BM460" s="111" t="s">
        <v>5279</v>
      </c>
      <c r="BN460" s="111" t="s">
        <v>5279</v>
      </c>
      <c r="BO460" s="2"/>
      <c r="BP460" s="3"/>
      <c r="BQ460" s="3"/>
      <c r="BR460" s="3"/>
      <c r="BS460" s="3"/>
    </row>
    <row r="461" spans="1:71" ht="15">
      <c r="A461" s="65" t="s">
        <v>682</v>
      </c>
      <c r="B461" s="66"/>
      <c r="C461" s="66"/>
      <c r="D461" s="67">
        <v>150</v>
      </c>
      <c r="E461" s="69"/>
      <c r="F461" s="103" t="str">
        <f>HYPERLINK("https://yt3.ggpht.com/ytc/AKedOLTqIjOSH1CwJClVblnTn1G09FwoTYeo4jQp3TYJ=s88-c-k-c0x00ffffff-no-rj")</f>
        <v>https://yt3.ggpht.com/ytc/AKedOLTqIjOSH1CwJClVblnTn1G09FwoTYeo4jQp3TYJ=s88-c-k-c0x00ffffff-no-rj</v>
      </c>
      <c r="G461" s="66"/>
      <c r="H461" s="70" t="s">
        <v>2010</v>
      </c>
      <c r="I461" s="71"/>
      <c r="J461" s="71" t="s">
        <v>159</v>
      </c>
      <c r="K461" s="70" t="s">
        <v>2010</v>
      </c>
      <c r="L461" s="74">
        <v>1</v>
      </c>
      <c r="M461" s="75">
        <v>6759.091796875</v>
      </c>
      <c r="N461" s="75">
        <v>3332.901611328125</v>
      </c>
      <c r="O461" s="76"/>
      <c r="P461" s="77"/>
      <c r="Q461" s="77"/>
      <c r="R461" s="89"/>
      <c r="S461" s="49">
        <v>0</v>
      </c>
      <c r="T461" s="49">
        <v>1</v>
      </c>
      <c r="U461" s="50">
        <v>0</v>
      </c>
      <c r="V461" s="50">
        <v>0.019608</v>
      </c>
      <c r="W461" s="50">
        <v>0</v>
      </c>
      <c r="X461" s="50">
        <v>0.53334</v>
      </c>
      <c r="Y461" s="50">
        <v>0</v>
      </c>
      <c r="Z461" s="50">
        <v>0</v>
      </c>
      <c r="AA461" s="72">
        <v>461</v>
      </c>
      <c r="AB461" s="72"/>
      <c r="AC461" s="73"/>
      <c r="AD461" s="80" t="s">
        <v>2010</v>
      </c>
      <c r="AE461" s="80"/>
      <c r="AF461" s="80"/>
      <c r="AG461" s="80"/>
      <c r="AH461" s="80"/>
      <c r="AI461" s="80"/>
      <c r="AJ461" s="87">
        <v>42098.556550925925</v>
      </c>
      <c r="AK461" s="85" t="str">
        <f>HYPERLINK("https://yt3.ggpht.com/ytc/AKedOLTqIjOSH1CwJClVblnTn1G09FwoTYeo4jQp3TYJ=s88-c-k-c0x00ffffff-no-rj")</f>
        <v>https://yt3.ggpht.com/ytc/AKedOLTqIjOSH1CwJClVblnTn1G09FwoTYeo4jQp3TYJ=s88-c-k-c0x00ffffff-no-rj</v>
      </c>
      <c r="AL461" s="80">
        <v>0</v>
      </c>
      <c r="AM461" s="80">
        <v>0</v>
      </c>
      <c r="AN461" s="80">
        <v>3</v>
      </c>
      <c r="AO461" s="80" t="b">
        <v>0</v>
      </c>
      <c r="AP461" s="80">
        <v>0</v>
      </c>
      <c r="AQ461" s="80"/>
      <c r="AR461" s="80"/>
      <c r="AS461" s="80" t="s">
        <v>3412</v>
      </c>
      <c r="AT461" s="85" t="str">
        <f>HYPERLINK("https://www.youtube.com/channel/UCT-qa7_fRJMIsq4D1XotTrg")</f>
        <v>https://www.youtube.com/channel/UCT-qa7_fRJMIsq4D1XotTrg</v>
      </c>
      <c r="AU461" s="80" t="str">
        <f>REPLACE(INDEX(GroupVertices[Group],MATCH(Vertices[[#This Row],[Vertex]],GroupVertices[Vertex],0)),1,1,"")</f>
        <v>8</v>
      </c>
      <c r="AV461" s="49">
        <v>0</v>
      </c>
      <c r="AW461" s="50">
        <v>0</v>
      </c>
      <c r="AX461" s="49">
        <v>0</v>
      </c>
      <c r="AY461" s="50">
        <v>0</v>
      </c>
      <c r="AZ461" s="49">
        <v>0</v>
      </c>
      <c r="BA461" s="50">
        <v>0</v>
      </c>
      <c r="BB461" s="49">
        <v>6</v>
      </c>
      <c r="BC461" s="50">
        <v>100</v>
      </c>
      <c r="BD461" s="49">
        <v>6</v>
      </c>
      <c r="BE461" s="49"/>
      <c r="BF461" s="49"/>
      <c r="BG461" s="49"/>
      <c r="BH461" s="49"/>
      <c r="BI461" s="49"/>
      <c r="BJ461" s="49"/>
      <c r="BK461" s="111" t="s">
        <v>4809</v>
      </c>
      <c r="BL461" s="111" t="s">
        <v>4809</v>
      </c>
      <c r="BM461" s="111" t="s">
        <v>5280</v>
      </c>
      <c r="BN461" s="111" t="s">
        <v>5280</v>
      </c>
      <c r="BO461" s="2"/>
      <c r="BP461" s="3"/>
      <c r="BQ461" s="3"/>
      <c r="BR461" s="3"/>
      <c r="BS461" s="3"/>
    </row>
    <row r="462" spans="1:71" ht="15">
      <c r="A462" s="65" t="s">
        <v>683</v>
      </c>
      <c r="B462" s="66"/>
      <c r="C462" s="66"/>
      <c r="D462" s="67">
        <v>150</v>
      </c>
      <c r="E462" s="69"/>
      <c r="F462" s="103" t="str">
        <f>HYPERLINK("https://yt3.ggpht.com/ytc/AKedOLQwr9l6JL9cxRXuz_EIfEQvWpIT9wxQIjaoYbfjnQ=s88-c-k-c0x00ffffff-no-rj")</f>
        <v>https://yt3.ggpht.com/ytc/AKedOLQwr9l6JL9cxRXuz_EIfEQvWpIT9wxQIjaoYbfjnQ=s88-c-k-c0x00ffffff-no-rj</v>
      </c>
      <c r="G462" s="66"/>
      <c r="H462" s="70" t="s">
        <v>2011</v>
      </c>
      <c r="I462" s="71"/>
      <c r="J462" s="71" t="s">
        <v>159</v>
      </c>
      <c r="K462" s="70" t="s">
        <v>2011</v>
      </c>
      <c r="L462" s="74">
        <v>1</v>
      </c>
      <c r="M462" s="75">
        <v>7164</v>
      </c>
      <c r="N462" s="75">
        <v>3726.284423828125</v>
      </c>
      <c r="O462" s="76"/>
      <c r="P462" s="77"/>
      <c r="Q462" s="77"/>
      <c r="R462" s="89"/>
      <c r="S462" s="49">
        <v>0</v>
      </c>
      <c r="T462" s="49">
        <v>1</v>
      </c>
      <c r="U462" s="50">
        <v>0</v>
      </c>
      <c r="V462" s="50">
        <v>0.019608</v>
      </c>
      <c r="W462" s="50">
        <v>0</v>
      </c>
      <c r="X462" s="50">
        <v>0.53334</v>
      </c>
      <c r="Y462" s="50">
        <v>0</v>
      </c>
      <c r="Z462" s="50">
        <v>0</v>
      </c>
      <c r="AA462" s="72">
        <v>462</v>
      </c>
      <c r="AB462" s="72"/>
      <c r="AC462" s="73"/>
      <c r="AD462" s="80" t="s">
        <v>2011</v>
      </c>
      <c r="AE462" s="80"/>
      <c r="AF462" s="80"/>
      <c r="AG462" s="80"/>
      <c r="AH462" s="80"/>
      <c r="AI462" s="80"/>
      <c r="AJ462" s="80" t="s">
        <v>3368</v>
      </c>
      <c r="AK462" s="85" t="str">
        <f>HYPERLINK("https://yt3.ggpht.com/ytc/AKedOLQwr9l6JL9cxRXuz_EIfEQvWpIT9wxQIjaoYbfjnQ=s88-c-k-c0x00ffffff-no-rj")</f>
        <v>https://yt3.ggpht.com/ytc/AKedOLQwr9l6JL9cxRXuz_EIfEQvWpIT9wxQIjaoYbfjnQ=s88-c-k-c0x00ffffff-no-rj</v>
      </c>
      <c r="AL462" s="80">
        <v>0</v>
      </c>
      <c r="AM462" s="80">
        <v>0</v>
      </c>
      <c r="AN462" s="80">
        <v>0</v>
      </c>
      <c r="AO462" s="80" t="b">
        <v>0</v>
      </c>
      <c r="AP462" s="80">
        <v>0</v>
      </c>
      <c r="AQ462" s="80"/>
      <c r="AR462" s="80"/>
      <c r="AS462" s="80" t="s">
        <v>3412</v>
      </c>
      <c r="AT462" s="85" t="str">
        <f>HYPERLINK("https://www.youtube.com/channel/UC6V6onFxAmp8XRofFkRKnNw")</f>
        <v>https://www.youtube.com/channel/UC6V6onFxAmp8XRofFkRKnNw</v>
      </c>
      <c r="AU462" s="80" t="str">
        <f>REPLACE(INDEX(GroupVertices[Group],MATCH(Vertices[[#This Row],[Vertex]],GroupVertices[Vertex],0)),1,1,"")</f>
        <v>8</v>
      </c>
      <c r="AV462" s="49">
        <v>5</v>
      </c>
      <c r="AW462" s="50">
        <v>12.820512820512821</v>
      </c>
      <c r="AX462" s="49">
        <v>0</v>
      </c>
      <c r="AY462" s="50">
        <v>0</v>
      </c>
      <c r="AZ462" s="49">
        <v>0</v>
      </c>
      <c r="BA462" s="50">
        <v>0</v>
      </c>
      <c r="BB462" s="49">
        <v>34</v>
      </c>
      <c r="BC462" s="50">
        <v>87.17948717948718</v>
      </c>
      <c r="BD462" s="49">
        <v>39</v>
      </c>
      <c r="BE462" s="49"/>
      <c r="BF462" s="49"/>
      <c r="BG462" s="49"/>
      <c r="BH462" s="49"/>
      <c r="BI462" s="49"/>
      <c r="BJ462" s="49"/>
      <c r="BK462" s="111" t="s">
        <v>4810</v>
      </c>
      <c r="BL462" s="111" t="s">
        <v>4810</v>
      </c>
      <c r="BM462" s="111" t="s">
        <v>5281</v>
      </c>
      <c r="BN462" s="111" t="s">
        <v>5281</v>
      </c>
      <c r="BO462" s="2"/>
      <c r="BP462" s="3"/>
      <c r="BQ462" s="3"/>
      <c r="BR462" s="3"/>
      <c r="BS462" s="3"/>
    </row>
    <row r="463" spans="1:71" ht="15">
      <c r="A463" s="65" t="s">
        <v>684</v>
      </c>
      <c r="B463" s="66"/>
      <c r="C463" s="66"/>
      <c r="D463" s="67">
        <v>150</v>
      </c>
      <c r="E463" s="69"/>
      <c r="F463" s="103" t="str">
        <f>HYPERLINK("https://yt3.ggpht.com/ytc/AKedOLQ4ZRULcxEdiidYRJuuFaSLiPMxMgM0jlai8kmk2F4=s88-c-k-c0x00ffffff-no-rj")</f>
        <v>https://yt3.ggpht.com/ytc/AKedOLQ4ZRULcxEdiidYRJuuFaSLiPMxMgM0jlai8kmk2F4=s88-c-k-c0x00ffffff-no-rj</v>
      </c>
      <c r="G463" s="66"/>
      <c r="H463" s="70" t="s">
        <v>2012</v>
      </c>
      <c r="I463" s="71"/>
      <c r="J463" s="71" t="s">
        <v>159</v>
      </c>
      <c r="K463" s="70" t="s">
        <v>2012</v>
      </c>
      <c r="L463" s="74">
        <v>1</v>
      </c>
      <c r="M463" s="75">
        <v>6711.00146484375</v>
      </c>
      <c r="N463" s="75">
        <v>3050.448974609375</v>
      </c>
      <c r="O463" s="76"/>
      <c r="P463" s="77"/>
      <c r="Q463" s="77"/>
      <c r="R463" s="89"/>
      <c r="S463" s="49">
        <v>0</v>
      </c>
      <c r="T463" s="49">
        <v>1</v>
      </c>
      <c r="U463" s="50">
        <v>0</v>
      </c>
      <c r="V463" s="50">
        <v>0.019608</v>
      </c>
      <c r="W463" s="50">
        <v>0</v>
      </c>
      <c r="X463" s="50">
        <v>0.53334</v>
      </c>
      <c r="Y463" s="50">
        <v>0</v>
      </c>
      <c r="Z463" s="50">
        <v>0</v>
      </c>
      <c r="AA463" s="72">
        <v>463</v>
      </c>
      <c r="AB463" s="72"/>
      <c r="AC463" s="73"/>
      <c r="AD463" s="80" t="s">
        <v>2012</v>
      </c>
      <c r="AE463" s="80"/>
      <c r="AF463" s="80"/>
      <c r="AG463" s="80"/>
      <c r="AH463" s="80"/>
      <c r="AI463" s="80"/>
      <c r="AJ463" s="80" t="s">
        <v>3369</v>
      </c>
      <c r="AK463" s="85" t="str">
        <f>HYPERLINK("https://yt3.ggpht.com/ytc/AKedOLQ4ZRULcxEdiidYRJuuFaSLiPMxMgM0jlai8kmk2F4=s88-c-k-c0x00ffffff-no-rj")</f>
        <v>https://yt3.ggpht.com/ytc/AKedOLQ4ZRULcxEdiidYRJuuFaSLiPMxMgM0jlai8kmk2F4=s88-c-k-c0x00ffffff-no-rj</v>
      </c>
      <c r="AL463" s="80">
        <v>2522</v>
      </c>
      <c r="AM463" s="80">
        <v>0</v>
      </c>
      <c r="AN463" s="80">
        <v>4</v>
      </c>
      <c r="AO463" s="80" t="b">
        <v>0</v>
      </c>
      <c r="AP463" s="80">
        <v>55</v>
      </c>
      <c r="AQ463" s="80"/>
      <c r="AR463" s="80"/>
      <c r="AS463" s="80" t="s">
        <v>3412</v>
      </c>
      <c r="AT463" s="85" t="str">
        <f>HYPERLINK("https://www.youtube.com/channel/UC0YOJ-_2bsDOXJ7lC7h_opw")</f>
        <v>https://www.youtube.com/channel/UC0YOJ-_2bsDOXJ7lC7h_opw</v>
      </c>
      <c r="AU463" s="80" t="str">
        <f>REPLACE(INDEX(GroupVertices[Group],MATCH(Vertices[[#This Row],[Vertex]],GroupVertices[Vertex],0)),1,1,"")</f>
        <v>8</v>
      </c>
      <c r="AV463" s="49">
        <v>0</v>
      </c>
      <c r="AW463" s="50">
        <v>0</v>
      </c>
      <c r="AX463" s="49">
        <v>0</v>
      </c>
      <c r="AY463" s="50">
        <v>0</v>
      </c>
      <c r="AZ463" s="49">
        <v>0</v>
      </c>
      <c r="BA463" s="50">
        <v>0</v>
      </c>
      <c r="BB463" s="49">
        <v>14</v>
      </c>
      <c r="BC463" s="50">
        <v>100</v>
      </c>
      <c r="BD463" s="49">
        <v>14</v>
      </c>
      <c r="BE463" s="49"/>
      <c r="BF463" s="49"/>
      <c r="BG463" s="49"/>
      <c r="BH463" s="49"/>
      <c r="BI463" s="49"/>
      <c r="BJ463" s="49"/>
      <c r="BK463" s="111" t="s">
        <v>4811</v>
      </c>
      <c r="BL463" s="111" t="s">
        <v>4811</v>
      </c>
      <c r="BM463" s="111" t="s">
        <v>5282</v>
      </c>
      <c r="BN463" s="111" t="s">
        <v>5282</v>
      </c>
      <c r="BO463" s="2"/>
      <c r="BP463" s="3"/>
      <c r="BQ463" s="3"/>
      <c r="BR463" s="3"/>
      <c r="BS463" s="3"/>
    </row>
    <row r="464" spans="1:71" ht="15">
      <c r="A464" s="65" t="s">
        <v>685</v>
      </c>
      <c r="B464" s="66"/>
      <c r="C464" s="66"/>
      <c r="D464" s="67">
        <v>150</v>
      </c>
      <c r="E464" s="69"/>
      <c r="F464" s="103" t="str">
        <f>HYPERLINK("https://yt3.ggpht.com/ytc/AKedOLQG9m4WXMSr0ggKosv26nu2mgfzCLPMEjHzXhQ=s88-c-k-c0x00ffffff-no-rj")</f>
        <v>https://yt3.ggpht.com/ytc/AKedOLQG9m4WXMSr0ggKosv26nu2mgfzCLPMEjHzXhQ=s88-c-k-c0x00ffffff-no-rj</v>
      </c>
      <c r="G464" s="66"/>
      <c r="H464" s="70" t="s">
        <v>2013</v>
      </c>
      <c r="I464" s="71"/>
      <c r="J464" s="71" t="s">
        <v>159</v>
      </c>
      <c r="K464" s="70" t="s">
        <v>2013</v>
      </c>
      <c r="L464" s="74">
        <v>1</v>
      </c>
      <c r="M464" s="75">
        <v>7134.01513671875</v>
      </c>
      <c r="N464" s="75">
        <v>3160.545654296875</v>
      </c>
      <c r="O464" s="76"/>
      <c r="P464" s="77"/>
      <c r="Q464" s="77"/>
      <c r="R464" s="89"/>
      <c r="S464" s="49">
        <v>0</v>
      </c>
      <c r="T464" s="49">
        <v>1</v>
      </c>
      <c r="U464" s="50">
        <v>0</v>
      </c>
      <c r="V464" s="50">
        <v>0.019608</v>
      </c>
      <c r="W464" s="50">
        <v>0</v>
      </c>
      <c r="X464" s="50">
        <v>0.53334</v>
      </c>
      <c r="Y464" s="50">
        <v>0</v>
      </c>
      <c r="Z464" s="50">
        <v>0</v>
      </c>
      <c r="AA464" s="72">
        <v>464</v>
      </c>
      <c r="AB464" s="72"/>
      <c r="AC464" s="73"/>
      <c r="AD464" s="80" t="s">
        <v>2013</v>
      </c>
      <c r="AE464" s="80" t="s">
        <v>2975</v>
      </c>
      <c r="AF464" s="80"/>
      <c r="AG464" s="80"/>
      <c r="AH464" s="80"/>
      <c r="AI464" s="80"/>
      <c r="AJ464" s="80" t="s">
        <v>3370</v>
      </c>
      <c r="AK464" s="85" t="str">
        <f>HYPERLINK("https://yt3.ggpht.com/ytc/AKedOLQG9m4WXMSr0ggKosv26nu2mgfzCLPMEjHzXhQ=s88-c-k-c0x00ffffff-no-rj")</f>
        <v>https://yt3.ggpht.com/ytc/AKedOLQG9m4WXMSr0ggKosv26nu2mgfzCLPMEjHzXhQ=s88-c-k-c0x00ffffff-no-rj</v>
      </c>
      <c r="AL464" s="80">
        <v>127434</v>
      </c>
      <c r="AM464" s="80">
        <v>0</v>
      </c>
      <c r="AN464" s="80">
        <v>507</v>
      </c>
      <c r="AO464" s="80" t="b">
        <v>0</v>
      </c>
      <c r="AP464" s="80">
        <v>41</v>
      </c>
      <c r="AQ464" s="80"/>
      <c r="AR464" s="80"/>
      <c r="AS464" s="80" t="s">
        <v>3412</v>
      </c>
      <c r="AT464" s="85" t="str">
        <f>HYPERLINK("https://www.youtube.com/channel/UCdOO6yFY-o6DMJoLqDke5Jw")</f>
        <v>https://www.youtube.com/channel/UCdOO6yFY-o6DMJoLqDke5Jw</v>
      </c>
      <c r="AU464" s="80" t="str">
        <f>REPLACE(INDEX(GroupVertices[Group],MATCH(Vertices[[#This Row],[Vertex]],GroupVertices[Vertex],0)),1,1,"")</f>
        <v>8</v>
      </c>
      <c r="AV464" s="49">
        <v>2</v>
      </c>
      <c r="AW464" s="50">
        <v>6.25</v>
      </c>
      <c r="AX464" s="49">
        <v>0</v>
      </c>
      <c r="AY464" s="50">
        <v>0</v>
      </c>
      <c r="AZ464" s="49">
        <v>0</v>
      </c>
      <c r="BA464" s="50">
        <v>0</v>
      </c>
      <c r="BB464" s="49">
        <v>30</v>
      </c>
      <c r="BC464" s="50">
        <v>93.75</v>
      </c>
      <c r="BD464" s="49">
        <v>32</v>
      </c>
      <c r="BE464" s="49"/>
      <c r="BF464" s="49"/>
      <c r="BG464" s="49"/>
      <c r="BH464" s="49"/>
      <c r="BI464" s="49"/>
      <c r="BJ464" s="49"/>
      <c r="BK464" s="111" t="s">
        <v>4812</v>
      </c>
      <c r="BL464" s="111" t="s">
        <v>4812</v>
      </c>
      <c r="BM464" s="111" t="s">
        <v>5283</v>
      </c>
      <c r="BN464" s="111" t="s">
        <v>5283</v>
      </c>
      <c r="BO464" s="2"/>
      <c r="BP464" s="3"/>
      <c r="BQ464" s="3"/>
      <c r="BR464" s="3"/>
      <c r="BS464" s="3"/>
    </row>
    <row r="465" spans="1:71" ht="15">
      <c r="A465" s="65" t="s">
        <v>686</v>
      </c>
      <c r="B465" s="66"/>
      <c r="C465" s="66"/>
      <c r="D465" s="67">
        <v>150</v>
      </c>
      <c r="E465" s="69"/>
      <c r="F465" s="103" t="str">
        <f>HYPERLINK("https://yt3.ggpht.com/ytc/AKedOLTZP5xHE9F2oIHvfiJ-cd4l3Hrad0WobabuqN1Qjw=s88-c-k-c0x00ffffff-no-rj")</f>
        <v>https://yt3.ggpht.com/ytc/AKedOLTZP5xHE9F2oIHvfiJ-cd4l3Hrad0WobabuqN1Qjw=s88-c-k-c0x00ffffff-no-rj</v>
      </c>
      <c r="G465" s="66"/>
      <c r="H465" s="70" t="s">
        <v>2014</v>
      </c>
      <c r="I465" s="71"/>
      <c r="J465" s="71" t="s">
        <v>159</v>
      </c>
      <c r="K465" s="70" t="s">
        <v>2014</v>
      </c>
      <c r="L465" s="74">
        <v>1</v>
      </c>
      <c r="M465" s="75">
        <v>7722.10498046875</v>
      </c>
      <c r="N465" s="75">
        <v>3307.07080078125</v>
      </c>
      <c r="O465" s="76"/>
      <c r="P465" s="77"/>
      <c r="Q465" s="77"/>
      <c r="R465" s="89"/>
      <c r="S465" s="49">
        <v>0</v>
      </c>
      <c r="T465" s="49">
        <v>1</v>
      </c>
      <c r="U465" s="50">
        <v>0</v>
      </c>
      <c r="V465" s="50">
        <v>0.019608</v>
      </c>
      <c r="W465" s="50">
        <v>0</v>
      </c>
      <c r="X465" s="50">
        <v>0.53334</v>
      </c>
      <c r="Y465" s="50">
        <v>0</v>
      </c>
      <c r="Z465" s="50">
        <v>0</v>
      </c>
      <c r="AA465" s="72">
        <v>465</v>
      </c>
      <c r="AB465" s="72"/>
      <c r="AC465" s="73"/>
      <c r="AD465" s="80" t="s">
        <v>2014</v>
      </c>
      <c r="AE465" s="80" t="s">
        <v>2976</v>
      </c>
      <c r="AF465" s="80"/>
      <c r="AG465" s="80"/>
      <c r="AH465" s="80"/>
      <c r="AI465" s="80"/>
      <c r="AJ465" s="80" t="s">
        <v>3371</v>
      </c>
      <c r="AK465" s="85" t="str">
        <f>HYPERLINK("https://yt3.ggpht.com/ytc/AKedOLTZP5xHE9F2oIHvfiJ-cd4l3Hrad0WobabuqN1Qjw=s88-c-k-c0x00ffffff-no-rj")</f>
        <v>https://yt3.ggpht.com/ytc/AKedOLTZP5xHE9F2oIHvfiJ-cd4l3Hrad0WobabuqN1Qjw=s88-c-k-c0x00ffffff-no-rj</v>
      </c>
      <c r="AL465" s="80">
        <v>8</v>
      </c>
      <c r="AM465" s="80">
        <v>0</v>
      </c>
      <c r="AN465" s="80">
        <v>17</v>
      </c>
      <c r="AO465" s="80" t="b">
        <v>0</v>
      </c>
      <c r="AP465" s="80">
        <v>1</v>
      </c>
      <c r="AQ465" s="80"/>
      <c r="AR465" s="80"/>
      <c r="AS465" s="80" t="s">
        <v>3412</v>
      </c>
      <c r="AT465" s="85" t="str">
        <f>HYPERLINK("https://www.youtube.com/channel/UCIvJ7jMMPaFGOZEvpgGrCSg")</f>
        <v>https://www.youtube.com/channel/UCIvJ7jMMPaFGOZEvpgGrCSg</v>
      </c>
      <c r="AU465" s="80" t="str">
        <f>REPLACE(INDEX(GroupVertices[Group],MATCH(Vertices[[#This Row],[Vertex]],GroupVertices[Vertex],0)),1,1,"")</f>
        <v>8</v>
      </c>
      <c r="AV465" s="49">
        <v>2</v>
      </c>
      <c r="AW465" s="50">
        <v>7.6923076923076925</v>
      </c>
      <c r="AX465" s="49">
        <v>0</v>
      </c>
      <c r="AY465" s="50">
        <v>0</v>
      </c>
      <c r="AZ465" s="49">
        <v>0</v>
      </c>
      <c r="BA465" s="50">
        <v>0</v>
      </c>
      <c r="BB465" s="49">
        <v>24</v>
      </c>
      <c r="BC465" s="50">
        <v>92.3076923076923</v>
      </c>
      <c r="BD465" s="49">
        <v>26</v>
      </c>
      <c r="BE465" s="49"/>
      <c r="BF465" s="49"/>
      <c r="BG465" s="49"/>
      <c r="BH465" s="49"/>
      <c r="BI465" s="49"/>
      <c r="BJ465" s="49"/>
      <c r="BK465" s="111" t="s">
        <v>4813</v>
      </c>
      <c r="BL465" s="111" t="s">
        <v>4813</v>
      </c>
      <c r="BM465" s="111" t="s">
        <v>5284</v>
      </c>
      <c r="BN465" s="111" t="s">
        <v>5284</v>
      </c>
      <c r="BO465" s="2"/>
      <c r="BP465" s="3"/>
      <c r="BQ465" s="3"/>
      <c r="BR465" s="3"/>
      <c r="BS465" s="3"/>
    </row>
    <row r="466" spans="1:71" ht="15">
      <c r="A466" s="65" t="s">
        <v>687</v>
      </c>
      <c r="B466" s="66"/>
      <c r="C466" s="66"/>
      <c r="D466" s="67">
        <v>230.95238095238096</v>
      </c>
      <c r="E466" s="69"/>
      <c r="F466" s="103" t="str">
        <f>HYPERLINK("https://yt3.ggpht.com/ytc/AKedOLRURuFCtI6lg_ez9ElN1ZoX6P5SW9vGuQPREbGp5w=s88-c-k-c0x00ffffff-no-rj")</f>
        <v>https://yt3.ggpht.com/ytc/AKedOLRURuFCtI6lg_ez9ElN1ZoX6P5SW9vGuQPREbGp5w=s88-c-k-c0x00ffffff-no-rj</v>
      </c>
      <c r="G466" s="66"/>
      <c r="H466" s="70" t="s">
        <v>2015</v>
      </c>
      <c r="I466" s="71"/>
      <c r="J466" s="71" t="s">
        <v>75</v>
      </c>
      <c r="K466" s="70" t="s">
        <v>2015</v>
      </c>
      <c r="L466" s="74">
        <v>44.64033173286774</v>
      </c>
      <c r="M466" s="75">
        <v>6573.7041015625</v>
      </c>
      <c r="N466" s="75">
        <v>3601.8076171875</v>
      </c>
      <c r="O466" s="76"/>
      <c r="P466" s="77"/>
      <c r="Q466" s="77"/>
      <c r="R466" s="89"/>
      <c r="S466" s="49">
        <v>1</v>
      </c>
      <c r="T466" s="49">
        <v>2</v>
      </c>
      <c r="U466" s="50">
        <v>160</v>
      </c>
      <c r="V466" s="50">
        <v>0.02439</v>
      </c>
      <c r="W466" s="50">
        <v>0</v>
      </c>
      <c r="X466" s="50">
        <v>0.923545</v>
      </c>
      <c r="Y466" s="50">
        <v>0</v>
      </c>
      <c r="Z466" s="50">
        <v>0.5</v>
      </c>
      <c r="AA466" s="72">
        <v>466</v>
      </c>
      <c r="AB466" s="72"/>
      <c r="AC466" s="73"/>
      <c r="AD466" s="80" t="s">
        <v>2015</v>
      </c>
      <c r="AE466" s="80" t="s">
        <v>2977</v>
      </c>
      <c r="AF466" s="80"/>
      <c r="AG466" s="80"/>
      <c r="AH466" s="80"/>
      <c r="AI466" s="80" t="s">
        <v>3087</v>
      </c>
      <c r="AJ466" s="80" t="s">
        <v>3372</v>
      </c>
      <c r="AK466" s="85" t="str">
        <f>HYPERLINK("https://yt3.ggpht.com/ytc/AKedOLRURuFCtI6lg_ez9ElN1ZoX6P5SW9vGuQPREbGp5w=s88-c-k-c0x00ffffff-no-rj")</f>
        <v>https://yt3.ggpht.com/ytc/AKedOLRURuFCtI6lg_ez9ElN1ZoX6P5SW9vGuQPREbGp5w=s88-c-k-c0x00ffffff-no-rj</v>
      </c>
      <c r="AL466" s="80">
        <v>639514</v>
      </c>
      <c r="AM466" s="80">
        <v>0</v>
      </c>
      <c r="AN466" s="80">
        <v>5440</v>
      </c>
      <c r="AO466" s="80" t="b">
        <v>0</v>
      </c>
      <c r="AP466" s="80">
        <v>259</v>
      </c>
      <c r="AQ466" s="80"/>
      <c r="AR466" s="80"/>
      <c r="AS466" s="80" t="s">
        <v>3412</v>
      </c>
      <c r="AT466" s="85" t="str">
        <f>HYPERLINK("https://www.youtube.com/channel/UCMR_8qEieZ8CMqmphUSqiPg")</f>
        <v>https://www.youtube.com/channel/UCMR_8qEieZ8CMqmphUSqiPg</v>
      </c>
      <c r="AU466" s="80" t="str">
        <f>REPLACE(INDEX(GroupVertices[Group],MATCH(Vertices[[#This Row],[Vertex]],GroupVertices[Vertex],0)),1,1,"")</f>
        <v>8</v>
      </c>
      <c r="AV466" s="49">
        <v>1</v>
      </c>
      <c r="AW466" s="50">
        <v>4</v>
      </c>
      <c r="AX466" s="49">
        <v>0</v>
      </c>
      <c r="AY466" s="50">
        <v>0</v>
      </c>
      <c r="AZ466" s="49">
        <v>0</v>
      </c>
      <c r="BA466" s="50">
        <v>0</v>
      </c>
      <c r="BB466" s="49">
        <v>24</v>
      </c>
      <c r="BC466" s="50">
        <v>96</v>
      </c>
      <c r="BD466" s="49">
        <v>25</v>
      </c>
      <c r="BE466" s="49"/>
      <c r="BF466" s="49"/>
      <c r="BG466" s="49"/>
      <c r="BH466" s="49"/>
      <c r="BI466" s="49"/>
      <c r="BJ466" s="49"/>
      <c r="BK466" s="111" t="s">
        <v>4814</v>
      </c>
      <c r="BL466" s="111" t="s">
        <v>4814</v>
      </c>
      <c r="BM466" s="111" t="s">
        <v>5285</v>
      </c>
      <c r="BN466" s="111" t="s">
        <v>5285</v>
      </c>
      <c r="BO466" s="2"/>
      <c r="BP466" s="3"/>
      <c r="BQ466" s="3"/>
      <c r="BR466" s="3"/>
      <c r="BS466" s="3"/>
    </row>
    <row r="467" spans="1:71" ht="15">
      <c r="A467" s="65" t="s">
        <v>688</v>
      </c>
      <c r="B467" s="66"/>
      <c r="C467" s="66"/>
      <c r="D467" s="67">
        <v>150</v>
      </c>
      <c r="E467" s="69"/>
      <c r="F467" s="103" t="str">
        <f>HYPERLINK("https://yt3.ggpht.com/ytc/AKedOLTO0CW4vToqqEU3y96y2CweOClPqiz_wiKx8Q=s88-c-k-c0x00ffffff-no-rj")</f>
        <v>https://yt3.ggpht.com/ytc/AKedOLTO0CW4vToqqEU3y96y2CweOClPqiz_wiKx8Q=s88-c-k-c0x00ffffff-no-rj</v>
      </c>
      <c r="G467" s="66"/>
      <c r="H467" s="70" t="s">
        <v>2016</v>
      </c>
      <c r="I467" s="71"/>
      <c r="J467" s="71" t="s">
        <v>159</v>
      </c>
      <c r="K467" s="70" t="s">
        <v>2016</v>
      </c>
      <c r="L467" s="74">
        <v>1</v>
      </c>
      <c r="M467" s="75">
        <v>7001.25634765625</v>
      </c>
      <c r="N467" s="75">
        <v>3571.64453125</v>
      </c>
      <c r="O467" s="76"/>
      <c r="P467" s="77"/>
      <c r="Q467" s="77"/>
      <c r="R467" s="89"/>
      <c r="S467" s="49">
        <v>0</v>
      </c>
      <c r="T467" s="49">
        <v>1</v>
      </c>
      <c r="U467" s="50">
        <v>0</v>
      </c>
      <c r="V467" s="50">
        <v>0.019608</v>
      </c>
      <c r="W467" s="50">
        <v>0</v>
      </c>
      <c r="X467" s="50">
        <v>0.53334</v>
      </c>
      <c r="Y467" s="50">
        <v>0</v>
      </c>
      <c r="Z467" s="50">
        <v>0</v>
      </c>
      <c r="AA467" s="72">
        <v>467</v>
      </c>
      <c r="AB467" s="72"/>
      <c r="AC467" s="73"/>
      <c r="AD467" s="80" t="s">
        <v>2016</v>
      </c>
      <c r="AE467" s="80"/>
      <c r="AF467" s="80"/>
      <c r="AG467" s="80"/>
      <c r="AH467" s="80"/>
      <c r="AI467" s="80"/>
      <c r="AJ467" s="87">
        <v>43620.74116898148</v>
      </c>
      <c r="AK467" s="85" t="str">
        <f>HYPERLINK("https://yt3.ggpht.com/ytc/AKedOLTO0CW4vToqqEU3y96y2CweOClPqiz_wiKx8Q=s88-c-k-c0x00ffffff-no-rj")</f>
        <v>https://yt3.ggpht.com/ytc/AKedOLTO0CW4vToqqEU3y96y2CweOClPqiz_wiKx8Q=s88-c-k-c0x00ffffff-no-rj</v>
      </c>
      <c r="AL467" s="80">
        <v>0</v>
      </c>
      <c r="AM467" s="80">
        <v>0</v>
      </c>
      <c r="AN467" s="80">
        <v>0</v>
      </c>
      <c r="AO467" s="80" t="b">
        <v>0</v>
      </c>
      <c r="AP467" s="80">
        <v>0</v>
      </c>
      <c r="AQ467" s="80"/>
      <c r="AR467" s="80"/>
      <c r="AS467" s="80" t="s">
        <v>3412</v>
      </c>
      <c r="AT467" s="85" t="str">
        <f>HYPERLINK("https://www.youtube.com/channel/UCher9JyWJFRd5X3UrUYfmQQ")</f>
        <v>https://www.youtube.com/channel/UCher9JyWJFRd5X3UrUYfmQQ</v>
      </c>
      <c r="AU467" s="80" t="str">
        <f>REPLACE(INDEX(GroupVertices[Group],MATCH(Vertices[[#This Row],[Vertex]],GroupVertices[Vertex],0)),1,1,"")</f>
        <v>8</v>
      </c>
      <c r="AV467" s="49">
        <v>0</v>
      </c>
      <c r="AW467" s="50">
        <v>0</v>
      </c>
      <c r="AX467" s="49">
        <v>0</v>
      </c>
      <c r="AY467" s="50">
        <v>0</v>
      </c>
      <c r="AZ467" s="49">
        <v>0</v>
      </c>
      <c r="BA467" s="50">
        <v>0</v>
      </c>
      <c r="BB467" s="49">
        <v>7</v>
      </c>
      <c r="BC467" s="50">
        <v>100</v>
      </c>
      <c r="BD467" s="49">
        <v>7</v>
      </c>
      <c r="BE467" s="49"/>
      <c r="BF467" s="49"/>
      <c r="BG467" s="49"/>
      <c r="BH467" s="49"/>
      <c r="BI467" s="49"/>
      <c r="BJ467" s="49"/>
      <c r="BK467" s="111" t="s">
        <v>4815</v>
      </c>
      <c r="BL467" s="111" t="s">
        <v>4815</v>
      </c>
      <c r="BM467" s="111" t="s">
        <v>5286</v>
      </c>
      <c r="BN467" s="111" t="s">
        <v>5286</v>
      </c>
      <c r="BO467" s="2"/>
      <c r="BP467" s="3"/>
      <c r="BQ467" s="3"/>
      <c r="BR467" s="3"/>
      <c r="BS467" s="3"/>
    </row>
    <row r="468" spans="1:71" ht="15">
      <c r="A468" s="65" t="s">
        <v>689</v>
      </c>
      <c r="B468" s="66"/>
      <c r="C468" s="66"/>
      <c r="D468" s="67">
        <v>150</v>
      </c>
      <c r="E468" s="69"/>
      <c r="F468" s="103" t="str">
        <f>HYPERLINK("https://yt3.ggpht.com/ytc/AKedOLRWS9b-qJ73I087Nc36TIqF5o8j-JLzrcaN=s88-c-k-c0x00ffffff-no-rj")</f>
        <v>https://yt3.ggpht.com/ytc/AKedOLRWS9b-qJ73I087Nc36TIqF5o8j-JLzrcaN=s88-c-k-c0x00ffffff-no-rj</v>
      </c>
      <c r="G468" s="66"/>
      <c r="H468" s="70" t="s">
        <v>2017</v>
      </c>
      <c r="I468" s="71"/>
      <c r="J468" s="71" t="s">
        <v>159</v>
      </c>
      <c r="K468" s="70" t="s">
        <v>2017</v>
      </c>
      <c r="L468" s="74">
        <v>1</v>
      </c>
      <c r="M468" s="75">
        <v>6569.9609375</v>
      </c>
      <c r="N468" s="75">
        <v>1199.302001953125</v>
      </c>
      <c r="O468" s="76"/>
      <c r="P468" s="77"/>
      <c r="Q468" s="77"/>
      <c r="R468" s="89"/>
      <c r="S468" s="49">
        <v>0</v>
      </c>
      <c r="T468" s="49">
        <v>1</v>
      </c>
      <c r="U468" s="50">
        <v>0</v>
      </c>
      <c r="V468" s="50">
        <v>0.047619</v>
      </c>
      <c r="W468" s="50">
        <v>0</v>
      </c>
      <c r="X468" s="50">
        <v>0.56206</v>
      </c>
      <c r="Y468" s="50">
        <v>0</v>
      </c>
      <c r="Z468" s="50">
        <v>0</v>
      </c>
      <c r="AA468" s="72">
        <v>468</v>
      </c>
      <c r="AB468" s="72"/>
      <c r="AC468" s="73"/>
      <c r="AD468" s="80" t="s">
        <v>2017</v>
      </c>
      <c r="AE468" s="80"/>
      <c r="AF468" s="80"/>
      <c r="AG468" s="80"/>
      <c r="AH468" s="80"/>
      <c r="AI468" s="80"/>
      <c r="AJ468" s="80" t="s">
        <v>3373</v>
      </c>
      <c r="AK468" s="85" t="str">
        <f>HYPERLINK("https://yt3.ggpht.com/ytc/AKedOLRWS9b-qJ73I087Nc36TIqF5o8j-JLzrcaN=s88-c-k-c0x00ffffff-no-rj")</f>
        <v>https://yt3.ggpht.com/ytc/AKedOLRWS9b-qJ73I087Nc36TIqF5o8j-JLzrcaN=s88-c-k-c0x00ffffff-no-rj</v>
      </c>
      <c r="AL468" s="80">
        <v>0</v>
      </c>
      <c r="AM468" s="80">
        <v>0</v>
      </c>
      <c r="AN468" s="80">
        <v>0</v>
      </c>
      <c r="AO468" s="80" t="b">
        <v>0</v>
      </c>
      <c r="AP468" s="80">
        <v>0</v>
      </c>
      <c r="AQ468" s="80"/>
      <c r="AR468" s="80"/>
      <c r="AS468" s="80" t="s">
        <v>3412</v>
      </c>
      <c r="AT468" s="85" t="str">
        <f>HYPERLINK("https://www.youtube.com/channel/UCGkozyEjUc_w8RpzsqsleUg")</f>
        <v>https://www.youtube.com/channel/UCGkozyEjUc_w8RpzsqsleUg</v>
      </c>
      <c r="AU468" s="80" t="str">
        <f>REPLACE(INDEX(GroupVertices[Group],MATCH(Vertices[[#This Row],[Vertex]],GroupVertices[Vertex],0)),1,1,"")</f>
        <v>11</v>
      </c>
      <c r="AV468" s="49">
        <v>1</v>
      </c>
      <c r="AW468" s="50">
        <v>33.333333333333336</v>
      </c>
      <c r="AX468" s="49">
        <v>0</v>
      </c>
      <c r="AY468" s="50">
        <v>0</v>
      </c>
      <c r="AZ468" s="49">
        <v>0</v>
      </c>
      <c r="BA468" s="50">
        <v>0</v>
      </c>
      <c r="BB468" s="49">
        <v>2</v>
      </c>
      <c r="BC468" s="50">
        <v>66.66666666666667</v>
      </c>
      <c r="BD468" s="49">
        <v>3</v>
      </c>
      <c r="BE468" s="49"/>
      <c r="BF468" s="49"/>
      <c r="BG468" s="49"/>
      <c r="BH468" s="49"/>
      <c r="BI468" s="49"/>
      <c r="BJ468" s="49"/>
      <c r="BK468" s="111" t="s">
        <v>3461</v>
      </c>
      <c r="BL468" s="111" t="s">
        <v>3461</v>
      </c>
      <c r="BM468" s="111" t="s">
        <v>2782</v>
      </c>
      <c r="BN468" s="111" t="s">
        <v>2782</v>
      </c>
      <c r="BO468" s="2"/>
      <c r="BP468" s="3"/>
      <c r="BQ468" s="3"/>
      <c r="BR468" s="3"/>
      <c r="BS468" s="3"/>
    </row>
    <row r="469" spans="1:71" ht="15">
      <c r="A469" s="65" t="s">
        <v>759</v>
      </c>
      <c r="B469" s="66"/>
      <c r="C469" s="66"/>
      <c r="D469" s="67">
        <v>205.6547619047619</v>
      </c>
      <c r="E469" s="69"/>
      <c r="F469" s="103" t="str">
        <f>HYPERLINK("https://yt3.ggpht.com/ytc/AKedOLQYiuVdZdsWN4nMXp9lPYC_eiJitGEaqVSI92gQ=s88-c-k-c0x00ffffff-no-rj")</f>
        <v>https://yt3.ggpht.com/ytc/AKedOLQYiuVdZdsWN4nMXp9lPYC_eiJitGEaqVSI92gQ=s88-c-k-c0x00ffffff-no-rj</v>
      </c>
      <c r="G469" s="66"/>
      <c r="H469" s="70" t="s">
        <v>2801</v>
      </c>
      <c r="I469" s="71"/>
      <c r="J469" s="71" t="s">
        <v>75</v>
      </c>
      <c r="K469" s="70" t="s">
        <v>2801</v>
      </c>
      <c r="L469" s="74">
        <v>31.002728066346574</v>
      </c>
      <c r="M469" s="75">
        <v>6342.93798828125</v>
      </c>
      <c r="N469" s="75">
        <v>674.7626342773438</v>
      </c>
      <c r="O469" s="76"/>
      <c r="P469" s="77"/>
      <c r="Q469" s="77"/>
      <c r="R469" s="89"/>
      <c r="S469" s="49">
        <v>12</v>
      </c>
      <c r="T469" s="49">
        <v>1</v>
      </c>
      <c r="U469" s="50">
        <v>110</v>
      </c>
      <c r="V469" s="50">
        <v>0.090909</v>
      </c>
      <c r="W469" s="50">
        <v>0</v>
      </c>
      <c r="X469" s="50">
        <v>5.817324</v>
      </c>
      <c r="Y469" s="50">
        <v>0</v>
      </c>
      <c r="Z469" s="50">
        <v>0</v>
      </c>
      <c r="AA469" s="72">
        <v>469</v>
      </c>
      <c r="AB469" s="72"/>
      <c r="AC469" s="73"/>
      <c r="AD469" s="80" t="s">
        <v>2801</v>
      </c>
      <c r="AE469" s="80" t="s">
        <v>2978</v>
      </c>
      <c r="AF469" s="80"/>
      <c r="AG469" s="80"/>
      <c r="AH469" s="80"/>
      <c r="AI469" s="80"/>
      <c r="AJ469" s="87">
        <v>44017.46355324074</v>
      </c>
      <c r="AK469" s="85" t="str">
        <f>HYPERLINK("https://yt3.ggpht.com/ytc/AKedOLQYiuVdZdsWN4nMXp9lPYC_eiJitGEaqVSI92gQ=s88-c-k-c0x00ffffff-no-rj")</f>
        <v>https://yt3.ggpht.com/ytc/AKedOLQYiuVdZdsWN4nMXp9lPYC_eiJitGEaqVSI92gQ=s88-c-k-c0x00ffffff-no-rj</v>
      </c>
      <c r="AL469" s="80">
        <v>376320</v>
      </c>
      <c r="AM469" s="80">
        <v>0</v>
      </c>
      <c r="AN469" s="80">
        <v>3490</v>
      </c>
      <c r="AO469" s="80" t="b">
        <v>0</v>
      </c>
      <c r="AP469" s="80">
        <v>124</v>
      </c>
      <c r="AQ469" s="80"/>
      <c r="AR469" s="80"/>
      <c r="AS469" s="80" t="s">
        <v>3412</v>
      </c>
      <c r="AT469" s="85" t="str">
        <f>HYPERLINK("https://www.youtube.com/channel/UCqsmoRPc38_nFPoZWDxeQjw")</f>
        <v>https://www.youtube.com/channel/UCqsmoRPc38_nFPoZWDxeQjw</v>
      </c>
      <c r="AU469" s="80" t="str">
        <f>REPLACE(INDEX(GroupVertices[Group],MATCH(Vertices[[#This Row],[Vertex]],GroupVertices[Vertex],0)),1,1,"")</f>
        <v>11</v>
      </c>
      <c r="AV469" s="49"/>
      <c r="AW469" s="50"/>
      <c r="AX469" s="49"/>
      <c r="AY469" s="50"/>
      <c r="AZ469" s="49"/>
      <c r="BA469" s="50"/>
      <c r="BB469" s="49"/>
      <c r="BC469" s="50"/>
      <c r="BD469" s="49"/>
      <c r="BE469" s="49"/>
      <c r="BF469" s="49"/>
      <c r="BG469" s="49"/>
      <c r="BH469" s="49"/>
      <c r="BI469" s="49"/>
      <c r="BJ469" s="49"/>
      <c r="BK469" s="111" t="s">
        <v>2782</v>
      </c>
      <c r="BL469" s="111" t="s">
        <v>2782</v>
      </c>
      <c r="BM469" s="111" t="s">
        <v>2782</v>
      </c>
      <c r="BN469" s="111" t="s">
        <v>2782</v>
      </c>
      <c r="BO469" s="2"/>
      <c r="BP469" s="3"/>
      <c r="BQ469" s="3"/>
      <c r="BR469" s="3"/>
      <c r="BS469" s="3"/>
    </row>
    <row r="470" spans="1:71" ht="15">
      <c r="A470" s="65" t="s">
        <v>690</v>
      </c>
      <c r="B470" s="66"/>
      <c r="C470" s="66"/>
      <c r="D470" s="67">
        <v>150</v>
      </c>
      <c r="E470" s="69"/>
      <c r="F470" s="103" t="str">
        <f>HYPERLINK("https://yt3.ggpht.com/ytc/AKedOLQLli6Rve4LghMKH_uayjaXzH3J9QIJVZpM80z8=s88-c-k-c0x00ffffff-no-rj")</f>
        <v>https://yt3.ggpht.com/ytc/AKedOLQLli6Rve4LghMKH_uayjaXzH3J9QIJVZpM80z8=s88-c-k-c0x00ffffff-no-rj</v>
      </c>
      <c r="G470" s="66"/>
      <c r="H470" s="70" t="s">
        <v>2018</v>
      </c>
      <c r="I470" s="71"/>
      <c r="J470" s="71" t="s">
        <v>159</v>
      </c>
      <c r="K470" s="70" t="s">
        <v>2018</v>
      </c>
      <c r="L470" s="74">
        <v>1</v>
      </c>
      <c r="M470" s="75">
        <v>5616.67138671875</v>
      </c>
      <c r="N470" s="75">
        <v>452.04888916015625</v>
      </c>
      <c r="O470" s="76"/>
      <c r="P470" s="77"/>
      <c r="Q470" s="77"/>
      <c r="R470" s="89"/>
      <c r="S470" s="49">
        <v>0</v>
      </c>
      <c r="T470" s="49">
        <v>1</v>
      </c>
      <c r="U470" s="50">
        <v>0</v>
      </c>
      <c r="V470" s="50">
        <v>0.047619</v>
      </c>
      <c r="W470" s="50">
        <v>0</v>
      </c>
      <c r="X470" s="50">
        <v>0.56206</v>
      </c>
      <c r="Y470" s="50">
        <v>0</v>
      </c>
      <c r="Z470" s="50">
        <v>0</v>
      </c>
      <c r="AA470" s="72">
        <v>470</v>
      </c>
      <c r="AB470" s="72"/>
      <c r="AC470" s="73"/>
      <c r="AD470" s="80" t="s">
        <v>2018</v>
      </c>
      <c r="AE470" s="80"/>
      <c r="AF470" s="80"/>
      <c r="AG470" s="80"/>
      <c r="AH470" s="80"/>
      <c r="AI470" s="80"/>
      <c r="AJ470" s="80" t="s">
        <v>3374</v>
      </c>
      <c r="AK470" s="85" t="str">
        <f>HYPERLINK("https://yt3.ggpht.com/ytc/AKedOLQLli6Rve4LghMKH_uayjaXzH3J9QIJVZpM80z8=s88-c-k-c0x00ffffff-no-rj")</f>
        <v>https://yt3.ggpht.com/ytc/AKedOLQLli6Rve4LghMKH_uayjaXzH3J9QIJVZpM80z8=s88-c-k-c0x00ffffff-no-rj</v>
      </c>
      <c r="AL470" s="80">
        <v>136654</v>
      </c>
      <c r="AM470" s="80">
        <v>0</v>
      </c>
      <c r="AN470" s="80">
        <v>1510</v>
      </c>
      <c r="AO470" s="80" t="b">
        <v>0</v>
      </c>
      <c r="AP470" s="80">
        <v>114</v>
      </c>
      <c r="AQ470" s="80"/>
      <c r="AR470" s="80"/>
      <c r="AS470" s="80" t="s">
        <v>3412</v>
      </c>
      <c r="AT470" s="85" t="str">
        <f>HYPERLINK("https://www.youtube.com/channel/UCcFE3tvK7gzDEaZsGLlUAzg")</f>
        <v>https://www.youtube.com/channel/UCcFE3tvK7gzDEaZsGLlUAzg</v>
      </c>
      <c r="AU470" s="80" t="str">
        <f>REPLACE(INDEX(GroupVertices[Group],MATCH(Vertices[[#This Row],[Vertex]],GroupVertices[Vertex],0)),1,1,"")</f>
        <v>11</v>
      </c>
      <c r="AV470" s="49">
        <v>1</v>
      </c>
      <c r="AW470" s="50">
        <v>33.333333333333336</v>
      </c>
      <c r="AX470" s="49">
        <v>0</v>
      </c>
      <c r="AY470" s="50">
        <v>0</v>
      </c>
      <c r="AZ470" s="49">
        <v>0</v>
      </c>
      <c r="BA470" s="50">
        <v>0</v>
      </c>
      <c r="BB470" s="49">
        <v>2</v>
      </c>
      <c r="BC470" s="50">
        <v>66.66666666666667</v>
      </c>
      <c r="BD470" s="49">
        <v>3</v>
      </c>
      <c r="BE470" s="49"/>
      <c r="BF470" s="49"/>
      <c r="BG470" s="49"/>
      <c r="BH470" s="49"/>
      <c r="BI470" s="49"/>
      <c r="BJ470" s="49"/>
      <c r="BK470" s="111" t="s">
        <v>4816</v>
      </c>
      <c r="BL470" s="111" t="s">
        <v>4816</v>
      </c>
      <c r="BM470" s="111" t="s">
        <v>4337</v>
      </c>
      <c r="BN470" s="111" t="s">
        <v>4337</v>
      </c>
      <c r="BO470" s="2"/>
      <c r="BP470" s="3"/>
      <c r="BQ470" s="3"/>
      <c r="BR470" s="3"/>
      <c r="BS470" s="3"/>
    </row>
    <row r="471" spans="1:71" ht="15">
      <c r="A471" s="65" t="s">
        <v>691</v>
      </c>
      <c r="B471" s="66"/>
      <c r="C471" s="66"/>
      <c r="D471" s="67">
        <v>150</v>
      </c>
      <c r="E471" s="69"/>
      <c r="F471" s="103" t="str">
        <f>HYPERLINK("https://yt3.ggpht.com/ytc/AKedOLQdchTlqGVBzpWTew7PgsJ25rOvM9smSPWp=s88-c-k-c0x00ffffff-no-rj")</f>
        <v>https://yt3.ggpht.com/ytc/AKedOLQdchTlqGVBzpWTew7PgsJ25rOvM9smSPWp=s88-c-k-c0x00ffffff-no-rj</v>
      </c>
      <c r="G471" s="66"/>
      <c r="H471" s="70" t="s">
        <v>2019</v>
      </c>
      <c r="I471" s="71"/>
      <c r="J471" s="71" t="s">
        <v>159</v>
      </c>
      <c r="K471" s="70" t="s">
        <v>2019</v>
      </c>
      <c r="L471" s="74">
        <v>1</v>
      </c>
      <c r="M471" s="75">
        <v>6117.78369140625</v>
      </c>
      <c r="N471" s="75">
        <v>1176.0633544921875</v>
      </c>
      <c r="O471" s="76"/>
      <c r="P471" s="77"/>
      <c r="Q471" s="77"/>
      <c r="R471" s="89"/>
      <c r="S471" s="49">
        <v>0</v>
      </c>
      <c r="T471" s="49">
        <v>1</v>
      </c>
      <c r="U471" s="50">
        <v>0</v>
      </c>
      <c r="V471" s="50">
        <v>0.047619</v>
      </c>
      <c r="W471" s="50">
        <v>0</v>
      </c>
      <c r="X471" s="50">
        <v>0.56206</v>
      </c>
      <c r="Y471" s="50">
        <v>0</v>
      </c>
      <c r="Z471" s="50">
        <v>0</v>
      </c>
      <c r="AA471" s="72">
        <v>471</v>
      </c>
      <c r="AB471" s="72"/>
      <c r="AC471" s="73"/>
      <c r="AD471" s="80" t="s">
        <v>2019</v>
      </c>
      <c r="AE471" s="80"/>
      <c r="AF471" s="80"/>
      <c r="AG471" s="80"/>
      <c r="AH471" s="80"/>
      <c r="AI471" s="80"/>
      <c r="AJ471" s="80" t="s">
        <v>3375</v>
      </c>
      <c r="AK471" s="85" t="str">
        <f>HYPERLINK("https://yt3.ggpht.com/ytc/AKedOLQdchTlqGVBzpWTew7PgsJ25rOvM9smSPWp=s88-c-k-c0x00ffffff-no-rj")</f>
        <v>https://yt3.ggpht.com/ytc/AKedOLQdchTlqGVBzpWTew7PgsJ25rOvM9smSPWp=s88-c-k-c0x00ffffff-no-rj</v>
      </c>
      <c r="AL471" s="80">
        <v>0</v>
      </c>
      <c r="AM471" s="80">
        <v>0</v>
      </c>
      <c r="AN471" s="80">
        <v>0</v>
      </c>
      <c r="AO471" s="80" t="b">
        <v>0</v>
      </c>
      <c r="AP471" s="80">
        <v>0</v>
      </c>
      <c r="AQ471" s="80"/>
      <c r="AR471" s="80"/>
      <c r="AS471" s="80" t="s">
        <v>3412</v>
      </c>
      <c r="AT471" s="85" t="str">
        <f>HYPERLINK("https://www.youtube.com/channel/UCp7C06qiG6_fhDsvuqgmnYw")</f>
        <v>https://www.youtube.com/channel/UCp7C06qiG6_fhDsvuqgmnYw</v>
      </c>
      <c r="AU471" s="80" t="str">
        <f>REPLACE(INDEX(GroupVertices[Group],MATCH(Vertices[[#This Row],[Vertex]],GroupVertices[Vertex],0)),1,1,"")</f>
        <v>11</v>
      </c>
      <c r="AV471" s="49">
        <v>1</v>
      </c>
      <c r="AW471" s="50">
        <v>33.333333333333336</v>
      </c>
      <c r="AX471" s="49">
        <v>0</v>
      </c>
      <c r="AY471" s="50">
        <v>0</v>
      </c>
      <c r="AZ471" s="49">
        <v>0</v>
      </c>
      <c r="BA471" s="50">
        <v>0</v>
      </c>
      <c r="BB471" s="49">
        <v>2</v>
      </c>
      <c r="BC471" s="50">
        <v>66.66666666666667</v>
      </c>
      <c r="BD471" s="49">
        <v>3</v>
      </c>
      <c r="BE471" s="49"/>
      <c r="BF471" s="49"/>
      <c r="BG471" s="49"/>
      <c r="BH471" s="49"/>
      <c r="BI471" s="49"/>
      <c r="BJ471" s="49"/>
      <c r="BK471" s="111" t="s">
        <v>4817</v>
      </c>
      <c r="BL471" s="111" t="s">
        <v>4817</v>
      </c>
      <c r="BM471" s="111" t="s">
        <v>5287</v>
      </c>
      <c r="BN471" s="111" t="s">
        <v>5287</v>
      </c>
      <c r="BO471" s="2"/>
      <c r="BP471" s="3"/>
      <c r="BQ471" s="3"/>
      <c r="BR471" s="3"/>
      <c r="BS471" s="3"/>
    </row>
    <row r="472" spans="1:71" ht="15">
      <c r="A472" s="65" t="s">
        <v>692</v>
      </c>
      <c r="B472" s="66"/>
      <c r="C472" s="66"/>
      <c r="D472" s="67">
        <v>150</v>
      </c>
      <c r="E472" s="69"/>
      <c r="F472" s="103" t="str">
        <f>HYPERLINK("https://yt3.ggpht.com/ytc/AKedOLQ7rSJN2S42lAPPs1PChihdxC9fb4UriBP2Jg=s88-c-k-c0x00ffffff-no-rj")</f>
        <v>https://yt3.ggpht.com/ytc/AKedOLQ7rSJN2S42lAPPs1PChihdxC9fb4UriBP2Jg=s88-c-k-c0x00ffffff-no-rj</v>
      </c>
      <c r="G472" s="66"/>
      <c r="H472" s="70" t="s">
        <v>2020</v>
      </c>
      <c r="I472" s="71"/>
      <c r="J472" s="71" t="s">
        <v>159</v>
      </c>
      <c r="K472" s="70" t="s">
        <v>2020</v>
      </c>
      <c r="L472" s="74">
        <v>1</v>
      </c>
      <c r="M472" s="75">
        <v>5535.16064453125</v>
      </c>
      <c r="N472" s="75">
        <v>749.5584716796875</v>
      </c>
      <c r="O472" s="76"/>
      <c r="P472" s="77"/>
      <c r="Q472" s="77"/>
      <c r="R472" s="89"/>
      <c r="S472" s="49">
        <v>0</v>
      </c>
      <c r="T472" s="49">
        <v>1</v>
      </c>
      <c r="U472" s="50">
        <v>0</v>
      </c>
      <c r="V472" s="50">
        <v>0.047619</v>
      </c>
      <c r="W472" s="50">
        <v>0</v>
      </c>
      <c r="X472" s="50">
        <v>0.56206</v>
      </c>
      <c r="Y472" s="50">
        <v>0</v>
      </c>
      <c r="Z472" s="50">
        <v>0</v>
      </c>
      <c r="AA472" s="72">
        <v>472</v>
      </c>
      <c r="AB472" s="72"/>
      <c r="AC472" s="73"/>
      <c r="AD472" s="80" t="s">
        <v>2020</v>
      </c>
      <c r="AE472" s="80"/>
      <c r="AF472" s="80"/>
      <c r="AG472" s="80"/>
      <c r="AH472" s="80"/>
      <c r="AI472" s="80"/>
      <c r="AJ472" s="80" t="s">
        <v>3376</v>
      </c>
      <c r="AK472" s="85" t="str">
        <f>HYPERLINK("https://yt3.ggpht.com/ytc/AKedOLQ7rSJN2S42lAPPs1PChihdxC9fb4UriBP2Jg=s88-c-k-c0x00ffffff-no-rj")</f>
        <v>https://yt3.ggpht.com/ytc/AKedOLQ7rSJN2S42lAPPs1PChihdxC9fb4UriBP2Jg=s88-c-k-c0x00ffffff-no-rj</v>
      </c>
      <c r="AL472" s="80">
        <v>0</v>
      </c>
      <c r="AM472" s="80">
        <v>0</v>
      </c>
      <c r="AN472" s="80">
        <v>0</v>
      </c>
      <c r="AO472" s="80" t="b">
        <v>0</v>
      </c>
      <c r="AP472" s="80">
        <v>0</v>
      </c>
      <c r="AQ472" s="80"/>
      <c r="AR472" s="80"/>
      <c r="AS472" s="80" t="s">
        <v>3412</v>
      </c>
      <c r="AT472" s="85" t="str">
        <f>HYPERLINK("https://www.youtube.com/channel/UC_ssXPpFCubgiNe2sNVmbgA")</f>
        <v>https://www.youtube.com/channel/UC_ssXPpFCubgiNe2sNVmbgA</v>
      </c>
      <c r="AU472" s="80" t="str">
        <f>REPLACE(INDEX(GroupVertices[Group],MATCH(Vertices[[#This Row],[Vertex]],GroupVertices[Vertex],0)),1,1,"")</f>
        <v>11</v>
      </c>
      <c r="AV472" s="49">
        <v>0</v>
      </c>
      <c r="AW472" s="50">
        <v>0</v>
      </c>
      <c r="AX472" s="49">
        <v>0</v>
      </c>
      <c r="AY472" s="50">
        <v>0</v>
      </c>
      <c r="AZ472" s="49">
        <v>0</v>
      </c>
      <c r="BA472" s="50">
        <v>0</v>
      </c>
      <c r="BB472" s="49">
        <v>17</v>
      </c>
      <c r="BC472" s="50">
        <v>100</v>
      </c>
      <c r="BD472" s="49">
        <v>17</v>
      </c>
      <c r="BE472" s="49"/>
      <c r="BF472" s="49"/>
      <c r="BG472" s="49"/>
      <c r="BH472" s="49"/>
      <c r="BI472" s="49"/>
      <c r="BJ472" s="49"/>
      <c r="BK472" s="111" t="s">
        <v>4818</v>
      </c>
      <c r="BL472" s="111" t="s">
        <v>4818</v>
      </c>
      <c r="BM472" s="111" t="s">
        <v>5288</v>
      </c>
      <c r="BN472" s="111" t="s">
        <v>5288</v>
      </c>
      <c r="BO472" s="2"/>
      <c r="BP472" s="3"/>
      <c r="BQ472" s="3"/>
      <c r="BR472" s="3"/>
      <c r="BS472" s="3"/>
    </row>
    <row r="473" spans="1:71" ht="15">
      <c r="A473" s="65" t="s">
        <v>693</v>
      </c>
      <c r="B473" s="66"/>
      <c r="C473" s="66"/>
      <c r="D473" s="67">
        <v>150</v>
      </c>
      <c r="E473" s="69"/>
      <c r="F473" s="103" t="str">
        <f>HYPERLINK("https://yt3.ggpht.com/ytc/AKedOLRv-Z8Tqi4bI9c-91FSTLD7wY1ua_O7-fry6g=s88-c-k-c0x00ffffff-no-rj")</f>
        <v>https://yt3.ggpht.com/ytc/AKedOLRv-Z8Tqi4bI9c-91FSTLD7wY1ua_O7-fry6g=s88-c-k-c0x00ffffff-no-rj</v>
      </c>
      <c r="G473" s="66"/>
      <c r="H473" s="70" t="s">
        <v>2021</v>
      </c>
      <c r="I473" s="71"/>
      <c r="J473" s="71" t="s">
        <v>159</v>
      </c>
      <c r="K473" s="70" t="s">
        <v>2021</v>
      </c>
      <c r="L473" s="74">
        <v>1</v>
      </c>
      <c r="M473" s="75">
        <v>6792.37890625</v>
      </c>
      <c r="N473" s="75">
        <v>227.8720703125</v>
      </c>
      <c r="O473" s="76"/>
      <c r="P473" s="77"/>
      <c r="Q473" s="77"/>
      <c r="R473" s="89"/>
      <c r="S473" s="49">
        <v>0</v>
      </c>
      <c r="T473" s="49">
        <v>1</v>
      </c>
      <c r="U473" s="50">
        <v>0</v>
      </c>
      <c r="V473" s="50">
        <v>0.047619</v>
      </c>
      <c r="W473" s="50">
        <v>0</v>
      </c>
      <c r="X473" s="50">
        <v>0.56206</v>
      </c>
      <c r="Y473" s="50">
        <v>0</v>
      </c>
      <c r="Z473" s="50">
        <v>0</v>
      </c>
      <c r="AA473" s="72">
        <v>473</v>
      </c>
      <c r="AB473" s="72"/>
      <c r="AC473" s="73"/>
      <c r="AD473" s="80" t="s">
        <v>2021</v>
      </c>
      <c r="AE473" s="80"/>
      <c r="AF473" s="80"/>
      <c r="AG473" s="80"/>
      <c r="AH473" s="80"/>
      <c r="AI473" s="80"/>
      <c r="AJ473" s="80" t="s">
        <v>3377</v>
      </c>
      <c r="AK473" s="85" t="str">
        <f>HYPERLINK("https://yt3.ggpht.com/ytc/AKedOLRv-Z8Tqi4bI9c-91FSTLD7wY1ua_O7-fry6g=s88-c-k-c0x00ffffff-no-rj")</f>
        <v>https://yt3.ggpht.com/ytc/AKedOLRv-Z8Tqi4bI9c-91FSTLD7wY1ua_O7-fry6g=s88-c-k-c0x00ffffff-no-rj</v>
      </c>
      <c r="AL473" s="80">
        <v>0</v>
      </c>
      <c r="AM473" s="80">
        <v>0</v>
      </c>
      <c r="AN473" s="80">
        <v>0</v>
      </c>
      <c r="AO473" s="80" t="b">
        <v>0</v>
      </c>
      <c r="AP473" s="80">
        <v>0</v>
      </c>
      <c r="AQ473" s="80"/>
      <c r="AR473" s="80"/>
      <c r="AS473" s="80" t="s">
        <v>3412</v>
      </c>
      <c r="AT473" s="85" t="str">
        <f>HYPERLINK("https://www.youtube.com/channel/UCtJqZ6cw2RjcEMLQhUx8c7A")</f>
        <v>https://www.youtube.com/channel/UCtJqZ6cw2RjcEMLQhUx8c7A</v>
      </c>
      <c r="AU473" s="80" t="str">
        <f>REPLACE(INDEX(GroupVertices[Group],MATCH(Vertices[[#This Row],[Vertex]],GroupVertices[Vertex],0)),1,1,"")</f>
        <v>11</v>
      </c>
      <c r="AV473" s="49">
        <v>2</v>
      </c>
      <c r="AW473" s="50">
        <v>66.66666666666667</v>
      </c>
      <c r="AX473" s="49">
        <v>0</v>
      </c>
      <c r="AY473" s="50">
        <v>0</v>
      </c>
      <c r="AZ473" s="49">
        <v>0</v>
      </c>
      <c r="BA473" s="50">
        <v>0</v>
      </c>
      <c r="BB473" s="49">
        <v>1</v>
      </c>
      <c r="BC473" s="50">
        <v>33.333333333333336</v>
      </c>
      <c r="BD473" s="49">
        <v>3</v>
      </c>
      <c r="BE473" s="49"/>
      <c r="BF473" s="49"/>
      <c r="BG473" s="49"/>
      <c r="BH473" s="49"/>
      <c r="BI473" s="49"/>
      <c r="BJ473" s="49"/>
      <c r="BK473" s="111" t="s">
        <v>4819</v>
      </c>
      <c r="BL473" s="111" t="s">
        <v>4819</v>
      </c>
      <c r="BM473" s="111" t="s">
        <v>4316</v>
      </c>
      <c r="BN473" s="111" t="s">
        <v>4316</v>
      </c>
      <c r="BO473" s="2"/>
      <c r="BP473" s="3"/>
      <c r="BQ473" s="3"/>
      <c r="BR473" s="3"/>
      <c r="BS473" s="3"/>
    </row>
    <row r="474" spans="1:71" ht="15">
      <c r="A474" s="65" t="s">
        <v>694</v>
      </c>
      <c r="B474" s="66"/>
      <c r="C474" s="66"/>
      <c r="D474" s="67">
        <v>150</v>
      </c>
      <c r="E474" s="69"/>
      <c r="F474" s="103" t="str">
        <f>HYPERLINK("https://yt3.ggpht.com/ytc/AKedOLSp1nIehNn3lUDllkGbRjCL8-47o4CVRM1v2jZJBQ=s88-c-k-c0x00ffffff-no-rj")</f>
        <v>https://yt3.ggpht.com/ytc/AKedOLSp1nIehNn3lUDllkGbRjCL8-47o4CVRM1v2jZJBQ=s88-c-k-c0x00ffffff-no-rj</v>
      </c>
      <c r="G474" s="66"/>
      <c r="H474" s="70" t="s">
        <v>2022</v>
      </c>
      <c r="I474" s="71"/>
      <c r="J474" s="71" t="s">
        <v>159</v>
      </c>
      <c r="K474" s="70" t="s">
        <v>2022</v>
      </c>
      <c r="L474" s="74">
        <v>1</v>
      </c>
      <c r="M474" s="75">
        <v>5909.0634765625</v>
      </c>
      <c r="N474" s="75">
        <v>222.56202697753906</v>
      </c>
      <c r="O474" s="76"/>
      <c r="P474" s="77"/>
      <c r="Q474" s="77"/>
      <c r="R474" s="89"/>
      <c r="S474" s="49">
        <v>0</v>
      </c>
      <c r="T474" s="49">
        <v>1</v>
      </c>
      <c r="U474" s="50">
        <v>0</v>
      </c>
      <c r="V474" s="50">
        <v>0.047619</v>
      </c>
      <c r="W474" s="50">
        <v>0</v>
      </c>
      <c r="X474" s="50">
        <v>0.56206</v>
      </c>
      <c r="Y474" s="50">
        <v>0</v>
      </c>
      <c r="Z474" s="50">
        <v>0</v>
      </c>
      <c r="AA474" s="72">
        <v>474</v>
      </c>
      <c r="AB474" s="72"/>
      <c r="AC474" s="73"/>
      <c r="AD474" s="80" t="s">
        <v>2022</v>
      </c>
      <c r="AE474" s="80" t="s">
        <v>2979</v>
      </c>
      <c r="AF474" s="80"/>
      <c r="AG474" s="80"/>
      <c r="AH474" s="80"/>
      <c r="AI474" s="80"/>
      <c r="AJ474" s="87">
        <v>43837.00953703704</v>
      </c>
      <c r="AK474" s="85" t="str">
        <f>HYPERLINK("https://yt3.ggpht.com/ytc/AKedOLSp1nIehNn3lUDllkGbRjCL8-47o4CVRM1v2jZJBQ=s88-c-k-c0x00ffffff-no-rj")</f>
        <v>https://yt3.ggpht.com/ytc/AKedOLSp1nIehNn3lUDllkGbRjCL8-47o4CVRM1v2jZJBQ=s88-c-k-c0x00ffffff-no-rj</v>
      </c>
      <c r="AL474" s="80">
        <v>213599</v>
      </c>
      <c r="AM474" s="80">
        <v>0</v>
      </c>
      <c r="AN474" s="80">
        <v>0</v>
      </c>
      <c r="AO474" s="80" t="b">
        <v>1</v>
      </c>
      <c r="AP474" s="80">
        <v>158</v>
      </c>
      <c r="AQ474" s="80"/>
      <c r="AR474" s="80"/>
      <c r="AS474" s="80" t="s">
        <v>3412</v>
      </c>
      <c r="AT474" s="85" t="str">
        <f>HYPERLINK("https://www.youtube.com/channel/UCnPQib0Kk0VCIRF6wl_JHTA")</f>
        <v>https://www.youtube.com/channel/UCnPQib0Kk0VCIRF6wl_JHTA</v>
      </c>
      <c r="AU474" s="80" t="str">
        <f>REPLACE(INDEX(GroupVertices[Group],MATCH(Vertices[[#This Row],[Vertex]],GroupVertices[Vertex],0)),1,1,"")</f>
        <v>11</v>
      </c>
      <c r="AV474" s="49">
        <v>2</v>
      </c>
      <c r="AW474" s="50">
        <v>50</v>
      </c>
      <c r="AX474" s="49">
        <v>0</v>
      </c>
      <c r="AY474" s="50">
        <v>0</v>
      </c>
      <c r="AZ474" s="49">
        <v>0</v>
      </c>
      <c r="BA474" s="50">
        <v>0</v>
      </c>
      <c r="BB474" s="49">
        <v>2</v>
      </c>
      <c r="BC474" s="50">
        <v>50</v>
      </c>
      <c r="BD474" s="49">
        <v>4</v>
      </c>
      <c r="BE474" s="49"/>
      <c r="BF474" s="49"/>
      <c r="BG474" s="49"/>
      <c r="BH474" s="49"/>
      <c r="BI474" s="49"/>
      <c r="BJ474" s="49"/>
      <c r="BK474" s="111" t="s">
        <v>4820</v>
      </c>
      <c r="BL474" s="111" t="s">
        <v>4820</v>
      </c>
      <c r="BM474" s="111" t="s">
        <v>5289</v>
      </c>
      <c r="BN474" s="111" t="s">
        <v>5289</v>
      </c>
      <c r="BO474" s="2"/>
      <c r="BP474" s="3"/>
      <c r="BQ474" s="3"/>
      <c r="BR474" s="3"/>
      <c r="BS474" s="3"/>
    </row>
    <row r="475" spans="1:71" ht="15">
      <c r="A475" s="65" t="s">
        <v>695</v>
      </c>
      <c r="B475" s="66"/>
      <c r="C475" s="66"/>
      <c r="D475" s="67">
        <v>150</v>
      </c>
      <c r="E475" s="69"/>
      <c r="F475" s="103" t="str">
        <f>HYPERLINK("https://yt3.ggpht.com/ytc/AKedOLShvUb1UVHEPaLr1AYV5EsLHeM-RIiT2u8G3w=s88-c-k-c0x00ffffff-no-rj")</f>
        <v>https://yt3.ggpht.com/ytc/AKedOLShvUb1UVHEPaLr1AYV5EsLHeM-RIiT2u8G3w=s88-c-k-c0x00ffffff-no-rj</v>
      </c>
      <c r="G475" s="66"/>
      <c r="H475" s="70" t="s">
        <v>2023</v>
      </c>
      <c r="I475" s="71"/>
      <c r="J475" s="71" t="s">
        <v>159</v>
      </c>
      <c r="K475" s="70" t="s">
        <v>2023</v>
      </c>
      <c r="L475" s="74">
        <v>1</v>
      </c>
      <c r="M475" s="75">
        <v>6350.50732421875</v>
      </c>
      <c r="N475" s="75">
        <v>144.4942169189453</v>
      </c>
      <c r="O475" s="76"/>
      <c r="P475" s="77"/>
      <c r="Q475" s="77"/>
      <c r="R475" s="89"/>
      <c r="S475" s="49">
        <v>0</v>
      </c>
      <c r="T475" s="49">
        <v>1</v>
      </c>
      <c r="U475" s="50">
        <v>0</v>
      </c>
      <c r="V475" s="50">
        <v>0.047619</v>
      </c>
      <c r="W475" s="50">
        <v>0</v>
      </c>
      <c r="X475" s="50">
        <v>0.56206</v>
      </c>
      <c r="Y475" s="50">
        <v>0</v>
      </c>
      <c r="Z475" s="50">
        <v>0</v>
      </c>
      <c r="AA475" s="72">
        <v>475</v>
      </c>
      <c r="AB475" s="72"/>
      <c r="AC475" s="73"/>
      <c r="AD475" s="80" t="s">
        <v>2023</v>
      </c>
      <c r="AE475" s="80"/>
      <c r="AF475" s="80"/>
      <c r="AG475" s="80"/>
      <c r="AH475" s="80"/>
      <c r="AI475" s="80"/>
      <c r="AJ475" s="87">
        <v>43960.90118055556</v>
      </c>
      <c r="AK475" s="85" t="str">
        <f>HYPERLINK("https://yt3.ggpht.com/ytc/AKedOLShvUb1UVHEPaLr1AYV5EsLHeM-RIiT2u8G3w=s88-c-k-c0x00ffffff-no-rj")</f>
        <v>https://yt3.ggpht.com/ytc/AKedOLShvUb1UVHEPaLr1AYV5EsLHeM-RIiT2u8G3w=s88-c-k-c0x00ffffff-no-rj</v>
      </c>
      <c r="AL475" s="80">
        <v>0</v>
      </c>
      <c r="AM475" s="80">
        <v>0</v>
      </c>
      <c r="AN475" s="80">
        <v>0</v>
      </c>
      <c r="AO475" s="80" t="b">
        <v>0</v>
      </c>
      <c r="AP475" s="80">
        <v>0</v>
      </c>
      <c r="AQ475" s="80"/>
      <c r="AR475" s="80"/>
      <c r="AS475" s="80" t="s">
        <v>3412</v>
      </c>
      <c r="AT475" s="85" t="str">
        <f>HYPERLINK("https://www.youtube.com/channel/UCprhtJatma3ldWWViKaMDSQ")</f>
        <v>https://www.youtube.com/channel/UCprhtJatma3ldWWViKaMDSQ</v>
      </c>
      <c r="AU475" s="80" t="str">
        <f>REPLACE(INDEX(GroupVertices[Group],MATCH(Vertices[[#This Row],[Vertex]],GroupVertices[Vertex],0)),1,1,"")</f>
        <v>11</v>
      </c>
      <c r="AV475" s="49">
        <v>2</v>
      </c>
      <c r="AW475" s="50">
        <v>50</v>
      </c>
      <c r="AX475" s="49">
        <v>0</v>
      </c>
      <c r="AY475" s="50">
        <v>0</v>
      </c>
      <c r="AZ475" s="49">
        <v>0</v>
      </c>
      <c r="BA475" s="50">
        <v>0</v>
      </c>
      <c r="BB475" s="49">
        <v>2</v>
      </c>
      <c r="BC475" s="50">
        <v>50</v>
      </c>
      <c r="BD475" s="49">
        <v>4</v>
      </c>
      <c r="BE475" s="49"/>
      <c r="BF475" s="49"/>
      <c r="BG475" s="49"/>
      <c r="BH475" s="49"/>
      <c r="BI475" s="49"/>
      <c r="BJ475" s="49"/>
      <c r="BK475" s="111" t="s">
        <v>3469</v>
      </c>
      <c r="BL475" s="111" t="s">
        <v>3469</v>
      </c>
      <c r="BM475" s="111" t="s">
        <v>2782</v>
      </c>
      <c r="BN475" s="111" t="s">
        <v>2782</v>
      </c>
      <c r="BO475" s="2"/>
      <c r="BP475" s="3"/>
      <c r="BQ475" s="3"/>
      <c r="BR475" s="3"/>
      <c r="BS475" s="3"/>
    </row>
    <row r="476" spans="1:71" ht="15">
      <c r="A476" s="65" t="s">
        <v>696</v>
      </c>
      <c r="B476" s="66"/>
      <c r="C476" s="66"/>
      <c r="D476" s="67">
        <v>150</v>
      </c>
      <c r="E476" s="69"/>
      <c r="F476" s="103" t="str">
        <f>HYPERLINK("https://yt3.ggpht.com/ytc/AKedOLT9QADXVxJduMDESD249vXslHbWeglSWA_XGdh5=s88-c-k-c0x00ffffff-no-rj")</f>
        <v>https://yt3.ggpht.com/ytc/AKedOLT9QADXVxJduMDESD249vXslHbWeglSWA_XGdh5=s88-c-k-c0x00ffffff-no-rj</v>
      </c>
      <c r="G476" s="66"/>
      <c r="H476" s="70" t="s">
        <v>2024</v>
      </c>
      <c r="I476" s="71"/>
      <c r="J476" s="71" t="s">
        <v>159</v>
      </c>
      <c r="K476" s="70" t="s">
        <v>2024</v>
      </c>
      <c r="L476" s="74">
        <v>1</v>
      </c>
      <c r="M476" s="75">
        <v>7159.998046875</v>
      </c>
      <c r="N476" s="75">
        <v>758.5655517578125</v>
      </c>
      <c r="O476" s="76"/>
      <c r="P476" s="77"/>
      <c r="Q476" s="77"/>
      <c r="R476" s="89"/>
      <c r="S476" s="49">
        <v>0</v>
      </c>
      <c r="T476" s="49">
        <v>1</v>
      </c>
      <c r="U476" s="50">
        <v>0</v>
      </c>
      <c r="V476" s="50">
        <v>0.047619</v>
      </c>
      <c r="W476" s="50">
        <v>0</v>
      </c>
      <c r="X476" s="50">
        <v>0.56206</v>
      </c>
      <c r="Y476" s="50">
        <v>0</v>
      </c>
      <c r="Z476" s="50">
        <v>0</v>
      </c>
      <c r="AA476" s="72">
        <v>476</v>
      </c>
      <c r="AB476" s="72"/>
      <c r="AC476" s="73"/>
      <c r="AD476" s="80" t="s">
        <v>2024</v>
      </c>
      <c r="AE476" s="80"/>
      <c r="AF476" s="80"/>
      <c r="AG476" s="80"/>
      <c r="AH476" s="80"/>
      <c r="AI476" s="80"/>
      <c r="AJ476" s="87">
        <v>44140.70046296297</v>
      </c>
      <c r="AK476" s="85" t="str">
        <f>HYPERLINK("https://yt3.ggpht.com/ytc/AKedOLT9QADXVxJduMDESD249vXslHbWeglSWA_XGdh5=s88-c-k-c0x00ffffff-no-rj")</f>
        <v>https://yt3.ggpht.com/ytc/AKedOLT9QADXVxJduMDESD249vXslHbWeglSWA_XGdh5=s88-c-k-c0x00ffffff-no-rj</v>
      </c>
      <c r="AL476" s="80">
        <v>0</v>
      </c>
      <c r="AM476" s="80">
        <v>0</v>
      </c>
      <c r="AN476" s="80">
        <v>0</v>
      </c>
      <c r="AO476" s="80" t="b">
        <v>0</v>
      </c>
      <c r="AP476" s="80">
        <v>0</v>
      </c>
      <c r="AQ476" s="80"/>
      <c r="AR476" s="80"/>
      <c r="AS476" s="80" t="s">
        <v>3412</v>
      </c>
      <c r="AT476" s="85" t="str">
        <f>HYPERLINK("https://www.youtube.com/channel/UCTvPnYPcmyQ5qkv9Sp8QLgQ")</f>
        <v>https://www.youtube.com/channel/UCTvPnYPcmyQ5qkv9Sp8QLgQ</v>
      </c>
      <c r="AU476" s="80" t="str">
        <f>REPLACE(INDEX(GroupVertices[Group],MATCH(Vertices[[#This Row],[Vertex]],GroupVertices[Vertex],0)),1,1,"")</f>
        <v>11</v>
      </c>
      <c r="AV476" s="49">
        <v>0</v>
      </c>
      <c r="AW476" s="50">
        <v>0</v>
      </c>
      <c r="AX476" s="49">
        <v>0</v>
      </c>
      <c r="AY476" s="50">
        <v>0</v>
      </c>
      <c r="AZ476" s="49">
        <v>0</v>
      </c>
      <c r="BA476" s="50">
        <v>0</v>
      </c>
      <c r="BB476" s="49">
        <v>0</v>
      </c>
      <c r="BC476" s="50">
        <v>0</v>
      </c>
      <c r="BD476" s="49">
        <v>0</v>
      </c>
      <c r="BE476" s="49"/>
      <c r="BF476" s="49"/>
      <c r="BG476" s="49"/>
      <c r="BH476" s="49"/>
      <c r="BI476" s="49"/>
      <c r="BJ476" s="49"/>
      <c r="BK476" s="111" t="s">
        <v>2782</v>
      </c>
      <c r="BL476" s="111" t="s">
        <v>2782</v>
      </c>
      <c r="BM476" s="111" t="s">
        <v>2782</v>
      </c>
      <c r="BN476" s="111" t="s">
        <v>2782</v>
      </c>
      <c r="BO476" s="2"/>
      <c r="BP476" s="3"/>
      <c r="BQ476" s="3"/>
      <c r="BR476" s="3"/>
      <c r="BS476" s="3"/>
    </row>
    <row r="477" spans="1:71" ht="15">
      <c r="A477" s="65" t="s">
        <v>697</v>
      </c>
      <c r="B477" s="66"/>
      <c r="C477" s="66"/>
      <c r="D477" s="67">
        <v>150</v>
      </c>
      <c r="E477" s="69"/>
      <c r="F477" s="103" t="str">
        <f>HYPERLINK("https://yt3.ggpht.com/ytc/AKedOLRnyv5z6_BjdMOdnkhBMarAfy0chTkWvHuBCejIcg=s88-c-k-c0x00ffffff-no-rj")</f>
        <v>https://yt3.ggpht.com/ytc/AKedOLRnyv5z6_BjdMOdnkhBMarAfy0chTkWvHuBCejIcg=s88-c-k-c0x00ffffff-no-rj</v>
      </c>
      <c r="G477" s="66"/>
      <c r="H477" s="70" t="s">
        <v>2025</v>
      </c>
      <c r="I477" s="71"/>
      <c r="J477" s="71" t="s">
        <v>159</v>
      </c>
      <c r="K477" s="70" t="s">
        <v>2025</v>
      </c>
      <c r="L477" s="74">
        <v>1</v>
      </c>
      <c r="M477" s="75">
        <v>7069.6015625</v>
      </c>
      <c r="N477" s="75">
        <v>463.9971923828125</v>
      </c>
      <c r="O477" s="76"/>
      <c r="P477" s="77"/>
      <c r="Q477" s="77"/>
      <c r="R477" s="89"/>
      <c r="S477" s="49">
        <v>0</v>
      </c>
      <c r="T477" s="49">
        <v>1</v>
      </c>
      <c r="U477" s="50">
        <v>0</v>
      </c>
      <c r="V477" s="50">
        <v>0.047619</v>
      </c>
      <c r="W477" s="50">
        <v>0</v>
      </c>
      <c r="X477" s="50">
        <v>0.56206</v>
      </c>
      <c r="Y477" s="50">
        <v>0</v>
      </c>
      <c r="Z477" s="50">
        <v>0</v>
      </c>
      <c r="AA477" s="72">
        <v>477</v>
      </c>
      <c r="AB477" s="72"/>
      <c r="AC477" s="73"/>
      <c r="AD477" s="80" t="s">
        <v>2025</v>
      </c>
      <c r="AE477" s="80" t="s">
        <v>2980</v>
      </c>
      <c r="AF477" s="80"/>
      <c r="AG477" s="80"/>
      <c r="AH477" s="80"/>
      <c r="AI477" s="80"/>
      <c r="AJ477" s="80" t="s">
        <v>3378</v>
      </c>
      <c r="AK477" s="85" t="str">
        <f>HYPERLINK("https://yt3.ggpht.com/ytc/AKedOLRnyv5z6_BjdMOdnkhBMarAfy0chTkWvHuBCejIcg=s88-c-k-c0x00ffffff-no-rj")</f>
        <v>https://yt3.ggpht.com/ytc/AKedOLRnyv5z6_BjdMOdnkhBMarAfy0chTkWvHuBCejIcg=s88-c-k-c0x00ffffff-no-rj</v>
      </c>
      <c r="AL477" s="80">
        <v>509641</v>
      </c>
      <c r="AM477" s="80">
        <v>0</v>
      </c>
      <c r="AN477" s="80">
        <v>0</v>
      </c>
      <c r="AO477" s="80" t="b">
        <v>1</v>
      </c>
      <c r="AP477" s="80">
        <v>242</v>
      </c>
      <c r="AQ477" s="80"/>
      <c r="AR477" s="80"/>
      <c r="AS477" s="80" t="s">
        <v>3412</v>
      </c>
      <c r="AT477" s="85" t="str">
        <f>HYPERLINK("https://www.youtube.com/channel/UCoGFC5t3WEgQ28VKiIsVimw")</f>
        <v>https://www.youtube.com/channel/UCoGFC5t3WEgQ28VKiIsVimw</v>
      </c>
      <c r="AU477" s="80" t="str">
        <f>REPLACE(INDEX(GroupVertices[Group],MATCH(Vertices[[#This Row],[Vertex]],GroupVertices[Vertex],0)),1,1,"")</f>
        <v>11</v>
      </c>
      <c r="AV477" s="49">
        <v>2</v>
      </c>
      <c r="AW477" s="50">
        <v>22.22222222222222</v>
      </c>
      <c r="AX477" s="49">
        <v>0</v>
      </c>
      <c r="AY477" s="50">
        <v>0</v>
      </c>
      <c r="AZ477" s="49">
        <v>0</v>
      </c>
      <c r="BA477" s="50">
        <v>0</v>
      </c>
      <c r="BB477" s="49">
        <v>7</v>
      </c>
      <c r="BC477" s="50">
        <v>77.77777777777777</v>
      </c>
      <c r="BD477" s="49">
        <v>9</v>
      </c>
      <c r="BE477" s="49"/>
      <c r="BF477" s="49"/>
      <c r="BG477" s="49"/>
      <c r="BH477" s="49"/>
      <c r="BI477" s="49"/>
      <c r="BJ477" s="49"/>
      <c r="BK477" s="111" t="s">
        <v>4821</v>
      </c>
      <c r="BL477" s="111" t="s">
        <v>4821</v>
      </c>
      <c r="BM477" s="111" t="s">
        <v>5290</v>
      </c>
      <c r="BN477" s="111" t="s">
        <v>5290</v>
      </c>
      <c r="BO477" s="2"/>
      <c r="BP477" s="3"/>
      <c r="BQ477" s="3"/>
      <c r="BR477" s="3"/>
      <c r="BS477" s="3"/>
    </row>
    <row r="478" spans="1:71" ht="15">
      <c r="A478" s="65" t="s">
        <v>698</v>
      </c>
      <c r="B478" s="66"/>
      <c r="C478" s="66"/>
      <c r="D478" s="67">
        <v>150</v>
      </c>
      <c r="E478" s="69"/>
      <c r="F478" s="103" t="str">
        <f>HYPERLINK("https://yt3.ggpht.com/ytc/AKedOLSP9y_4lPNApy6RWbC69AsTO_y55XTWYoNa5Jjx=s88-c-k-c0x00ffffff-no-rj")</f>
        <v>https://yt3.ggpht.com/ytc/AKedOLSP9y_4lPNApy6RWbC69AsTO_y55XTWYoNa5Jjx=s88-c-k-c0x00ffffff-no-rj</v>
      </c>
      <c r="G478" s="66"/>
      <c r="H478" s="70" t="s">
        <v>2026</v>
      </c>
      <c r="I478" s="71"/>
      <c r="J478" s="71" t="s">
        <v>159</v>
      </c>
      <c r="K478" s="70" t="s">
        <v>2026</v>
      </c>
      <c r="L478" s="74">
        <v>1</v>
      </c>
      <c r="M478" s="75">
        <v>5724.71630859375</v>
      </c>
      <c r="N478" s="75">
        <v>1022.7111206054688</v>
      </c>
      <c r="O478" s="76"/>
      <c r="P478" s="77"/>
      <c r="Q478" s="77"/>
      <c r="R478" s="89"/>
      <c r="S478" s="49">
        <v>0</v>
      </c>
      <c r="T478" s="49">
        <v>1</v>
      </c>
      <c r="U478" s="50">
        <v>0</v>
      </c>
      <c r="V478" s="50">
        <v>0.047619</v>
      </c>
      <c r="W478" s="50">
        <v>0</v>
      </c>
      <c r="X478" s="50">
        <v>0.56206</v>
      </c>
      <c r="Y478" s="50">
        <v>0</v>
      </c>
      <c r="Z478" s="50">
        <v>0</v>
      </c>
      <c r="AA478" s="72">
        <v>478</v>
      </c>
      <c r="AB478" s="72"/>
      <c r="AC478" s="73"/>
      <c r="AD478" s="80" t="s">
        <v>2026</v>
      </c>
      <c r="AE478" s="80" t="s">
        <v>2981</v>
      </c>
      <c r="AF478" s="80"/>
      <c r="AG478" s="80"/>
      <c r="AH478" s="80"/>
      <c r="AI478" s="80" t="s">
        <v>3088</v>
      </c>
      <c r="AJ478" s="80" t="s">
        <v>3379</v>
      </c>
      <c r="AK478" s="85" t="str">
        <f>HYPERLINK("https://yt3.ggpht.com/ytc/AKedOLSP9y_4lPNApy6RWbC69AsTO_y55XTWYoNa5Jjx=s88-c-k-c0x00ffffff-no-rj")</f>
        <v>https://yt3.ggpht.com/ytc/AKedOLSP9y_4lPNApy6RWbC69AsTO_y55XTWYoNa5Jjx=s88-c-k-c0x00ffffff-no-rj</v>
      </c>
      <c r="AL478" s="80">
        <v>25352</v>
      </c>
      <c r="AM478" s="80">
        <v>0</v>
      </c>
      <c r="AN478" s="80">
        <v>566</v>
      </c>
      <c r="AO478" s="80" t="b">
        <v>0</v>
      </c>
      <c r="AP478" s="80">
        <v>64</v>
      </c>
      <c r="AQ478" s="80"/>
      <c r="AR478" s="80"/>
      <c r="AS478" s="80" t="s">
        <v>3412</v>
      </c>
      <c r="AT478" s="85" t="str">
        <f>HYPERLINK("https://www.youtube.com/channel/UCXuaGae3oCzPTaSp0gdBJJQ")</f>
        <v>https://www.youtube.com/channel/UCXuaGae3oCzPTaSp0gdBJJQ</v>
      </c>
      <c r="AU478" s="80" t="str">
        <f>REPLACE(INDEX(GroupVertices[Group],MATCH(Vertices[[#This Row],[Vertex]],GroupVertices[Vertex],0)),1,1,"")</f>
        <v>11</v>
      </c>
      <c r="AV478" s="49">
        <v>1</v>
      </c>
      <c r="AW478" s="50">
        <v>5.2631578947368425</v>
      </c>
      <c r="AX478" s="49">
        <v>1</v>
      </c>
      <c r="AY478" s="50">
        <v>5.2631578947368425</v>
      </c>
      <c r="AZ478" s="49">
        <v>0</v>
      </c>
      <c r="BA478" s="50">
        <v>0</v>
      </c>
      <c r="BB478" s="49">
        <v>17</v>
      </c>
      <c r="BC478" s="50">
        <v>89.47368421052632</v>
      </c>
      <c r="BD478" s="49">
        <v>19</v>
      </c>
      <c r="BE478" s="49"/>
      <c r="BF478" s="49"/>
      <c r="BG478" s="49"/>
      <c r="BH478" s="49"/>
      <c r="BI478" s="49"/>
      <c r="BJ478" s="49"/>
      <c r="BK478" s="111" t="s">
        <v>4822</v>
      </c>
      <c r="BL478" s="111" t="s">
        <v>4822</v>
      </c>
      <c r="BM478" s="111" t="s">
        <v>5291</v>
      </c>
      <c r="BN478" s="111" t="s">
        <v>5291</v>
      </c>
      <c r="BO478" s="2"/>
      <c r="BP478" s="3"/>
      <c r="BQ478" s="3"/>
      <c r="BR478" s="3"/>
      <c r="BS478" s="3"/>
    </row>
    <row r="479" spans="1:71" ht="15">
      <c r="A479" s="65" t="s">
        <v>699</v>
      </c>
      <c r="B479" s="66"/>
      <c r="C479" s="66"/>
      <c r="D479" s="67">
        <v>150</v>
      </c>
      <c r="E479" s="69"/>
      <c r="F479" s="103" t="str">
        <f>HYPERLINK("https://yt3.ggpht.com/ytc/AKedOLQ7HAoAiO9LwawYWUZKW3CVZ9j5E2aPX9UokV8M=s88-c-k-c0x00ffffff-no-rj")</f>
        <v>https://yt3.ggpht.com/ytc/AKedOLQ7HAoAiO9LwawYWUZKW3CVZ9j5E2aPX9UokV8M=s88-c-k-c0x00ffffff-no-rj</v>
      </c>
      <c r="G479" s="66"/>
      <c r="H479" s="70" t="s">
        <v>2027</v>
      </c>
      <c r="I479" s="71"/>
      <c r="J479" s="71" t="s">
        <v>159</v>
      </c>
      <c r="K479" s="70" t="s">
        <v>2027</v>
      </c>
      <c r="L479" s="74">
        <v>1</v>
      </c>
      <c r="M479" s="75">
        <v>6932.5224609375</v>
      </c>
      <c r="N479" s="75">
        <v>1017.8807983398438</v>
      </c>
      <c r="O479" s="76"/>
      <c r="P479" s="77"/>
      <c r="Q479" s="77"/>
      <c r="R479" s="89"/>
      <c r="S479" s="49">
        <v>0</v>
      </c>
      <c r="T479" s="49">
        <v>1</v>
      </c>
      <c r="U479" s="50">
        <v>0</v>
      </c>
      <c r="V479" s="50">
        <v>0.047619</v>
      </c>
      <c r="W479" s="50">
        <v>0</v>
      </c>
      <c r="X479" s="50">
        <v>0.56206</v>
      </c>
      <c r="Y479" s="50">
        <v>0</v>
      </c>
      <c r="Z479" s="50">
        <v>0</v>
      </c>
      <c r="AA479" s="72">
        <v>479</v>
      </c>
      <c r="AB479" s="72"/>
      <c r="AC479" s="73"/>
      <c r="AD479" s="80" t="s">
        <v>2027</v>
      </c>
      <c r="AE479" s="80" t="s">
        <v>2982</v>
      </c>
      <c r="AF479" s="80"/>
      <c r="AG479" s="80"/>
      <c r="AH479" s="80"/>
      <c r="AI479" s="80" t="s">
        <v>3089</v>
      </c>
      <c r="AJ479" s="87">
        <v>43868.768958333334</v>
      </c>
      <c r="AK479" s="85" t="str">
        <f>HYPERLINK("https://yt3.ggpht.com/ytc/AKedOLQ7HAoAiO9LwawYWUZKW3CVZ9j5E2aPX9UokV8M=s88-c-k-c0x00ffffff-no-rj")</f>
        <v>https://yt3.ggpht.com/ytc/AKedOLQ7HAoAiO9LwawYWUZKW3CVZ9j5E2aPX9UokV8M=s88-c-k-c0x00ffffff-no-rj</v>
      </c>
      <c r="AL479" s="80">
        <v>48375</v>
      </c>
      <c r="AM479" s="80">
        <v>0</v>
      </c>
      <c r="AN479" s="80">
        <v>0</v>
      </c>
      <c r="AO479" s="80" t="b">
        <v>1</v>
      </c>
      <c r="AP479" s="80">
        <v>28</v>
      </c>
      <c r="AQ479" s="80"/>
      <c r="AR479" s="80"/>
      <c r="AS479" s="80" t="s">
        <v>3412</v>
      </c>
      <c r="AT479" s="85" t="str">
        <f>HYPERLINK("https://www.youtube.com/channel/UCpmP1HYDUxOdw7omF5Dztyw")</f>
        <v>https://www.youtube.com/channel/UCpmP1HYDUxOdw7omF5Dztyw</v>
      </c>
      <c r="AU479" s="80" t="str">
        <f>REPLACE(INDEX(GroupVertices[Group],MATCH(Vertices[[#This Row],[Vertex]],GroupVertices[Vertex],0)),1,1,"")</f>
        <v>11</v>
      </c>
      <c r="AV479" s="49">
        <v>1</v>
      </c>
      <c r="AW479" s="50">
        <v>100</v>
      </c>
      <c r="AX479" s="49">
        <v>0</v>
      </c>
      <c r="AY479" s="50">
        <v>0</v>
      </c>
      <c r="AZ479" s="49">
        <v>0</v>
      </c>
      <c r="BA479" s="50">
        <v>0</v>
      </c>
      <c r="BB479" s="49">
        <v>0</v>
      </c>
      <c r="BC479" s="50">
        <v>0</v>
      </c>
      <c r="BD479" s="49">
        <v>1</v>
      </c>
      <c r="BE479" s="49"/>
      <c r="BF479" s="49"/>
      <c r="BG479" s="49"/>
      <c r="BH479" s="49"/>
      <c r="BI479" s="49"/>
      <c r="BJ479" s="49"/>
      <c r="BK479" s="111" t="s">
        <v>3464</v>
      </c>
      <c r="BL479" s="111" t="s">
        <v>3464</v>
      </c>
      <c r="BM479" s="111" t="s">
        <v>2782</v>
      </c>
      <c r="BN479" s="111" t="s">
        <v>2782</v>
      </c>
      <c r="BO479" s="2"/>
      <c r="BP479" s="3"/>
      <c r="BQ479" s="3"/>
      <c r="BR479" s="3"/>
      <c r="BS479" s="3"/>
    </row>
    <row r="480" spans="1:71" ht="15">
      <c r="A480" s="65" t="s">
        <v>700</v>
      </c>
      <c r="B480" s="66"/>
      <c r="C480" s="66"/>
      <c r="D480" s="67">
        <v>150</v>
      </c>
      <c r="E480" s="69"/>
      <c r="F480" s="103" t="str">
        <f>HYPERLINK("https://yt3.ggpht.com/ytc/AKedOLS0cpyFx2-oHFMZMcXmwgI4btbZKVkvOpuzf4Nt=s88-c-k-c0x00ffffff-no-rj")</f>
        <v>https://yt3.ggpht.com/ytc/AKedOLS0cpyFx2-oHFMZMcXmwgI4btbZKVkvOpuzf4Nt=s88-c-k-c0x00ffffff-no-rj</v>
      </c>
      <c r="G480" s="66"/>
      <c r="H480" s="70" t="s">
        <v>2028</v>
      </c>
      <c r="I480" s="71"/>
      <c r="J480" s="71" t="s">
        <v>159</v>
      </c>
      <c r="K480" s="70" t="s">
        <v>2028</v>
      </c>
      <c r="L480" s="74">
        <v>1</v>
      </c>
      <c r="M480" s="75">
        <v>7338.5517578125</v>
      </c>
      <c r="N480" s="75">
        <v>1444.942138671875</v>
      </c>
      <c r="O480" s="76"/>
      <c r="P480" s="77"/>
      <c r="Q480" s="77"/>
      <c r="R480" s="89"/>
      <c r="S480" s="49">
        <v>0</v>
      </c>
      <c r="T480" s="49">
        <v>1</v>
      </c>
      <c r="U480" s="50">
        <v>0</v>
      </c>
      <c r="V480" s="50">
        <v>0.001724</v>
      </c>
      <c r="W480" s="50">
        <v>0</v>
      </c>
      <c r="X480" s="50">
        <v>0.588984</v>
      </c>
      <c r="Y480" s="50">
        <v>0</v>
      </c>
      <c r="Z480" s="50">
        <v>0</v>
      </c>
      <c r="AA480" s="72">
        <v>480</v>
      </c>
      <c r="AB480" s="72"/>
      <c r="AC480" s="73"/>
      <c r="AD480" s="80" t="s">
        <v>2028</v>
      </c>
      <c r="AE480" s="80" t="s">
        <v>2983</v>
      </c>
      <c r="AF480" s="80"/>
      <c r="AG480" s="80"/>
      <c r="AH480" s="80"/>
      <c r="AI480" s="80"/>
      <c r="AJ480" s="87">
        <v>41154.79497685185</v>
      </c>
      <c r="AK480" s="85" t="str">
        <f>HYPERLINK("https://yt3.ggpht.com/ytc/AKedOLS0cpyFx2-oHFMZMcXmwgI4btbZKVkvOpuzf4Nt=s88-c-k-c0x00ffffff-no-rj")</f>
        <v>https://yt3.ggpht.com/ytc/AKedOLS0cpyFx2-oHFMZMcXmwgI4btbZKVkvOpuzf4Nt=s88-c-k-c0x00ffffff-no-rj</v>
      </c>
      <c r="AL480" s="80">
        <v>53</v>
      </c>
      <c r="AM480" s="80">
        <v>0</v>
      </c>
      <c r="AN480" s="80">
        <v>17</v>
      </c>
      <c r="AO480" s="80" t="b">
        <v>0</v>
      </c>
      <c r="AP480" s="80">
        <v>2</v>
      </c>
      <c r="AQ480" s="80"/>
      <c r="AR480" s="80"/>
      <c r="AS480" s="80" t="s">
        <v>3412</v>
      </c>
      <c r="AT480" s="85" t="str">
        <f>HYPERLINK("https://www.youtube.com/channel/UCBq4yo8cH6tY3klFlLldmmQ")</f>
        <v>https://www.youtube.com/channel/UCBq4yo8cH6tY3klFlLldmmQ</v>
      </c>
      <c r="AU480" s="80" t="str">
        <f>REPLACE(INDEX(GroupVertices[Group],MATCH(Vertices[[#This Row],[Vertex]],GroupVertices[Vertex],0)),1,1,"")</f>
        <v>13</v>
      </c>
      <c r="AV480" s="49">
        <v>0</v>
      </c>
      <c r="AW480" s="50">
        <v>0</v>
      </c>
      <c r="AX480" s="49">
        <v>0</v>
      </c>
      <c r="AY480" s="50">
        <v>0</v>
      </c>
      <c r="AZ480" s="49">
        <v>0</v>
      </c>
      <c r="BA480" s="50">
        <v>0</v>
      </c>
      <c r="BB480" s="49">
        <v>10</v>
      </c>
      <c r="BC480" s="50">
        <v>100</v>
      </c>
      <c r="BD480" s="49">
        <v>10</v>
      </c>
      <c r="BE480" s="49"/>
      <c r="BF480" s="49"/>
      <c r="BG480" s="49"/>
      <c r="BH480" s="49"/>
      <c r="BI480" s="49"/>
      <c r="BJ480" s="49"/>
      <c r="BK480" s="111" t="s">
        <v>4823</v>
      </c>
      <c r="BL480" s="111" t="s">
        <v>4823</v>
      </c>
      <c r="BM480" s="111" t="s">
        <v>5292</v>
      </c>
      <c r="BN480" s="111" t="s">
        <v>5292</v>
      </c>
      <c r="BO480" s="2"/>
      <c r="BP480" s="3"/>
      <c r="BQ480" s="3"/>
      <c r="BR480" s="3"/>
      <c r="BS480" s="3"/>
    </row>
    <row r="481" spans="1:71" ht="15">
      <c r="A481" s="65" t="s">
        <v>701</v>
      </c>
      <c r="B481" s="66"/>
      <c r="C481" s="66"/>
      <c r="D481" s="67">
        <v>244.10714285714286</v>
      </c>
      <c r="E481" s="69"/>
      <c r="F481" s="103" t="str">
        <f>HYPERLINK("https://yt3.ggpht.com/ytc/AKedOLRj99sO_GbnNTXMsceIC__hNHxqNKV72_x9Gmr4=s88-c-k-c0x00ffffff-no-rj")</f>
        <v>https://yt3.ggpht.com/ytc/AKedOLRj99sO_GbnNTXMsceIC__hNHxqNKV72_x9Gmr4=s88-c-k-c0x00ffffff-no-rj</v>
      </c>
      <c r="G481" s="66"/>
      <c r="H481" s="70" t="s">
        <v>2029</v>
      </c>
      <c r="I481" s="71"/>
      <c r="J481" s="71" t="s">
        <v>75</v>
      </c>
      <c r="K481" s="70" t="s">
        <v>2029</v>
      </c>
      <c r="L481" s="74">
        <v>51.73188563945875</v>
      </c>
      <c r="M481" s="75">
        <v>7629.4794921875</v>
      </c>
      <c r="N481" s="75">
        <v>1853.65869140625</v>
      </c>
      <c r="O481" s="76"/>
      <c r="P481" s="77"/>
      <c r="Q481" s="77"/>
      <c r="R481" s="89"/>
      <c r="S481" s="49">
        <v>1</v>
      </c>
      <c r="T481" s="49">
        <v>1</v>
      </c>
      <c r="U481" s="50">
        <v>186</v>
      </c>
      <c r="V481" s="50">
        <v>0.002053</v>
      </c>
      <c r="W481" s="50">
        <v>0</v>
      </c>
      <c r="X481" s="50">
        <v>1.032905</v>
      </c>
      <c r="Y481" s="50">
        <v>0</v>
      </c>
      <c r="Z481" s="50">
        <v>0</v>
      </c>
      <c r="AA481" s="72">
        <v>481</v>
      </c>
      <c r="AB481" s="72"/>
      <c r="AC481" s="73"/>
      <c r="AD481" s="80" t="s">
        <v>2029</v>
      </c>
      <c r="AE481" s="80" t="s">
        <v>2984</v>
      </c>
      <c r="AF481" s="80"/>
      <c r="AG481" s="80"/>
      <c r="AH481" s="80"/>
      <c r="AI481" s="80"/>
      <c r="AJ481" s="87">
        <v>40604.939780092594</v>
      </c>
      <c r="AK481" s="85" t="str">
        <f>HYPERLINK("https://yt3.ggpht.com/ytc/AKedOLRj99sO_GbnNTXMsceIC__hNHxqNKV72_x9Gmr4=s88-c-k-c0x00ffffff-no-rj")</f>
        <v>https://yt3.ggpht.com/ytc/AKedOLRj99sO_GbnNTXMsceIC__hNHxqNKV72_x9Gmr4=s88-c-k-c0x00ffffff-no-rj</v>
      </c>
      <c r="AL481" s="80">
        <v>27603</v>
      </c>
      <c r="AM481" s="80">
        <v>0</v>
      </c>
      <c r="AN481" s="80">
        <v>22</v>
      </c>
      <c r="AO481" s="80" t="b">
        <v>0</v>
      </c>
      <c r="AP481" s="80">
        <v>152</v>
      </c>
      <c r="AQ481" s="80"/>
      <c r="AR481" s="80"/>
      <c r="AS481" s="80" t="s">
        <v>3412</v>
      </c>
      <c r="AT481" s="85" t="str">
        <f>HYPERLINK("https://www.youtube.com/channel/UC9Td1TpXDp_w8s7zyX2dJTA")</f>
        <v>https://www.youtube.com/channel/UC9Td1TpXDp_w8s7zyX2dJTA</v>
      </c>
      <c r="AU481" s="80" t="str">
        <f>REPLACE(INDEX(GroupVertices[Group],MATCH(Vertices[[#This Row],[Vertex]],GroupVertices[Vertex],0)),1,1,"")</f>
        <v>13</v>
      </c>
      <c r="AV481" s="49">
        <v>1</v>
      </c>
      <c r="AW481" s="50">
        <v>16.666666666666668</v>
      </c>
      <c r="AX481" s="49">
        <v>1</v>
      </c>
      <c r="AY481" s="50">
        <v>16.666666666666668</v>
      </c>
      <c r="AZ481" s="49">
        <v>0</v>
      </c>
      <c r="BA481" s="50">
        <v>0</v>
      </c>
      <c r="BB481" s="49">
        <v>4</v>
      </c>
      <c r="BC481" s="50">
        <v>66.66666666666667</v>
      </c>
      <c r="BD481" s="49">
        <v>6</v>
      </c>
      <c r="BE481" s="49"/>
      <c r="BF481" s="49"/>
      <c r="BG481" s="49"/>
      <c r="BH481" s="49"/>
      <c r="BI481" s="49"/>
      <c r="BJ481" s="49"/>
      <c r="BK481" s="111" t="s">
        <v>4824</v>
      </c>
      <c r="BL481" s="111" t="s">
        <v>4824</v>
      </c>
      <c r="BM481" s="111" t="s">
        <v>5293</v>
      </c>
      <c r="BN481" s="111" t="s">
        <v>5293</v>
      </c>
      <c r="BO481" s="2"/>
      <c r="BP481" s="3"/>
      <c r="BQ481" s="3"/>
      <c r="BR481" s="3"/>
      <c r="BS481" s="3"/>
    </row>
    <row r="482" spans="1:71" ht="15">
      <c r="A482" s="65" t="s">
        <v>702</v>
      </c>
      <c r="B482" s="66"/>
      <c r="C482" s="66"/>
      <c r="D482" s="67">
        <v>959.5238095238095</v>
      </c>
      <c r="E482" s="69"/>
      <c r="F482" s="103" t="str">
        <f>HYPERLINK("https://yt3.ggpht.com/ytc/AKedOLQQdCVf__4NBBeI-QtRE_Hi_1LMlct_q4qZkH7-xA=s88-c-k-c0x00ffffff-no-rj")</f>
        <v>https://yt3.ggpht.com/ytc/AKedOLQQdCVf__4NBBeI-QtRE_Hi_1LMlct_q4qZkH7-xA=s88-c-k-c0x00ffffff-no-rj</v>
      </c>
      <c r="G482" s="66"/>
      <c r="H482" s="70" t="s">
        <v>2030</v>
      </c>
      <c r="I482" s="71"/>
      <c r="J482" s="71" t="s">
        <v>75</v>
      </c>
      <c r="K482" s="70" t="s">
        <v>2030</v>
      </c>
      <c r="L482" s="74">
        <v>437.4033173286774</v>
      </c>
      <c r="M482" s="75">
        <v>7954.0302734375</v>
      </c>
      <c r="N482" s="75">
        <v>2309.787353515625</v>
      </c>
      <c r="O482" s="76"/>
      <c r="P482" s="77"/>
      <c r="Q482" s="77"/>
      <c r="R482" s="89"/>
      <c r="S482" s="49">
        <v>10</v>
      </c>
      <c r="T482" s="49">
        <v>3</v>
      </c>
      <c r="U482" s="50">
        <v>1600</v>
      </c>
      <c r="V482" s="50">
        <v>0.002525</v>
      </c>
      <c r="W482" s="50">
        <v>0</v>
      </c>
      <c r="X482" s="50">
        <v>4.497273</v>
      </c>
      <c r="Y482" s="50">
        <v>0</v>
      </c>
      <c r="Z482" s="50">
        <v>0.2222222222222222</v>
      </c>
      <c r="AA482" s="72">
        <v>482</v>
      </c>
      <c r="AB482" s="72"/>
      <c r="AC482" s="73"/>
      <c r="AD482" s="80" t="s">
        <v>2030</v>
      </c>
      <c r="AE482" s="80" t="s">
        <v>2985</v>
      </c>
      <c r="AF482" s="80"/>
      <c r="AG482" s="80"/>
      <c r="AH482" s="80"/>
      <c r="AI482" s="80" t="s">
        <v>2030</v>
      </c>
      <c r="AJ482" s="87">
        <v>38880.53438657407</v>
      </c>
      <c r="AK482" s="85" t="str">
        <f>HYPERLINK("https://yt3.ggpht.com/ytc/AKedOLQQdCVf__4NBBeI-QtRE_Hi_1LMlct_q4qZkH7-xA=s88-c-k-c0x00ffffff-no-rj")</f>
        <v>https://yt3.ggpht.com/ytc/AKedOLQQdCVf__4NBBeI-QtRE_Hi_1LMlct_q4qZkH7-xA=s88-c-k-c0x00ffffff-no-rj</v>
      </c>
      <c r="AL482" s="80">
        <v>898520681</v>
      </c>
      <c r="AM482" s="80">
        <v>0</v>
      </c>
      <c r="AN482" s="80">
        <v>1240000</v>
      </c>
      <c r="AO482" s="80" t="b">
        <v>0</v>
      </c>
      <c r="AP482" s="80">
        <v>3674</v>
      </c>
      <c r="AQ482" s="80"/>
      <c r="AR482" s="80"/>
      <c r="AS482" s="80" t="s">
        <v>3412</v>
      </c>
      <c r="AT482" s="85" t="str">
        <f>HYPERLINK("https://www.youtube.com/channel/UCdNO3SSyxVGqW-xKmIVv9pQ")</f>
        <v>https://www.youtube.com/channel/UCdNO3SSyxVGqW-xKmIVv9pQ</v>
      </c>
      <c r="AU482" s="80" t="str">
        <f>REPLACE(INDEX(GroupVertices[Group],MATCH(Vertices[[#This Row],[Vertex]],GroupVertices[Vertex],0)),1,1,"")</f>
        <v>13</v>
      </c>
      <c r="AV482" s="49">
        <v>2</v>
      </c>
      <c r="AW482" s="50">
        <v>50</v>
      </c>
      <c r="AX482" s="49">
        <v>0</v>
      </c>
      <c r="AY482" s="50">
        <v>0</v>
      </c>
      <c r="AZ482" s="49">
        <v>0</v>
      </c>
      <c r="BA482" s="50">
        <v>0</v>
      </c>
      <c r="BB482" s="49">
        <v>2</v>
      </c>
      <c r="BC482" s="50">
        <v>50</v>
      </c>
      <c r="BD482" s="49">
        <v>4</v>
      </c>
      <c r="BE482" s="49"/>
      <c r="BF482" s="49"/>
      <c r="BG482" s="49"/>
      <c r="BH482" s="49"/>
      <c r="BI482" s="49"/>
      <c r="BJ482" s="49"/>
      <c r="BK482" s="111" t="s">
        <v>2782</v>
      </c>
      <c r="BL482" s="111" t="s">
        <v>2782</v>
      </c>
      <c r="BM482" s="111" t="s">
        <v>2782</v>
      </c>
      <c r="BN482" s="111" t="s">
        <v>2782</v>
      </c>
      <c r="BO482" s="2"/>
      <c r="BP482" s="3"/>
      <c r="BQ482" s="3"/>
      <c r="BR482" s="3"/>
      <c r="BS482" s="3"/>
    </row>
    <row r="483" spans="1:71" ht="15">
      <c r="A483" s="65" t="s">
        <v>703</v>
      </c>
      <c r="B483" s="66"/>
      <c r="C483" s="66"/>
      <c r="D483" s="67">
        <v>150</v>
      </c>
      <c r="E483" s="69"/>
      <c r="F483" s="103" t="str">
        <f>HYPERLINK("https://yt3.ggpht.com/ytc/AKedOLS6ON1Yr1btZ0P2rh-Ubq70XLox29tt_OdJxwPkaQ=s88-c-k-c0x00ffffff-no-rj")</f>
        <v>https://yt3.ggpht.com/ytc/AKedOLS6ON1Yr1btZ0P2rh-Ubq70XLox29tt_OdJxwPkaQ=s88-c-k-c0x00ffffff-no-rj</v>
      </c>
      <c r="G483" s="66"/>
      <c r="H483" s="70" t="s">
        <v>2031</v>
      </c>
      <c r="I483" s="71"/>
      <c r="J483" s="71" t="s">
        <v>159</v>
      </c>
      <c r="K483" s="70" t="s">
        <v>2031</v>
      </c>
      <c r="L483" s="74">
        <v>1</v>
      </c>
      <c r="M483" s="75">
        <v>7468.04248046875</v>
      </c>
      <c r="N483" s="75">
        <v>2597.849853515625</v>
      </c>
      <c r="O483" s="76"/>
      <c r="P483" s="77"/>
      <c r="Q483" s="77"/>
      <c r="R483" s="89"/>
      <c r="S483" s="49">
        <v>1</v>
      </c>
      <c r="T483" s="49">
        <v>1</v>
      </c>
      <c r="U483" s="50">
        <v>0</v>
      </c>
      <c r="V483" s="50">
        <v>0.002045</v>
      </c>
      <c r="W483" s="50">
        <v>0</v>
      </c>
      <c r="X483" s="50">
        <v>0.532268</v>
      </c>
      <c r="Y483" s="50">
        <v>0</v>
      </c>
      <c r="Z483" s="50">
        <v>1</v>
      </c>
      <c r="AA483" s="72">
        <v>483</v>
      </c>
      <c r="AB483" s="72"/>
      <c r="AC483" s="73"/>
      <c r="AD483" s="80" t="s">
        <v>2031</v>
      </c>
      <c r="AE483" s="80"/>
      <c r="AF483" s="80"/>
      <c r="AG483" s="80"/>
      <c r="AH483" s="80"/>
      <c r="AI483" s="80"/>
      <c r="AJ483" s="80" t="s">
        <v>3380</v>
      </c>
      <c r="AK483" s="85" t="str">
        <f>HYPERLINK("https://yt3.ggpht.com/ytc/AKedOLS6ON1Yr1btZ0P2rh-Ubq70XLox29tt_OdJxwPkaQ=s88-c-k-c0x00ffffff-no-rj")</f>
        <v>https://yt3.ggpht.com/ytc/AKedOLS6ON1Yr1btZ0P2rh-Ubq70XLox29tt_OdJxwPkaQ=s88-c-k-c0x00ffffff-no-rj</v>
      </c>
      <c r="AL483" s="80">
        <v>0</v>
      </c>
      <c r="AM483" s="80">
        <v>0</v>
      </c>
      <c r="AN483" s="80">
        <v>238</v>
      </c>
      <c r="AO483" s="80" t="b">
        <v>0</v>
      </c>
      <c r="AP483" s="80">
        <v>0</v>
      </c>
      <c r="AQ483" s="80"/>
      <c r="AR483" s="80"/>
      <c r="AS483" s="80" t="s">
        <v>3412</v>
      </c>
      <c r="AT483" s="85" t="str">
        <f>HYPERLINK("https://www.youtube.com/channel/UCMh0ZdReKP6-QF7-DpuyeiA")</f>
        <v>https://www.youtube.com/channel/UCMh0ZdReKP6-QF7-DpuyeiA</v>
      </c>
      <c r="AU483" s="80" t="str">
        <f>REPLACE(INDEX(GroupVertices[Group],MATCH(Vertices[[#This Row],[Vertex]],GroupVertices[Vertex],0)),1,1,"")</f>
        <v>13</v>
      </c>
      <c r="AV483" s="49">
        <v>2</v>
      </c>
      <c r="AW483" s="50">
        <v>9.523809523809524</v>
      </c>
      <c r="AX483" s="49">
        <v>0</v>
      </c>
      <c r="AY483" s="50">
        <v>0</v>
      </c>
      <c r="AZ483" s="49">
        <v>0</v>
      </c>
      <c r="BA483" s="50">
        <v>0</v>
      </c>
      <c r="BB483" s="49">
        <v>19</v>
      </c>
      <c r="BC483" s="50">
        <v>90.47619047619048</v>
      </c>
      <c r="BD483" s="49">
        <v>21</v>
      </c>
      <c r="BE483" s="49"/>
      <c r="BF483" s="49"/>
      <c r="BG483" s="49"/>
      <c r="BH483" s="49"/>
      <c r="BI483" s="49"/>
      <c r="BJ483" s="49"/>
      <c r="BK483" s="111" t="s">
        <v>4825</v>
      </c>
      <c r="BL483" s="111" t="s">
        <v>4825</v>
      </c>
      <c r="BM483" s="111" t="s">
        <v>5294</v>
      </c>
      <c r="BN483" s="111" t="s">
        <v>5294</v>
      </c>
      <c r="BO483" s="2"/>
      <c r="BP483" s="3"/>
      <c r="BQ483" s="3"/>
      <c r="BR483" s="3"/>
      <c r="BS483" s="3"/>
    </row>
    <row r="484" spans="1:71" ht="15">
      <c r="A484" s="65" t="s">
        <v>704</v>
      </c>
      <c r="B484" s="66"/>
      <c r="C484" s="66"/>
      <c r="D484" s="67">
        <v>150</v>
      </c>
      <c r="E484" s="69"/>
      <c r="F484" s="103" t="str">
        <f>HYPERLINK("https://yt3.ggpht.com/ytc/AKedOLTjJyf94E0g-aSM9RdRgsrjcQYaj60OJLGL7PNt=s88-c-k-c0x00ffffff-no-rj")</f>
        <v>https://yt3.ggpht.com/ytc/AKedOLTjJyf94E0g-aSM9RdRgsrjcQYaj60OJLGL7PNt=s88-c-k-c0x00ffffff-no-rj</v>
      </c>
      <c r="G484" s="66"/>
      <c r="H484" s="70" t="s">
        <v>2032</v>
      </c>
      <c r="I484" s="71"/>
      <c r="J484" s="71" t="s">
        <v>159</v>
      </c>
      <c r="K484" s="70" t="s">
        <v>2032</v>
      </c>
      <c r="L484" s="74">
        <v>1</v>
      </c>
      <c r="M484" s="75">
        <v>8399.25390625</v>
      </c>
      <c r="N484" s="75">
        <v>1964.4722900390625</v>
      </c>
      <c r="O484" s="76"/>
      <c r="P484" s="77"/>
      <c r="Q484" s="77"/>
      <c r="R484" s="89"/>
      <c r="S484" s="49">
        <v>1</v>
      </c>
      <c r="T484" s="49">
        <v>1</v>
      </c>
      <c r="U484" s="50">
        <v>0</v>
      </c>
      <c r="V484" s="50">
        <v>0.002045</v>
      </c>
      <c r="W484" s="50">
        <v>0</v>
      </c>
      <c r="X484" s="50">
        <v>0.532268</v>
      </c>
      <c r="Y484" s="50">
        <v>0</v>
      </c>
      <c r="Z484" s="50">
        <v>1</v>
      </c>
      <c r="AA484" s="72">
        <v>484</v>
      </c>
      <c r="AB484" s="72"/>
      <c r="AC484" s="73"/>
      <c r="AD484" s="80" t="s">
        <v>2032</v>
      </c>
      <c r="AE484" s="80" t="s">
        <v>2986</v>
      </c>
      <c r="AF484" s="80"/>
      <c r="AG484" s="80"/>
      <c r="AH484" s="80"/>
      <c r="AI484" s="80"/>
      <c r="AJ484" s="80" t="s">
        <v>3381</v>
      </c>
      <c r="AK484" s="85" t="str">
        <f>HYPERLINK("https://yt3.ggpht.com/ytc/AKedOLTjJyf94E0g-aSM9RdRgsrjcQYaj60OJLGL7PNt=s88-c-k-c0x00ffffff-no-rj")</f>
        <v>https://yt3.ggpht.com/ytc/AKedOLTjJyf94E0g-aSM9RdRgsrjcQYaj60OJLGL7PNt=s88-c-k-c0x00ffffff-no-rj</v>
      </c>
      <c r="AL484" s="80">
        <v>0</v>
      </c>
      <c r="AM484" s="80">
        <v>0</v>
      </c>
      <c r="AN484" s="80">
        <v>7</v>
      </c>
      <c r="AO484" s="80" t="b">
        <v>0</v>
      </c>
      <c r="AP484" s="80">
        <v>0</v>
      </c>
      <c r="AQ484" s="80"/>
      <c r="AR484" s="80"/>
      <c r="AS484" s="80" t="s">
        <v>3412</v>
      </c>
      <c r="AT484" s="85" t="str">
        <f>HYPERLINK("https://www.youtube.com/channel/UC0OnbMLow17AdDG-WSvDpxg")</f>
        <v>https://www.youtube.com/channel/UC0OnbMLow17AdDG-WSvDpxg</v>
      </c>
      <c r="AU484" s="80" t="str">
        <f>REPLACE(INDEX(GroupVertices[Group],MATCH(Vertices[[#This Row],[Vertex]],GroupVertices[Vertex],0)),1,1,"")</f>
        <v>13</v>
      </c>
      <c r="AV484" s="49">
        <v>0</v>
      </c>
      <c r="AW484" s="50">
        <v>0</v>
      </c>
      <c r="AX484" s="49">
        <v>0</v>
      </c>
      <c r="AY484" s="50">
        <v>0</v>
      </c>
      <c r="AZ484" s="49">
        <v>0</v>
      </c>
      <c r="BA484" s="50">
        <v>0</v>
      </c>
      <c r="BB484" s="49">
        <v>4</v>
      </c>
      <c r="BC484" s="50">
        <v>100</v>
      </c>
      <c r="BD484" s="49">
        <v>4</v>
      </c>
      <c r="BE484" s="49"/>
      <c r="BF484" s="49"/>
      <c r="BG484" s="49"/>
      <c r="BH484" s="49"/>
      <c r="BI484" s="49"/>
      <c r="BJ484" s="49"/>
      <c r="BK484" s="111" t="s">
        <v>4826</v>
      </c>
      <c r="BL484" s="111" t="s">
        <v>4826</v>
      </c>
      <c r="BM484" s="111" t="s">
        <v>5295</v>
      </c>
      <c r="BN484" s="111" t="s">
        <v>5295</v>
      </c>
      <c r="BO484" s="2"/>
      <c r="BP484" s="3"/>
      <c r="BQ484" s="3"/>
      <c r="BR484" s="3"/>
      <c r="BS484" s="3"/>
    </row>
    <row r="485" spans="1:71" ht="15">
      <c r="A485" s="65" t="s">
        <v>705</v>
      </c>
      <c r="B485" s="66"/>
      <c r="C485" s="66"/>
      <c r="D485" s="67">
        <v>150</v>
      </c>
      <c r="E485" s="69"/>
      <c r="F485" s="103" t="str">
        <f>HYPERLINK("https://yt3.ggpht.com/ytc/AKedOLSrN885hquUO5mnELsKZJhqBr03mwFCabFsz7VlyqU=s88-c-k-c0x00ffffff-no-rj")</f>
        <v>https://yt3.ggpht.com/ytc/AKedOLSrN885hquUO5mnELsKZJhqBr03mwFCabFsz7VlyqU=s88-c-k-c0x00ffffff-no-rj</v>
      </c>
      <c r="G485" s="66"/>
      <c r="H485" s="70" t="s">
        <v>2033</v>
      </c>
      <c r="I485" s="71"/>
      <c r="J485" s="71" t="s">
        <v>159</v>
      </c>
      <c r="K485" s="70" t="s">
        <v>2033</v>
      </c>
      <c r="L485" s="74">
        <v>1</v>
      </c>
      <c r="M485" s="75">
        <v>7465.21533203125</v>
      </c>
      <c r="N485" s="75">
        <v>2268.253173828125</v>
      </c>
      <c r="O485" s="76"/>
      <c r="P485" s="77"/>
      <c r="Q485" s="77"/>
      <c r="R485" s="89"/>
      <c r="S485" s="49">
        <v>0</v>
      </c>
      <c r="T485" s="49">
        <v>1</v>
      </c>
      <c r="U485" s="50">
        <v>0</v>
      </c>
      <c r="V485" s="50">
        <v>0.002045</v>
      </c>
      <c r="W485" s="50">
        <v>0</v>
      </c>
      <c r="X485" s="50">
        <v>0.532268</v>
      </c>
      <c r="Y485" s="50">
        <v>0</v>
      </c>
      <c r="Z485" s="50">
        <v>0</v>
      </c>
      <c r="AA485" s="72">
        <v>485</v>
      </c>
      <c r="AB485" s="72"/>
      <c r="AC485" s="73"/>
      <c r="AD485" s="80" t="s">
        <v>2033</v>
      </c>
      <c r="AE485" s="80" t="s">
        <v>2987</v>
      </c>
      <c r="AF485" s="80"/>
      <c r="AG485" s="80"/>
      <c r="AH485" s="80"/>
      <c r="AI485" s="80"/>
      <c r="AJ485" s="87">
        <v>41403.769421296296</v>
      </c>
      <c r="AK485" s="85" t="str">
        <f>HYPERLINK("https://yt3.ggpht.com/ytc/AKedOLSrN885hquUO5mnELsKZJhqBr03mwFCabFsz7VlyqU=s88-c-k-c0x00ffffff-no-rj")</f>
        <v>https://yt3.ggpht.com/ytc/AKedOLSrN885hquUO5mnELsKZJhqBr03mwFCabFsz7VlyqU=s88-c-k-c0x00ffffff-no-rj</v>
      </c>
      <c r="AL485" s="80">
        <v>1952</v>
      </c>
      <c r="AM485" s="80">
        <v>0</v>
      </c>
      <c r="AN485" s="80">
        <v>14</v>
      </c>
      <c r="AO485" s="80" t="b">
        <v>0</v>
      </c>
      <c r="AP485" s="80">
        <v>5</v>
      </c>
      <c r="AQ485" s="80"/>
      <c r="AR485" s="80"/>
      <c r="AS485" s="80" t="s">
        <v>3412</v>
      </c>
      <c r="AT485" s="85" t="str">
        <f>HYPERLINK("https://www.youtube.com/channel/UC1-JSnAwpM5UVxddNIK0bsQ")</f>
        <v>https://www.youtube.com/channel/UC1-JSnAwpM5UVxddNIK0bsQ</v>
      </c>
      <c r="AU485" s="80" t="str">
        <f>REPLACE(INDEX(GroupVertices[Group],MATCH(Vertices[[#This Row],[Vertex]],GroupVertices[Vertex],0)),1,1,"")</f>
        <v>13</v>
      </c>
      <c r="AV485" s="49">
        <v>2</v>
      </c>
      <c r="AW485" s="50">
        <v>14.285714285714286</v>
      </c>
      <c r="AX485" s="49">
        <v>0</v>
      </c>
      <c r="AY485" s="50">
        <v>0</v>
      </c>
      <c r="AZ485" s="49">
        <v>0</v>
      </c>
      <c r="BA485" s="50">
        <v>0</v>
      </c>
      <c r="BB485" s="49">
        <v>12</v>
      </c>
      <c r="BC485" s="50">
        <v>85.71428571428571</v>
      </c>
      <c r="BD485" s="49">
        <v>14</v>
      </c>
      <c r="BE485" s="49"/>
      <c r="BF485" s="49"/>
      <c r="BG485" s="49"/>
      <c r="BH485" s="49"/>
      <c r="BI485" s="49"/>
      <c r="BJ485" s="49"/>
      <c r="BK485" s="111" t="s">
        <v>4827</v>
      </c>
      <c r="BL485" s="111" t="s">
        <v>4827</v>
      </c>
      <c r="BM485" s="111" t="s">
        <v>5296</v>
      </c>
      <c r="BN485" s="111" t="s">
        <v>5296</v>
      </c>
      <c r="BO485" s="2"/>
      <c r="BP485" s="3"/>
      <c r="BQ485" s="3"/>
      <c r="BR485" s="3"/>
      <c r="BS485" s="3"/>
    </row>
    <row r="486" spans="1:71" ht="15">
      <c r="A486" s="65" t="s">
        <v>706</v>
      </c>
      <c r="B486" s="66"/>
      <c r="C486" s="66"/>
      <c r="D486" s="67">
        <v>150</v>
      </c>
      <c r="E486" s="69"/>
      <c r="F486" s="103" t="str">
        <f>HYPERLINK("https://yt3.ggpht.com/ytc/AKedOLTRyAP9fpxdECXkjFOTNng5UNz_jdfpxqvH0PtI=s88-c-k-c0x00ffffff-no-rj")</f>
        <v>https://yt3.ggpht.com/ytc/AKedOLTRyAP9fpxdECXkjFOTNng5UNz_jdfpxqvH0PtI=s88-c-k-c0x00ffffff-no-rj</v>
      </c>
      <c r="G486" s="66"/>
      <c r="H486" s="70" t="s">
        <v>2034</v>
      </c>
      <c r="I486" s="71"/>
      <c r="J486" s="71" t="s">
        <v>159</v>
      </c>
      <c r="K486" s="70" t="s">
        <v>2034</v>
      </c>
      <c r="L486" s="74">
        <v>1</v>
      </c>
      <c r="M486" s="75">
        <v>7751.828125</v>
      </c>
      <c r="N486" s="75">
        <v>2804.948974609375</v>
      </c>
      <c r="O486" s="76"/>
      <c r="P486" s="77"/>
      <c r="Q486" s="77"/>
      <c r="R486" s="89"/>
      <c r="S486" s="49">
        <v>0</v>
      </c>
      <c r="T486" s="49">
        <v>1</v>
      </c>
      <c r="U486" s="50">
        <v>0</v>
      </c>
      <c r="V486" s="50">
        <v>0.002045</v>
      </c>
      <c r="W486" s="50">
        <v>0</v>
      </c>
      <c r="X486" s="50">
        <v>0.532268</v>
      </c>
      <c r="Y486" s="50">
        <v>0</v>
      </c>
      <c r="Z486" s="50">
        <v>0</v>
      </c>
      <c r="AA486" s="72">
        <v>486</v>
      </c>
      <c r="AB486" s="72"/>
      <c r="AC486" s="73"/>
      <c r="AD486" s="80" t="s">
        <v>2034</v>
      </c>
      <c r="AE486" s="80"/>
      <c r="AF486" s="80"/>
      <c r="AG486" s="80"/>
      <c r="AH486" s="80"/>
      <c r="AI486" s="80"/>
      <c r="AJ486" s="80" t="s">
        <v>3382</v>
      </c>
      <c r="AK486" s="85" t="str">
        <f>HYPERLINK("https://yt3.ggpht.com/ytc/AKedOLTRyAP9fpxdECXkjFOTNng5UNz_jdfpxqvH0PtI=s88-c-k-c0x00ffffff-no-rj")</f>
        <v>https://yt3.ggpht.com/ytc/AKedOLTRyAP9fpxdECXkjFOTNng5UNz_jdfpxqvH0PtI=s88-c-k-c0x00ffffff-no-rj</v>
      </c>
      <c r="AL486" s="80">
        <v>7471</v>
      </c>
      <c r="AM486" s="80">
        <v>0</v>
      </c>
      <c r="AN486" s="80">
        <v>27</v>
      </c>
      <c r="AO486" s="80" t="b">
        <v>0</v>
      </c>
      <c r="AP486" s="80">
        <v>14</v>
      </c>
      <c r="AQ486" s="80"/>
      <c r="AR486" s="80"/>
      <c r="AS486" s="80" t="s">
        <v>3412</v>
      </c>
      <c r="AT486" s="85" t="str">
        <f>HYPERLINK("https://www.youtube.com/channel/UCJ5RQc_IezXrN-RkNnYBbDw")</f>
        <v>https://www.youtube.com/channel/UCJ5RQc_IezXrN-RkNnYBbDw</v>
      </c>
      <c r="AU486" s="80" t="str">
        <f>REPLACE(INDEX(GroupVertices[Group],MATCH(Vertices[[#This Row],[Vertex]],GroupVertices[Vertex],0)),1,1,"")</f>
        <v>13</v>
      </c>
      <c r="AV486" s="49">
        <v>2</v>
      </c>
      <c r="AW486" s="50">
        <v>66.66666666666667</v>
      </c>
      <c r="AX486" s="49">
        <v>0</v>
      </c>
      <c r="AY486" s="50">
        <v>0</v>
      </c>
      <c r="AZ486" s="49">
        <v>0</v>
      </c>
      <c r="BA486" s="50">
        <v>0</v>
      </c>
      <c r="BB486" s="49">
        <v>1</v>
      </c>
      <c r="BC486" s="50">
        <v>33.333333333333336</v>
      </c>
      <c r="BD486" s="49">
        <v>3</v>
      </c>
      <c r="BE486" s="49"/>
      <c r="BF486" s="49"/>
      <c r="BG486" s="49"/>
      <c r="BH486" s="49"/>
      <c r="BI486" s="49"/>
      <c r="BJ486" s="49"/>
      <c r="BK486" s="111" t="s">
        <v>4828</v>
      </c>
      <c r="BL486" s="111" t="s">
        <v>4828</v>
      </c>
      <c r="BM486" s="111" t="s">
        <v>5297</v>
      </c>
      <c r="BN486" s="111" t="s">
        <v>5297</v>
      </c>
      <c r="BO486" s="2"/>
      <c r="BP486" s="3"/>
      <c r="BQ486" s="3"/>
      <c r="BR486" s="3"/>
      <c r="BS486" s="3"/>
    </row>
    <row r="487" spans="1:71" ht="15">
      <c r="A487" s="65" t="s">
        <v>707</v>
      </c>
      <c r="B487" s="66"/>
      <c r="C487" s="66"/>
      <c r="D487" s="67">
        <v>150</v>
      </c>
      <c r="E487" s="69"/>
      <c r="F487" s="103" t="str">
        <f>HYPERLINK("https://yt3.ggpht.com/ytc/AKedOLQ5UDGohmdpAIRU78jPj38Sw4LxCOMd_2aWXlWR=s88-c-k-c0x00ffffff-no-rj")</f>
        <v>https://yt3.ggpht.com/ytc/AKedOLQ5UDGohmdpAIRU78jPj38Sw4LxCOMd_2aWXlWR=s88-c-k-c0x00ffffff-no-rj</v>
      </c>
      <c r="G487" s="66"/>
      <c r="H487" s="70" t="s">
        <v>2035</v>
      </c>
      <c r="I487" s="71"/>
      <c r="J487" s="71" t="s">
        <v>159</v>
      </c>
      <c r="K487" s="70" t="s">
        <v>2035</v>
      </c>
      <c r="L487" s="74">
        <v>1</v>
      </c>
      <c r="M487" s="75">
        <v>8084.19287109375</v>
      </c>
      <c r="N487" s="75">
        <v>1847.21630859375</v>
      </c>
      <c r="O487" s="76"/>
      <c r="P487" s="77"/>
      <c r="Q487" s="77"/>
      <c r="R487" s="89"/>
      <c r="S487" s="49">
        <v>0</v>
      </c>
      <c r="T487" s="49">
        <v>1</v>
      </c>
      <c r="U487" s="50">
        <v>0</v>
      </c>
      <c r="V487" s="50">
        <v>0.002045</v>
      </c>
      <c r="W487" s="50">
        <v>0</v>
      </c>
      <c r="X487" s="50">
        <v>0.532268</v>
      </c>
      <c r="Y487" s="50">
        <v>0</v>
      </c>
      <c r="Z487" s="50">
        <v>0</v>
      </c>
      <c r="AA487" s="72">
        <v>487</v>
      </c>
      <c r="AB487" s="72"/>
      <c r="AC487" s="73"/>
      <c r="AD487" s="80" t="s">
        <v>2035</v>
      </c>
      <c r="AE487" s="80"/>
      <c r="AF487" s="80"/>
      <c r="AG487" s="80"/>
      <c r="AH487" s="80"/>
      <c r="AI487" s="80"/>
      <c r="AJ487" s="87">
        <v>41312.27239583333</v>
      </c>
      <c r="AK487" s="85" t="str">
        <f>HYPERLINK("https://yt3.ggpht.com/ytc/AKedOLQ5UDGohmdpAIRU78jPj38Sw4LxCOMd_2aWXlWR=s88-c-k-c0x00ffffff-no-rj")</f>
        <v>https://yt3.ggpht.com/ytc/AKedOLQ5UDGohmdpAIRU78jPj38Sw4LxCOMd_2aWXlWR=s88-c-k-c0x00ffffff-no-rj</v>
      </c>
      <c r="AL487" s="80">
        <v>35956</v>
      </c>
      <c r="AM487" s="80">
        <v>0</v>
      </c>
      <c r="AN487" s="80">
        <v>101</v>
      </c>
      <c r="AO487" s="80" t="b">
        <v>0</v>
      </c>
      <c r="AP487" s="80">
        <v>22</v>
      </c>
      <c r="AQ487" s="80"/>
      <c r="AR487" s="80"/>
      <c r="AS487" s="80" t="s">
        <v>3412</v>
      </c>
      <c r="AT487" s="85" t="str">
        <f>HYPERLINK("https://www.youtube.com/channel/UCwI6bvoIYtPRh7Vgl7In0Sw")</f>
        <v>https://www.youtube.com/channel/UCwI6bvoIYtPRh7Vgl7In0Sw</v>
      </c>
      <c r="AU487" s="80" t="str">
        <f>REPLACE(INDEX(GroupVertices[Group],MATCH(Vertices[[#This Row],[Vertex]],GroupVertices[Vertex],0)),1,1,"")</f>
        <v>13</v>
      </c>
      <c r="AV487" s="49">
        <v>3</v>
      </c>
      <c r="AW487" s="50">
        <v>27.272727272727273</v>
      </c>
      <c r="AX487" s="49">
        <v>0</v>
      </c>
      <c r="AY487" s="50">
        <v>0</v>
      </c>
      <c r="AZ487" s="49">
        <v>0</v>
      </c>
      <c r="BA487" s="50">
        <v>0</v>
      </c>
      <c r="BB487" s="49">
        <v>8</v>
      </c>
      <c r="BC487" s="50">
        <v>72.72727272727273</v>
      </c>
      <c r="BD487" s="49">
        <v>11</v>
      </c>
      <c r="BE487" s="49"/>
      <c r="BF487" s="49"/>
      <c r="BG487" s="49"/>
      <c r="BH487" s="49"/>
      <c r="BI487" s="49"/>
      <c r="BJ487" s="49"/>
      <c r="BK487" s="111" t="s">
        <v>4829</v>
      </c>
      <c r="BL487" s="111" t="s">
        <v>4829</v>
      </c>
      <c r="BM487" s="111" t="s">
        <v>5298</v>
      </c>
      <c r="BN487" s="111" t="s">
        <v>5298</v>
      </c>
      <c r="BO487" s="2"/>
      <c r="BP487" s="3"/>
      <c r="BQ487" s="3"/>
      <c r="BR487" s="3"/>
      <c r="BS487" s="3"/>
    </row>
    <row r="488" spans="1:71" ht="15">
      <c r="A488" s="65" t="s">
        <v>708</v>
      </c>
      <c r="B488" s="66"/>
      <c r="C488" s="66"/>
      <c r="D488" s="67">
        <v>150</v>
      </c>
      <c r="E488" s="69"/>
      <c r="F488" s="103" t="str">
        <f>HYPERLINK("https://yt3.ggpht.com/ytc/AKedOLShlX-Vdc3bPaPUtqvmeolT1J57S5F6fP9_iweipg=s88-c-k-c0x00ffffff-no-rj")</f>
        <v>https://yt3.ggpht.com/ytc/AKedOLShlX-Vdc3bPaPUtqvmeolT1J57S5F6fP9_iweipg=s88-c-k-c0x00ffffff-no-rj</v>
      </c>
      <c r="G488" s="66"/>
      <c r="H488" s="70" t="s">
        <v>2036</v>
      </c>
      <c r="I488" s="71"/>
      <c r="J488" s="71" t="s">
        <v>159</v>
      </c>
      <c r="K488" s="70" t="s">
        <v>2036</v>
      </c>
      <c r="L488" s="74">
        <v>1</v>
      </c>
      <c r="M488" s="75">
        <v>8101.0263671875</v>
      </c>
      <c r="N488" s="75">
        <v>2817.63720703125</v>
      </c>
      <c r="O488" s="76"/>
      <c r="P488" s="77"/>
      <c r="Q488" s="77"/>
      <c r="R488" s="89"/>
      <c r="S488" s="49">
        <v>0</v>
      </c>
      <c r="T488" s="49">
        <v>1</v>
      </c>
      <c r="U488" s="50">
        <v>0</v>
      </c>
      <c r="V488" s="50">
        <v>0.002045</v>
      </c>
      <c r="W488" s="50">
        <v>0</v>
      </c>
      <c r="X488" s="50">
        <v>0.532268</v>
      </c>
      <c r="Y488" s="50">
        <v>0</v>
      </c>
      <c r="Z488" s="50">
        <v>0</v>
      </c>
      <c r="AA488" s="72">
        <v>488</v>
      </c>
      <c r="AB488" s="72"/>
      <c r="AC488" s="73"/>
      <c r="AD488" s="80" t="s">
        <v>2036</v>
      </c>
      <c r="AE488" s="80"/>
      <c r="AF488" s="80"/>
      <c r="AG488" s="80"/>
      <c r="AH488" s="80"/>
      <c r="AI488" s="80"/>
      <c r="AJ488" s="87">
        <v>41740.66752314815</v>
      </c>
      <c r="AK488" s="85" t="str">
        <f>HYPERLINK("https://yt3.ggpht.com/ytc/AKedOLShlX-Vdc3bPaPUtqvmeolT1J57S5F6fP9_iweipg=s88-c-k-c0x00ffffff-no-rj")</f>
        <v>https://yt3.ggpht.com/ytc/AKedOLShlX-Vdc3bPaPUtqvmeolT1J57S5F6fP9_iweipg=s88-c-k-c0x00ffffff-no-rj</v>
      </c>
      <c r="AL488" s="80">
        <v>1279</v>
      </c>
      <c r="AM488" s="80">
        <v>0</v>
      </c>
      <c r="AN488" s="80">
        <v>53</v>
      </c>
      <c r="AO488" s="80" t="b">
        <v>0</v>
      </c>
      <c r="AP488" s="80">
        <v>2</v>
      </c>
      <c r="AQ488" s="80"/>
      <c r="AR488" s="80"/>
      <c r="AS488" s="80" t="s">
        <v>3412</v>
      </c>
      <c r="AT488" s="85" t="str">
        <f>HYPERLINK("https://www.youtube.com/channel/UCUMzXoG3zYGxL9zLS9ohBgg")</f>
        <v>https://www.youtube.com/channel/UCUMzXoG3zYGxL9zLS9ohBgg</v>
      </c>
      <c r="AU488" s="80" t="str">
        <f>REPLACE(INDEX(GroupVertices[Group],MATCH(Vertices[[#This Row],[Vertex]],GroupVertices[Vertex],0)),1,1,"")</f>
        <v>13</v>
      </c>
      <c r="AV488" s="49">
        <v>0</v>
      </c>
      <c r="AW488" s="50">
        <v>0</v>
      </c>
      <c r="AX488" s="49">
        <v>0</v>
      </c>
      <c r="AY488" s="50">
        <v>0</v>
      </c>
      <c r="AZ488" s="49">
        <v>0</v>
      </c>
      <c r="BA488" s="50">
        <v>0</v>
      </c>
      <c r="BB488" s="49">
        <v>21</v>
      </c>
      <c r="BC488" s="50">
        <v>100</v>
      </c>
      <c r="BD488" s="49">
        <v>21</v>
      </c>
      <c r="BE488" s="49"/>
      <c r="BF488" s="49"/>
      <c r="BG488" s="49"/>
      <c r="BH488" s="49"/>
      <c r="BI488" s="49"/>
      <c r="BJ488" s="49"/>
      <c r="BK488" s="111" t="s">
        <v>4830</v>
      </c>
      <c r="BL488" s="111" t="s">
        <v>4830</v>
      </c>
      <c r="BM488" s="111" t="s">
        <v>5299</v>
      </c>
      <c r="BN488" s="111" t="s">
        <v>5299</v>
      </c>
      <c r="BO488" s="2"/>
      <c r="BP488" s="3"/>
      <c r="BQ488" s="3"/>
      <c r="BR488" s="3"/>
      <c r="BS488" s="3"/>
    </row>
    <row r="489" spans="1:71" ht="15">
      <c r="A489" s="65" t="s">
        <v>709</v>
      </c>
      <c r="B489" s="66"/>
      <c r="C489" s="66"/>
      <c r="D489" s="67">
        <v>150</v>
      </c>
      <c r="E489" s="69"/>
      <c r="F489" s="103" t="str">
        <f>HYPERLINK("https://yt3.ggpht.com/ytc/AKedOLSnxOuuackfFTR8KocjDDVhtL-VogaKy8KgC1Me=s88-c-k-c0x00ffffff-no-rj")</f>
        <v>https://yt3.ggpht.com/ytc/AKedOLSnxOuuackfFTR8KocjDDVhtL-VogaKy8KgC1Me=s88-c-k-c0x00ffffff-no-rj</v>
      </c>
      <c r="G489" s="66"/>
      <c r="H489" s="70" t="s">
        <v>2037</v>
      </c>
      <c r="I489" s="71"/>
      <c r="J489" s="71" t="s">
        <v>159</v>
      </c>
      <c r="K489" s="70" t="s">
        <v>2037</v>
      </c>
      <c r="L489" s="74">
        <v>1</v>
      </c>
      <c r="M489" s="75">
        <v>8389.9130859375</v>
      </c>
      <c r="N489" s="75">
        <v>2621.188232421875</v>
      </c>
      <c r="O489" s="76"/>
      <c r="P489" s="77"/>
      <c r="Q489" s="77"/>
      <c r="R489" s="89"/>
      <c r="S489" s="49">
        <v>0</v>
      </c>
      <c r="T489" s="49">
        <v>1</v>
      </c>
      <c r="U489" s="50">
        <v>0</v>
      </c>
      <c r="V489" s="50">
        <v>0.002045</v>
      </c>
      <c r="W489" s="50">
        <v>0</v>
      </c>
      <c r="X489" s="50">
        <v>0.532268</v>
      </c>
      <c r="Y489" s="50">
        <v>0</v>
      </c>
      <c r="Z489" s="50">
        <v>0</v>
      </c>
      <c r="AA489" s="72">
        <v>489</v>
      </c>
      <c r="AB489" s="72"/>
      <c r="AC489" s="73"/>
      <c r="AD489" s="80" t="s">
        <v>2037</v>
      </c>
      <c r="AE489" s="80"/>
      <c r="AF489" s="80"/>
      <c r="AG489" s="80"/>
      <c r="AH489" s="80"/>
      <c r="AI489" s="80"/>
      <c r="AJ489" s="80" t="s">
        <v>3383</v>
      </c>
      <c r="AK489" s="85" t="str">
        <f>HYPERLINK("https://yt3.ggpht.com/ytc/AKedOLSnxOuuackfFTR8KocjDDVhtL-VogaKy8KgC1Me=s88-c-k-c0x00ffffff-no-rj")</f>
        <v>https://yt3.ggpht.com/ytc/AKedOLSnxOuuackfFTR8KocjDDVhtL-VogaKy8KgC1Me=s88-c-k-c0x00ffffff-no-rj</v>
      </c>
      <c r="AL489" s="80">
        <v>0</v>
      </c>
      <c r="AM489" s="80">
        <v>0</v>
      </c>
      <c r="AN489" s="80">
        <v>0</v>
      </c>
      <c r="AO489" s="80" t="b">
        <v>0</v>
      </c>
      <c r="AP489" s="80">
        <v>0</v>
      </c>
      <c r="AQ489" s="80"/>
      <c r="AR489" s="80"/>
      <c r="AS489" s="80" t="s">
        <v>3412</v>
      </c>
      <c r="AT489" s="85" t="str">
        <f>HYPERLINK("https://www.youtube.com/channel/UCe_keHGR4qOcBanKbYy1f1w")</f>
        <v>https://www.youtube.com/channel/UCe_keHGR4qOcBanKbYy1f1w</v>
      </c>
      <c r="AU489" s="80" t="str">
        <f>REPLACE(INDEX(GroupVertices[Group],MATCH(Vertices[[#This Row],[Vertex]],GroupVertices[Vertex],0)),1,1,"")</f>
        <v>13</v>
      </c>
      <c r="AV489" s="49">
        <v>0</v>
      </c>
      <c r="AW489" s="50">
        <v>0</v>
      </c>
      <c r="AX489" s="49">
        <v>0</v>
      </c>
      <c r="AY489" s="50">
        <v>0</v>
      </c>
      <c r="AZ489" s="49">
        <v>0</v>
      </c>
      <c r="BA489" s="50">
        <v>0</v>
      </c>
      <c r="BB489" s="49">
        <v>11</v>
      </c>
      <c r="BC489" s="50">
        <v>100</v>
      </c>
      <c r="BD489" s="49">
        <v>11</v>
      </c>
      <c r="BE489" s="49"/>
      <c r="BF489" s="49"/>
      <c r="BG489" s="49"/>
      <c r="BH489" s="49"/>
      <c r="BI489" s="49"/>
      <c r="BJ489" s="49"/>
      <c r="BK489" s="111" t="s">
        <v>4831</v>
      </c>
      <c r="BL489" s="111" t="s">
        <v>4831</v>
      </c>
      <c r="BM489" s="111" t="s">
        <v>5300</v>
      </c>
      <c r="BN489" s="111" t="s">
        <v>5300</v>
      </c>
      <c r="BO489" s="2"/>
      <c r="BP489" s="3"/>
      <c r="BQ489" s="3"/>
      <c r="BR489" s="3"/>
      <c r="BS489" s="3"/>
    </row>
    <row r="490" spans="1:71" ht="15">
      <c r="A490" s="65" t="s">
        <v>710</v>
      </c>
      <c r="B490" s="66"/>
      <c r="C490" s="66"/>
      <c r="D490" s="67">
        <v>150</v>
      </c>
      <c r="E490" s="69"/>
      <c r="F490" s="103" t="str">
        <f>HYPERLINK("https://yt3.ggpht.com/ytc/AKedOLRsf0WF-U-DhFPysJMtaOHEeCP3fiaueM3pFA=s88-c-k-c0x00ffffff-no-rj")</f>
        <v>https://yt3.ggpht.com/ytc/AKedOLRsf0WF-U-DhFPysJMtaOHEeCP3fiaueM3pFA=s88-c-k-c0x00ffffff-no-rj</v>
      </c>
      <c r="G490" s="66"/>
      <c r="H490" s="70" t="s">
        <v>2038</v>
      </c>
      <c r="I490" s="71"/>
      <c r="J490" s="71" t="s">
        <v>159</v>
      </c>
      <c r="K490" s="70" t="s">
        <v>2038</v>
      </c>
      <c r="L490" s="74">
        <v>1</v>
      </c>
      <c r="M490" s="75">
        <v>3781.435302734375</v>
      </c>
      <c r="N490" s="75">
        <v>4900.74169921875</v>
      </c>
      <c r="O490" s="76"/>
      <c r="P490" s="77"/>
      <c r="Q490" s="77"/>
      <c r="R490" s="89"/>
      <c r="S490" s="49">
        <v>0</v>
      </c>
      <c r="T490" s="49">
        <v>1</v>
      </c>
      <c r="U490" s="50">
        <v>0</v>
      </c>
      <c r="V490" s="50">
        <v>0.002933</v>
      </c>
      <c r="W490" s="50">
        <v>0</v>
      </c>
      <c r="X490" s="50">
        <v>0.525855</v>
      </c>
      <c r="Y490" s="50">
        <v>0</v>
      </c>
      <c r="Z490" s="50">
        <v>0</v>
      </c>
      <c r="AA490" s="72">
        <v>490</v>
      </c>
      <c r="AB490" s="72"/>
      <c r="AC490" s="73"/>
      <c r="AD490" s="80" t="s">
        <v>2038</v>
      </c>
      <c r="AE490" s="80"/>
      <c r="AF490" s="80"/>
      <c r="AG490" s="80"/>
      <c r="AH490" s="80"/>
      <c r="AI490" s="80"/>
      <c r="AJ490" s="80" t="s">
        <v>3384</v>
      </c>
      <c r="AK490" s="85" t="str">
        <f>HYPERLINK("https://yt3.ggpht.com/ytc/AKedOLRsf0WF-U-DhFPysJMtaOHEeCP3fiaueM3pFA=s88-c-k-c0x00ffffff-no-rj")</f>
        <v>https://yt3.ggpht.com/ytc/AKedOLRsf0WF-U-DhFPysJMtaOHEeCP3fiaueM3pFA=s88-c-k-c0x00ffffff-no-rj</v>
      </c>
      <c r="AL490" s="80">
        <v>0</v>
      </c>
      <c r="AM490" s="80">
        <v>0</v>
      </c>
      <c r="AN490" s="80">
        <v>0</v>
      </c>
      <c r="AO490" s="80" t="b">
        <v>0</v>
      </c>
      <c r="AP490" s="80">
        <v>0</v>
      </c>
      <c r="AQ490" s="80"/>
      <c r="AR490" s="80"/>
      <c r="AS490" s="80" t="s">
        <v>3412</v>
      </c>
      <c r="AT490" s="85" t="str">
        <f>HYPERLINK("https://www.youtube.com/channel/UCgnaHdju6k0N0Ee7rwnXMJg")</f>
        <v>https://www.youtube.com/channel/UCgnaHdju6k0N0Ee7rwnXMJg</v>
      </c>
      <c r="AU490" s="80" t="str">
        <f>REPLACE(INDEX(GroupVertices[Group],MATCH(Vertices[[#This Row],[Vertex]],GroupVertices[Vertex],0)),1,1,"")</f>
        <v>4</v>
      </c>
      <c r="AV490" s="49">
        <v>2</v>
      </c>
      <c r="AW490" s="50">
        <v>33.333333333333336</v>
      </c>
      <c r="AX490" s="49">
        <v>0</v>
      </c>
      <c r="AY490" s="50">
        <v>0</v>
      </c>
      <c r="AZ490" s="49">
        <v>0</v>
      </c>
      <c r="BA490" s="50">
        <v>0</v>
      </c>
      <c r="BB490" s="49">
        <v>4</v>
      </c>
      <c r="BC490" s="50">
        <v>66.66666666666667</v>
      </c>
      <c r="BD490" s="49">
        <v>6</v>
      </c>
      <c r="BE490" s="49"/>
      <c r="BF490" s="49"/>
      <c r="BG490" s="49"/>
      <c r="BH490" s="49"/>
      <c r="BI490" s="49"/>
      <c r="BJ490" s="49"/>
      <c r="BK490" s="111" t="s">
        <v>4832</v>
      </c>
      <c r="BL490" s="111" t="s">
        <v>4832</v>
      </c>
      <c r="BM490" s="111" t="s">
        <v>5301</v>
      </c>
      <c r="BN490" s="111" t="s">
        <v>5301</v>
      </c>
      <c r="BO490" s="2"/>
      <c r="BP490" s="3"/>
      <c r="BQ490" s="3"/>
      <c r="BR490" s="3"/>
      <c r="BS490" s="3"/>
    </row>
    <row r="491" spans="1:71" ht="15">
      <c r="A491" s="65" t="s">
        <v>711</v>
      </c>
      <c r="B491" s="66"/>
      <c r="C491" s="66"/>
      <c r="D491" s="67">
        <v>1000</v>
      </c>
      <c r="E491" s="69"/>
      <c r="F491" s="103" t="str">
        <f>HYPERLINK("https://yt3.ggpht.com/ytc/AKedOLRTgzL76O8y5bZrpuYIx3oZGcYvrCgc3s4vinKEDQ=s88-c-k-c0x00ffffff-no-rj")</f>
        <v>https://yt3.ggpht.com/ytc/AKedOLRTgzL76O8y5bZrpuYIx3oZGcYvrCgc3s4vinKEDQ=s88-c-k-c0x00ffffff-no-rj</v>
      </c>
      <c r="G491" s="66"/>
      <c r="H491" s="70" t="s">
        <v>2039</v>
      </c>
      <c r="I491" s="71"/>
      <c r="J491" s="71" t="s">
        <v>75</v>
      </c>
      <c r="K491" s="70" t="s">
        <v>2039</v>
      </c>
      <c r="L491" s="74">
        <v>1765.7059144478394</v>
      </c>
      <c r="M491" s="75">
        <v>5175.849609375</v>
      </c>
      <c r="N491" s="75">
        <v>5448.78271484375</v>
      </c>
      <c r="O491" s="76"/>
      <c r="P491" s="77"/>
      <c r="Q491" s="77"/>
      <c r="R491" s="89"/>
      <c r="S491" s="49">
        <v>39</v>
      </c>
      <c r="T491" s="49">
        <v>23</v>
      </c>
      <c r="U491" s="50">
        <v>6470</v>
      </c>
      <c r="V491" s="50">
        <v>0.004032</v>
      </c>
      <c r="W491" s="50">
        <v>0</v>
      </c>
      <c r="X491" s="50">
        <v>17.245116</v>
      </c>
      <c r="Y491" s="50">
        <v>0</v>
      </c>
      <c r="Z491" s="50">
        <v>0.5789473684210527</v>
      </c>
      <c r="AA491" s="72">
        <v>491</v>
      </c>
      <c r="AB491" s="72"/>
      <c r="AC491" s="73"/>
      <c r="AD491" s="80" t="s">
        <v>2039</v>
      </c>
      <c r="AE491" s="80" t="s">
        <v>2988</v>
      </c>
      <c r="AF491" s="80"/>
      <c r="AG491" s="80"/>
      <c r="AH491" s="80"/>
      <c r="AI491" s="80" t="s">
        <v>3090</v>
      </c>
      <c r="AJ491" s="80" t="s">
        <v>3385</v>
      </c>
      <c r="AK491" s="85" t="str">
        <f>HYPERLINK("https://yt3.ggpht.com/ytc/AKedOLRTgzL76O8y5bZrpuYIx3oZGcYvrCgc3s4vinKEDQ=s88-c-k-c0x00ffffff-no-rj")</f>
        <v>https://yt3.ggpht.com/ytc/AKedOLRTgzL76O8y5bZrpuYIx3oZGcYvrCgc3s4vinKEDQ=s88-c-k-c0x00ffffff-no-rj</v>
      </c>
      <c r="AL491" s="80">
        <v>37818613</v>
      </c>
      <c r="AM491" s="80">
        <v>0</v>
      </c>
      <c r="AN491" s="80">
        <v>230000</v>
      </c>
      <c r="AO491" s="80" t="b">
        <v>0</v>
      </c>
      <c r="AP491" s="80">
        <v>555</v>
      </c>
      <c r="AQ491" s="80"/>
      <c r="AR491" s="80"/>
      <c r="AS491" s="80" t="s">
        <v>3412</v>
      </c>
      <c r="AT491" s="85" t="str">
        <f>HYPERLINK("https://www.youtube.com/channel/UC_mzz_JnzArhhpGUy8KdGwg")</f>
        <v>https://www.youtube.com/channel/UC_mzz_JnzArhhpGUy8KdGwg</v>
      </c>
      <c r="AU491" s="80" t="str">
        <f>REPLACE(INDEX(GroupVertices[Group],MATCH(Vertices[[#This Row],[Vertex]],GroupVertices[Vertex],0)),1,1,"")</f>
        <v>4</v>
      </c>
      <c r="AV491" s="49">
        <v>33</v>
      </c>
      <c r="AW491" s="50">
        <v>3.4232365145228214</v>
      </c>
      <c r="AX491" s="49">
        <v>4</v>
      </c>
      <c r="AY491" s="50">
        <v>0.4149377593360996</v>
      </c>
      <c r="AZ491" s="49">
        <v>0</v>
      </c>
      <c r="BA491" s="50">
        <v>0</v>
      </c>
      <c r="BB491" s="49">
        <v>927</v>
      </c>
      <c r="BC491" s="50">
        <v>96.16182572614107</v>
      </c>
      <c r="BD491" s="49">
        <v>964</v>
      </c>
      <c r="BE491" s="49" t="s">
        <v>4248</v>
      </c>
      <c r="BF491" s="49" t="s">
        <v>4248</v>
      </c>
      <c r="BG491" s="49" t="s">
        <v>4409</v>
      </c>
      <c r="BH491" s="49" t="s">
        <v>4409</v>
      </c>
      <c r="BI491" s="49"/>
      <c r="BJ491" s="49"/>
      <c r="BK491" s="111" t="s">
        <v>4833</v>
      </c>
      <c r="BL491" s="111" t="s">
        <v>4891</v>
      </c>
      <c r="BM491" s="111" t="s">
        <v>5302</v>
      </c>
      <c r="BN491" s="111" t="s">
        <v>5341</v>
      </c>
      <c r="BO491" s="2"/>
      <c r="BP491" s="3"/>
      <c r="BQ491" s="3"/>
      <c r="BR491" s="3"/>
      <c r="BS491" s="3"/>
    </row>
    <row r="492" spans="1:71" ht="15">
      <c r="A492" s="65" t="s">
        <v>712</v>
      </c>
      <c r="B492" s="66"/>
      <c r="C492" s="66"/>
      <c r="D492" s="67">
        <v>150</v>
      </c>
      <c r="E492" s="69"/>
      <c r="F492" s="103" t="str">
        <f>HYPERLINK("https://yt3.ggpht.com/ytc/AKedOLRQz_O6xJcBH6rdgL1O1F84-itU6V7XKgephOoOxA=s88-c-k-c0x00ffffff-no-rj")</f>
        <v>https://yt3.ggpht.com/ytc/AKedOLRQz_O6xJcBH6rdgL1O1F84-itU6V7XKgephOoOxA=s88-c-k-c0x00ffffff-no-rj</v>
      </c>
      <c r="G492" s="66"/>
      <c r="H492" s="70" t="s">
        <v>2040</v>
      </c>
      <c r="I492" s="71"/>
      <c r="J492" s="71" t="s">
        <v>159</v>
      </c>
      <c r="K492" s="70" t="s">
        <v>2040</v>
      </c>
      <c r="L492" s="74">
        <v>1</v>
      </c>
      <c r="M492" s="75">
        <v>5701.341796875</v>
      </c>
      <c r="N492" s="75">
        <v>4667.9921875</v>
      </c>
      <c r="O492" s="76"/>
      <c r="P492" s="77"/>
      <c r="Q492" s="77"/>
      <c r="R492" s="89"/>
      <c r="S492" s="49">
        <v>1</v>
      </c>
      <c r="T492" s="49">
        <v>1</v>
      </c>
      <c r="U492" s="50">
        <v>0</v>
      </c>
      <c r="V492" s="50">
        <v>0.002933</v>
      </c>
      <c r="W492" s="50">
        <v>0</v>
      </c>
      <c r="X492" s="50">
        <v>0.525855</v>
      </c>
      <c r="Y492" s="50">
        <v>0</v>
      </c>
      <c r="Z492" s="50">
        <v>1</v>
      </c>
      <c r="AA492" s="72">
        <v>492</v>
      </c>
      <c r="AB492" s="72"/>
      <c r="AC492" s="73"/>
      <c r="AD492" s="80" t="s">
        <v>2040</v>
      </c>
      <c r="AE492" s="80"/>
      <c r="AF492" s="80"/>
      <c r="AG492" s="80"/>
      <c r="AH492" s="80"/>
      <c r="AI492" s="80"/>
      <c r="AJ492" s="80" t="s">
        <v>3386</v>
      </c>
      <c r="AK492" s="85" t="str">
        <f>HYPERLINK("https://yt3.ggpht.com/ytc/AKedOLRQz_O6xJcBH6rdgL1O1F84-itU6V7XKgephOoOxA=s88-c-k-c0x00ffffff-no-rj")</f>
        <v>https://yt3.ggpht.com/ytc/AKedOLRQz_O6xJcBH6rdgL1O1F84-itU6V7XKgephOoOxA=s88-c-k-c0x00ffffff-no-rj</v>
      </c>
      <c r="AL492" s="80">
        <v>677</v>
      </c>
      <c r="AM492" s="80">
        <v>0</v>
      </c>
      <c r="AN492" s="80">
        <v>91</v>
      </c>
      <c r="AO492" s="80" t="b">
        <v>0</v>
      </c>
      <c r="AP492" s="80">
        <v>1</v>
      </c>
      <c r="AQ492" s="80"/>
      <c r="AR492" s="80"/>
      <c r="AS492" s="80" t="s">
        <v>3412</v>
      </c>
      <c r="AT492" s="85" t="str">
        <f>HYPERLINK("https://www.youtube.com/channel/UCEwcfuw3xlPdi5v1FdONZ2w")</f>
        <v>https://www.youtube.com/channel/UCEwcfuw3xlPdi5v1FdONZ2w</v>
      </c>
      <c r="AU492" s="80" t="str">
        <f>REPLACE(INDEX(GroupVertices[Group],MATCH(Vertices[[#This Row],[Vertex]],GroupVertices[Vertex],0)),1,1,"")</f>
        <v>4</v>
      </c>
      <c r="AV492" s="49">
        <v>2</v>
      </c>
      <c r="AW492" s="50">
        <v>7.407407407407407</v>
      </c>
      <c r="AX492" s="49">
        <v>0</v>
      </c>
      <c r="AY492" s="50">
        <v>0</v>
      </c>
      <c r="AZ492" s="49">
        <v>0</v>
      </c>
      <c r="BA492" s="50">
        <v>0</v>
      </c>
      <c r="BB492" s="49">
        <v>25</v>
      </c>
      <c r="BC492" s="50">
        <v>92.5925925925926</v>
      </c>
      <c r="BD492" s="49">
        <v>27</v>
      </c>
      <c r="BE492" s="49"/>
      <c r="BF492" s="49"/>
      <c r="BG492" s="49"/>
      <c r="BH492" s="49"/>
      <c r="BI492" s="49"/>
      <c r="BJ492" s="49"/>
      <c r="BK492" s="111" t="s">
        <v>4834</v>
      </c>
      <c r="BL492" s="111" t="s">
        <v>4834</v>
      </c>
      <c r="BM492" s="111" t="s">
        <v>5303</v>
      </c>
      <c r="BN492" s="111" t="s">
        <v>5303</v>
      </c>
      <c r="BO492" s="2"/>
      <c r="BP492" s="3"/>
      <c r="BQ492" s="3"/>
      <c r="BR492" s="3"/>
      <c r="BS492" s="3"/>
    </row>
    <row r="493" spans="1:71" ht="15">
      <c r="A493" s="65" t="s">
        <v>713</v>
      </c>
      <c r="B493" s="66"/>
      <c r="C493" s="66"/>
      <c r="D493" s="67">
        <v>150</v>
      </c>
      <c r="E493" s="69"/>
      <c r="F493" s="103" t="str">
        <f>HYPERLINK("https://yt3.ggpht.com/ytc/AKedOLQWqDcx34GFfUxgmGM7EyAO1fY2KkSpQEwHOA=s88-c-k-c0x00ffffff-no-rj")</f>
        <v>https://yt3.ggpht.com/ytc/AKedOLQWqDcx34GFfUxgmGM7EyAO1fY2KkSpQEwHOA=s88-c-k-c0x00ffffff-no-rj</v>
      </c>
      <c r="G493" s="66"/>
      <c r="H493" s="70" t="s">
        <v>2041</v>
      </c>
      <c r="I493" s="71"/>
      <c r="J493" s="71" t="s">
        <v>159</v>
      </c>
      <c r="K493" s="70" t="s">
        <v>2041</v>
      </c>
      <c r="L493" s="74">
        <v>1</v>
      </c>
      <c r="M493" s="75">
        <v>6807.36474609375</v>
      </c>
      <c r="N493" s="75">
        <v>5138.55322265625</v>
      </c>
      <c r="O493" s="76"/>
      <c r="P493" s="77"/>
      <c r="Q493" s="77"/>
      <c r="R493" s="89"/>
      <c r="S493" s="49">
        <v>0</v>
      </c>
      <c r="T493" s="49">
        <v>1</v>
      </c>
      <c r="U493" s="50">
        <v>0</v>
      </c>
      <c r="V493" s="50">
        <v>0.002933</v>
      </c>
      <c r="W493" s="50">
        <v>0</v>
      </c>
      <c r="X493" s="50">
        <v>0.525855</v>
      </c>
      <c r="Y493" s="50">
        <v>0</v>
      </c>
      <c r="Z493" s="50">
        <v>0</v>
      </c>
      <c r="AA493" s="72">
        <v>493</v>
      </c>
      <c r="AB493" s="72"/>
      <c r="AC493" s="73"/>
      <c r="AD493" s="80" t="s">
        <v>2041</v>
      </c>
      <c r="AE493" s="80"/>
      <c r="AF493" s="80"/>
      <c r="AG493" s="80"/>
      <c r="AH493" s="80"/>
      <c r="AI493" s="80"/>
      <c r="AJ493" s="80" t="s">
        <v>3387</v>
      </c>
      <c r="AK493" s="85" t="str">
        <f>HYPERLINK("https://yt3.ggpht.com/ytc/AKedOLQWqDcx34GFfUxgmGM7EyAO1fY2KkSpQEwHOA=s88-c-k-c0x00ffffff-no-rj")</f>
        <v>https://yt3.ggpht.com/ytc/AKedOLQWqDcx34GFfUxgmGM7EyAO1fY2KkSpQEwHOA=s88-c-k-c0x00ffffff-no-rj</v>
      </c>
      <c r="AL493" s="80">
        <v>0</v>
      </c>
      <c r="AM493" s="80">
        <v>0</v>
      </c>
      <c r="AN493" s="80">
        <v>0</v>
      </c>
      <c r="AO493" s="80" t="b">
        <v>0</v>
      </c>
      <c r="AP493" s="80">
        <v>0</v>
      </c>
      <c r="AQ493" s="80"/>
      <c r="AR493" s="80"/>
      <c r="AS493" s="80" t="s">
        <v>3412</v>
      </c>
      <c r="AT493" s="85" t="str">
        <f>HYPERLINK("https://www.youtube.com/channel/UCd5tGuyf50rswHW6ysms79Q")</f>
        <v>https://www.youtube.com/channel/UCd5tGuyf50rswHW6ysms79Q</v>
      </c>
      <c r="AU493" s="80" t="str">
        <f>REPLACE(INDEX(GroupVertices[Group],MATCH(Vertices[[#This Row],[Vertex]],GroupVertices[Vertex],0)),1,1,"")</f>
        <v>4</v>
      </c>
      <c r="AV493" s="49">
        <v>1</v>
      </c>
      <c r="AW493" s="50">
        <v>50</v>
      </c>
      <c r="AX493" s="49">
        <v>0</v>
      </c>
      <c r="AY493" s="50">
        <v>0</v>
      </c>
      <c r="AZ493" s="49">
        <v>0</v>
      </c>
      <c r="BA493" s="50">
        <v>0</v>
      </c>
      <c r="BB493" s="49">
        <v>1</v>
      </c>
      <c r="BC493" s="50">
        <v>50</v>
      </c>
      <c r="BD493" s="49">
        <v>2</v>
      </c>
      <c r="BE493" s="49"/>
      <c r="BF493" s="49"/>
      <c r="BG493" s="49"/>
      <c r="BH493" s="49"/>
      <c r="BI493" s="49"/>
      <c r="BJ493" s="49"/>
      <c r="BK493" s="111" t="s">
        <v>4835</v>
      </c>
      <c r="BL493" s="111" t="s">
        <v>4835</v>
      </c>
      <c r="BM493" s="111" t="s">
        <v>5304</v>
      </c>
      <c r="BN493" s="111" t="s">
        <v>5304</v>
      </c>
      <c r="BO493" s="2"/>
      <c r="BP493" s="3"/>
      <c r="BQ493" s="3"/>
      <c r="BR493" s="3"/>
      <c r="BS493" s="3"/>
    </row>
    <row r="494" spans="1:71" ht="15">
      <c r="A494" s="65" t="s">
        <v>714</v>
      </c>
      <c r="B494" s="66"/>
      <c r="C494" s="66"/>
      <c r="D494" s="67">
        <v>150</v>
      </c>
      <c r="E494" s="69"/>
      <c r="F494" s="103" t="str">
        <f>HYPERLINK("https://yt3.ggpht.com/ytc/AKedOLQ23k28CQ_BAmWH2TLxp54cVY-nUXMZNw07wA=s88-c-k-c0x00ffffff-no-rj")</f>
        <v>https://yt3.ggpht.com/ytc/AKedOLQ23k28CQ_BAmWH2TLxp54cVY-nUXMZNw07wA=s88-c-k-c0x00ffffff-no-rj</v>
      </c>
      <c r="G494" s="66"/>
      <c r="H494" s="70" t="s">
        <v>2042</v>
      </c>
      <c r="I494" s="71"/>
      <c r="J494" s="71" t="s">
        <v>159</v>
      </c>
      <c r="K494" s="70" t="s">
        <v>2042</v>
      </c>
      <c r="L494" s="74">
        <v>1</v>
      </c>
      <c r="M494" s="75">
        <v>6433.2685546875</v>
      </c>
      <c r="N494" s="75">
        <v>6053.28955078125</v>
      </c>
      <c r="O494" s="76"/>
      <c r="P494" s="77"/>
      <c r="Q494" s="77"/>
      <c r="R494" s="89"/>
      <c r="S494" s="49">
        <v>0</v>
      </c>
      <c r="T494" s="49">
        <v>1</v>
      </c>
      <c r="U494" s="50">
        <v>0</v>
      </c>
      <c r="V494" s="50">
        <v>0.002933</v>
      </c>
      <c r="W494" s="50">
        <v>0</v>
      </c>
      <c r="X494" s="50">
        <v>0.525855</v>
      </c>
      <c r="Y494" s="50">
        <v>0</v>
      </c>
      <c r="Z494" s="50">
        <v>0</v>
      </c>
      <c r="AA494" s="72">
        <v>494</v>
      </c>
      <c r="AB494" s="72"/>
      <c r="AC494" s="73"/>
      <c r="AD494" s="80" t="s">
        <v>2042</v>
      </c>
      <c r="AE494" s="80"/>
      <c r="AF494" s="80"/>
      <c r="AG494" s="80"/>
      <c r="AH494" s="80"/>
      <c r="AI494" s="80"/>
      <c r="AJ494" s="87">
        <v>42832.42458333333</v>
      </c>
      <c r="AK494" s="85" t="str">
        <f>HYPERLINK("https://yt3.ggpht.com/ytc/AKedOLQ23k28CQ_BAmWH2TLxp54cVY-nUXMZNw07wA=s88-c-k-c0x00ffffff-no-rj")</f>
        <v>https://yt3.ggpht.com/ytc/AKedOLQ23k28CQ_BAmWH2TLxp54cVY-nUXMZNw07wA=s88-c-k-c0x00ffffff-no-rj</v>
      </c>
      <c r="AL494" s="80">
        <v>0</v>
      </c>
      <c r="AM494" s="80">
        <v>0</v>
      </c>
      <c r="AN494" s="80">
        <v>0</v>
      </c>
      <c r="AO494" s="80" t="b">
        <v>0</v>
      </c>
      <c r="AP494" s="80">
        <v>0</v>
      </c>
      <c r="AQ494" s="80"/>
      <c r="AR494" s="80"/>
      <c r="AS494" s="80" t="s">
        <v>3412</v>
      </c>
      <c r="AT494" s="85" t="str">
        <f>HYPERLINK("https://www.youtube.com/channel/UC5ZcPA6-X0whhYP1npEwe4Q")</f>
        <v>https://www.youtube.com/channel/UC5ZcPA6-X0whhYP1npEwe4Q</v>
      </c>
      <c r="AU494" s="80" t="str">
        <f>REPLACE(INDEX(GroupVertices[Group],MATCH(Vertices[[#This Row],[Vertex]],GroupVertices[Vertex],0)),1,1,"")</f>
        <v>4</v>
      </c>
      <c r="AV494" s="49">
        <v>1</v>
      </c>
      <c r="AW494" s="50">
        <v>14.285714285714286</v>
      </c>
      <c r="AX494" s="49">
        <v>0</v>
      </c>
      <c r="AY494" s="50">
        <v>0</v>
      </c>
      <c r="AZ494" s="49">
        <v>0</v>
      </c>
      <c r="BA494" s="50">
        <v>0</v>
      </c>
      <c r="BB494" s="49">
        <v>6</v>
      </c>
      <c r="BC494" s="50">
        <v>85.71428571428571</v>
      </c>
      <c r="BD494" s="49">
        <v>7</v>
      </c>
      <c r="BE494" s="49"/>
      <c r="BF494" s="49"/>
      <c r="BG494" s="49"/>
      <c r="BH494" s="49"/>
      <c r="BI494" s="49"/>
      <c r="BJ494" s="49"/>
      <c r="BK494" s="111" t="s">
        <v>4836</v>
      </c>
      <c r="BL494" s="111" t="s">
        <v>4836</v>
      </c>
      <c r="BM494" s="111" t="s">
        <v>5305</v>
      </c>
      <c r="BN494" s="111" t="s">
        <v>5305</v>
      </c>
      <c r="BO494" s="2"/>
      <c r="BP494" s="3"/>
      <c r="BQ494" s="3"/>
      <c r="BR494" s="3"/>
      <c r="BS494" s="3"/>
    </row>
    <row r="495" spans="1:71" ht="15">
      <c r="A495" s="65" t="s">
        <v>715</v>
      </c>
      <c r="B495" s="66"/>
      <c r="C495" s="66"/>
      <c r="D495" s="67">
        <v>150</v>
      </c>
      <c r="E495" s="69"/>
      <c r="F495" s="103" t="str">
        <f>HYPERLINK("https://yt3.ggpht.com/ytc/AKedOLRXGEFSwYZvbl2-rF7qObCZGRcMl3EOOuE38R9L7Ug=s88-c-k-c0x00ffffff-no-rj")</f>
        <v>https://yt3.ggpht.com/ytc/AKedOLRXGEFSwYZvbl2-rF7qObCZGRcMl3EOOuE38R9L7Ug=s88-c-k-c0x00ffffff-no-rj</v>
      </c>
      <c r="G495" s="66"/>
      <c r="H495" s="70" t="s">
        <v>2043</v>
      </c>
      <c r="I495" s="71"/>
      <c r="J495" s="71" t="s">
        <v>159</v>
      </c>
      <c r="K495" s="70" t="s">
        <v>2043</v>
      </c>
      <c r="L495" s="74">
        <v>1</v>
      </c>
      <c r="M495" s="75">
        <v>6159.9736328125</v>
      </c>
      <c r="N495" s="75">
        <v>4741.6796875</v>
      </c>
      <c r="O495" s="76"/>
      <c r="P495" s="77"/>
      <c r="Q495" s="77"/>
      <c r="R495" s="89"/>
      <c r="S495" s="49">
        <v>0</v>
      </c>
      <c r="T495" s="49">
        <v>1</v>
      </c>
      <c r="U495" s="50">
        <v>0</v>
      </c>
      <c r="V495" s="50">
        <v>0.002933</v>
      </c>
      <c r="W495" s="50">
        <v>0</v>
      </c>
      <c r="X495" s="50">
        <v>0.525855</v>
      </c>
      <c r="Y495" s="50">
        <v>0</v>
      </c>
      <c r="Z495" s="50">
        <v>0</v>
      </c>
      <c r="AA495" s="72">
        <v>495</v>
      </c>
      <c r="AB495" s="72"/>
      <c r="AC495" s="73"/>
      <c r="AD495" s="80" t="s">
        <v>2043</v>
      </c>
      <c r="AE495" s="80"/>
      <c r="AF495" s="80"/>
      <c r="AG495" s="80"/>
      <c r="AH495" s="80"/>
      <c r="AI495" s="80"/>
      <c r="AJ495" s="87">
        <v>41853.787094907406</v>
      </c>
      <c r="AK495" s="85" t="str">
        <f>HYPERLINK("https://yt3.ggpht.com/ytc/AKedOLRXGEFSwYZvbl2-rF7qObCZGRcMl3EOOuE38R9L7Ug=s88-c-k-c0x00ffffff-no-rj")</f>
        <v>https://yt3.ggpht.com/ytc/AKedOLRXGEFSwYZvbl2-rF7qObCZGRcMl3EOOuE38R9L7Ug=s88-c-k-c0x00ffffff-no-rj</v>
      </c>
      <c r="AL495" s="80">
        <v>16272</v>
      </c>
      <c r="AM495" s="80">
        <v>0</v>
      </c>
      <c r="AN495" s="80">
        <v>50</v>
      </c>
      <c r="AO495" s="80" t="b">
        <v>0</v>
      </c>
      <c r="AP495" s="80">
        <v>21</v>
      </c>
      <c r="AQ495" s="80"/>
      <c r="AR495" s="80"/>
      <c r="AS495" s="80" t="s">
        <v>3412</v>
      </c>
      <c r="AT495" s="85" t="str">
        <f>HYPERLINK("https://www.youtube.com/channel/UCEviggN0WxNwHiufusRgv_A")</f>
        <v>https://www.youtube.com/channel/UCEviggN0WxNwHiufusRgv_A</v>
      </c>
      <c r="AU495" s="80" t="str">
        <f>REPLACE(INDEX(GroupVertices[Group],MATCH(Vertices[[#This Row],[Vertex]],GroupVertices[Vertex],0)),1,1,"")</f>
        <v>4</v>
      </c>
      <c r="AV495" s="49">
        <v>2</v>
      </c>
      <c r="AW495" s="50">
        <v>22.22222222222222</v>
      </c>
      <c r="AX495" s="49">
        <v>0</v>
      </c>
      <c r="AY495" s="50">
        <v>0</v>
      </c>
      <c r="AZ495" s="49">
        <v>0</v>
      </c>
      <c r="BA495" s="50">
        <v>0</v>
      </c>
      <c r="BB495" s="49">
        <v>7</v>
      </c>
      <c r="BC495" s="50">
        <v>77.77777777777777</v>
      </c>
      <c r="BD495" s="49">
        <v>9</v>
      </c>
      <c r="BE495" s="49"/>
      <c r="BF495" s="49"/>
      <c r="BG495" s="49"/>
      <c r="BH495" s="49"/>
      <c r="BI495" s="49"/>
      <c r="BJ495" s="49"/>
      <c r="BK495" s="111" t="s">
        <v>4837</v>
      </c>
      <c r="BL495" s="111" t="s">
        <v>4837</v>
      </c>
      <c r="BM495" s="111" t="s">
        <v>5306</v>
      </c>
      <c r="BN495" s="111" t="s">
        <v>5306</v>
      </c>
      <c r="BO495" s="2"/>
      <c r="BP495" s="3"/>
      <c r="BQ495" s="3"/>
      <c r="BR495" s="3"/>
      <c r="BS495" s="3"/>
    </row>
    <row r="496" spans="1:71" ht="15">
      <c r="A496" s="65" t="s">
        <v>716</v>
      </c>
      <c r="B496" s="66"/>
      <c r="C496" s="66"/>
      <c r="D496" s="67">
        <v>150</v>
      </c>
      <c r="E496" s="69"/>
      <c r="F496" s="103" t="str">
        <f>HYPERLINK("https://yt3.ggpht.com/ytc/AKedOLRdzPpbXIlp0folVYNteRmYucD8Czfxcu8Mtscf6A=s88-c-k-c0x00ffffff-no-rj")</f>
        <v>https://yt3.ggpht.com/ytc/AKedOLRdzPpbXIlp0folVYNteRmYucD8Czfxcu8Mtscf6A=s88-c-k-c0x00ffffff-no-rj</v>
      </c>
      <c r="G496" s="66"/>
      <c r="H496" s="70" t="s">
        <v>2044</v>
      </c>
      <c r="I496" s="71"/>
      <c r="J496" s="71" t="s">
        <v>159</v>
      </c>
      <c r="K496" s="70" t="s">
        <v>2044</v>
      </c>
      <c r="L496" s="74">
        <v>1</v>
      </c>
      <c r="M496" s="75">
        <v>3522.209228515625</v>
      </c>
      <c r="N496" s="75">
        <v>5129.31884765625</v>
      </c>
      <c r="O496" s="76"/>
      <c r="P496" s="77"/>
      <c r="Q496" s="77"/>
      <c r="R496" s="89"/>
      <c r="S496" s="49">
        <v>0</v>
      </c>
      <c r="T496" s="49">
        <v>1</v>
      </c>
      <c r="U496" s="50">
        <v>0</v>
      </c>
      <c r="V496" s="50">
        <v>0.002933</v>
      </c>
      <c r="W496" s="50">
        <v>0</v>
      </c>
      <c r="X496" s="50">
        <v>0.525855</v>
      </c>
      <c r="Y496" s="50">
        <v>0</v>
      </c>
      <c r="Z496" s="50">
        <v>0</v>
      </c>
      <c r="AA496" s="72">
        <v>496</v>
      </c>
      <c r="AB496" s="72"/>
      <c r="AC496" s="73"/>
      <c r="AD496" s="80" t="s">
        <v>2044</v>
      </c>
      <c r="AE496" s="80"/>
      <c r="AF496" s="80"/>
      <c r="AG496" s="80"/>
      <c r="AH496" s="80"/>
      <c r="AI496" s="80"/>
      <c r="AJ496" s="80" t="s">
        <v>3388</v>
      </c>
      <c r="AK496" s="85" t="str">
        <f>HYPERLINK("https://yt3.ggpht.com/ytc/AKedOLRdzPpbXIlp0folVYNteRmYucD8Czfxcu8Mtscf6A=s88-c-k-c0x00ffffff-no-rj")</f>
        <v>https://yt3.ggpht.com/ytc/AKedOLRdzPpbXIlp0folVYNteRmYucD8Czfxcu8Mtscf6A=s88-c-k-c0x00ffffff-no-rj</v>
      </c>
      <c r="AL496" s="80">
        <v>233</v>
      </c>
      <c r="AM496" s="80">
        <v>0</v>
      </c>
      <c r="AN496" s="80">
        <v>17</v>
      </c>
      <c r="AO496" s="80" t="b">
        <v>0</v>
      </c>
      <c r="AP496" s="80">
        <v>3</v>
      </c>
      <c r="AQ496" s="80"/>
      <c r="AR496" s="80"/>
      <c r="AS496" s="80" t="s">
        <v>3412</v>
      </c>
      <c r="AT496" s="85" t="str">
        <f>HYPERLINK("https://www.youtube.com/channel/UCjf8R1DW406K8XAXDLi-kOA")</f>
        <v>https://www.youtube.com/channel/UCjf8R1DW406K8XAXDLi-kOA</v>
      </c>
      <c r="AU496" s="80" t="str">
        <f>REPLACE(INDEX(GroupVertices[Group],MATCH(Vertices[[#This Row],[Vertex]],GroupVertices[Vertex],0)),1,1,"")</f>
        <v>4</v>
      </c>
      <c r="AV496" s="49">
        <v>0</v>
      </c>
      <c r="AW496" s="50">
        <v>0</v>
      </c>
      <c r="AX496" s="49">
        <v>0</v>
      </c>
      <c r="AY496" s="50">
        <v>0</v>
      </c>
      <c r="AZ496" s="49">
        <v>0</v>
      </c>
      <c r="BA496" s="50">
        <v>0</v>
      </c>
      <c r="BB496" s="49">
        <v>3</v>
      </c>
      <c r="BC496" s="50">
        <v>100</v>
      </c>
      <c r="BD496" s="49">
        <v>3</v>
      </c>
      <c r="BE496" s="49"/>
      <c r="BF496" s="49"/>
      <c r="BG496" s="49"/>
      <c r="BH496" s="49"/>
      <c r="BI496" s="49"/>
      <c r="BJ496" s="49"/>
      <c r="BK496" s="111" t="s">
        <v>3479</v>
      </c>
      <c r="BL496" s="111" t="s">
        <v>3479</v>
      </c>
      <c r="BM496" s="111" t="s">
        <v>2782</v>
      </c>
      <c r="BN496" s="111" t="s">
        <v>2782</v>
      </c>
      <c r="BO496" s="2"/>
      <c r="BP496" s="3"/>
      <c r="BQ496" s="3"/>
      <c r="BR496" s="3"/>
      <c r="BS496" s="3"/>
    </row>
    <row r="497" spans="1:71" ht="15">
      <c r="A497" s="65" t="s">
        <v>717</v>
      </c>
      <c r="B497" s="66"/>
      <c r="C497" s="66"/>
      <c r="D497" s="67">
        <v>150</v>
      </c>
      <c r="E497" s="69"/>
      <c r="F497" s="103" t="str">
        <f>HYPERLINK("https://yt3.ggpht.com/ytc/AKedOLTz53c6yCrXsfzGTrcZnfzhv04obYLePkWwyJ5vunA=s88-c-k-c0x00ffffff-no-rj")</f>
        <v>https://yt3.ggpht.com/ytc/AKedOLTz53c6yCrXsfzGTrcZnfzhv04obYLePkWwyJ5vunA=s88-c-k-c0x00ffffff-no-rj</v>
      </c>
      <c r="G497" s="66"/>
      <c r="H497" s="70" t="s">
        <v>2045</v>
      </c>
      <c r="I497" s="71"/>
      <c r="J497" s="71" t="s">
        <v>159</v>
      </c>
      <c r="K497" s="70" t="s">
        <v>2045</v>
      </c>
      <c r="L497" s="74">
        <v>1</v>
      </c>
      <c r="M497" s="75">
        <v>4816.69677734375</v>
      </c>
      <c r="N497" s="75">
        <v>6263.6875</v>
      </c>
      <c r="O497" s="76"/>
      <c r="P497" s="77"/>
      <c r="Q497" s="77"/>
      <c r="R497" s="89"/>
      <c r="S497" s="49">
        <v>1</v>
      </c>
      <c r="T497" s="49">
        <v>1</v>
      </c>
      <c r="U497" s="50">
        <v>0</v>
      </c>
      <c r="V497" s="50">
        <v>0.002933</v>
      </c>
      <c r="W497" s="50">
        <v>0</v>
      </c>
      <c r="X497" s="50">
        <v>0.525855</v>
      </c>
      <c r="Y497" s="50">
        <v>0</v>
      </c>
      <c r="Z497" s="50">
        <v>1</v>
      </c>
      <c r="AA497" s="72">
        <v>497</v>
      </c>
      <c r="AB497" s="72"/>
      <c r="AC497" s="73"/>
      <c r="AD497" s="80" t="s">
        <v>2045</v>
      </c>
      <c r="AE497" s="80"/>
      <c r="AF497" s="80"/>
      <c r="AG497" s="80"/>
      <c r="AH497" s="80"/>
      <c r="AI497" s="80"/>
      <c r="AJ497" s="87">
        <v>42345.62055555556</v>
      </c>
      <c r="AK497" s="85" t="str">
        <f>HYPERLINK("https://yt3.ggpht.com/ytc/AKedOLTz53c6yCrXsfzGTrcZnfzhv04obYLePkWwyJ5vunA=s88-c-k-c0x00ffffff-no-rj")</f>
        <v>https://yt3.ggpht.com/ytc/AKedOLTz53c6yCrXsfzGTrcZnfzhv04obYLePkWwyJ5vunA=s88-c-k-c0x00ffffff-no-rj</v>
      </c>
      <c r="AL497" s="80">
        <v>0</v>
      </c>
      <c r="AM497" s="80">
        <v>0</v>
      </c>
      <c r="AN497" s="80">
        <v>0</v>
      </c>
      <c r="AO497" s="80" t="b">
        <v>0</v>
      </c>
      <c r="AP497" s="80">
        <v>0</v>
      </c>
      <c r="AQ497" s="80"/>
      <c r="AR497" s="80"/>
      <c r="AS497" s="80" t="s">
        <v>3412</v>
      </c>
      <c r="AT497" s="85" t="str">
        <f>HYPERLINK("https://www.youtube.com/channel/UCVCfdXYA9VBy89Rrc1NsOkA")</f>
        <v>https://www.youtube.com/channel/UCVCfdXYA9VBy89Rrc1NsOkA</v>
      </c>
      <c r="AU497" s="80" t="str">
        <f>REPLACE(INDEX(GroupVertices[Group],MATCH(Vertices[[#This Row],[Vertex]],GroupVertices[Vertex],0)),1,1,"")</f>
        <v>4</v>
      </c>
      <c r="AV497" s="49">
        <v>2</v>
      </c>
      <c r="AW497" s="50">
        <v>8</v>
      </c>
      <c r="AX497" s="49">
        <v>0</v>
      </c>
      <c r="AY497" s="50">
        <v>0</v>
      </c>
      <c r="AZ497" s="49">
        <v>0</v>
      </c>
      <c r="BA497" s="50">
        <v>0</v>
      </c>
      <c r="BB497" s="49">
        <v>23</v>
      </c>
      <c r="BC497" s="50">
        <v>92</v>
      </c>
      <c r="BD497" s="49">
        <v>25</v>
      </c>
      <c r="BE497" s="49"/>
      <c r="BF497" s="49"/>
      <c r="BG497" s="49"/>
      <c r="BH497" s="49"/>
      <c r="BI497" s="49"/>
      <c r="BJ497" s="49"/>
      <c r="BK497" s="111" t="s">
        <v>4838</v>
      </c>
      <c r="BL497" s="111" t="s">
        <v>4838</v>
      </c>
      <c r="BM497" s="111" t="s">
        <v>5307</v>
      </c>
      <c r="BN497" s="111" t="s">
        <v>5307</v>
      </c>
      <c r="BO497" s="2"/>
      <c r="BP497" s="3"/>
      <c r="BQ497" s="3"/>
      <c r="BR497" s="3"/>
      <c r="BS497" s="3"/>
    </row>
    <row r="498" spans="1:71" ht="15">
      <c r="A498" s="65" t="s">
        <v>718</v>
      </c>
      <c r="B498" s="66"/>
      <c r="C498" s="66"/>
      <c r="D498" s="67">
        <v>150</v>
      </c>
      <c r="E498" s="69"/>
      <c r="F498" s="103" t="str">
        <f>HYPERLINK("https://yt3.ggpht.com/ytc/AKedOLRwAuMJvMIfk0kmuPOZDQMo0D5H7e0r4JuYFm7TlA=s88-c-k-c0x00ffffff-no-rj")</f>
        <v>https://yt3.ggpht.com/ytc/AKedOLRwAuMJvMIfk0kmuPOZDQMo0D5H7e0r4JuYFm7TlA=s88-c-k-c0x00ffffff-no-rj</v>
      </c>
      <c r="G498" s="66"/>
      <c r="H498" s="70" t="s">
        <v>2046</v>
      </c>
      <c r="I498" s="71"/>
      <c r="J498" s="71" t="s">
        <v>159</v>
      </c>
      <c r="K498" s="70" t="s">
        <v>2046</v>
      </c>
      <c r="L498" s="74">
        <v>1</v>
      </c>
      <c r="M498" s="75">
        <v>4577.68115234375</v>
      </c>
      <c r="N498" s="75">
        <v>6001.53466796875</v>
      </c>
      <c r="O498" s="76"/>
      <c r="P498" s="77"/>
      <c r="Q498" s="77"/>
      <c r="R498" s="89"/>
      <c r="S498" s="49">
        <v>1</v>
      </c>
      <c r="T498" s="49">
        <v>1</v>
      </c>
      <c r="U498" s="50">
        <v>0</v>
      </c>
      <c r="V498" s="50">
        <v>0.002933</v>
      </c>
      <c r="W498" s="50">
        <v>0</v>
      </c>
      <c r="X498" s="50">
        <v>0.525855</v>
      </c>
      <c r="Y498" s="50">
        <v>0</v>
      </c>
      <c r="Z498" s="50">
        <v>1</v>
      </c>
      <c r="AA498" s="72">
        <v>498</v>
      </c>
      <c r="AB498" s="72"/>
      <c r="AC498" s="73"/>
      <c r="AD498" s="80" t="s">
        <v>2046</v>
      </c>
      <c r="AE498" s="80"/>
      <c r="AF498" s="80"/>
      <c r="AG498" s="80"/>
      <c r="AH498" s="80"/>
      <c r="AI498" s="80"/>
      <c r="AJ498" s="87">
        <v>40402.8421875</v>
      </c>
      <c r="AK498" s="85" t="str">
        <f>HYPERLINK("https://yt3.ggpht.com/ytc/AKedOLRwAuMJvMIfk0kmuPOZDQMo0D5H7e0r4JuYFm7TlA=s88-c-k-c0x00ffffff-no-rj")</f>
        <v>https://yt3.ggpht.com/ytc/AKedOLRwAuMJvMIfk0kmuPOZDQMo0D5H7e0r4JuYFm7TlA=s88-c-k-c0x00ffffff-no-rj</v>
      </c>
      <c r="AL498" s="80">
        <v>2828</v>
      </c>
      <c r="AM498" s="80">
        <v>0</v>
      </c>
      <c r="AN498" s="80">
        <v>6</v>
      </c>
      <c r="AO498" s="80" t="b">
        <v>0</v>
      </c>
      <c r="AP498" s="80">
        <v>10</v>
      </c>
      <c r="AQ498" s="80"/>
      <c r="AR498" s="80"/>
      <c r="AS498" s="80" t="s">
        <v>3412</v>
      </c>
      <c r="AT498" s="85" t="str">
        <f>HYPERLINK("https://www.youtube.com/channel/UCdqC1ybp2Mbv2xR608Wboqg")</f>
        <v>https://www.youtube.com/channel/UCdqC1ybp2Mbv2xR608Wboqg</v>
      </c>
      <c r="AU498" s="80" t="str">
        <f>REPLACE(INDEX(GroupVertices[Group],MATCH(Vertices[[#This Row],[Vertex]],GroupVertices[Vertex],0)),1,1,"")</f>
        <v>4</v>
      </c>
      <c r="AV498" s="49">
        <v>0</v>
      </c>
      <c r="AW498" s="50">
        <v>0</v>
      </c>
      <c r="AX498" s="49">
        <v>0</v>
      </c>
      <c r="AY498" s="50">
        <v>0</v>
      </c>
      <c r="AZ498" s="49">
        <v>0</v>
      </c>
      <c r="BA498" s="50">
        <v>0</v>
      </c>
      <c r="BB498" s="49">
        <v>20</v>
      </c>
      <c r="BC498" s="50">
        <v>100</v>
      </c>
      <c r="BD498" s="49">
        <v>20</v>
      </c>
      <c r="BE498" s="49" t="s">
        <v>4405</v>
      </c>
      <c r="BF498" s="49" t="s">
        <v>4405</v>
      </c>
      <c r="BG498" s="49" t="s">
        <v>2772</v>
      </c>
      <c r="BH498" s="49" t="s">
        <v>2772</v>
      </c>
      <c r="BI498" s="49"/>
      <c r="BJ498" s="49"/>
      <c r="BK498" s="111" t="s">
        <v>4839</v>
      </c>
      <c r="BL498" s="111" t="s">
        <v>4839</v>
      </c>
      <c r="BM498" s="111" t="s">
        <v>5308</v>
      </c>
      <c r="BN498" s="111" t="s">
        <v>5308</v>
      </c>
      <c r="BO498" s="2"/>
      <c r="BP498" s="3"/>
      <c r="BQ498" s="3"/>
      <c r="BR498" s="3"/>
      <c r="BS498" s="3"/>
    </row>
    <row r="499" spans="1:71" ht="15">
      <c r="A499" s="65" t="s">
        <v>719</v>
      </c>
      <c r="B499" s="66"/>
      <c r="C499" s="66"/>
      <c r="D499" s="67">
        <v>150</v>
      </c>
      <c r="E499" s="69"/>
      <c r="F499" s="103" t="str">
        <f>HYPERLINK("https://yt3.ggpht.com/ytc/AKedOLQjsm-MeF85SXo3yCXWxxBuYzGKsg1rIXcaBdZMOw=s88-c-k-c0x00ffffff-no-rj")</f>
        <v>https://yt3.ggpht.com/ytc/AKedOLQjsm-MeF85SXo3yCXWxxBuYzGKsg1rIXcaBdZMOw=s88-c-k-c0x00ffffff-no-rj</v>
      </c>
      <c r="G499" s="66"/>
      <c r="H499" s="70" t="s">
        <v>2047</v>
      </c>
      <c r="I499" s="71"/>
      <c r="J499" s="71" t="s">
        <v>159</v>
      </c>
      <c r="K499" s="70" t="s">
        <v>2047</v>
      </c>
      <c r="L499" s="74">
        <v>1</v>
      </c>
      <c r="M499" s="75">
        <v>6749.18994140625</v>
      </c>
      <c r="N499" s="75">
        <v>5859.6171875</v>
      </c>
      <c r="O499" s="76"/>
      <c r="P499" s="77"/>
      <c r="Q499" s="77"/>
      <c r="R499" s="89"/>
      <c r="S499" s="49">
        <v>2</v>
      </c>
      <c r="T499" s="49">
        <v>2</v>
      </c>
      <c r="U499" s="50">
        <v>0</v>
      </c>
      <c r="V499" s="50">
        <v>0.002933</v>
      </c>
      <c r="W499" s="50">
        <v>0</v>
      </c>
      <c r="X499" s="50">
        <v>0.91453</v>
      </c>
      <c r="Y499" s="50">
        <v>0</v>
      </c>
      <c r="Z499" s="50">
        <v>1</v>
      </c>
      <c r="AA499" s="72">
        <v>499</v>
      </c>
      <c r="AB499" s="72"/>
      <c r="AC499" s="73"/>
      <c r="AD499" s="80" t="s">
        <v>2047</v>
      </c>
      <c r="AE499" s="80" t="s">
        <v>2989</v>
      </c>
      <c r="AF499" s="80"/>
      <c r="AG499" s="80"/>
      <c r="AH499" s="80"/>
      <c r="AI499" s="80"/>
      <c r="AJ499" s="80" t="s">
        <v>3389</v>
      </c>
      <c r="AK499" s="85" t="str">
        <f>HYPERLINK("https://yt3.ggpht.com/ytc/AKedOLQjsm-MeF85SXo3yCXWxxBuYzGKsg1rIXcaBdZMOw=s88-c-k-c0x00ffffff-no-rj")</f>
        <v>https://yt3.ggpht.com/ytc/AKedOLQjsm-MeF85SXo3yCXWxxBuYzGKsg1rIXcaBdZMOw=s88-c-k-c0x00ffffff-no-rj</v>
      </c>
      <c r="AL499" s="80">
        <v>1969202</v>
      </c>
      <c r="AM499" s="80">
        <v>0</v>
      </c>
      <c r="AN499" s="80">
        <v>3830</v>
      </c>
      <c r="AO499" s="80" t="b">
        <v>0</v>
      </c>
      <c r="AP499" s="80">
        <v>423</v>
      </c>
      <c r="AQ499" s="80"/>
      <c r="AR499" s="80"/>
      <c r="AS499" s="80" t="s">
        <v>3412</v>
      </c>
      <c r="AT499" s="85" t="str">
        <f>HYPERLINK("https://www.youtube.com/channel/UC83yBpdeTa_AkuuvKbtTACQ")</f>
        <v>https://www.youtube.com/channel/UC83yBpdeTa_AkuuvKbtTACQ</v>
      </c>
      <c r="AU499" s="80" t="str">
        <f>REPLACE(INDEX(GroupVertices[Group],MATCH(Vertices[[#This Row],[Vertex]],GroupVertices[Vertex],0)),1,1,"")</f>
        <v>4</v>
      </c>
      <c r="AV499" s="49">
        <v>3</v>
      </c>
      <c r="AW499" s="50">
        <v>2.608695652173913</v>
      </c>
      <c r="AX499" s="49">
        <v>0</v>
      </c>
      <c r="AY499" s="50">
        <v>0</v>
      </c>
      <c r="AZ499" s="49">
        <v>0</v>
      </c>
      <c r="BA499" s="50">
        <v>0</v>
      </c>
      <c r="BB499" s="49">
        <v>112</v>
      </c>
      <c r="BC499" s="50">
        <v>97.3913043478261</v>
      </c>
      <c r="BD499" s="49">
        <v>115</v>
      </c>
      <c r="BE499" s="49"/>
      <c r="BF499" s="49"/>
      <c r="BG499" s="49"/>
      <c r="BH499" s="49"/>
      <c r="BI499" s="49"/>
      <c r="BJ499" s="49"/>
      <c r="BK499" s="111" t="s">
        <v>4840</v>
      </c>
      <c r="BL499" s="111" t="s">
        <v>4892</v>
      </c>
      <c r="BM499" s="111" t="s">
        <v>5309</v>
      </c>
      <c r="BN499" s="111" t="s">
        <v>5309</v>
      </c>
      <c r="BO499" s="2"/>
      <c r="BP499" s="3"/>
      <c r="BQ499" s="3"/>
      <c r="BR499" s="3"/>
      <c r="BS499" s="3"/>
    </row>
    <row r="500" spans="1:71" ht="15">
      <c r="A500" s="65" t="s">
        <v>720</v>
      </c>
      <c r="B500" s="66"/>
      <c r="C500" s="66"/>
      <c r="D500" s="67">
        <v>150</v>
      </c>
      <c r="E500" s="69"/>
      <c r="F500" s="103" t="str">
        <f>HYPERLINK("https://yt3.ggpht.com/ytc/AKedOLS4t6o1vdxuX1QI7Ql1j7wF6mLxkKux8lgnb4HJ_g=s88-c-k-c0x00ffffff-no-rj")</f>
        <v>https://yt3.ggpht.com/ytc/AKedOLS4t6o1vdxuX1QI7Ql1j7wF6mLxkKux8lgnb4HJ_g=s88-c-k-c0x00ffffff-no-rj</v>
      </c>
      <c r="G500" s="66"/>
      <c r="H500" s="70" t="s">
        <v>2048</v>
      </c>
      <c r="I500" s="71"/>
      <c r="J500" s="71" t="s">
        <v>159</v>
      </c>
      <c r="K500" s="70" t="s">
        <v>2048</v>
      </c>
      <c r="L500" s="74">
        <v>1</v>
      </c>
      <c r="M500" s="75">
        <v>4020.08544921875</v>
      </c>
      <c r="N500" s="75">
        <v>5667.47265625</v>
      </c>
      <c r="O500" s="76"/>
      <c r="P500" s="77"/>
      <c r="Q500" s="77"/>
      <c r="R500" s="89"/>
      <c r="S500" s="49">
        <v>1</v>
      </c>
      <c r="T500" s="49">
        <v>1</v>
      </c>
      <c r="U500" s="50">
        <v>0</v>
      </c>
      <c r="V500" s="50">
        <v>0.002933</v>
      </c>
      <c r="W500" s="50">
        <v>0</v>
      </c>
      <c r="X500" s="50">
        <v>0.525855</v>
      </c>
      <c r="Y500" s="50">
        <v>0</v>
      </c>
      <c r="Z500" s="50">
        <v>1</v>
      </c>
      <c r="AA500" s="72">
        <v>500</v>
      </c>
      <c r="AB500" s="72"/>
      <c r="AC500" s="73"/>
      <c r="AD500" s="80" t="s">
        <v>2048</v>
      </c>
      <c r="AE500" s="80"/>
      <c r="AF500" s="80"/>
      <c r="AG500" s="80"/>
      <c r="AH500" s="80"/>
      <c r="AI500" s="80"/>
      <c r="AJ500" s="80" t="s">
        <v>3390</v>
      </c>
      <c r="AK500" s="85" t="str">
        <f>HYPERLINK("https://yt3.ggpht.com/ytc/AKedOLS4t6o1vdxuX1QI7Ql1j7wF6mLxkKux8lgnb4HJ_g=s88-c-k-c0x00ffffff-no-rj")</f>
        <v>https://yt3.ggpht.com/ytc/AKedOLS4t6o1vdxuX1QI7Ql1j7wF6mLxkKux8lgnb4HJ_g=s88-c-k-c0x00ffffff-no-rj</v>
      </c>
      <c r="AL500" s="80">
        <v>0</v>
      </c>
      <c r="AM500" s="80">
        <v>0</v>
      </c>
      <c r="AN500" s="80">
        <v>196</v>
      </c>
      <c r="AO500" s="80" t="b">
        <v>0</v>
      </c>
      <c r="AP500" s="80">
        <v>0</v>
      </c>
      <c r="AQ500" s="80"/>
      <c r="AR500" s="80"/>
      <c r="AS500" s="80" t="s">
        <v>3412</v>
      </c>
      <c r="AT500" s="85" t="str">
        <f>HYPERLINK("https://www.youtube.com/channel/UCira_mhcRZQgqIjC-KtGPRQ")</f>
        <v>https://www.youtube.com/channel/UCira_mhcRZQgqIjC-KtGPRQ</v>
      </c>
      <c r="AU500" s="80" t="str">
        <f>REPLACE(INDEX(GroupVertices[Group],MATCH(Vertices[[#This Row],[Vertex]],GroupVertices[Vertex],0)),1,1,"")</f>
        <v>4</v>
      </c>
      <c r="AV500" s="49">
        <v>1</v>
      </c>
      <c r="AW500" s="50">
        <v>20</v>
      </c>
      <c r="AX500" s="49">
        <v>0</v>
      </c>
      <c r="AY500" s="50">
        <v>0</v>
      </c>
      <c r="AZ500" s="49">
        <v>0</v>
      </c>
      <c r="BA500" s="50">
        <v>0</v>
      </c>
      <c r="BB500" s="49">
        <v>4</v>
      </c>
      <c r="BC500" s="50">
        <v>80</v>
      </c>
      <c r="BD500" s="49">
        <v>5</v>
      </c>
      <c r="BE500" s="49"/>
      <c r="BF500" s="49"/>
      <c r="BG500" s="49"/>
      <c r="BH500" s="49"/>
      <c r="BI500" s="49"/>
      <c r="BJ500" s="49"/>
      <c r="BK500" s="111" t="s">
        <v>3461</v>
      </c>
      <c r="BL500" s="111" t="s">
        <v>3461</v>
      </c>
      <c r="BM500" s="111" t="s">
        <v>2782</v>
      </c>
      <c r="BN500" s="111" t="s">
        <v>2782</v>
      </c>
      <c r="BO500" s="2"/>
      <c r="BP500" s="3"/>
      <c r="BQ500" s="3"/>
      <c r="BR500" s="3"/>
      <c r="BS500" s="3"/>
    </row>
    <row r="501" spans="1:71" ht="15">
      <c r="A501" s="65" t="s">
        <v>721</v>
      </c>
      <c r="B501" s="66"/>
      <c r="C501" s="66"/>
      <c r="D501" s="67">
        <v>150</v>
      </c>
      <c r="E501" s="69"/>
      <c r="F501" s="103" t="str">
        <f>HYPERLINK("https://yt3.ggpht.com/ytc/AKedOLQpeb0ycoX6tvJ2j8p7ch1qtlb81GrYAIV93Q=s88-c-k-c0x00ffffff-no-rj")</f>
        <v>https://yt3.ggpht.com/ytc/AKedOLQpeb0ycoX6tvJ2j8p7ch1qtlb81GrYAIV93Q=s88-c-k-c0x00ffffff-no-rj</v>
      </c>
      <c r="G501" s="66"/>
      <c r="H501" s="70" t="s">
        <v>2049</v>
      </c>
      <c r="I501" s="71"/>
      <c r="J501" s="71" t="s">
        <v>159</v>
      </c>
      <c r="K501" s="70" t="s">
        <v>2049</v>
      </c>
      <c r="L501" s="74">
        <v>1</v>
      </c>
      <c r="M501" s="75">
        <v>4238.68603515625</v>
      </c>
      <c r="N501" s="75">
        <v>4732.12109375</v>
      </c>
      <c r="O501" s="76"/>
      <c r="P501" s="77"/>
      <c r="Q501" s="77"/>
      <c r="R501" s="89"/>
      <c r="S501" s="49">
        <v>2</v>
      </c>
      <c r="T501" s="49">
        <v>2</v>
      </c>
      <c r="U501" s="50">
        <v>0</v>
      </c>
      <c r="V501" s="50">
        <v>0.002933</v>
      </c>
      <c r="W501" s="50">
        <v>0</v>
      </c>
      <c r="X501" s="50">
        <v>0.91453</v>
      </c>
      <c r="Y501" s="50">
        <v>0</v>
      </c>
      <c r="Z501" s="50">
        <v>1</v>
      </c>
      <c r="AA501" s="72">
        <v>501</v>
      </c>
      <c r="AB501" s="72"/>
      <c r="AC501" s="73"/>
      <c r="AD501" s="80" t="s">
        <v>2049</v>
      </c>
      <c r="AE501" s="80"/>
      <c r="AF501" s="80"/>
      <c r="AG501" s="80"/>
      <c r="AH501" s="80"/>
      <c r="AI501" s="80"/>
      <c r="AJ501" s="87">
        <v>43077.868101851855</v>
      </c>
      <c r="AK501" s="85" t="str">
        <f>HYPERLINK("https://yt3.ggpht.com/ytc/AKedOLQpeb0ycoX6tvJ2j8p7ch1qtlb81GrYAIV93Q=s88-c-k-c0x00ffffff-no-rj")</f>
        <v>https://yt3.ggpht.com/ytc/AKedOLQpeb0ycoX6tvJ2j8p7ch1qtlb81GrYAIV93Q=s88-c-k-c0x00ffffff-no-rj</v>
      </c>
      <c r="AL501" s="80">
        <v>0</v>
      </c>
      <c r="AM501" s="80">
        <v>0</v>
      </c>
      <c r="AN501" s="80">
        <v>0</v>
      </c>
      <c r="AO501" s="80" t="b">
        <v>0</v>
      </c>
      <c r="AP501" s="80">
        <v>0</v>
      </c>
      <c r="AQ501" s="80"/>
      <c r="AR501" s="80"/>
      <c r="AS501" s="80" t="s">
        <v>3412</v>
      </c>
      <c r="AT501" s="85" t="str">
        <f>HYPERLINK("https://www.youtube.com/channel/UCM_vSQzPcjN_L-1EMslIjow")</f>
        <v>https://www.youtube.com/channel/UCM_vSQzPcjN_L-1EMslIjow</v>
      </c>
      <c r="AU501" s="80" t="str">
        <f>REPLACE(INDEX(GroupVertices[Group],MATCH(Vertices[[#This Row],[Vertex]],GroupVertices[Vertex],0)),1,1,"")</f>
        <v>4</v>
      </c>
      <c r="AV501" s="49">
        <v>3</v>
      </c>
      <c r="AW501" s="50">
        <v>6.122448979591836</v>
      </c>
      <c r="AX501" s="49">
        <v>0</v>
      </c>
      <c r="AY501" s="50">
        <v>0</v>
      </c>
      <c r="AZ501" s="49">
        <v>0</v>
      </c>
      <c r="BA501" s="50">
        <v>0</v>
      </c>
      <c r="BB501" s="49">
        <v>46</v>
      </c>
      <c r="BC501" s="50">
        <v>93.87755102040816</v>
      </c>
      <c r="BD501" s="49">
        <v>49</v>
      </c>
      <c r="BE501" s="49"/>
      <c r="BF501" s="49"/>
      <c r="BG501" s="49"/>
      <c r="BH501" s="49"/>
      <c r="BI501" s="49"/>
      <c r="BJ501" s="49"/>
      <c r="BK501" s="111" t="s">
        <v>4841</v>
      </c>
      <c r="BL501" s="111" t="s">
        <v>4893</v>
      </c>
      <c r="BM501" s="111" t="s">
        <v>5310</v>
      </c>
      <c r="BN501" s="111" t="s">
        <v>5310</v>
      </c>
      <c r="BO501" s="2"/>
      <c r="BP501" s="3"/>
      <c r="BQ501" s="3"/>
      <c r="BR501" s="3"/>
      <c r="BS501" s="3"/>
    </row>
    <row r="502" spans="1:71" ht="15">
      <c r="A502" s="65" t="s">
        <v>722</v>
      </c>
      <c r="B502" s="66"/>
      <c r="C502" s="66"/>
      <c r="D502" s="67">
        <v>150</v>
      </c>
      <c r="E502" s="69"/>
      <c r="F502" s="103" t="str">
        <f>HYPERLINK("https://yt3.ggpht.com/ytc/AKedOLQIJS6HLW9AL-hPFbiHqUTY_dYYJ_YlpX_joGQw=s88-c-k-c0x00ffffff-no-rj")</f>
        <v>https://yt3.ggpht.com/ytc/AKedOLQIJS6HLW9AL-hPFbiHqUTY_dYYJ_YlpX_joGQw=s88-c-k-c0x00ffffff-no-rj</v>
      </c>
      <c r="G502" s="66"/>
      <c r="H502" s="70" t="s">
        <v>2050</v>
      </c>
      <c r="I502" s="71"/>
      <c r="J502" s="71" t="s">
        <v>159</v>
      </c>
      <c r="K502" s="70" t="s">
        <v>2050</v>
      </c>
      <c r="L502" s="74">
        <v>1</v>
      </c>
      <c r="M502" s="75">
        <v>5293.8359375</v>
      </c>
      <c r="N502" s="75">
        <v>6271.04931640625</v>
      </c>
      <c r="O502" s="76"/>
      <c r="P502" s="77"/>
      <c r="Q502" s="77"/>
      <c r="R502" s="89"/>
      <c r="S502" s="49">
        <v>0</v>
      </c>
      <c r="T502" s="49">
        <v>1</v>
      </c>
      <c r="U502" s="50">
        <v>0</v>
      </c>
      <c r="V502" s="50">
        <v>0.002933</v>
      </c>
      <c r="W502" s="50">
        <v>0</v>
      </c>
      <c r="X502" s="50">
        <v>0.525855</v>
      </c>
      <c r="Y502" s="50">
        <v>0</v>
      </c>
      <c r="Z502" s="50">
        <v>0</v>
      </c>
      <c r="AA502" s="72">
        <v>502</v>
      </c>
      <c r="AB502" s="72"/>
      <c r="AC502" s="73"/>
      <c r="AD502" s="80" t="s">
        <v>2050</v>
      </c>
      <c r="AE502" s="80"/>
      <c r="AF502" s="80"/>
      <c r="AG502" s="80"/>
      <c r="AH502" s="80"/>
      <c r="AI502" s="80"/>
      <c r="AJ502" s="80" t="s">
        <v>3391</v>
      </c>
      <c r="AK502" s="85" t="str">
        <f>HYPERLINK("https://yt3.ggpht.com/ytc/AKedOLQIJS6HLW9AL-hPFbiHqUTY_dYYJ_YlpX_joGQw=s88-c-k-c0x00ffffff-no-rj")</f>
        <v>https://yt3.ggpht.com/ytc/AKedOLQIJS6HLW9AL-hPFbiHqUTY_dYYJ_YlpX_joGQw=s88-c-k-c0x00ffffff-no-rj</v>
      </c>
      <c r="AL502" s="80">
        <v>0</v>
      </c>
      <c r="AM502" s="80">
        <v>0</v>
      </c>
      <c r="AN502" s="80">
        <v>11</v>
      </c>
      <c r="AO502" s="80" t="b">
        <v>0</v>
      </c>
      <c r="AP502" s="80">
        <v>0</v>
      </c>
      <c r="AQ502" s="80"/>
      <c r="AR502" s="80"/>
      <c r="AS502" s="80" t="s">
        <v>3412</v>
      </c>
      <c r="AT502" s="85" t="str">
        <f>HYPERLINK("https://www.youtube.com/channel/UC3suJoT2zJUqzYE1Y5-8dhg")</f>
        <v>https://www.youtube.com/channel/UC3suJoT2zJUqzYE1Y5-8dhg</v>
      </c>
      <c r="AU502" s="80" t="str">
        <f>REPLACE(INDEX(GroupVertices[Group],MATCH(Vertices[[#This Row],[Vertex]],GroupVertices[Vertex],0)),1,1,"")</f>
        <v>4</v>
      </c>
      <c r="AV502" s="49">
        <v>1</v>
      </c>
      <c r="AW502" s="50">
        <v>100</v>
      </c>
      <c r="AX502" s="49">
        <v>0</v>
      </c>
      <c r="AY502" s="50">
        <v>0</v>
      </c>
      <c r="AZ502" s="49">
        <v>0</v>
      </c>
      <c r="BA502" s="50">
        <v>0</v>
      </c>
      <c r="BB502" s="49">
        <v>0</v>
      </c>
      <c r="BC502" s="50">
        <v>0</v>
      </c>
      <c r="BD502" s="49">
        <v>1</v>
      </c>
      <c r="BE502" s="49"/>
      <c r="BF502" s="49"/>
      <c r="BG502" s="49"/>
      <c r="BH502" s="49"/>
      <c r="BI502" s="49"/>
      <c r="BJ502" s="49"/>
      <c r="BK502" s="111" t="s">
        <v>4842</v>
      </c>
      <c r="BL502" s="111" t="s">
        <v>4842</v>
      </c>
      <c r="BM502" s="111" t="s">
        <v>2782</v>
      </c>
      <c r="BN502" s="111" t="s">
        <v>2782</v>
      </c>
      <c r="BO502" s="2"/>
      <c r="BP502" s="3"/>
      <c r="BQ502" s="3"/>
      <c r="BR502" s="3"/>
      <c r="BS502" s="3"/>
    </row>
    <row r="503" spans="1:71" ht="15">
      <c r="A503" s="65" t="s">
        <v>723</v>
      </c>
      <c r="B503" s="66"/>
      <c r="C503" s="66"/>
      <c r="D503" s="67">
        <v>150</v>
      </c>
      <c r="E503" s="69"/>
      <c r="F503" s="103" t="str">
        <f>HYPERLINK("https://yt3.ggpht.com/ytc/AKedOLTCOsUYI38mLcmIU2stVYqVKp_FqnmD8CJR2LBi=s88-c-k-c0x00ffffff-no-rj")</f>
        <v>https://yt3.ggpht.com/ytc/AKedOLTCOsUYI38mLcmIU2stVYqVKp_FqnmD8CJR2LBi=s88-c-k-c0x00ffffff-no-rj</v>
      </c>
      <c r="G503" s="66"/>
      <c r="H503" s="70" t="s">
        <v>2051</v>
      </c>
      <c r="I503" s="71"/>
      <c r="J503" s="71" t="s">
        <v>159</v>
      </c>
      <c r="K503" s="70" t="s">
        <v>2051</v>
      </c>
      <c r="L503" s="74">
        <v>1</v>
      </c>
      <c r="M503" s="75">
        <v>3603.37744140625</v>
      </c>
      <c r="N503" s="75">
        <v>5850.13818359375</v>
      </c>
      <c r="O503" s="76"/>
      <c r="P503" s="77"/>
      <c r="Q503" s="77"/>
      <c r="R503" s="89"/>
      <c r="S503" s="49">
        <v>1</v>
      </c>
      <c r="T503" s="49">
        <v>1</v>
      </c>
      <c r="U503" s="50">
        <v>0</v>
      </c>
      <c r="V503" s="50">
        <v>0.002933</v>
      </c>
      <c r="W503" s="50">
        <v>0</v>
      </c>
      <c r="X503" s="50">
        <v>0.525855</v>
      </c>
      <c r="Y503" s="50">
        <v>0</v>
      </c>
      <c r="Z503" s="50">
        <v>1</v>
      </c>
      <c r="AA503" s="72">
        <v>503</v>
      </c>
      <c r="AB503" s="72"/>
      <c r="AC503" s="73"/>
      <c r="AD503" s="80" t="s">
        <v>2051</v>
      </c>
      <c r="AE503" s="80"/>
      <c r="AF503" s="80"/>
      <c r="AG503" s="80"/>
      <c r="AH503" s="80"/>
      <c r="AI503" s="80"/>
      <c r="AJ503" s="80" t="s">
        <v>3392</v>
      </c>
      <c r="AK503" s="85" t="str">
        <f>HYPERLINK("https://yt3.ggpht.com/ytc/AKedOLTCOsUYI38mLcmIU2stVYqVKp_FqnmD8CJR2LBi=s88-c-k-c0x00ffffff-no-rj")</f>
        <v>https://yt3.ggpht.com/ytc/AKedOLTCOsUYI38mLcmIU2stVYqVKp_FqnmD8CJR2LBi=s88-c-k-c0x00ffffff-no-rj</v>
      </c>
      <c r="AL503" s="80">
        <v>0</v>
      </c>
      <c r="AM503" s="80">
        <v>0</v>
      </c>
      <c r="AN503" s="80">
        <v>0</v>
      </c>
      <c r="AO503" s="80" t="b">
        <v>0</v>
      </c>
      <c r="AP503" s="80">
        <v>0</v>
      </c>
      <c r="AQ503" s="80"/>
      <c r="AR503" s="80"/>
      <c r="AS503" s="80" t="s">
        <v>3412</v>
      </c>
      <c r="AT503" s="85" t="str">
        <f>HYPERLINK("https://www.youtube.com/channel/UCWk8qaRj7jShI_2tBUK7APw")</f>
        <v>https://www.youtube.com/channel/UCWk8qaRj7jShI_2tBUK7APw</v>
      </c>
      <c r="AU503" s="80" t="str">
        <f>REPLACE(INDEX(GroupVertices[Group],MATCH(Vertices[[#This Row],[Vertex]],GroupVertices[Vertex],0)),1,1,"")</f>
        <v>4</v>
      </c>
      <c r="AV503" s="49">
        <v>7</v>
      </c>
      <c r="AW503" s="50">
        <v>21.21212121212121</v>
      </c>
      <c r="AX503" s="49">
        <v>0</v>
      </c>
      <c r="AY503" s="50">
        <v>0</v>
      </c>
      <c r="AZ503" s="49">
        <v>0</v>
      </c>
      <c r="BA503" s="50">
        <v>0</v>
      </c>
      <c r="BB503" s="49">
        <v>26</v>
      </c>
      <c r="BC503" s="50">
        <v>78.78787878787878</v>
      </c>
      <c r="BD503" s="49">
        <v>33</v>
      </c>
      <c r="BE503" s="49"/>
      <c r="BF503" s="49"/>
      <c r="BG503" s="49"/>
      <c r="BH503" s="49"/>
      <c r="BI503" s="49"/>
      <c r="BJ503" s="49"/>
      <c r="BK503" s="111" t="s">
        <v>4843</v>
      </c>
      <c r="BL503" s="111" t="s">
        <v>4843</v>
      </c>
      <c r="BM503" s="111" t="s">
        <v>5311</v>
      </c>
      <c r="BN503" s="111" t="s">
        <v>5311</v>
      </c>
      <c r="BO503" s="2"/>
      <c r="BP503" s="3"/>
      <c r="BQ503" s="3"/>
      <c r="BR503" s="3"/>
      <c r="BS503" s="3"/>
    </row>
    <row r="504" spans="1:71" ht="15">
      <c r="A504" s="65" t="s">
        <v>724</v>
      </c>
      <c r="B504" s="66"/>
      <c r="C504" s="66"/>
      <c r="D504" s="67">
        <v>150</v>
      </c>
      <c r="E504" s="69"/>
      <c r="F504" s="103" t="str">
        <f>HYPERLINK("https://yt3.ggpht.com/ytc/AKedOLSVeeDLGwYS7xP8u1vUHQlUn60YSlUfIQbAiOaBbA=s88-c-k-c0x00ffffff-no-rj")</f>
        <v>https://yt3.ggpht.com/ytc/AKedOLSVeeDLGwYS7xP8u1vUHQlUn60YSlUfIQbAiOaBbA=s88-c-k-c0x00ffffff-no-rj</v>
      </c>
      <c r="G504" s="66"/>
      <c r="H504" s="70" t="s">
        <v>2052</v>
      </c>
      <c r="I504" s="71"/>
      <c r="J504" s="71" t="s">
        <v>159</v>
      </c>
      <c r="K504" s="70" t="s">
        <v>2052</v>
      </c>
      <c r="L504" s="74">
        <v>1</v>
      </c>
      <c r="M504" s="75">
        <v>5386.5849609375</v>
      </c>
      <c r="N504" s="75">
        <v>4963.388671875</v>
      </c>
      <c r="O504" s="76"/>
      <c r="P504" s="77"/>
      <c r="Q504" s="77"/>
      <c r="R504" s="89"/>
      <c r="S504" s="49">
        <v>1</v>
      </c>
      <c r="T504" s="49">
        <v>1</v>
      </c>
      <c r="U504" s="50">
        <v>0</v>
      </c>
      <c r="V504" s="50">
        <v>0.002933</v>
      </c>
      <c r="W504" s="50">
        <v>0</v>
      </c>
      <c r="X504" s="50">
        <v>0.525855</v>
      </c>
      <c r="Y504" s="50">
        <v>0</v>
      </c>
      <c r="Z504" s="50">
        <v>1</v>
      </c>
      <c r="AA504" s="72">
        <v>504</v>
      </c>
      <c r="AB504" s="72"/>
      <c r="AC504" s="73"/>
      <c r="AD504" s="80" t="s">
        <v>2052</v>
      </c>
      <c r="AE504" s="80"/>
      <c r="AF504" s="80"/>
      <c r="AG504" s="80"/>
      <c r="AH504" s="80"/>
      <c r="AI504" s="80"/>
      <c r="AJ504" s="80" t="s">
        <v>3393</v>
      </c>
      <c r="AK504" s="85" t="str">
        <f>HYPERLINK("https://yt3.ggpht.com/ytc/AKedOLSVeeDLGwYS7xP8u1vUHQlUn60YSlUfIQbAiOaBbA=s88-c-k-c0x00ffffff-no-rj")</f>
        <v>https://yt3.ggpht.com/ytc/AKedOLSVeeDLGwYS7xP8u1vUHQlUn60YSlUfIQbAiOaBbA=s88-c-k-c0x00ffffff-no-rj</v>
      </c>
      <c r="AL504" s="80">
        <v>0</v>
      </c>
      <c r="AM504" s="80">
        <v>0</v>
      </c>
      <c r="AN504" s="80">
        <v>7</v>
      </c>
      <c r="AO504" s="80" t="b">
        <v>0</v>
      </c>
      <c r="AP504" s="80">
        <v>0</v>
      </c>
      <c r="AQ504" s="80"/>
      <c r="AR504" s="80"/>
      <c r="AS504" s="80" t="s">
        <v>3412</v>
      </c>
      <c r="AT504" s="85" t="str">
        <f>HYPERLINK("https://www.youtube.com/channel/UCQdDgvr7KJSbiSMQuKef7_g")</f>
        <v>https://www.youtube.com/channel/UCQdDgvr7KJSbiSMQuKef7_g</v>
      </c>
      <c r="AU504" s="80" t="str">
        <f>REPLACE(INDEX(GroupVertices[Group],MATCH(Vertices[[#This Row],[Vertex]],GroupVertices[Vertex],0)),1,1,"")</f>
        <v>4</v>
      </c>
      <c r="AV504" s="49">
        <v>2</v>
      </c>
      <c r="AW504" s="50">
        <v>10</v>
      </c>
      <c r="AX504" s="49">
        <v>0</v>
      </c>
      <c r="AY504" s="50">
        <v>0</v>
      </c>
      <c r="AZ504" s="49">
        <v>0</v>
      </c>
      <c r="BA504" s="50">
        <v>0</v>
      </c>
      <c r="BB504" s="49">
        <v>18</v>
      </c>
      <c r="BC504" s="50">
        <v>90</v>
      </c>
      <c r="BD504" s="49">
        <v>20</v>
      </c>
      <c r="BE504" s="49"/>
      <c r="BF504" s="49"/>
      <c r="BG504" s="49"/>
      <c r="BH504" s="49"/>
      <c r="BI504" s="49"/>
      <c r="BJ504" s="49"/>
      <c r="BK504" s="111" t="s">
        <v>4844</v>
      </c>
      <c r="BL504" s="111" t="s">
        <v>4844</v>
      </c>
      <c r="BM504" s="111" t="s">
        <v>5312</v>
      </c>
      <c r="BN504" s="111" t="s">
        <v>5312</v>
      </c>
      <c r="BO504" s="2"/>
      <c r="BP504" s="3"/>
      <c r="BQ504" s="3"/>
      <c r="BR504" s="3"/>
      <c r="BS504" s="3"/>
    </row>
    <row r="505" spans="1:71" ht="15">
      <c r="A505" s="65" t="s">
        <v>725</v>
      </c>
      <c r="B505" s="66"/>
      <c r="C505" s="66"/>
      <c r="D505" s="67">
        <v>150</v>
      </c>
      <c r="E505" s="69"/>
      <c r="F505" s="103" t="str">
        <f>HYPERLINK("https://yt3.ggpht.com/ytc/AKedOLRn6-j9opUk2THsurqieT3joP6e6BNaCngpEg=s88-c-k-c0x00ffffff-no-rj")</f>
        <v>https://yt3.ggpht.com/ytc/AKedOLRn6-j9opUk2THsurqieT3joP6e6BNaCngpEg=s88-c-k-c0x00ffffff-no-rj</v>
      </c>
      <c r="G505" s="66"/>
      <c r="H505" s="70" t="s">
        <v>2053</v>
      </c>
      <c r="I505" s="71"/>
      <c r="J505" s="71" t="s">
        <v>159</v>
      </c>
      <c r="K505" s="70" t="s">
        <v>2053</v>
      </c>
      <c r="L505" s="74">
        <v>1</v>
      </c>
      <c r="M505" s="75">
        <v>6931.35400390625</v>
      </c>
      <c r="N505" s="75">
        <v>5608.73828125</v>
      </c>
      <c r="O505" s="76"/>
      <c r="P505" s="77"/>
      <c r="Q505" s="77"/>
      <c r="R505" s="89"/>
      <c r="S505" s="49">
        <v>1</v>
      </c>
      <c r="T505" s="49">
        <v>1</v>
      </c>
      <c r="U505" s="50">
        <v>0</v>
      </c>
      <c r="V505" s="50">
        <v>0.002933</v>
      </c>
      <c r="W505" s="50">
        <v>0</v>
      </c>
      <c r="X505" s="50">
        <v>0.525855</v>
      </c>
      <c r="Y505" s="50">
        <v>0</v>
      </c>
      <c r="Z505" s="50">
        <v>1</v>
      </c>
      <c r="AA505" s="72">
        <v>505</v>
      </c>
      <c r="AB505" s="72"/>
      <c r="AC505" s="73"/>
      <c r="AD505" s="80" t="s">
        <v>2053</v>
      </c>
      <c r="AE505" s="80"/>
      <c r="AF505" s="80"/>
      <c r="AG505" s="80"/>
      <c r="AH505" s="80"/>
      <c r="AI505" s="80"/>
      <c r="AJ505" s="80" t="s">
        <v>3394</v>
      </c>
      <c r="AK505" s="85" t="str">
        <f>HYPERLINK("https://yt3.ggpht.com/ytc/AKedOLRn6-j9opUk2THsurqieT3joP6e6BNaCngpEg=s88-c-k-c0x00ffffff-no-rj")</f>
        <v>https://yt3.ggpht.com/ytc/AKedOLRn6-j9opUk2THsurqieT3joP6e6BNaCngpEg=s88-c-k-c0x00ffffff-no-rj</v>
      </c>
      <c r="AL505" s="80">
        <v>0</v>
      </c>
      <c r="AM505" s="80">
        <v>0</v>
      </c>
      <c r="AN505" s="80">
        <v>10</v>
      </c>
      <c r="AO505" s="80" t="b">
        <v>0</v>
      </c>
      <c r="AP505" s="80">
        <v>0</v>
      </c>
      <c r="AQ505" s="80"/>
      <c r="AR505" s="80"/>
      <c r="AS505" s="80" t="s">
        <v>3412</v>
      </c>
      <c r="AT505" s="85" t="str">
        <f>HYPERLINK("https://www.youtube.com/channel/UC9eAx4k9U2-MfIgrk6Lprgg")</f>
        <v>https://www.youtube.com/channel/UC9eAx4k9U2-MfIgrk6Lprgg</v>
      </c>
      <c r="AU505" s="80" t="str">
        <f>REPLACE(INDEX(GroupVertices[Group],MATCH(Vertices[[#This Row],[Vertex]],GroupVertices[Vertex],0)),1,1,"")</f>
        <v>4</v>
      </c>
      <c r="AV505" s="49">
        <v>1</v>
      </c>
      <c r="AW505" s="50">
        <v>3.8461538461538463</v>
      </c>
      <c r="AX505" s="49">
        <v>0</v>
      </c>
      <c r="AY505" s="50">
        <v>0</v>
      </c>
      <c r="AZ505" s="49">
        <v>0</v>
      </c>
      <c r="BA505" s="50">
        <v>0</v>
      </c>
      <c r="BB505" s="49">
        <v>25</v>
      </c>
      <c r="BC505" s="50">
        <v>96.15384615384616</v>
      </c>
      <c r="BD505" s="49">
        <v>26</v>
      </c>
      <c r="BE505" s="49"/>
      <c r="BF505" s="49"/>
      <c r="BG505" s="49"/>
      <c r="BH505" s="49"/>
      <c r="BI505" s="49"/>
      <c r="BJ505" s="49"/>
      <c r="BK505" s="111" t="s">
        <v>4845</v>
      </c>
      <c r="BL505" s="111" t="s">
        <v>4845</v>
      </c>
      <c r="BM505" s="111" t="s">
        <v>5313</v>
      </c>
      <c r="BN505" s="111" t="s">
        <v>5313</v>
      </c>
      <c r="BO505" s="2"/>
      <c r="BP505" s="3"/>
      <c r="BQ505" s="3"/>
      <c r="BR505" s="3"/>
      <c r="BS505" s="3"/>
    </row>
    <row r="506" spans="1:71" ht="15">
      <c r="A506" s="65" t="s">
        <v>726</v>
      </c>
      <c r="B506" s="66"/>
      <c r="C506" s="66"/>
      <c r="D506" s="67">
        <v>150</v>
      </c>
      <c r="E506" s="69"/>
      <c r="F506" s="103" t="str">
        <f>HYPERLINK("https://yt3.ggpht.com/ytc/AKedOLSMUOOK8pggzNmsWUs_DYQtCN5cAfsoFtIfnqWJmA=s88-c-k-c0x00ffffff-no-rj")</f>
        <v>https://yt3.ggpht.com/ytc/AKedOLSMUOOK8pggzNmsWUs_DYQtCN5cAfsoFtIfnqWJmA=s88-c-k-c0x00ffffff-no-rj</v>
      </c>
      <c r="G506" s="66"/>
      <c r="H506" s="70" t="s">
        <v>2054</v>
      </c>
      <c r="I506" s="71"/>
      <c r="J506" s="71" t="s">
        <v>159</v>
      </c>
      <c r="K506" s="70" t="s">
        <v>2054</v>
      </c>
      <c r="L506" s="74">
        <v>1</v>
      </c>
      <c r="M506" s="75">
        <v>5250.75244140625</v>
      </c>
      <c r="N506" s="75">
        <v>4623.81494140625</v>
      </c>
      <c r="O506" s="76"/>
      <c r="P506" s="77"/>
      <c r="Q506" s="77"/>
      <c r="R506" s="89"/>
      <c r="S506" s="49">
        <v>1</v>
      </c>
      <c r="T506" s="49">
        <v>1</v>
      </c>
      <c r="U506" s="50">
        <v>0</v>
      </c>
      <c r="V506" s="50">
        <v>0.002933</v>
      </c>
      <c r="W506" s="50">
        <v>0</v>
      </c>
      <c r="X506" s="50">
        <v>0.525855</v>
      </c>
      <c r="Y506" s="50">
        <v>0</v>
      </c>
      <c r="Z506" s="50">
        <v>1</v>
      </c>
      <c r="AA506" s="72">
        <v>506</v>
      </c>
      <c r="AB506" s="72"/>
      <c r="AC506" s="73"/>
      <c r="AD506" s="80" t="s">
        <v>2054</v>
      </c>
      <c r="AE506" s="80" t="s">
        <v>2990</v>
      </c>
      <c r="AF506" s="80"/>
      <c r="AG506" s="80"/>
      <c r="AH506" s="80"/>
      <c r="AI506" s="80"/>
      <c r="AJ506" s="87">
        <v>39366.840162037035</v>
      </c>
      <c r="AK506" s="85" t="str">
        <f>HYPERLINK("https://yt3.ggpht.com/ytc/AKedOLSMUOOK8pggzNmsWUs_DYQtCN5cAfsoFtIfnqWJmA=s88-c-k-c0x00ffffff-no-rj")</f>
        <v>https://yt3.ggpht.com/ytc/AKedOLSMUOOK8pggzNmsWUs_DYQtCN5cAfsoFtIfnqWJmA=s88-c-k-c0x00ffffff-no-rj</v>
      </c>
      <c r="AL506" s="80">
        <v>3906685</v>
      </c>
      <c r="AM506" s="80">
        <v>0</v>
      </c>
      <c r="AN506" s="80">
        <v>5620</v>
      </c>
      <c r="AO506" s="80" t="b">
        <v>0</v>
      </c>
      <c r="AP506" s="80">
        <v>682</v>
      </c>
      <c r="AQ506" s="80"/>
      <c r="AR506" s="80"/>
      <c r="AS506" s="80" t="s">
        <v>3412</v>
      </c>
      <c r="AT506" s="85" t="str">
        <f>HYPERLINK("https://www.youtube.com/channel/UC-lMDmalvYSq1BI7zNiTDaw")</f>
        <v>https://www.youtube.com/channel/UC-lMDmalvYSq1BI7zNiTDaw</v>
      </c>
      <c r="AU506" s="80" t="str">
        <f>REPLACE(INDEX(GroupVertices[Group],MATCH(Vertices[[#This Row],[Vertex]],GroupVertices[Vertex],0)),1,1,"")</f>
        <v>4</v>
      </c>
      <c r="AV506" s="49">
        <v>1</v>
      </c>
      <c r="AW506" s="50">
        <v>4.761904761904762</v>
      </c>
      <c r="AX506" s="49">
        <v>0</v>
      </c>
      <c r="AY506" s="50">
        <v>0</v>
      </c>
      <c r="AZ506" s="49">
        <v>0</v>
      </c>
      <c r="BA506" s="50">
        <v>0</v>
      </c>
      <c r="BB506" s="49">
        <v>20</v>
      </c>
      <c r="BC506" s="50">
        <v>95.23809523809524</v>
      </c>
      <c r="BD506" s="49">
        <v>21</v>
      </c>
      <c r="BE506" s="49"/>
      <c r="BF506" s="49"/>
      <c r="BG506" s="49"/>
      <c r="BH506" s="49"/>
      <c r="BI506" s="49"/>
      <c r="BJ506" s="49"/>
      <c r="BK506" s="111" t="s">
        <v>4846</v>
      </c>
      <c r="BL506" s="111" t="s">
        <v>4846</v>
      </c>
      <c r="BM506" s="111" t="s">
        <v>5314</v>
      </c>
      <c r="BN506" s="111" t="s">
        <v>5314</v>
      </c>
      <c r="BO506" s="2"/>
      <c r="BP506" s="3"/>
      <c r="BQ506" s="3"/>
      <c r="BR506" s="3"/>
      <c r="BS506" s="3"/>
    </row>
    <row r="507" spans="1:71" ht="15">
      <c r="A507" s="65" t="s">
        <v>727</v>
      </c>
      <c r="B507" s="66"/>
      <c r="C507" s="66"/>
      <c r="D507" s="67">
        <v>150</v>
      </c>
      <c r="E507" s="69"/>
      <c r="F507" s="103" t="str">
        <f>HYPERLINK("https://yt3.ggpht.com/ytc/AKedOLQSihbKENa5zy3qweecsKZYY0cr59L48IAdqoKUTQ=s88-c-k-c0x00ffffff-no-rj")</f>
        <v>https://yt3.ggpht.com/ytc/AKedOLQSihbKENa5zy3qweecsKZYY0cr59L48IAdqoKUTQ=s88-c-k-c0x00ffffff-no-rj</v>
      </c>
      <c r="G507" s="66"/>
      <c r="H507" s="70" t="s">
        <v>2055</v>
      </c>
      <c r="I507" s="71"/>
      <c r="J507" s="71" t="s">
        <v>159</v>
      </c>
      <c r="K507" s="70" t="s">
        <v>2055</v>
      </c>
      <c r="L507" s="74">
        <v>1</v>
      </c>
      <c r="M507" s="75">
        <v>3902.097900390625</v>
      </c>
      <c r="N507" s="75">
        <v>5354.97021484375</v>
      </c>
      <c r="O507" s="76"/>
      <c r="P507" s="77"/>
      <c r="Q507" s="77"/>
      <c r="R507" s="89"/>
      <c r="S507" s="49">
        <v>1</v>
      </c>
      <c r="T507" s="49">
        <v>1</v>
      </c>
      <c r="U507" s="50">
        <v>0</v>
      </c>
      <c r="V507" s="50">
        <v>0.002933</v>
      </c>
      <c r="W507" s="50">
        <v>0</v>
      </c>
      <c r="X507" s="50">
        <v>0.525855</v>
      </c>
      <c r="Y507" s="50">
        <v>0</v>
      </c>
      <c r="Z507" s="50">
        <v>1</v>
      </c>
      <c r="AA507" s="72">
        <v>507</v>
      </c>
      <c r="AB507" s="72"/>
      <c r="AC507" s="73"/>
      <c r="AD507" s="80" t="s">
        <v>2055</v>
      </c>
      <c r="AE507" s="80" t="s">
        <v>2991</v>
      </c>
      <c r="AF507" s="80"/>
      <c r="AG507" s="80"/>
      <c r="AH507" s="80"/>
      <c r="AI507" s="80"/>
      <c r="AJ507" s="87">
        <v>40979.923425925925</v>
      </c>
      <c r="AK507" s="85" t="str">
        <f>HYPERLINK("https://yt3.ggpht.com/ytc/AKedOLQSihbKENa5zy3qweecsKZYY0cr59L48IAdqoKUTQ=s88-c-k-c0x00ffffff-no-rj")</f>
        <v>https://yt3.ggpht.com/ytc/AKedOLQSihbKENa5zy3qweecsKZYY0cr59L48IAdqoKUTQ=s88-c-k-c0x00ffffff-no-rj</v>
      </c>
      <c r="AL507" s="80">
        <v>597395</v>
      </c>
      <c r="AM507" s="80">
        <v>0</v>
      </c>
      <c r="AN507" s="80">
        <v>437</v>
      </c>
      <c r="AO507" s="80" t="b">
        <v>0</v>
      </c>
      <c r="AP507" s="80">
        <v>125</v>
      </c>
      <c r="AQ507" s="80"/>
      <c r="AR507" s="80"/>
      <c r="AS507" s="80" t="s">
        <v>3412</v>
      </c>
      <c r="AT507" s="85" t="str">
        <f>HYPERLINK("https://www.youtube.com/channel/UC-hDebHnHerDnjqU_Wz5owQ")</f>
        <v>https://www.youtube.com/channel/UC-hDebHnHerDnjqU_Wz5owQ</v>
      </c>
      <c r="AU507" s="80" t="str">
        <f>REPLACE(INDEX(GroupVertices[Group],MATCH(Vertices[[#This Row],[Vertex]],GroupVertices[Vertex],0)),1,1,"")</f>
        <v>4</v>
      </c>
      <c r="AV507" s="49">
        <v>3</v>
      </c>
      <c r="AW507" s="50">
        <v>11.11111111111111</v>
      </c>
      <c r="AX507" s="49">
        <v>1</v>
      </c>
      <c r="AY507" s="50">
        <v>3.7037037037037037</v>
      </c>
      <c r="AZ507" s="49">
        <v>0</v>
      </c>
      <c r="BA507" s="50">
        <v>0</v>
      </c>
      <c r="BB507" s="49">
        <v>23</v>
      </c>
      <c r="BC507" s="50">
        <v>85.18518518518519</v>
      </c>
      <c r="BD507" s="49">
        <v>27</v>
      </c>
      <c r="BE507" s="49"/>
      <c r="BF507" s="49"/>
      <c r="BG507" s="49"/>
      <c r="BH507" s="49"/>
      <c r="BI507" s="49"/>
      <c r="BJ507" s="49"/>
      <c r="BK507" s="111" t="s">
        <v>4847</v>
      </c>
      <c r="BL507" s="111" t="s">
        <v>4847</v>
      </c>
      <c r="BM507" s="111" t="s">
        <v>5315</v>
      </c>
      <c r="BN507" s="111" t="s">
        <v>5315</v>
      </c>
      <c r="BO507" s="2"/>
      <c r="BP507" s="3"/>
      <c r="BQ507" s="3"/>
      <c r="BR507" s="3"/>
      <c r="BS507" s="3"/>
    </row>
    <row r="508" spans="1:71" ht="15">
      <c r="A508" s="65" t="s">
        <v>728</v>
      </c>
      <c r="B508" s="66"/>
      <c r="C508" s="66"/>
      <c r="D508" s="67">
        <v>150</v>
      </c>
      <c r="E508" s="69"/>
      <c r="F508" s="103" t="str">
        <f>HYPERLINK("https://yt3.ggpht.com/ytc/AKedOLRIsjI5-w0gPXewdPZMVCZ1NVZPIMrKZ1NsAd0c6w=s88-c-k-c0x00ffffff-no-rj")</f>
        <v>https://yt3.ggpht.com/ytc/AKedOLRIsjI5-w0gPXewdPZMVCZ1NVZPIMrKZ1NsAd0c6w=s88-c-k-c0x00ffffff-no-rj</v>
      </c>
      <c r="G508" s="66"/>
      <c r="H508" s="70" t="s">
        <v>2056</v>
      </c>
      <c r="I508" s="71"/>
      <c r="J508" s="71" t="s">
        <v>159</v>
      </c>
      <c r="K508" s="70" t="s">
        <v>2056</v>
      </c>
      <c r="L508" s="74">
        <v>1</v>
      </c>
      <c r="M508" s="75">
        <v>5995.7001953125</v>
      </c>
      <c r="N508" s="75">
        <v>6053.89306640625</v>
      </c>
      <c r="O508" s="76"/>
      <c r="P508" s="77"/>
      <c r="Q508" s="77"/>
      <c r="R508" s="89"/>
      <c r="S508" s="49">
        <v>0</v>
      </c>
      <c r="T508" s="49">
        <v>1</v>
      </c>
      <c r="U508" s="50">
        <v>0</v>
      </c>
      <c r="V508" s="50">
        <v>0.002933</v>
      </c>
      <c r="W508" s="50">
        <v>0</v>
      </c>
      <c r="X508" s="50">
        <v>0.525855</v>
      </c>
      <c r="Y508" s="50">
        <v>0</v>
      </c>
      <c r="Z508" s="50">
        <v>0</v>
      </c>
      <c r="AA508" s="72">
        <v>508</v>
      </c>
      <c r="AB508" s="72"/>
      <c r="AC508" s="73"/>
      <c r="AD508" s="80" t="s">
        <v>2056</v>
      </c>
      <c r="AE508" s="80" t="s">
        <v>2992</v>
      </c>
      <c r="AF508" s="80"/>
      <c r="AG508" s="80"/>
      <c r="AH508" s="80"/>
      <c r="AI508" s="80" t="s">
        <v>3091</v>
      </c>
      <c r="AJ508" s="80" t="s">
        <v>3395</v>
      </c>
      <c r="AK508" s="85" t="str">
        <f>HYPERLINK("https://yt3.ggpht.com/ytc/AKedOLRIsjI5-w0gPXewdPZMVCZ1NVZPIMrKZ1NsAd0c6w=s88-c-k-c0x00ffffff-no-rj")</f>
        <v>https://yt3.ggpht.com/ytc/AKedOLRIsjI5-w0gPXewdPZMVCZ1NVZPIMrKZ1NsAd0c6w=s88-c-k-c0x00ffffff-no-rj</v>
      </c>
      <c r="AL508" s="80">
        <v>17507509</v>
      </c>
      <c r="AM508" s="80">
        <v>0</v>
      </c>
      <c r="AN508" s="80">
        <v>124000</v>
      </c>
      <c r="AO508" s="80" t="b">
        <v>0</v>
      </c>
      <c r="AP508" s="80">
        <v>84</v>
      </c>
      <c r="AQ508" s="80"/>
      <c r="AR508" s="80"/>
      <c r="AS508" s="80" t="s">
        <v>3412</v>
      </c>
      <c r="AT508" s="85" t="str">
        <f>HYPERLINK("https://www.youtube.com/channel/UCs9MJ-TmN0-CLY2eNBHAltw")</f>
        <v>https://www.youtube.com/channel/UCs9MJ-TmN0-CLY2eNBHAltw</v>
      </c>
      <c r="AU508" s="80" t="str">
        <f>REPLACE(INDEX(GroupVertices[Group],MATCH(Vertices[[#This Row],[Vertex]],GroupVertices[Vertex],0)),1,1,"")</f>
        <v>4</v>
      </c>
      <c r="AV508" s="49">
        <v>1</v>
      </c>
      <c r="AW508" s="50">
        <v>50</v>
      </c>
      <c r="AX508" s="49">
        <v>0</v>
      </c>
      <c r="AY508" s="50">
        <v>0</v>
      </c>
      <c r="AZ508" s="49">
        <v>0</v>
      </c>
      <c r="BA508" s="50">
        <v>0</v>
      </c>
      <c r="BB508" s="49">
        <v>1</v>
      </c>
      <c r="BC508" s="50">
        <v>50</v>
      </c>
      <c r="BD508" s="49">
        <v>2</v>
      </c>
      <c r="BE508" s="49"/>
      <c r="BF508" s="49"/>
      <c r="BG508" s="49"/>
      <c r="BH508" s="49"/>
      <c r="BI508" s="49"/>
      <c r="BJ508" s="49"/>
      <c r="BK508" s="111" t="s">
        <v>4848</v>
      </c>
      <c r="BL508" s="111" t="s">
        <v>4848</v>
      </c>
      <c r="BM508" s="111" t="s">
        <v>4318</v>
      </c>
      <c r="BN508" s="111" t="s">
        <v>4318</v>
      </c>
      <c r="BO508" s="2"/>
      <c r="BP508" s="3"/>
      <c r="BQ508" s="3"/>
      <c r="BR508" s="3"/>
      <c r="BS508" s="3"/>
    </row>
    <row r="509" spans="1:71" ht="15">
      <c r="A509" s="65" t="s">
        <v>729</v>
      </c>
      <c r="B509" s="66"/>
      <c r="C509" s="66"/>
      <c r="D509" s="67">
        <v>150</v>
      </c>
      <c r="E509" s="69"/>
      <c r="F509" s="103" t="str">
        <f>HYPERLINK("https://yt3.ggpht.com/ytc/AKedOLQHsZ02ZgukKffy2lF1AqcapEOZPcOcDnRLyiVM=s88-c-k-c0x00ffffff-no-rj")</f>
        <v>https://yt3.ggpht.com/ytc/AKedOLQHsZ02ZgukKffy2lF1AqcapEOZPcOcDnRLyiVM=s88-c-k-c0x00ffffff-no-rj</v>
      </c>
      <c r="G509" s="66"/>
      <c r="H509" s="70" t="s">
        <v>2057</v>
      </c>
      <c r="I509" s="71"/>
      <c r="J509" s="71" t="s">
        <v>159</v>
      </c>
      <c r="K509" s="70" t="s">
        <v>2057</v>
      </c>
      <c r="L509" s="74">
        <v>1</v>
      </c>
      <c r="M509" s="75">
        <v>3374.66259765625</v>
      </c>
      <c r="N509" s="75">
        <v>5376.75537109375</v>
      </c>
      <c r="O509" s="76"/>
      <c r="P509" s="77"/>
      <c r="Q509" s="77"/>
      <c r="R509" s="89"/>
      <c r="S509" s="49">
        <v>0</v>
      </c>
      <c r="T509" s="49">
        <v>1</v>
      </c>
      <c r="U509" s="50">
        <v>0</v>
      </c>
      <c r="V509" s="50">
        <v>0.002933</v>
      </c>
      <c r="W509" s="50">
        <v>0</v>
      </c>
      <c r="X509" s="50">
        <v>0.525855</v>
      </c>
      <c r="Y509" s="50">
        <v>0</v>
      </c>
      <c r="Z509" s="50">
        <v>0</v>
      </c>
      <c r="AA509" s="72">
        <v>509</v>
      </c>
      <c r="AB509" s="72"/>
      <c r="AC509" s="73"/>
      <c r="AD509" s="80" t="s">
        <v>2057</v>
      </c>
      <c r="AE509" s="80" t="s">
        <v>2993</v>
      </c>
      <c r="AF509" s="80"/>
      <c r="AG509" s="80"/>
      <c r="AH509" s="80"/>
      <c r="AI509" s="80" t="s">
        <v>3092</v>
      </c>
      <c r="AJ509" s="87">
        <v>43407.98533564815</v>
      </c>
      <c r="AK509" s="85" t="str">
        <f>HYPERLINK("https://yt3.ggpht.com/ytc/AKedOLQHsZ02ZgukKffy2lF1AqcapEOZPcOcDnRLyiVM=s88-c-k-c0x00ffffff-no-rj")</f>
        <v>https://yt3.ggpht.com/ytc/AKedOLQHsZ02ZgukKffy2lF1AqcapEOZPcOcDnRLyiVM=s88-c-k-c0x00ffffff-no-rj</v>
      </c>
      <c r="AL509" s="80">
        <v>6080819</v>
      </c>
      <c r="AM509" s="80">
        <v>0</v>
      </c>
      <c r="AN509" s="80">
        <v>34800</v>
      </c>
      <c r="AO509" s="80" t="b">
        <v>0</v>
      </c>
      <c r="AP509" s="80">
        <v>396</v>
      </c>
      <c r="AQ509" s="80"/>
      <c r="AR509" s="80"/>
      <c r="AS509" s="80" t="s">
        <v>3412</v>
      </c>
      <c r="AT509" s="85" t="str">
        <f>HYPERLINK("https://www.youtube.com/channel/UCeLqxe2Fyy1zpvb36shuJGw")</f>
        <v>https://www.youtube.com/channel/UCeLqxe2Fyy1zpvb36shuJGw</v>
      </c>
      <c r="AU509" s="80" t="str">
        <f>REPLACE(INDEX(GroupVertices[Group],MATCH(Vertices[[#This Row],[Vertex]],GroupVertices[Vertex],0)),1,1,"")</f>
        <v>4</v>
      </c>
      <c r="AV509" s="49">
        <v>3</v>
      </c>
      <c r="AW509" s="50">
        <v>30</v>
      </c>
      <c r="AX509" s="49">
        <v>0</v>
      </c>
      <c r="AY509" s="50">
        <v>0</v>
      </c>
      <c r="AZ509" s="49">
        <v>0</v>
      </c>
      <c r="BA509" s="50">
        <v>0</v>
      </c>
      <c r="BB509" s="49">
        <v>7</v>
      </c>
      <c r="BC509" s="50">
        <v>70</v>
      </c>
      <c r="BD509" s="49">
        <v>10</v>
      </c>
      <c r="BE509" s="49"/>
      <c r="BF509" s="49"/>
      <c r="BG509" s="49"/>
      <c r="BH509" s="49"/>
      <c r="BI509" s="49"/>
      <c r="BJ509" s="49"/>
      <c r="BK509" s="111" t="s">
        <v>4849</v>
      </c>
      <c r="BL509" s="111" t="s">
        <v>4849</v>
      </c>
      <c r="BM509" s="111" t="s">
        <v>5316</v>
      </c>
      <c r="BN509" s="111" t="s">
        <v>5316</v>
      </c>
      <c r="BO509" s="2"/>
      <c r="BP509" s="3"/>
      <c r="BQ509" s="3"/>
      <c r="BR509" s="3"/>
      <c r="BS509" s="3"/>
    </row>
    <row r="510" spans="1:71" ht="15">
      <c r="A510" s="65" t="s">
        <v>730</v>
      </c>
      <c r="B510" s="66"/>
      <c r="C510" s="66"/>
      <c r="D510" s="67">
        <v>150</v>
      </c>
      <c r="E510" s="69"/>
      <c r="F510" s="103" t="str">
        <f>HYPERLINK("https://yt3.ggpht.com/ytc/AKedOLR0l2ngqXWG7vSg7kFbvOgHu8I82XyWwoqysM8C6Q=s88-c-k-c0x00ffffff-no-rj")</f>
        <v>https://yt3.ggpht.com/ytc/AKedOLR0l2ngqXWG7vSg7kFbvOgHu8I82XyWwoqysM8C6Q=s88-c-k-c0x00ffffff-no-rj</v>
      </c>
      <c r="G510" s="66"/>
      <c r="H510" s="70" t="s">
        <v>2058</v>
      </c>
      <c r="I510" s="71"/>
      <c r="J510" s="71" t="s">
        <v>159</v>
      </c>
      <c r="K510" s="70" t="s">
        <v>2058</v>
      </c>
      <c r="L510" s="74">
        <v>1</v>
      </c>
      <c r="M510" s="75">
        <v>4744.61376953125</v>
      </c>
      <c r="N510" s="75">
        <v>4629.0693359375</v>
      </c>
      <c r="O510" s="76"/>
      <c r="P510" s="77"/>
      <c r="Q510" s="77"/>
      <c r="R510" s="89"/>
      <c r="S510" s="49">
        <v>1</v>
      </c>
      <c r="T510" s="49">
        <v>1</v>
      </c>
      <c r="U510" s="50">
        <v>0</v>
      </c>
      <c r="V510" s="50">
        <v>0.002933</v>
      </c>
      <c r="W510" s="50">
        <v>0</v>
      </c>
      <c r="X510" s="50">
        <v>0.525855</v>
      </c>
      <c r="Y510" s="50">
        <v>0</v>
      </c>
      <c r="Z510" s="50">
        <v>1</v>
      </c>
      <c r="AA510" s="72">
        <v>510</v>
      </c>
      <c r="AB510" s="72"/>
      <c r="AC510" s="73"/>
      <c r="AD510" s="80" t="s">
        <v>2058</v>
      </c>
      <c r="AE510" s="80" t="s">
        <v>2994</v>
      </c>
      <c r="AF510" s="80"/>
      <c r="AG510" s="80"/>
      <c r="AH510" s="80"/>
      <c r="AI510" s="80"/>
      <c r="AJ510" s="87">
        <v>40858.52510416666</v>
      </c>
      <c r="AK510" s="85" t="str">
        <f>HYPERLINK("https://yt3.ggpht.com/ytc/AKedOLR0l2ngqXWG7vSg7kFbvOgHu8I82XyWwoqysM8C6Q=s88-c-k-c0x00ffffff-no-rj")</f>
        <v>https://yt3.ggpht.com/ytc/AKedOLR0l2ngqXWG7vSg7kFbvOgHu8I82XyWwoqysM8C6Q=s88-c-k-c0x00ffffff-no-rj</v>
      </c>
      <c r="AL510" s="80">
        <v>149</v>
      </c>
      <c r="AM510" s="80">
        <v>0</v>
      </c>
      <c r="AN510" s="80">
        <v>16</v>
      </c>
      <c r="AO510" s="80" t="b">
        <v>0</v>
      </c>
      <c r="AP510" s="80">
        <v>2</v>
      </c>
      <c r="AQ510" s="80"/>
      <c r="AR510" s="80"/>
      <c r="AS510" s="80" t="s">
        <v>3412</v>
      </c>
      <c r="AT510" s="85" t="str">
        <f>HYPERLINK("https://www.youtube.com/channel/UCyOnDaKILlNWEmejJMiuKGg")</f>
        <v>https://www.youtube.com/channel/UCyOnDaKILlNWEmejJMiuKGg</v>
      </c>
      <c r="AU510" s="80" t="str">
        <f>REPLACE(INDEX(GroupVertices[Group],MATCH(Vertices[[#This Row],[Vertex]],GroupVertices[Vertex],0)),1,1,"")</f>
        <v>4</v>
      </c>
      <c r="AV510" s="49">
        <v>1</v>
      </c>
      <c r="AW510" s="50">
        <v>25</v>
      </c>
      <c r="AX510" s="49">
        <v>0</v>
      </c>
      <c r="AY510" s="50">
        <v>0</v>
      </c>
      <c r="AZ510" s="49">
        <v>0</v>
      </c>
      <c r="BA510" s="50">
        <v>0</v>
      </c>
      <c r="BB510" s="49">
        <v>3</v>
      </c>
      <c r="BC510" s="50">
        <v>75</v>
      </c>
      <c r="BD510" s="49">
        <v>4</v>
      </c>
      <c r="BE510" s="49"/>
      <c r="BF510" s="49"/>
      <c r="BG510" s="49"/>
      <c r="BH510" s="49"/>
      <c r="BI510" s="49"/>
      <c r="BJ510" s="49"/>
      <c r="BK510" s="111" t="s">
        <v>3456</v>
      </c>
      <c r="BL510" s="111" t="s">
        <v>3456</v>
      </c>
      <c r="BM510" s="111" t="s">
        <v>2782</v>
      </c>
      <c r="BN510" s="111" t="s">
        <v>2782</v>
      </c>
      <c r="BO510" s="2"/>
      <c r="BP510" s="3"/>
      <c r="BQ510" s="3"/>
      <c r="BR510" s="3"/>
      <c r="BS510" s="3"/>
    </row>
    <row r="511" spans="1:71" ht="15">
      <c r="A511" s="65" t="s">
        <v>731</v>
      </c>
      <c r="B511" s="66"/>
      <c r="C511" s="66"/>
      <c r="D511" s="67">
        <v>150</v>
      </c>
      <c r="E511" s="69"/>
      <c r="F511" s="103" t="str">
        <f>HYPERLINK("https://yt3.ggpht.com/ytc/AKedOLQ7HS5LT9l9aMgMFgjbBOw87FD-ZcWltf4UgU-zvQ=s88-c-k-c0x00ffffff-no-rj")</f>
        <v>https://yt3.ggpht.com/ytc/AKedOLQ7HS5LT9l9aMgMFgjbBOw87FD-ZcWltf4UgU-zvQ=s88-c-k-c0x00ffffff-no-rj</v>
      </c>
      <c r="G511" s="66"/>
      <c r="H511" s="70" t="s">
        <v>2059</v>
      </c>
      <c r="I511" s="71"/>
      <c r="J511" s="71" t="s">
        <v>159</v>
      </c>
      <c r="K511" s="70" t="s">
        <v>2059</v>
      </c>
      <c r="L511" s="74">
        <v>1</v>
      </c>
      <c r="M511" s="75">
        <v>4614.30859375</v>
      </c>
      <c r="N511" s="75">
        <v>5263.849609375</v>
      </c>
      <c r="O511" s="76"/>
      <c r="P511" s="77"/>
      <c r="Q511" s="77"/>
      <c r="R511" s="89"/>
      <c r="S511" s="49">
        <v>1</v>
      </c>
      <c r="T511" s="49">
        <v>1</v>
      </c>
      <c r="U511" s="50">
        <v>0</v>
      </c>
      <c r="V511" s="50">
        <v>0.002933</v>
      </c>
      <c r="W511" s="50">
        <v>0</v>
      </c>
      <c r="X511" s="50">
        <v>0.525855</v>
      </c>
      <c r="Y511" s="50">
        <v>0</v>
      </c>
      <c r="Z511" s="50">
        <v>1</v>
      </c>
      <c r="AA511" s="72">
        <v>511</v>
      </c>
      <c r="AB511" s="72"/>
      <c r="AC511" s="73"/>
      <c r="AD511" s="80" t="s">
        <v>2059</v>
      </c>
      <c r="AE511" s="80" t="s">
        <v>2995</v>
      </c>
      <c r="AF511" s="80"/>
      <c r="AG511" s="80"/>
      <c r="AH511" s="80"/>
      <c r="AI511" s="80"/>
      <c r="AJ511" s="80" t="s">
        <v>3396</v>
      </c>
      <c r="AK511" s="85" t="str">
        <f>HYPERLINK("https://yt3.ggpht.com/ytc/AKedOLQ7HS5LT9l9aMgMFgjbBOw87FD-ZcWltf4UgU-zvQ=s88-c-k-c0x00ffffff-no-rj")</f>
        <v>https://yt3.ggpht.com/ytc/AKedOLQ7HS5LT9l9aMgMFgjbBOw87FD-ZcWltf4UgU-zvQ=s88-c-k-c0x00ffffff-no-rj</v>
      </c>
      <c r="AL511" s="80">
        <v>8644</v>
      </c>
      <c r="AM511" s="80">
        <v>0</v>
      </c>
      <c r="AN511" s="80">
        <v>30</v>
      </c>
      <c r="AO511" s="80" t="b">
        <v>0</v>
      </c>
      <c r="AP511" s="80">
        <v>28</v>
      </c>
      <c r="AQ511" s="80"/>
      <c r="AR511" s="80"/>
      <c r="AS511" s="80" t="s">
        <v>3412</v>
      </c>
      <c r="AT511" s="85" t="str">
        <f>HYPERLINK("https://www.youtube.com/channel/UCdQ9iOrNVbO94hDax02BryA")</f>
        <v>https://www.youtube.com/channel/UCdQ9iOrNVbO94hDax02BryA</v>
      </c>
      <c r="AU511" s="80" t="str">
        <f>REPLACE(INDEX(GroupVertices[Group],MATCH(Vertices[[#This Row],[Vertex]],GroupVertices[Vertex],0)),1,1,"")</f>
        <v>4</v>
      </c>
      <c r="AV511" s="49">
        <v>2</v>
      </c>
      <c r="AW511" s="50">
        <v>6.25</v>
      </c>
      <c r="AX511" s="49">
        <v>0</v>
      </c>
      <c r="AY511" s="50">
        <v>0</v>
      </c>
      <c r="AZ511" s="49">
        <v>0</v>
      </c>
      <c r="BA511" s="50">
        <v>0</v>
      </c>
      <c r="BB511" s="49">
        <v>30</v>
      </c>
      <c r="BC511" s="50">
        <v>93.75</v>
      </c>
      <c r="BD511" s="49">
        <v>32</v>
      </c>
      <c r="BE511" s="49"/>
      <c r="BF511" s="49"/>
      <c r="BG511" s="49"/>
      <c r="BH511" s="49"/>
      <c r="BI511" s="49"/>
      <c r="BJ511" s="49"/>
      <c r="BK511" s="111" t="s">
        <v>4850</v>
      </c>
      <c r="BL511" s="111" t="s">
        <v>4850</v>
      </c>
      <c r="BM511" s="111" t="s">
        <v>5317</v>
      </c>
      <c r="BN511" s="111" t="s">
        <v>5317</v>
      </c>
      <c r="BO511" s="2"/>
      <c r="BP511" s="3"/>
      <c r="BQ511" s="3"/>
      <c r="BR511" s="3"/>
      <c r="BS511" s="3"/>
    </row>
    <row r="512" spans="1:71" ht="15">
      <c r="A512" s="65" t="s">
        <v>732</v>
      </c>
      <c r="B512" s="66"/>
      <c r="C512" s="66"/>
      <c r="D512" s="67">
        <v>150</v>
      </c>
      <c r="E512" s="69"/>
      <c r="F512" s="103" t="str">
        <f>HYPERLINK("https://yt3.ggpht.com/ytc/AKedOLTXXPGGklpoMBvY4jiLjOMBYsKacu9b9VL0rAAx9g=s88-c-k-c0x00ffffff-no-rj")</f>
        <v>https://yt3.ggpht.com/ytc/AKedOLTXXPGGklpoMBvY4jiLjOMBYsKacu9b9VL0rAAx9g=s88-c-k-c0x00ffffff-no-rj</v>
      </c>
      <c r="G512" s="66"/>
      <c r="H512" s="70" t="s">
        <v>2060</v>
      </c>
      <c r="I512" s="71"/>
      <c r="J512" s="71" t="s">
        <v>159</v>
      </c>
      <c r="K512" s="70" t="s">
        <v>2060</v>
      </c>
      <c r="L512" s="74">
        <v>1</v>
      </c>
      <c r="M512" s="75">
        <v>5792.380859375</v>
      </c>
      <c r="N512" s="75">
        <v>6245.33056640625</v>
      </c>
      <c r="O512" s="76"/>
      <c r="P512" s="77"/>
      <c r="Q512" s="77"/>
      <c r="R512" s="89"/>
      <c r="S512" s="49">
        <v>0</v>
      </c>
      <c r="T512" s="49">
        <v>1</v>
      </c>
      <c r="U512" s="50">
        <v>0</v>
      </c>
      <c r="V512" s="50">
        <v>0.002933</v>
      </c>
      <c r="W512" s="50">
        <v>0</v>
      </c>
      <c r="X512" s="50">
        <v>0.525855</v>
      </c>
      <c r="Y512" s="50">
        <v>0</v>
      </c>
      <c r="Z512" s="50">
        <v>0</v>
      </c>
      <c r="AA512" s="72">
        <v>512</v>
      </c>
      <c r="AB512" s="72"/>
      <c r="AC512" s="73"/>
      <c r="AD512" s="80" t="s">
        <v>2060</v>
      </c>
      <c r="AE512" s="80"/>
      <c r="AF512" s="80"/>
      <c r="AG512" s="80"/>
      <c r="AH512" s="80"/>
      <c r="AI512" s="80"/>
      <c r="AJ512" s="80" t="s">
        <v>3397</v>
      </c>
      <c r="AK512" s="85" t="str">
        <f>HYPERLINK("https://yt3.ggpht.com/ytc/AKedOLTXXPGGklpoMBvY4jiLjOMBYsKacu9b9VL0rAAx9g=s88-c-k-c0x00ffffff-no-rj")</f>
        <v>https://yt3.ggpht.com/ytc/AKedOLTXXPGGklpoMBvY4jiLjOMBYsKacu9b9VL0rAAx9g=s88-c-k-c0x00ffffff-no-rj</v>
      </c>
      <c r="AL512" s="80">
        <v>0</v>
      </c>
      <c r="AM512" s="80">
        <v>0</v>
      </c>
      <c r="AN512" s="80">
        <v>0</v>
      </c>
      <c r="AO512" s="80" t="b">
        <v>0</v>
      </c>
      <c r="AP512" s="80">
        <v>0</v>
      </c>
      <c r="AQ512" s="80"/>
      <c r="AR512" s="80"/>
      <c r="AS512" s="80" t="s">
        <v>3412</v>
      </c>
      <c r="AT512" s="85" t="str">
        <f>HYPERLINK("https://www.youtube.com/channel/UCBBX3hvZHXUnGPnFCoEobwA")</f>
        <v>https://www.youtube.com/channel/UCBBX3hvZHXUnGPnFCoEobwA</v>
      </c>
      <c r="AU512" s="80" t="str">
        <f>REPLACE(INDEX(GroupVertices[Group],MATCH(Vertices[[#This Row],[Vertex]],GroupVertices[Vertex],0)),1,1,"")</f>
        <v>4</v>
      </c>
      <c r="AV512" s="49">
        <v>1</v>
      </c>
      <c r="AW512" s="50">
        <v>33.333333333333336</v>
      </c>
      <c r="AX512" s="49">
        <v>0</v>
      </c>
      <c r="AY512" s="50">
        <v>0</v>
      </c>
      <c r="AZ512" s="49">
        <v>0</v>
      </c>
      <c r="BA512" s="50">
        <v>0</v>
      </c>
      <c r="BB512" s="49">
        <v>2</v>
      </c>
      <c r="BC512" s="50">
        <v>66.66666666666667</v>
      </c>
      <c r="BD512" s="49">
        <v>3</v>
      </c>
      <c r="BE512" s="49"/>
      <c r="BF512" s="49"/>
      <c r="BG512" s="49"/>
      <c r="BH512" s="49"/>
      <c r="BI512" s="49"/>
      <c r="BJ512" s="49"/>
      <c r="BK512" s="111" t="s">
        <v>4851</v>
      </c>
      <c r="BL512" s="111" t="s">
        <v>4851</v>
      </c>
      <c r="BM512" s="111" t="s">
        <v>5318</v>
      </c>
      <c r="BN512" s="111" t="s">
        <v>5318</v>
      </c>
      <c r="BO512" s="2"/>
      <c r="BP512" s="3"/>
      <c r="BQ512" s="3"/>
      <c r="BR512" s="3"/>
      <c r="BS512" s="3"/>
    </row>
    <row r="513" spans="1:71" ht="15">
      <c r="A513" s="65" t="s">
        <v>733</v>
      </c>
      <c r="B513" s="66"/>
      <c r="C513" s="66"/>
      <c r="D513" s="67">
        <v>1000</v>
      </c>
      <c r="E513" s="69"/>
      <c r="F513" s="103" t="str">
        <f>HYPERLINK("https://yt3.ggpht.com/ytc/AKedOLTsD8J4WWJfLW66HS1oyIAVgBd46AKtBbM46N5u=s88-c-k-c0x00ffffff-no-rj")</f>
        <v>https://yt3.ggpht.com/ytc/AKedOLTsD8J4WWJfLW66HS1oyIAVgBd46AKtBbM46N5u=s88-c-k-c0x00ffffff-no-rj</v>
      </c>
      <c r="G513" s="66"/>
      <c r="H513" s="70" t="s">
        <v>2061</v>
      </c>
      <c r="I513" s="71"/>
      <c r="J513" s="71" t="s">
        <v>75</v>
      </c>
      <c r="K513" s="70" t="s">
        <v>2061</v>
      </c>
      <c r="L513" s="74">
        <v>1205.4731558271496</v>
      </c>
      <c r="M513" s="75">
        <v>9670.162109375</v>
      </c>
      <c r="N513" s="75">
        <v>5050.90576171875</v>
      </c>
      <c r="O513" s="76"/>
      <c r="P513" s="77"/>
      <c r="Q513" s="77"/>
      <c r="R513" s="89"/>
      <c r="S513" s="49">
        <v>1</v>
      </c>
      <c r="T513" s="49">
        <v>2</v>
      </c>
      <c r="U513" s="50">
        <v>4416</v>
      </c>
      <c r="V513" s="50">
        <v>0.004016</v>
      </c>
      <c r="W513" s="50">
        <v>0</v>
      </c>
      <c r="X513" s="50">
        <v>0.907476</v>
      </c>
      <c r="Y513" s="50">
        <v>0</v>
      </c>
      <c r="Z513" s="50">
        <v>0.5</v>
      </c>
      <c r="AA513" s="72">
        <v>513</v>
      </c>
      <c r="AB513" s="72"/>
      <c r="AC513" s="73"/>
      <c r="AD513" s="80" t="s">
        <v>2061</v>
      </c>
      <c r="AE513" s="80" t="s">
        <v>2996</v>
      </c>
      <c r="AF513" s="80"/>
      <c r="AG513" s="80"/>
      <c r="AH513" s="80"/>
      <c r="AI513" s="80" t="s">
        <v>3093</v>
      </c>
      <c r="AJ513" s="80" t="s">
        <v>3398</v>
      </c>
      <c r="AK513" s="85" t="str">
        <f>HYPERLINK("https://yt3.ggpht.com/ytc/AKedOLTsD8J4WWJfLW66HS1oyIAVgBd46AKtBbM46N5u=s88-c-k-c0x00ffffff-no-rj")</f>
        <v>https://yt3.ggpht.com/ytc/AKedOLTsD8J4WWJfLW66HS1oyIAVgBd46AKtBbM46N5u=s88-c-k-c0x00ffffff-no-rj</v>
      </c>
      <c r="AL513" s="80">
        <v>1247669</v>
      </c>
      <c r="AM513" s="80">
        <v>0</v>
      </c>
      <c r="AN513" s="80">
        <v>12300</v>
      </c>
      <c r="AO513" s="80" t="b">
        <v>0</v>
      </c>
      <c r="AP513" s="80">
        <v>501</v>
      </c>
      <c r="AQ513" s="80"/>
      <c r="AR513" s="80"/>
      <c r="AS513" s="80" t="s">
        <v>3412</v>
      </c>
      <c r="AT513" s="85" t="str">
        <f>HYPERLINK("https://www.youtube.com/channel/UCvUJkGPWzj100gTHN2AJopA")</f>
        <v>https://www.youtube.com/channel/UCvUJkGPWzj100gTHN2AJopA</v>
      </c>
      <c r="AU513" s="80" t="str">
        <f>REPLACE(INDEX(GroupVertices[Group],MATCH(Vertices[[#This Row],[Vertex]],GroupVertices[Vertex],0)),1,1,"")</f>
        <v>5</v>
      </c>
      <c r="AV513" s="49">
        <v>4</v>
      </c>
      <c r="AW513" s="50">
        <v>15.384615384615385</v>
      </c>
      <c r="AX513" s="49">
        <v>0</v>
      </c>
      <c r="AY513" s="50">
        <v>0</v>
      </c>
      <c r="AZ513" s="49">
        <v>0</v>
      </c>
      <c r="BA513" s="50">
        <v>0</v>
      </c>
      <c r="BB513" s="49">
        <v>22</v>
      </c>
      <c r="BC513" s="50">
        <v>84.61538461538461</v>
      </c>
      <c r="BD513" s="49">
        <v>26</v>
      </c>
      <c r="BE513" s="49"/>
      <c r="BF513" s="49"/>
      <c r="BG513" s="49"/>
      <c r="BH513" s="49"/>
      <c r="BI513" s="49"/>
      <c r="BJ513" s="49"/>
      <c r="BK513" s="111" t="s">
        <v>4852</v>
      </c>
      <c r="BL513" s="111" t="s">
        <v>4852</v>
      </c>
      <c r="BM513" s="111" t="s">
        <v>5319</v>
      </c>
      <c r="BN513" s="111" t="s">
        <v>5319</v>
      </c>
      <c r="BO513" s="2"/>
      <c r="BP513" s="3"/>
      <c r="BQ513" s="3"/>
      <c r="BR513" s="3"/>
      <c r="BS513" s="3"/>
    </row>
    <row r="514" spans="1:71" ht="15">
      <c r="A514" s="65" t="s">
        <v>734</v>
      </c>
      <c r="B514" s="66"/>
      <c r="C514" s="66"/>
      <c r="D514" s="67">
        <v>150</v>
      </c>
      <c r="E514" s="69"/>
      <c r="F514" s="103" t="str">
        <f>HYPERLINK("https://yt3.ggpht.com/ytc/AKedOLQoMUK5V_a0hVw-qhwuaoOFmKQG-tNnJvZEBdmm4Q=s88-c-k-c0x00ffffff-no-rj")</f>
        <v>https://yt3.ggpht.com/ytc/AKedOLQoMUK5V_a0hVw-qhwuaoOFmKQG-tNnJvZEBdmm4Q=s88-c-k-c0x00ffffff-no-rj</v>
      </c>
      <c r="G514" s="66"/>
      <c r="H514" s="70" t="s">
        <v>2062</v>
      </c>
      <c r="I514" s="71"/>
      <c r="J514" s="71" t="s">
        <v>159</v>
      </c>
      <c r="K514" s="70" t="s">
        <v>2062</v>
      </c>
      <c r="L514" s="74">
        <v>1</v>
      </c>
      <c r="M514" s="75">
        <v>3425.224853515625</v>
      </c>
      <c r="N514" s="75">
        <v>5619.220703125</v>
      </c>
      <c r="O514" s="76"/>
      <c r="P514" s="77"/>
      <c r="Q514" s="77"/>
      <c r="R514" s="89"/>
      <c r="S514" s="49">
        <v>0</v>
      </c>
      <c r="T514" s="49">
        <v>1</v>
      </c>
      <c r="U514" s="50">
        <v>0</v>
      </c>
      <c r="V514" s="50">
        <v>0.002933</v>
      </c>
      <c r="W514" s="50">
        <v>0</v>
      </c>
      <c r="X514" s="50">
        <v>0.525855</v>
      </c>
      <c r="Y514" s="50">
        <v>0</v>
      </c>
      <c r="Z514" s="50">
        <v>0</v>
      </c>
      <c r="AA514" s="72">
        <v>514</v>
      </c>
      <c r="AB514" s="72"/>
      <c r="AC514" s="73"/>
      <c r="AD514" s="80" t="s">
        <v>2062</v>
      </c>
      <c r="AE514" s="80" t="s">
        <v>2997</v>
      </c>
      <c r="AF514" s="80"/>
      <c r="AG514" s="80"/>
      <c r="AH514" s="80"/>
      <c r="AI514" s="80"/>
      <c r="AJ514" s="80" t="s">
        <v>3399</v>
      </c>
      <c r="AK514" s="85" t="str">
        <f>HYPERLINK("https://yt3.ggpht.com/ytc/AKedOLQoMUK5V_a0hVw-qhwuaoOFmKQG-tNnJvZEBdmm4Q=s88-c-k-c0x00ffffff-no-rj")</f>
        <v>https://yt3.ggpht.com/ytc/AKedOLQoMUK5V_a0hVw-qhwuaoOFmKQG-tNnJvZEBdmm4Q=s88-c-k-c0x00ffffff-no-rj</v>
      </c>
      <c r="AL514" s="80">
        <v>1343804</v>
      </c>
      <c r="AM514" s="80">
        <v>0</v>
      </c>
      <c r="AN514" s="80">
        <v>8770</v>
      </c>
      <c r="AO514" s="80" t="b">
        <v>0</v>
      </c>
      <c r="AP514" s="80">
        <v>240</v>
      </c>
      <c r="AQ514" s="80"/>
      <c r="AR514" s="80"/>
      <c r="AS514" s="80" t="s">
        <v>3412</v>
      </c>
      <c r="AT514" s="85" t="str">
        <f>HYPERLINK("https://www.youtube.com/channel/UCn2YnnD2g33upkbSMkQK-Bw")</f>
        <v>https://www.youtube.com/channel/UCn2YnnD2g33upkbSMkQK-Bw</v>
      </c>
      <c r="AU514" s="80" t="str">
        <f>REPLACE(INDEX(GroupVertices[Group],MATCH(Vertices[[#This Row],[Vertex]],GroupVertices[Vertex],0)),1,1,"")</f>
        <v>4</v>
      </c>
      <c r="AV514" s="49">
        <v>1</v>
      </c>
      <c r="AW514" s="50">
        <v>50</v>
      </c>
      <c r="AX514" s="49">
        <v>0</v>
      </c>
      <c r="AY514" s="50">
        <v>0</v>
      </c>
      <c r="AZ514" s="49">
        <v>0</v>
      </c>
      <c r="BA514" s="50">
        <v>0</v>
      </c>
      <c r="BB514" s="49">
        <v>1</v>
      </c>
      <c r="BC514" s="50">
        <v>50</v>
      </c>
      <c r="BD514" s="49">
        <v>2</v>
      </c>
      <c r="BE514" s="49"/>
      <c r="BF514" s="49"/>
      <c r="BG514" s="49"/>
      <c r="BH514" s="49"/>
      <c r="BI514" s="49"/>
      <c r="BJ514" s="49"/>
      <c r="BK514" s="111" t="s">
        <v>3484</v>
      </c>
      <c r="BL514" s="111" t="s">
        <v>3484</v>
      </c>
      <c r="BM514" s="111" t="s">
        <v>2782</v>
      </c>
      <c r="BN514" s="111" t="s">
        <v>2782</v>
      </c>
      <c r="BO514" s="2"/>
      <c r="BP514" s="3"/>
      <c r="BQ514" s="3"/>
      <c r="BR514" s="3"/>
      <c r="BS514" s="3"/>
    </row>
    <row r="515" spans="1:71" ht="15">
      <c r="A515" s="65" t="s">
        <v>735</v>
      </c>
      <c r="B515" s="66"/>
      <c r="C515" s="66"/>
      <c r="D515" s="67">
        <v>150</v>
      </c>
      <c r="E515" s="69"/>
      <c r="F515" s="103" t="str">
        <f>HYPERLINK("https://yt3.ggpht.com/ytc/AKedOLT5IQ8iECzbobQ9rkhntMF0iSBzfya3LNgwKXRUpA=s88-c-k-c0x00ffffff-no-rj")</f>
        <v>https://yt3.ggpht.com/ytc/AKedOLT5IQ8iECzbobQ9rkhntMF0iSBzfya3LNgwKXRUpA=s88-c-k-c0x00ffffff-no-rj</v>
      </c>
      <c r="G515" s="66"/>
      <c r="H515" s="70" t="s">
        <v>2063</v>
      </c>
      <c r="I515" s="71"/>
      <c r="J515" s="71" t="s">
        <v>159</v>
      </c>
      <c r="K515" s="70" t="s">
        <v>2063</v>
      </c>
      <c r="L515" s="74">
        <v>1</v>
      </c>
      <c r="M515" s="75">
        <v>6411.43798828125</v>
      </c>
      <c r="N515" s="75">
        <v>5371.197265625</v>
      </c>
      <c r="O515" s="76"/>
      <c r="P515" s="77"/>
      <c r="Q515" s="77"/>
      <c r="R515" s="89"/>
      <c r="S515" s="49">
        <v>1</v>
      </c>
      <c r="T515" s="49">
        <v>1</v>
      </c>
      <c r="U515" s="50">
        <v>0</v>
      </c>
      <c r="V515" s="50">
        <v>0.002933</v>
      </c>
      <c r="W515" s="50">
        <v>0</v>
      </c>
      <c r="X515" s="50">
        <v>0.525855</v>
      </c>
      <c r="Y515" s="50">
        <v>0</v>
      </c>
      <c r="Z515" s="50">
        <v>1</v>
      </c>
      <c r="AA515" s="72">
        <v>515</v>
      </c>
      <c r="AB515" s="72"/>
      <c r="AC515" s="73"/>
      <c r="AD515" s="80" t="s">
        <v>2063</v>
      </c>
      <c r="AE515" s="80"/>
      <c r="AF515" s="80"/>
      <c r="AG515" s="80"/>
      <c r="AH515" s="80"/>
      <c r="AI515" s="80"/>
      <c r="AJ515" s="80" t="s">
        <v>3400</v>
      </c>
      <c r="AK515" s="85" t="str">
        <f>HYPERLINK("https://yt3.ggpht.com/ytc/AKedOLT5IQ8iECzbobQ9rkhntMF0iSBzfya3LNgwKXRUpA=s88-c-k-c0x00ffffff-no-rj")</f>
        <v>https://yt3.ggpht.com/ytc/AKedOLT5IQ8iECzbobQ9rkhntMF0iSBzfya3LNgwKXRUpA=s88-c-k-c0x00ffffff-no-rj</v>
      </c>
      <c r="AL515" s="80">
        <v>0</v>
      </c>
      <c r="AM515" s="80">
        <v>0</v>
      </c>
      <c r="AN515" s="80">
        <v>0</v>
      </c>
      <c r="AO515" s="80" t="b">
        <v>0</v>
      </c>
      <c r="AP515" s="80">
        <v>0</v>
      </c>
      <c r="AQ515" s="80"/>
      <c r="AR515" s="80"/>
      <c r="AS515" s="80" t="s">
        <v>3412</v>
      </c>
      <c r="AT515" s="85" t="str">
        <f>HYPERLINK("https://www.youtube.com/channel/UCKCmUCH4vlzGIpc59vWVf7Q")</f>
        <v>https://www.youtube.com/channel/UCKCmUCH4vlzGIpc59vWVf7Q</v>
      </c>
      <c r="AU515" s="80" t="str">
        <f>REPLACE(INDEX(GroupVertices[Group],MATCH(Vertices[[#This Row],[Vertex]],GroupVertices[Vertex],0)),1,1,"")</f>
        <v>4</v>
      </c>
      <c r="AV515" s="49">
        <v>2</v>
      </c>
      <c r="AW515" s="50">
        <v>8.695652173913043</v>
      </c>
      <c r="AX515" s="49">
        <v>0</v>
      </c>
      <c r="AY515" s="50">
        <v>0</v>
      </c>
      <c r="AZ515" s="49">
        <v>0</v>
      </c>
      <c r="BA515" s="50">
        <v>0</v>
      </c>
      <c r="BB515" s="49">
        <v>21</v>
      </c>
      <c r="BC515" s="50">
        <v>91.30434782608695</v>
      </c>
      <c r="BD515" s="49">
        <v>23</v>
      </c>
      <c r="BE515" s="49"/>
      <c r="BF515" s="49"/>
      <c r="BG515" s="49"/>
      <c r="BH515" s="49"/>
      <c r="BI515" s="49"/>
      <c r="BJ515" s="49"/>
      <c r="BK515" s="111" t="s">
        <v>4853</v>
      </c>
      <c r="BL515" s="111" t="s">
        <v>4853</v>
      </c>
      <c r="BM515" s="111" t="s">
        <v>5320</v>
      </c>
      <c r="BN515" s="111" t="s">
        <v>5320</v>
      </c>
      <c r="BO515" s="2"/>
      <c r="BP515" s="3"/>
      <c r="BQ515" s="3"/>
      <c r="BR515" s="3"/>
      <c r="BS515" s="3"/>
    </row>
    <row r="516" spans="1:71" ht="15">
      <c r="A516" s="65" t="s">
        <v>736</v>
      </c>
      <c r="B516" s="66"/>
      <c r="C516" s="66"/>
      <c r="D516" s="67">
        <v>150</v>
      </c>
      <c r="E516" s="69"/>
      <c r="F516" s="103" t="str">
        <f>HYPERLINK("https://yt3.ggpht.com/ytc/AKedOLQ5IYZSCHQdYfv3KQlKQR-uydx82pp1BjpN3g=s88-c-k-c0x00ffffff-no-rj")</f>
        <v>https://yt3.ggpht.com/ytc/AKedOLQ5IYZSCHQdYfv3KQlKQR-uydx82pp1BjpN3g=s88-c-k-c0x00ffffff-no-rj</v>
      </c>
      <c r="G516" s="66"/>
      <c r="H516" s="70" t="s">
        <v>2064</v>
      </c>
      <c r="I516" s="71"/>
      <c r="J516" s="71" t="s">
        <v>159</v>
      </c>
      <c r="K516" s="70" t="s">
        <v>2064</v>
      </c>
      <c r="L516" s="74">
        <v>1</v>
      </c>
      <c r="M516" s="75">
        <v>4282.96630859375</v>
      </c>
      <c r="N516" s="75">
        <v>6188.34814453125</v>
      </c>
      <c r="O516" s="76"/>
      <c r="P516" s="77"/>
      <c r="Q516" s="77"/>
      <c r="R516" s="89"/>
      <c r="S516" s="49">
        <v>0</v>
      </c>
      <c r="T516" s="49">
        <v>1</v>
      </c>
      <c r="U516" s="50">
        <v>0</v>
      </c>
      <c r="V516" s="50">
        <v>0.002933</v>
      </c>
      <c r="W516" s="50">
        <v>0</v>
      </c>
      <c r="X516" s="50">
        <v>0.525855</v>
      </c>
      <c r="Y516" s="50">
        <v>0</v>
      </c>
      <c r="Z516" s="50">
        <v>0</v>
      </c>
      <c r="AA516" s="72">
        <v>516</v>
      </c>
      <c r="AB516" s="72"/>
      <c r="AC516" s="73"/>
      <c r="AD516" s="80" t="s">
        <v>2064</v>
      </c>
      <c r="AE516" s="80"/>
      <c r="AF516" s="80"/>
      <c r="AG516" s="80"/>
      <c r="AH516" s="80"/>
      <c r="AI516" s="80"/>
      <c r="AJ516" s="80" t="s">
        <v>3401</v>
      </c>
      <c r="AK516" s="85" t="str">
        <f>HYPERLINK("https://yt3.ggpht.com/ytc/AKedOLQ5IYZSCHQdYfv3KQlKQR-uydx82pp1BjpN3g=s88-c-k-c0x00ffffff-no-rj")</f>
        <v>https://yt3.ggpht.com/ytc/AKedOLQ5IYZSCHQdYfv3KQlKQR-uydx82pp1BjpN3g=s88-c-k-c0x00ffffff-no-rj</v>
      </c>
      <c r="AL516" s="80">
        <v>0</v>
      </c>
      <c r="AM516" s="80">
        <v>0</v>
      </c>
      <c r="AN516" s="80">
        <v>3</v>
      </c>
      <c r="AO516" s="80" t="b">
        <v>0</v>
      </c>
      <c r="AP516" s="80">
        <v>0</v>
      </c>
      <c r="AQ516" s="80"/>
      <c r="AR516" s="80"/>
      <c r="AS516" s="80" t="s">
        <v>3412</v>
      </c>
      <c r="AT516" s="85" t="str">
        <f>HYPERLINK("https://www.youtube.com/channel/UCBenSqtEDQHj7oh518x-87A")</f>
        <v>https://www.youtube.com/channel/UCBenSqtEDQHj7oh518x-87A</v>
      </c>
      <c r="AU516" s="80" t="str">
        <f>REPLACE(INDEX(GroupVertices[Group],MATCH(Vertices[[#This Row],[Vertex]],GroupVertices[Vertex],0)),1,1,"")</f>
        <v>4</v>
      </c>
      <c r="AV516" s="49">
        <v>1</v>
      </c>
      <c r="AW516" s="50">
        <v>20</v>
      </c>
      <c r="AX516" s="49">
        <v>0</v>
      </c>
      <c r="AY516" s="50">
        <v>0</v>
      </c>
      <c r="AZ516" s="49">
        <v>0</v>
      </c>
      <c r="BA516" s="50">
        <v>0</v>
      </c>
      <c r="BB516" s="49">
        <v>4</v>
      </c>
      <c r="BC516" s="50">
        <v>80</v>
      </c>
      <c r="BD516" s="49">
        <v>5</v>
      </c>
      <c r="BE516" s="49"/>
      <c r="BF516" s="49"/>
      <c r="BG516" s="49"/>
      <c r="BH516" s="49"/>
      <c r="BI516" s="49"/>
      <c r="BJ516" s="49"/>
      <c r="BK516" s="111" t="s">
        <v>3461</v>
      </c>
      <c r="BL516" s="111" t="s">
        <v>3461</v>
      </c>
      <c r="BM516" s="111" t="s">
        <v>2782</v>
      </c>
      <c r="BN516" s="111" t="s">
        <v>2782</v>
      </c>
      <c r="BO516" s="2"/>
      <c r="BP516" s="3"/>
      <c r="BQ516" s="3"/>
      <c r="BR516" s="3"/>
      <c r="BS516" s="3"/>
    </row>
    <row r="517" spans="1:71" ht="15">
      <c r="A517" s="65" t="s">
        <v>737</v>
      </c>
      <c r="B517" s="66"/>
      <c r="C517" s="66"/>
      <c r="D517" s="67">
        <v>150</v>
      </c>
      <c r="E517" s="69"/>
      <c r="F517" s="103" t="str">
        <f>HYPERLINK("https://yt3.ggpht.com/ytc/AKedOLQJBVCV2fl-rgtgouw7v0XRg7DZdhgpCk_zFA=s88-c-k-c0x00ffffff-no-rj")</f>
        <v>https://yt3.ggpht.com/ytc/AKedOLQJBVCV2fl-rgtgouw7v0XRg7DZdhgpCk_zFA=s88-c-k-c0x00ffffff-no-rj</v>
      </c>
      <c r="G517" s="66"/>
      <c r="H517" s="70" t="s">
        <v>2065</v>
      </c>
      <c r="I517" s="71"/>
      <c r="J517" s="71" t="s">
        <v>159</v>
      </c>
      <c r="K517" s="70" t="s">
        <v>2065</v>
      </c>
      <c r="L517" s="74">
        <v>1</v>
      </c>
      <c r="M517" s="75">
        <v>5729.40966796875</v>
      </c>
      <c r="N517" s="75">
        <v>5711.63037109375</v>
      </c>
      <c r="O517" s="76"/>
      <c r="P517" s="77"/>
      <c r="Q517" s="77"/>
      <c r="R517" s="89"/>
      <c r="S517" s="49">
        <v>1</v>
      </c>
      <c r="T517" s="49">
        <v>1</v>
      </c>
      <c r="U517" s="50">
        <v>0</v>
      </c>
      <c r="V517" s="50">
        <v>0.002933</v>
      </c>
      <c r="W517" s="50">
        <v>0</v>
      </c>
      <c r="X517" s="50">
        <v>0.525855</v>
      </c>
      <c r="Y517" s="50">
        <v>0</v>
      </c>
      <c r="Z517" s="50">
        <v>1</v>
      </c>
      <c r="AA517" s="72">
        <v>517</v>
      </c>
      <c r="AB517" s="72"/>
      <c r="AC517" s="73"/>
      <c r="AD517" s="80" t="s">
        <v>2065</v>
      </c>
      <c r="AE517" s="80"/>
      <c r="AF517" s="80"/>
      <c r="AG517" s="80"/>
      <c r="AH517" s="80"/>
      <c r="AI517" s="80"/>
      <c r="AJ517" s="87">
        <v>41374.46398148148</v>
      </c>
      <c r="AK517" s="85" t="str">
        <f>HYPERLINK("https://yt3.ggpht.com/ytc/AKedOLQJBVCV2fl-rgtgouw7v0XRg7DZdhgpCk_zFA=s88-c-k-c0x00ffffff-no-rj")</f>
        <v>https://yt3.ggpht.com/ytc/AKedOLQJBVCV2fl-rgtgouw7v0XRg7DZdhgpCk_zFA=s88-c-k-c0x00ffffff-no-rj</v>
      </c>
      <c r="AL517" s="80">
        <v>0</v>
      </c>
      <c r="AM517" s="80">
        <v>0</v>
      </c>
      <c r="AN517" s="80">
        <v>0</v>
      </c>
      <c r="AO517" s="80" t="b">
        <v>0</v>
      </c>
      <c r="AP517" s="80">
        <v>0</v>
      </c>
      <c r="AQ517" s="80"/>
      <c r="AR517" s="80"/>
      <c r="AS517" s="80" t="s">
        <v>3412</v>
      </c>
      <c r="AT517" s="85" t="str">
        <f>HYPERLINK("https://www.youtube.com/channel/UCgIhMfk4dHm-1QFKcaewNQA")</f>
        <v>https://www.youtube.com/channel/UCgIhMfk4dHm-1QFKcaewNQA</v>
      </c>
      <c r="AU517" s="80" t="str">
        <f>REPLACE(INDEX(GroupVertices[Group],MATCH(Vertices[[#This Row],[Vertex]],GroupVertices[Vertex],0)),1,1,"")</f>
        <v>4</v>
      </c>
      <c r="AV517" s="49">
        <v>1</v>
      </c>
      <c r="AW517" s="50">
        <v>3.5714285714285716</v>
      </c>
      <c r="AX517" s="49">
        <v>1</v>
      </c>
      <c r="AY517" s="50">
        <v>3.5714285714285716</v>
      </c>
      <c r="AZ517" s="49">
        <v>0</v>
      </c>
      <c r="BA517" s="50">
        <v>0</v>
      </c>
      <c r="BB517" s="49">
        <v>26</v>
      </c>
      <c r="BC517" s="50">
        <v>92.85714285714286</v>
      </c>
      <c r="BD517" s="49">
        <v>28</v>
      </c>
      <c r="BE517" s="49"/>
      <c r="BF517" s="49"/>
      <c r="BG517" s="49"/>
      <c r="BH517" s="49"/>
      <c r="BI517" s="49"/>
      <c r="BJ517" s="49"/>
      <c r="BK517" s="111" t="s">
        <v>4854</v>
      </c>
      <c r="BL517" s="111" t="s">
        <v>4854</v>
      </c>
      <c r="BM517" s="111" t="s">
        <v>5321</v>
      </c>
      <c r="BN517" s="111" t="s">
        <v>5321</v>
      </c>
      <c r="BO517" s="2"/>
      <c r="BP517" s="3"/>
      <c r="BQ517" s="3"/>
      <c r="BR517" s="3"/>
      <c r="BS517" s="3"/>
    </row>
    <row r="518" spans="1:71" ht="15">
      <c r="A518" s="65" t="s">
        <v>738</v>
      </c>
      <c r="B518" s="66"/>
      <c r="C518" s="66"/>
      <c r="D518" s="67">
        <v>1000</v>
      </c>
      <c r="E518" s="69"/>
      <c r="F518" s="103" t="str">
        <f>HYPERLINK("https://yt3.ggpht.com/ytc/AKedOLR9Bh--_AQUvbg5pB5H0V05NACx8m9hzpkIRsbkWQ=s88-c-k-c0x00ffffff-no-rj")</f>
        <v>https://yt3.ggpht.com/ytc/AKedOLR9Bh--_AQUvbg5pB5H0V05NACx8m9hzpkIRsbkWQ=s88-c-k-c0x00ffffff-no-rj</v>
      </c>
      <c r="G518" s="66"/>
      <c r="H518" s="70" t="s">
        <v>2066</v>
      </c>
      <c r="I518" s="71"/>
      <c r="J518" s="71" t="s">
        <v>75</v>
      </c>
      <c r="K518" s="70" t="s">
        <v>2066</v>
      </c>
      <c r="L518" s="74">
        <v>459.2234831951113</v>
      </c>
      <c r="M518" s="75">
        <v>8499.150390625</v>
      </c>
      <c r="N518" s="75">
        <v>2296.640625</v>
      </c>
      <c r="O518" s="76"/>
      <c r="P518" s="77"/>
      <c r="Q518" s="77"/>
      <c r="R518" s="89"/>
      <c r="S518" s="49">
        <v>2</v>
      </c>
      <c r="T518" s="49">
        <v>3</v>
      </c>
      <c r="U518" s="50">
        <v>1680</v>
      </c>
      <c r="V518" s="50">
        <v>0.003115</v>
      </c>
      <c r="W518" s="50">
        <v>0</v>
      </c>
      <c r="X518" s="50">
        <v>1.267148</v>
      </c>
      <c r="Y518" s="50">
        <v>0</v>
      </c>
      <c r="Z518" s="50">
        <v>0.5</v>
      </c>
      <c r="AA518" s="72">
        <v>518</v>
      </c>
      <c r="AB518" s="72"/>
      <c r="AC518" s="73"/>
      <c r="AD518" s="80" t="s">
        <v>2066</v>
      </c>
      <c r="AE518" s="80" t="s">
        <v>2998</v>
      </c>
      <c r="AF518" s="80"/>
      <c r="AG518" s="80"/>
      <c r="AH518" s="80"/>
      <c r="AI518" s="80"/>
      <c r="AJ518" s="80" t="s">
        <v>3402</v>
      </c>
      <c r="AK518" s="85" t="str">
        <f>HYPERLINK("https://yt3.ggpht.com/ytc/AKedOLR9Bh--_AQUvbg5pB5H0V05NACx8m9hzpkIRsbkWQ=s88-c-k-c0x00ffffff-no-rj")</f>
        <v>https://yt3.ggpht.com/ytc/AKedOLR9Bh--_AQUvbg5pB5H0V05NACx8m9hzpkIRsbkWQ=s88-c-k-c0x00ffffff-no-rj</v>
      </c>
      <c r="AL518" s="80">
        <v>2168</v>
      </c>
      <c r="AM518" s="80">
        <v>0</v>
      </c>
      <c r="AN518" s="80">
        <v>70</v>
      </c>
      <c r="AO518" s="80" t="b">
        <v>0</v>
      </c>
      <c r="AP518" s="80">
        <v>65</v>
      </c>
      <c r="AQ518" s="80"/>
      <c r="AR518" s="80"/>
      <c r="AS518" s="80" t="s">
        <v>3412</v>
      </c>
      <c r="AT518" s="85" t="str">
        <f>HYPERLINK("https://www.youtube.com/channel/UChhFIzikRU9cBMh-WPw0_qg")</f>
        <v>https://www.youtube.com/channel/UChhFIzikRU9cBMh-WPw0_qg</v>
      </c>
      <c r="AU518" s="80" t="str">
        <f>REPLACE(INDEX(GroupVertices[Group],MATCH(Vertices[[#This Row],[Vertex]],GroupVertices[Vertex],0)),1,1,"")</f>
        <v>13</v>
      </c>
      <c r="AV518" s="49">
        <v>2</v>
      </c>
      <c r="AW518" s="50">
        <v>5.882352941176471</v>
      </c>
      <c r="AX518" s="49">
        <v>0</v>
      </c>
      <c r="AY518" s="50">
        <v>0</v>
      </c>
      <c r="AZ518" s="49">
        <v>0</v>
      </c>
      <c r="BA518" s="50">
        <v>0</v>
      </c>
      <c r="BB518" s="49">
        <v>32</v>
      </c>
      <c r="BC518" s="50">
        <v>94.11764705882354</v>
      </c>
      <c r="BD518" s="49">
        <v>34</v>
      </c>
      <c r="BE518" s="49"/>
      <c r="BF518" s="49"/>
      <c r="BG518" s="49"/>
      <c r="BH518" s="49"/>
      <c r="BI518" s="49"/>
      <c r="BJ518" s="49"/>
      <c r="BK518" s="111" t="s">
        <v>4855</v>
      </c>
      <c r="BL518" s="111" t="s">
        <v>4855</v>
      </c>
      <c r="BM518" s="111" t="s">
        <v>5322</v>
      </c>
      <c r="BN518" s="111" t="s">
        <v>5322</v>
      </c>
      <c r="BO518" s="2"/>
      <c r="BP518" s="3"/>
      <c r="BQ518" s="3"/>
      <c r="BR518" s="3"/>
      <c r="BS518" s="3"/>
    </row>
    <row r="519" spans="1:71" ht="15">
      <c r="A519" s="65" t="s">
        <v>739</v>
      </c>
      <c r="B519" s="66"/>
      <c r="C519" s="66"/>
      <c r="D519" s="67">
        <v>150</v>
      </c>
      <c r="E519" s="69"/>
      <c r="F519" s="103" t="str">
        <f>HYPERLINK("https://yt3.ggpht.com/ytc/AKedOLT7ULyXSWUDUEx9ZtL_4tBdu0ruWhiewfsJGWZM1A=s88-c-k-c0x00ffffff-no-rj")</f>
        <v>https://yt3.ggpht.com/ytc/AKedOLT7ULyXSWUDUEx9ZtL_4tBdu0ruWhiewfsJGWZM1A=s88-c-k-c0x00ffffff-no-rj</v>
      </c>
      <c r="G519" s="66"/>
      <c r="H519" s="70" t="s">
        <v>2067</v>
      </c>
      <c r="I519" s="71"/>
      <c r="J519" s="71" t="s">
        <v>159</v>
      </c>
      <c r="K519" s="70" t="s">
        <v>2067</v>
      </c>
      <c r="L519" s="74">
        <v>1</v>
      </c>
      <c r="M519" s="75">
        <v>3911.8056640625</v>
      </c>
      <c r="N519" s="75">
        <v>6018.1259765625</v>
      </c>
      <c r="O519" s="76"/>
      <c r="P519" s="77"/>
      <c r="Q519" s="77"/>
      <c r="R519" s="89"/>
      <c r="S519" s="49">
        <v>0</v>
      </c>
      <c r="T519" s="49">
        <v>1</v>
      </c>
      <c r="U519" s="50">
        <v>0</v>
      </c>
      <c r="V519" s="50">
        <v>0.002933</v>
      </c>
      <c r="W519" s="50">
        <v>0</v>
      </c>
      <c r="X519" s="50">
        <v>0.525855</v>
      </c>
      <c r="Y519" s="50">
        <v>0</v>
      </c>
      <c r="Z519" s="50">
        <v>0</v>
      </c>
      <c r="AA519" s="72">
        <v>519</v>
      </c>
      <c r="AB519" s="72"/>
      <c r="AC519" s="73"/>
      <c r="AD519" s="80" t="s">
        <v>2067</v>
      </c>
      <c r="AE519" s="80" t="s">
        <v>2999</v>
      </c>
      <c r="AF519" s="80"/>
      <c r="AG519" s="80"/>
      <c r="AH519" s="80"/>
      <c r="AI519" s="80" t="s">
        <v>3094</v>
      </c>
      <c r="AJ519" s="80" t="s">
        <v>3403</v>
      </c>
      <c r="AK519" s="85" t="str">
        <f>HYPERLINK("https://yt3.ggpht.com/ytc/AKedOLT7ULyXSWUDUEx9ZtL_4tBdu0ruWhiewfsJGWZM1A=s88-c-k-c0x00ffffff-no-rj")</f>
        <v>https://yt3.ggpht.com/ytc/AKedOLT7ULyXSWUDUEx9ZtL_4tBdu0ruWhiewfsJGWZM1A=s88-c-k-c0x00ffffff-no-rj</v>
      </c>
      <c r="AL519" s="80">
        <v>1076899</v>
      </c>
      <c r="AM519" s="80">
        <v>0</v>
      </c>
      <c r="AN519" s="80">
        <v>0</v>
      </c>
      <c r="AO519" s="80" t="b">
        <v>1</v>
      </c>
      <c r="AP519" s="80">
        <v>125</v>
      </c>
      <c r="AQ519" s="80"/>
      <c r="AR519" s="80"/>
      <c r="AS519" s="80" t="s">
        <v>3412</v>
      </c>
      <c r="AT519" s="85" t="str">
        <f>HYPERLINK("https://www.youtube.com/channel/UCeiPyrjvfb7XFCTDwJsIl6Q")</f>
        <v>https://www.youtube.com/channel/UCeiPyrjvfb7XFCTDwJsIl6Q</v>
      </c>
      <c r="AU519" s="80" t="str">
        <f>REPLACE(INDEX(GroupVertices[Group],MATCH(Vertices[[#This Row],[Vertex]],GroupVertices[Vertex],0)),1,1,"")</f>
        <v>4</v>
      </c>
      <c r="AV519" s="49">
        <v>3</v>
      </c>
      <c r="AW519" s="50">
        <v>15.789473684210526</v>
      </c>
      <c r="AX519" s="49">
        <v>0</v>
      </c>
      <c r="AY519" s="50">
        <v>0</v>
      </c>
      <c r="AZ519" s="49">
        <v>0</v>
      </c>
      <c r="BA519" s="50">
        <v>0</v>
      </c>
      <c r="BB519" s="49">
        <v>16</v>
      </c>
      <c r="BC519" s="50">
        <v>84.21052631578948</v>
      </c>
      <c r="BD519" s="49">
        <v>19</v>
      </c>
      <c r="BE519" s="49"/>
      <c r="BF519" s="49"/>
      <c r="BG519" s="49"/>
      <c r="BH519" s="49"/>
      <c r="BI519" s="49"/>
      <c r="BJ519" s="49"/>
      <c r="BK519" s="111" t="s">
        <v>4856</v>
      </c>
      <c r="BL519" s="111" t="s">
        <v>4856</v>
      </c>
      <c r="BM519" s="111" t="s">
        <v>5323</v>
      </c>
      <c r="BN519" s="111" t="s">
        <v>5323</v>
      </c>
      <c r="BO519" s="2"/>
      <c r="BP519" s="3"/>
      <c r="BQ519" s="3"/>
      <c r="BR519" s="3"/>
      <c r="BS519" s="3"/>
    </row>
    <row r="520" spans="1:71" ht="15">
      <c r="A520" s="65" t="s">
        <v>740</v>
      </c>
      <c r="B520" s="66"/>
      <c r="C520" s="66"/>
      <c r="D520" s="67">
        <v>150</v>
      </c>
      <c r="E520" s="69"/>
      <c r="F520" s="103" t="str">
        <f>HYPERLINK("https://yt3.ggpht.com/ytc/AKedOLQ0TJOkJAvkbTJKsOxAp8pJjV_Dpvm2TmCQcdjilA=s88-c-k-c0x00ffffff-no-rj")</f>
        <v>https://yt3.ggpht.com/ytc/AKedOLQ0TJOkJAvkbTJKsOxAp8pJjV_Dpvm2TmCQcdjilA=s88-c-k-c0x00ffffff-no-rj</v>
      </c>
      <c r="G520" s="66"/>
      <c r="H520" s="70" t="s">
        <v>2068</v>
      </c>
      <c r="I520" s="71"/>
      <c r="J520" s="71" t="s">
        <v>159</v>
      </c>
      <c r="K520" s="70" t="s">
        <v>2068</v>
      </c>
      <c r="L520" s="74">
        <v>1</v>
      </c>
      <c r="M520" s="75">
        <v>4697.72607421875</v>
      </c>
      <c r="N520" s="75">
        <v>5704.994140625</v>
      </c>
      <c r="O520" s="76"/>
      <c r="P520" s="77"/>
      <c r="Q520" s="77"/>
      <c r="R520" s="89"/>
      <c r="S520" s="49">
        <v>1</v>
      </c>
      <c r="T520" s="49">
        <v>1</v>
      </c>
      <c r="U520" s="50">
        <v>0</v>
      </c>
      <c r="V520" s="50">
        <v>0.002933</v>
      </c>
      <c r="W520" s="50">
        <v>0</v>
      </c>
      <c r="X520" s="50">
        <v>0.525855</v>
      </c>
      <c r="Y520" s="50">
        <v>0</v>
      </c>
      <c r="Z520" s="50">
        <v>1</v>
      </c>
      <c r="AA520" s="72">
        <v>520</v>
      </c>
      <c r="AB520" s="72"/>
      <c r="AC520" s="73"/>
      <c r="AD520" s="80" t="s">
        <v>2068</v>
      </c>
      <c r="AE520" s="80" t="s">
        <v>3000</v>
      </c>
      <c r="AF520" s="80"/>
      <c r="AG520" s="80"/>
      <c r="AH520" s="80"/>
      <c r="AI520" s="80"/>
      <c r="AJ520" s="87">
        <v>39184.47908564815</v>
      </c>
      <c r="AK520" s="85" t="str">
        <f>HYPERLINK("https://yt3.ggpht.com/ytc/AKedOLQ0TJOkJAvkbTJKsOxAp8pJjV_Dpvm2TmCQcdjilA=s88-c-k-c0x00ffffff-no-rj")</f>
        <v>https://yt3.ggpht.com/ytc/AKedOLQ0TJOkJAvkbTJKsOxAp8pJjV_Dpvm2TmCQcdjilA=s88-c-k-c0x00ffffff-no-rj</v>
      </c>
      <c r="AL520" s="80">
        <v>0</v>
      </c>
      <c r="AM520" s="80">
        <v>0</v>
      </c>
      <c r="AN520" s="80">
        <v>249</v>
      </c>
      <c r="AO520" s="80" t="b">
        <v>0</v>
      </c>
      <c r="AP520" s="80">
        <v>0</v>
      </c>
      <c r="AQ520" s="80"/>
      <c r="AR520" s="80"/>
      <c r="AS520" s="80" t="s">
        <v>3412</v>
      </c>
      <c r="AT520" s="85" t="str">
        <f>HYPERLINK("https://www.youtube.com/channel/UCSex7PTBn_MKaACHgYcfI0w")</f>
        <v>https://www.youtube.com/channel/UCSex7PTBn_MKaACHgYcfI0w</v>
      </c>
      <c r="AU520" s="80" t="str">
        <f>REPLACE(INDEX(GroupVertices[Group],MATCH(Vertices[[#This Row],[Vertex]],GroupVertices[Vertex],0)),1,1,"")</f>
        <v>4</v>
      </c>
      <c r="AV520" s="49">
        <v>1</v>
      </c>
      <c r="AW520" s="50">
        <v>14.285714285714286</v>
      </c>
      <c r="AX520" s="49">
        <v>0</v>
      </c>
      <c r="AY520" s="50">
        <v>0</v>
      </c>
      <c r="AZ520" s="49">
        <v>0</v>
      </c>
      <c r="BA520" s="50">
        <v>0</v>
      </c>
      <c r="BB520" s="49">
        <v>6</v>
      </c>
      <c r="BC520" s="50">
        <v>85.71428571428571</v>
      </c>
      <c r="BD520" s="49">
        <v>7</v>
      </c>
      <c r="BE520" s="49"/>
      <c r="BF520" s="49"/>
      <c r="BG520" s="49"/>
      <c r="BH520" s="49"/>
      <c r="BI520" s="49"/>
      <c r="BJ520" s="49"/>
      <c r="BK520" s="111" t="s">
        <v>2782</v>
      </c>
      <c r="BL520" s="111" t="s">
        <v>2782</v>
      </c>
      <c r="BM520" s="111" t="s">
        <v>2782</v>
      </c>
      <c r="BN520" s="111" t="s">
        <v>2782</v>
      </c>
      <c r="BO520" s="2"/>
      <c r="BP520" s="3"/>
      <c r="BQ520" s="3"/>
      <c r="BR520" s="3"/>
      <c r="BS520" s="3"/>
    </row>
    <row r="521" spans="1:71" ht="15">
      <c r="A521" s="65" t="s">
        <v>741</v>
      </c>
      <c r="B521" s="66"/>
      <c r="C521" s="66"/>
      <c r="D521" s="67">
        <v>150</v>
      </c>
      <c r="E521" s="69"/>
      <c r="F521" s="103" t="str">
        <f>HYPERLINK("https://yt3.ggpht.com/ytc/AKedOLQME0kGt5fmZjIMhp-ZisqQYw18RErCjVko9w=s88-c-k-c0x00ffffff-no-rj")</f>
        <v>https://yt3.ggpht.com/ytc/AKedOLQME0kGt5fmZjIMhp-ZisqQYw18RErCjVko9w=s88-c-k-c0x00ffffff-no-rj</v>
      </c>
      <c r="G521" s="66"/>
      <c r="H521" s="70" t="s">
        <v>2069</v>
      </c>
      <c r="I521" s="71"/>
      <c r="J521" s="71" t="s">
        <v>159</v>
      </c>
      <c r="K521" s="70" t="s">
        <v>2069</v>
      </c>
      <c r="L521" s="74">
        <v>1</v>
      </c>
      <c r="M521" s="75">
        <v>5776.7607421875</v>
      </c>
      <c r="N521" s="75">
        <v>5270.4365234375</v>
      </c>
      <c r="O521" s="76"/>
      <c r="P521" s="77"/>
      <c r="Q521" s="77"/>
      <c r="R521" s="89"/>
      <c r="S521" s="49">
        <v>0</v>
      </c>
      <c r="T521" s="49">
        <v>1</v>
      </c>
      <c r="U521" s="50">
        <v>0</v>
      </c>
      <c r="V521" s="50">
        <v>0.002933</v>
      </c>
      <c r="W521" s="50">
        <v>0</v>
      </c>
      <c r="X521" s="50">
        <v>0.525855</v>
      </c>
      <c r="Y521" s="50">
        <v>0</v>
      </c>
      <c r="Z521" s="50">
        <v>0</v>
      </c>
      <c r="AA521" s="72">
        <v>521</v>
      </c>
      <c r="AB521" s="72"/>
      <c r="AC521" s="73"/>
      <c r="AD521" s="80" t="s">
        <v>2069</v>
      </c>
      <c r="AE521" s="80"/>
      <c r="AF521" s="80"/>
      <c r="AG521" s="80"/>
      <c r="AH521" s="80"/>
      <c r="AI521" s="80"/>
      <c r="AJ521" s="80" t="s">
        <v>3404</v>
      </c>
      <c r="AK521" s="85" t="str">
        <f>HYPERLINK("https://yt3.ggpht.com/ytc/AKedOLQME0kGt5fmZjIMhp-ZisqQYw18RErCjVko9w=s88-c-k-c0x00ffffff-no-rj")</f>
        <v>https://yt3.ggpht.com/ytc/AKedOLQME0kGt5fmZjIMhp-ZisqQYw18RErCjVko9w=s88-c-k-c0x00ffffff-no-rj</v>
      </c>
      <c r="AL521" s="80">
        <v>0</v>
      </c>
      <c r="AM521" s="80">
        <v>0</v>
      </c>
      <c r="AN521" s="80">
        <v>4</v>
      </c>
      <c r="AO521" s="80" t="b">
        <v>0</v>
      </c>
      <c r="AP521" s="80">
        <v>0</v>
      </c>
      <c r="AQ521" s="80"/>
      <c r="AR521" s="80"/>
      <c r="AS521" s="80" t="s">
        <v>3412</v>
      </c>
      <c r="AT521" s="85" t="str">
        <f>HYPERLINK("https://www.youtube.com/channel/UCqQqwKmKnjNRWBPBbk0SYfQ")</f>
        <v>https://www.youtube.com/channel/UCqQqwKmKnjNRWBPBbk0SYfQ</v>
      </c>
      <c r="AU521" s="80" t="str">
        <f>REPLACE(INDEX(GroupVertices[Group],MATCH(Vertices[[#This Row],[Vertex]],GroupVertices[Vertex],0)),1,1,"")</f>
        <v>4</v>
      </c>
      <c r="AV521" s="49">
        <v>4</v>
      </c>
      <c r="AW521" s="50">
        <v>3.4482758620689653</v>
      </c>
      <c r="AX521" s="49">
        <v>1</v>
      </c>
      <c r="AY521" s="50">
        <v>0.8620689655172413</v>
      </c>
      <c r="AZ521" s="49">
        <v>0</v>
      </c>
      <c r="BA521" s="50">
        <v>0</v>
      </c>
      <c r="BB521" s="49">
        <v>111</v>
      </c>
      <c r="BC521" s="50">
        <v>95.6896551724138</v>
      </c>
      <c r="BD521" s="49">
        <v>116</v>
      </c>
      <c r="BE521" s="49" t="s">
        <v>4406</v>
      </c>
      <c r="BF521" s="49" t="s">
        <v>4406</v>
      </c>
      <c r="BG521" s="49" t="s">
        <v>2778</v>
      </c>
      <c r="BH521" s="49" t="s">
        <v>2778</v>
      </c>
      <c r="BI521" s="49"/>
      <c r="BJ521" s="49"/>
      <c r="BK521" s="111" t="s">
        <v>4857</v>
      </c>
      <c r="BL521" s="111" t="s">
        <v>4857</v>
      </c>
      <c r="BM521" s="111" t="s">
        <v>5324</v>
      </c>
      <c r="BN521" s="111" t="s">
        <v>5324</v>
      </c>
      <c r="BO521" s="2"/>
      <c r="BP521" s="3"/>
      <c r="BQ521" s="3"/>
      <c r="BR521" s="3"/>
      <c r="BS521" s="3"/>
    </row>
    <row r="522" spans="1:71" ht="15">
      <c r="A522" s="65" t="s">
        <v>742</v>
      </c>
      <c r="B522" s="66"/>
      <c r="C522" s="66"/>
      <c r="D522" s="67">
        <v>150</v>
      </c>
      <c r="E522" s="69"/>
      <c r="F522" s="103" t="str">
        <f>HYPERLINK("https://yt3.ggpht.com/ytc/AKedOLSFH7o33_Qkhl59hmTtoGQ7gu8_PQFf58R772Ab9A=s88-c-k-c0x00ffffff-no-rj")</f>
        <v>https://yt3.ggpht.com/ytc/AKedOLSFH7o33_Qkhl59hmTtoGQ7gu8_PQFf58R772Ab9A=s88-c-k-c0x00ffffff-no-rj</v>
      </c>
      <c r="G522" s="66"/>
      <c r="H522" s="70" t="s">
        <v>2070</v>
      </c>
      <c r="I522" s="71"/>
      <c r="J522" s="71" t="s">
        <v>159</v>
      </c>
      <c r="K522" s="70" t="s">
        <v>2070</v>
      </c>
      <c r="L522" s="74">
        <v>1</v>
      </c>
      <c r="M522" s="75">
        <v>5303.5068359375</v>
      </c>
      <c r="N522" s="75">
        <v>5981.0498046875</v>
      </c>
      <c r="O522" s="76"/>
      <c r="P522" s="77"/>
      <c r="Q522" s="77"/>
      <c r="R522" s="89"/>
      <c r="S522" s="49">
        <v>1</v>
      </c>
      <c r="T522" s="49">
        <v>1</v>
      </c>
      <c r="U522" s="50">
        <v>0</v>
      </c>
      <c r="V522" s="50">
        <v>0.002933</v>
      </c>
      <c r="W522" s="50">
        <v>0</v>
      </c>
      <c r="X522" s="50">
        <v>0.525855</v>
      </c>
      <c r="Y522" s="50">
        <v>0</v>
      </c>
      <c r="Z522" s="50">
        <v>1</v>
      </c>
      <c r="AA522" s="72">
        <v>522</v>
      </c>
      <c r="AB522" s="72"/>
      <c r="AC522" s="73"/>
      <c r="AD522" s="80" t="s">
        <v>2070</v>
      </c>
      <c r="AE522" s="80" t="s">
        <v>3001</v>
      </c>
      <c r="AF522" s="80"/>
      <c r="AG522" s="80"/>
      <c r="AH522" s="80"/>
      <c r="AI522" s="80" t="s">
        <v>3095</v>
      </c>
      <c r="AJ522" s="87">
        <v>40338.61828703704</v>
      </c>
      <c r="AK522" s="85" t="str">
        <f>HYPERLINK("https://yt3.ggpht.com/ytc/AKedOLSFH7o33_Qkhl59hmTtoGQ7gu8_PQFf58R772Ab9A=s88-c-k-c0x00ffffff-no-rj")</f>
        <v>https://yt3.ggpht.com/ytc/AKedOLSFH7o33_Qkhl59hmTtoGQ7gu8_PQFf58R772Ab9A=s88-c-k-c0x00ffffff-no-rj</v>
      </c>
      <c r="AL522" s="80">
        <v>89120733</v>
      </c>
      <c r="AM522" s="80">
        <v>0</v>
      </c>
      <c r="AN522" s="80">
        <v>277000</v>
      </c>
      <c r="AO522" s="80" t="b">
        <v>0</v>
      </c>
      <c r="AP522" s="80">
        <v>3023</v>
      </c>
      <c r="AQ522" s="80"/>
      <c r="AR522" s="80"/>
      <c r="AS522" s="80" t="s">
        <v>3412</v>
      </c>
      <c r="AT522" s="85" t="str">
        <f>HYPERLINK("https://www.youtube.com/channel/UCBkcw8h7epT_bK0QzuY2Bmg")</f>
        <v>https://www.youtube.com/channel/UCBkcw8h7epT_bK0QzuY2Bmg</v>
      </c>
      <c r="AU522" s="80" t="str">
        <f>REPLACE(INDEX(GroupVertices[Group],MATCH(Vertices[[#This Row],[Vertex]],GroupVertices[Vertex],0)),1,1,"")</f>
        <v>4</v>
      </c>
      <c r="AV522" s="49">
        <v>3</v>
      </c>
      <c r="AW522" s="50">
        <v>42.857142857142854</v>
      </c>
      <c r="AX522" s="49">
        <v>0</v>
      </c>
      <c r="AY522" s="50">
        <v>0</v>
      </c>
      <c r="AZ522" s="49">
        <v>0</v>
      </c>
      <c r="BA522" s="50">
        <v>0</v>
      </c>
      <c r="BB522" s="49">
        <v>4</v>
      </c>
      <c r="BC522" s="50">
        <v>57.142857142857146</v>
      </c>
      <c r="BD522" s="49">
        <v>7</v>
      </c>
      <c r="BE522" s="49"/>
      <c r="BF522" s="49"/>
      <c r="BG522" s="49"/>
      <c r="BH522" s="49"/>
      <c r="BI522" s="49"/>
      <c r="BJ522" s="49"/>
      <c r="BK522" s="111" t="s">
        <v>4858</v>
      </c>
      <c r="BL522" s="111" t="s">
        <v>4858</v>
      </c>
      <c r="BM522" s="111" t="s">
        <v>5325</v>
      </c>
      <c r="BN522" s="111" t="s">
        <v>5325</v>
      </c>
      <c r="BO522" s="2"/>
      <c r="BP522" s="3"/>
      <c r="BQ522" s="3"/>
      <c r="BR522" s="3"/>
      <c r="BS522" s="3"/>
    </row>
    <row r="523" spans="1:71" ht="15">
      <c r="A523" s="65" t="s">
        <v>743</v>
      </c>
      <c r="B523" s="66"/>
      <c r="C523" s="66"/>
      <c r="D523" s="67">
        <v>150</v>
      </c>
      <c r="E523" s="69"/>
      <c r="F523" s="103" t="str">
        <f>HYPERLINK("https://yt3.ggpht.com/ytc/AKedOLRn78g-VN0B5P39BYq2ZFepmRrLC64U3djWdGaNhQ=s88-c-k-c0x00ffffff-no-rj")</f>
        <v>https://yt3.ggpht.com/ytc/AKedOLRn78g-VN0B5P39BYq2ZFepmRrLC64U3djWdGaNhQ=s88-c-k-c0x00ffffff-no-rj</v>
      </c>
      <c r="G523" s="66"/>
      <c r="H523" s="70" t="s">
        <v>2071</v>
      </c>
      <c r="I523" s="71"/>
      <c r="J523" s="71" t="s">
        <v>159</v>
      </c>
      <c r="K523" s="70" t="s">
        <v>2071</v>
      </c>
      <c r="L523" s="74">
        <v>1</v>
      </c>
      <c r="M523" s="75">
        <v>4166.65771484375</v>
      </c>
      <c r="N523" s="75">
        <v>5025.162109375</v>
      </c>
      <c r="O523" s="76"/>
      <c r="P523" s="77"/>
      <c r="Q523" s="77"/>
      <c r="R523" s="89"/>
      <c r="S523" s="49">
        <v>1</v>
      </c>
      <c r="T523" s="49">
        <v>1</v>
      </c>
      <c r="U523" s="50">
        <v>0</v>
      </c>
      <c r="V523" s="50">
        <v>0.002933</v>
      </c>
      <c r="W523" s="50">
        <v>0</v>
      </c>
      <c r="X523" s="50">
        <v>0.525855</v>
      </c>
      <c r="Y523" s="50">
        <v>0</v>
      </c>
      <c r="Z523" s="50">
        <v>1</v>
      </c>
      <c r="AA523" s="72">
        <v>523</v>
      </c>
      <c r="AB523" s="72"/>
      <c r="AC523" s="73"/>
      <c r="AD523" s="80" t="s">
        <v>2071</v>
      </c>
      <c r="AE523" s="80"/>
      <c r="AF523" s="80"/>
      <c r="AG523" s="80"/>
      <c r="AH523" s="80"/>
      <c r="AI523" s="80"/>
      <c r="AJ523" s="80" t="s">
        <v>3405</v>
      </c>
      <c r="AK523" s="85" t="str">
        <f>HYPERLINK("https://yt3.ggpht.com/ytc/AKedOLRn78g-VN0B5P39BYq2ZFepmRrLC64U3djWdGaNhQ=s88-c-k-c0x00ffffff-no-rj")</f>
        <v>https://yt3.ggpht.com/ytc/AKedOLRn78g-VN0B5P39BYq2ZFepmRrLC64U3djWdGaNhQ=s88-c-k-c0x00ffffff-no-rj</v>
      </c>
      <c r="AL523" s="80">
        <v>0</v>
      </c>
      <c r="AM523" s="80">
        <v>0</v>
      </c>
      <c r="AN523" s="80">
        <v>7</v>
      </c>
      <c r="AO523" s="80" t="b">
        <v>0</v>
      </c>
      <c r="AP523" s="80">
        <v>0</v>
      </c>
      <c r="AQ523" s="80"/>
      <c r="AR523" s="80"/>
      <c r="AS523" s="80" t="s">
        <v>3412</v>
      </c>
      <c r="AT523" s="85" t="str">
        <f>HYPERLINK("https://www.youtube.com/channel/UCnR8hz3lcn1_f1Ie5w3SUCg")</f>
        <v>https://www.youtube.com/channel/UCnR8hz3lcn1_f1Ie5w3SUCg</v>
      </c>
      <c r="AU523" s="80" t="str">
        <f>REPLACE(INDEX(GroupVertices[Group],MATCH(Vertices[[#This Row],[Vertex]],GroupVertices[Vertex],0)),1,1,"")</f>
        <v>4</v>
      </c>
      <c r="AV523" s="49">
        <v>0</v>
      </c>
      <c r="AW523" s="50">
        <v>0</v>
      </c>
      <c r="AX523" s="49">
        <v>1</v>
      </c>
      <c r="AY523" s="50">
        <v>12.5</v>
      </c>
      <c r="AZ523" s="49">
        <v>0</v>
      </c>
      <c r="BA523" s="50">
        <v>0</v>
      </c>
      <c r="BB523" s="49">
        <v>7</v>
      </c>
      <c r="BC523" s="50">
        <v>87.5</v>
      </c>
      <c r="BD523" s="49">
        <v>8</v>
      </c>
      <c r="BE523" s="49"/>
      <c r="BF523" s="49"/>
      <c r="BG523" s="49"/>
      <c r="BH523" s="49"/>
      <c r="BI523" s="49"/>
      <c r="BJ523" s="49"/>
      <c r="BK523" s="111" t="s">
        <v>4859</v>
      </c>
      <c r="BL523" s="111" t="s">
        <v>4859</v>
      </c>
      <c r="BM523" s="111" t="s">
        <v>5326</v>
      </c>
      <c r="BN523" s="111" t="s">
        <v>5326</v>
      </c>
      <c r="BO523" s="2"/>
      <c r="BP523" s="3"/>
      <c r="BQ523" s="3"/>
      <c r="BR523" s="3"/>
      <c r="BS523" s="3"/>
    </row>
    <row r="524" spans="1:71" ht="15">
      <c r="A524" s="65" t="s">
        <v>744</v>
      </c>
      <c r="B524" s="66"/>
      <c r="C524" s="66"/>
      <c r="D524" s="67">
        <v>150</v>
      </c>
      <c r="E524" s="69"/>
      <c r="F524" s="103" t="str">
        <f>HYPERLINK("https://yt3.ggpht.com/ytc/AKedOLRWE9_GI9hisEOZHmuRlMtt-PHQlugaHWFmsg=s88-c-k-c0x00ffffff-no-rj")</f>
        <v>https://yt3.ggpht.com/ytc/AKedOLRWE9_GI9hisEOZHmuRlMtt-PHQlugaHWFmsg=s88-c-k-c0x00ffffff-no-rj</v>
      </c>
      <c r="G524" s="66"/>
      <c r="H524" s="70" t="s">
        <v>2072</v>
      </c>
      <c r="I524" s="71"/>
      <c r="J524" s="71" t="s">
        <v>159</v>
      </c>
      <c r="K524" s="70" t="s">
        <v>2072</v>
      </c>
      <c r="L524" s="74">
        <v>1</v>
      </c>
      <c r="M524" s="75">
        <v>4790.37841796875</v>
      </c>
      <c r="N524" s="75">
        <v>4880.7431640625</v>
      </c>
      <c r="O524" s="76"/>
      <c r="P524" s="77"/>
      <c r="Q524" s="77"/>
      <c r="R524" s="89"/>
      <c r="S524" s="49">
        <v>1</v>
      </c>
      <c r="T524" s="49">
        <v>1</v>
      </c>
      <c r="U524" s="50">
        <v>0</v>
      </c>
      <c r="V524" s="50">
        <v>0.002933</v>
      </c>
      <c r="W524" s="50">
        <v>0</v>
      </c>
      <c r="X524" s="50">
        <v>0.525855</v>
      </c>
      <c r="Y524" s="50">
        <v>0</v>
      </c>
      <c r="Z524" s="50">
        <v>1</v>
      </c>
      <c r="AA524" s="72">
        <v>524</v>
      </c>
      <c r="AB524" s="72"/>
      <c r="AC524" s="73"/>
      <c r="AD524" s="80" t="s">
        <v>2072</v>
      </c>
      <c r="AE524" s="80"/>
      <c r="AF524" s="80"/>
      <c r="AG524" s="80"/>
      <c r="AH524" s="80"/>
      <c r="AI524" s="80"/>
      <c r="AJ524" s="80" t="s">
        <v>3406</v>
      </c>
      <c r="AK524" s="85" t="str">
        <f>HYPERLINK("https://yt3.ggpht.com/ytc/AKedOLRWE9_GI9hisEOZHmuRlMtt-PHQlugaHWFmsg=s88-c-k-c0x00ffffff-no-rj")</f>
        <v>https://yt3.ggpht.com/ytc/AKedOLRWE9_GI9hisEOZHmuRlMtt-PHQlugaHWFmsg=s88-c-k-c0x00ffffff-no-rj</v>
      </c>
      <c r="AL524" s="80">
        <v>29</v>
      </c>
      <c r="AM524" s="80">
        <v>0</v>
      </c>
      <c r="AN524" s="80">
        <v>5</v>
      </c>
      <c r="AO524" s="80" t="b">
        <v>0</v>
      </c>
      <c r="AP524" s="80">
        <v>1</v>
      </c>
      <c r="AQ524" s="80"/>
      <c r="AR524" s="80"/>
      <c r="AS524" s="80" t="s">
        <v>3412</v>
      </c>
      <c r="AT524" s="85" t="str">
        <f>HYPERLINK("https://www.youtube.com/channel/UCAnqw5P2xCAzOIovoVzZl3Q")</f>
        <v>https://www.youtube.com/channel/UCAnqw5P2xCAzOIovoVzZl3Q</v>
      </c>
      <c r="AU524" s="80" t="str">
        <f>REPLACE(INDEX(GroupVertices[Group],MATCH(Vertices[[#This Row],[Vertex]],GroupVertices[Vertex],0)),1,1,"")</f>
        <v>4</v>
      </c>
      <c r="AV524" s="49">
        <v>4</v>
      </c>
      <c r="AW524" s="50">
        <v>8.16326530612245</v>
      </c>
      <c r="AX524" s="49">
        <v>1</v>
      </c>
      <c r="AY524" s="50">
        <v>2.0408163265306123</v>
      </c>
      <c r="AZ524" s="49">
        <v>0</v>
      </c>
      <c r="BA524" s="50">
        <v>0</v>
      </c>
      <c r="BB524" s="49">
        <v>44</v>
      </c>
      <c r="BC524" s="50">
        <v>89.79591836734694</v>
      </c>
      <c r="BD524" s="49">
        <v>49</v>
      </c>
      <c r="BE524" s="49"/>
      <c r="BF524" s="49"/>
      <c r="BG524" s="49"/>
      <c r="BH524" s="49"/>
      <c r="BI524" s="49"/>
      <c r="BJ524" s="49"/>
      <c r="BK524" s="111" t="s">
        <v>4860</v>
      </c>
      <c r="BL524" s="111" t="s">
        <v>4860</v>
      </c>
      <c r="BM524" s="111" t="s">
        <v>5327</v>
      </c>
      <c r="BN524" s="111" t="s">
        <v>5327</v>
      </c>
      <c r="BO524" s="2"/>
      <c r="BP524" s="3"/>
      <c r="BQ524" s="3"/>
      <c r="BR524" s="3"/>
      <c r="BS524" s="3"/>
    </row>
    <row r="525" spans="1:71" ht="15">
      <c r="A525" s="65" t="s">
        <v>745</v>
      </c>
      <c r="B525" s="66"/>
      <c r="C525" s="66"/>
      <c r="D525" s="67">
        <v>150</v>
      </c>
      <c r="E525" s="69"/>
      <c r="F525" s="103" t="str">
        <f>HYPERLINK("https://yt3.ggpht.com/ytc/AKedOLQHTVgi5BPGyexxNSl19Bu3Y2TIfqk5H9LLSA=s88-c-k-c0x00ffffff-no-rj")</f>
        <v>https://yt3.ggpht.com/ytc/AKedOLQHTVgi5BPGyexxNSl19Bu3Y2TIfqk5H9LLSA=s88-c-k-c0x00ffffff-no-rj</v>
      </c>
      <c r="G525" s="66"/>
      <c r="H525" s="70" t="s">
        <v>2073</v>
      </c>
      <c r="I525" s="71"/>
      <c r="J525" s="71" t="s">
        <v>159</v>
      </c>
      <c r="K525" s="70" t="s">
        <v>2073</v>
      </c>
      <c r="L525" s="74">
        <v>1</v>
      </c>
      <c r="M525" s="75">
        <v>6963.58935546875</v>
      </c>
      <c r="N525" s="75">
        <v>5366.13916015625</v>
      </c>
      <c r="O525" s="76"/>
      <c r="P525" s="77"/>
      <c r="Q525" s="77"/>
      <c r="R525" s="89"/>
      <c r="S525" s="49">
        <v>1</v>
      </c>
      <c r="T525" s="49">
        <v>1</v>
      </c>
      <c r="U525" s="50">
        <v>0</v>
      </c>
      <c r="V525" s="50">
        <v>0.002933</v>
      </c>
      <c r="W525" s="50">
        <v>0</v>
      </c>
      <c r="X525" s="50">
        <v>0.525855</v>
      </c>
      <c r="Y525" s="50">
        <v>0</v>
      </c>
      <c r="Z525" s="50">
        <v>1</v>
      </c>
      <c r="AA525" s="72">
        <v>525</v>
      </c>
      <c r="AB525" s="72"/>
      <c r="AC525" s="73"/>
      <c r="AD525" s="80" t="s">
        <v>2073</v>
      </c>
      <c r="AE525" s="80"/>
      <c r="AF525" s="80"/>
      <c r="AG525" s="80"/>
      <c r="AH525" s="80"/>
      <c r="AI525" s="80"/>
      <c r="AJ525" s="80" t="s">
        <v>3407</v>
      </c>
      <c r="AK525" s="85" t="str">
        <f>HYPERLINK("https://yt3.ggpht.com/ytc/AKedOLQHTVgi5BPGyexxNSl19Bu3Y2TIfqk5H9LLSA=s88-c-k-c0x00ffffff-no-rj")</f>
        <v>https://yt3.ggpht.com/ytc/AKedOLQHTVgi5BPGyexxNSl19Bu3Y2TIfqk5H9LLSA=s88-c-k-c0x00ffffff-no-rj</v>
      </c>
      <c r="AL525" s="80">
        <v>0</v>
      </c>
      <c r="AM525" s="80">
        <v>0</v>
      </c>
      <c r="AN525" s="80">
        <v>0</v>
      </c>
      <c r="AO525" s="80" t="b">
        <v>0</v>
      </c>
      <c r="AP525" s="80">
        <v>0</v>
      </c>
      <c r="AQ525" s="80"/>
      <c r="AR525" s="80"/>
      <c r="AS525" s="80" t="s">
        <v>3412</v>
      </c>
      <c r="AT525" s="85" t="str">
        <f>HYPERLINK("https://www.youtube.com/channel/UCFPjsVOFZYYm_c2FwVjbHKw")</f>
        <v>https://www.youtube.com/channel/UCFPjsVOFZYYm_c2FwVjbHKw</v>
      </c>
      <c r="AU525" s="80" t="str">
        <f>REPLACE(INDEX(GroupVertices[Group],MATCH(Vertices[[#This Row],[Vertex]],GroupVertices[Vertex],0)),1,1,"")</f>
        <v>4</v>
      </c>
      <c r="AV525" s="49">
        <v>2</v>
      </c>
      <c r="AW525" s="50">
        <v>4</v>
      </c>
      <c r="AX525" s="49">
        <v>0</v>
      </c>
      <c r="AY525" s="50">
        <v>0</v>
      </c>
      <c r="AZ525" s="49">
        <v>0</v>
      </c>
      <c r="BA525" s="50">
        <v>0</v>
      </c>
      <c r="BB525" s="49">
        <v>48</v>
      </c>
      <c r="BC525" s="50">
        <v>96</v>
      </c>
      <c r="BD525" s="49">
        <v>50</v>
      </c>
      <c r="BE525" s="49"/>
      <c r="BF525" s="49"/>
      <c r="BG525" s="49"/>
      <c r="BH525" s="49"/>
      <c r="BI525" s="49"/>
      <c r="BJ525" s="49"/>
      <c r="BK525" s="111" t="s">
        <v>4861</v>
      </c>
      <c r="BL525" s="111" t="s">
        <v>4861</v>
      </c>
      <c r="BM525" s="111" t="s">
        <v>5328</v>
      </c>
      <c r="BN525" s="111" t="s">
        <v>5328</v>
      </c>
      <c r="BO525" s="2"/>
      <c r="BP525" s="3"/>
      <c r="BQ525" s="3"/>
      <c r="BR525" s="3"/>
      <c r="BS525" s="3"/>
    </row>
    <row r="526" spans="1:71" ht="15">
      <c r="A526" s="65" t="s">
        <v>746</v>
      </c>
      <c r="B526" s="66"/>
      <c r="C526" s="66"/>
      <c r="D526" s="67">
        <v>150</v>
      </c>
      <c r="E526" s="69"/>
      <c r="F526" s="103" t="str">
        <f>HYPERLINK("https://yt3.ggpht.com/ytc/AKedOLSDcN5o89WvAgLYVY6t8UA-nI5jVAFbt8cjY78Q8Q=s88-c-k-c0x00ffffff-no-rj")</f>
        <v>https://yt3.ggpht.com/ytc/AKedOLSDcN5o89WvAgLYVY6t8UA-nI5jVAFbt8cjY78Q8Q=s88-c-k-c0x00ffffff-no-rj</v>
      </c>
      <c r="G526" s="66"/>
      <c r="H526" s="70" t="s">
        <v>2074</v>
      </c>
      <c r="I526" s="71"/>
      <c r="J526" s="71" t="s">
        <v>159</v>
      </c>
      <c r="K526" s="70" t="s">
        <v>2074</v>
      </c>
      <c r="L526" s="74">
        <v>1</v>
      </c>
      <c r="M526" s="75">
        <v>6376.1630859375</v>
      </c>
      <c r="N526" s="75">
        <v>5696.74365234375</v>
      </c>
      <c r="O526" s="76"/>
      <c r="P526" s="77"/>
      <c r="Q526" s="77"/>
      <c r="R526" s="89"/>
      <c r="S526" s="49">
        <v>0</v>
      </c>
      <c r="T526" s="49">
        <v>1</v>
      </c>
      <c r="U526" s="50">
        <v>0</v>
      </c>
      <c r="V526" s="50">
        <v>0.002933</v>
      </c>
      <c r="W526" s="50">
        <v>0</v>
      </c>
      <c r="X526" s="50">
        <v>0.525855</v>
      </c>
      <c r="Y526" s="50">
        <v>0</v>
      </c>
      <c r="Z526" s="50">
        <v>0</v>
      </c>
      <c r="AA526" s="72">
        <v>526</v>
      </c>
      <c r="AB526" s="72"/>
      <c r="AC526" s="73"/>
      <c r="AD526" s="80" t="s">
        <v>2074</v>
      </c>
      <c r="AE526" s="80"/>
      <c r="AF526" s="80"/>
      <c r="AG526" s="80"/>
      <c r="AH526" s="80"/>
      <c r="AI526" s="80" t="s">
        <v>3096</v>
      </c>
      <c r="AJ526" s="87">
        <v>40553.54871527778</v>
      </c>
      <c r="AK526" s="85" t="str">
        <f>HYPERLINK("https://yt3.ggpht.com/ytc/AKedOLSDcN5o89WvAgLYVY6t8UA-nI5jVAFbt8cjY78Q8Q=s88-c-k-c0x00ffffff-no-rj")</f>
        <v>https://yt3.ggpht.com/ytc/AKedOLSDcN5o89WvAgLYVY6t8UA-nI5jVAFbt8cjY78Q8Q=s88-c-k-c0x00ffffff-no-rj</v>
      </c>
      <c r="AL526" s="80">
        <v>0</v>
      </c>
      <c r="AM526" s="80">
        <v>0</v>
      </c>
      <c r="AN526" s="80">
        <v>14</v>
      </c>
      <c r="AO526" s="80" t="b">
        <v>0</v>
      </c>
      <c r="AP526" s="80">
        <v>0</v>
      </c>
      <c r="AQ526" s="80"/>
      <c r="AR526" s="80"/>
      <c r="AS526" s="80" t="s">
        <v>3412</v>
      </c>
      <c r="AT526" s="85" t="str">
        <f>HYPERLINK("https://www.youtube.com/channel/UCDyYwvC2cbJb44iqWLPz5pQ")</f>
        <v>https://www.youtube.com/channel/UCDyYwvC2cbJb44iqWLPz5pQ</v>
      </c>
      <c r="AU526" s="80" t="str">
        <f>REPLACE(INDEX(GroupVertices[Group],MATCH(Vertices[[#This Row],[Vertex]],GroupVertices[Vertex],0)),1,1,"")</f>
        <v>4</v>
      </c>
      <c r="AV526" s="49">
        <v>1</v>
      </c>
      <c r="AW526" s="50">
        <v>100</v>
      </c>
      <c r="AX526" s="49">
        <v>0</v>
      </c>
      <c r="AY526" s="50">
        <v>0</v>
      </c>
      <c r="AZ526" s="49">
        <v>0</v>
      </c>
      <c r="BA526" s="50">
        <v>0</v>
      </c>
      <c r="BB526" s="49">
        <v>0</v>
      </c>
      <c r="BC526" s="50">
        <v>0</v>
      </c>
      <c r="BD526" s="49">
        <v>1</v>
      </c>
      <c r="BE526" s="49"/>
      <c r="BF526" s="49"/>
      <c r="BG526" s="49"/>
      <c r="BH526" s="49"/>
      <c r="BI526" s="49"/>
      <c r="BJ526" s="49"/>
      <c r="BK526" s="111" t="s">
        <v>1152</v>
      </c>
      <c r="BL526" s="111" t="s">
        <v>1152</v>
      </c>
      <c r="BM526" s="111" t="s">
        <v>2782</v>
      </c>
      <c r="BN526" s="111" t="s">
        <v>2782</v>
      </c>
      <c r="BO526" s="2"/>
      <c r="BP526" s="3"/>
      <c r="BQ526" s="3"/>
      <c r="BR526" s="3"/>
      <c r="BS526" s="3"/>
    </row>
    <row r="527" spans="1:71" ht="15">
      <c r="A527" s="65" t="s">
        <v>747</v>
      </c>
      <c r="B527" s="66"/>
      <c r="C527" s="66"/>
      <c r="D527" s="67">
        <v>150</v>
      </c>
      <c r="E527" s="69"/>
      <c r="F527" s="103" t="str">
        <f>HYPERLINK("https://yt3.ggpht.com/ytc/AKedOLSTdeGSM2CazkSgi8Nffgnki7rvvDOFShCr08EfxA=s88-c-k-c0x00ffffff-no-rj")</f>
        <v>https://yt3.ggpht.com/ytc/AKedOLSTdeGSM2CazkSgi8Nffgnki7rvvDOFShCr08EfxA=s88-c-k-c0x00ffffff-no-rj</v>
      </c>
      <c r="G527" s="66"/>
      <c r="H527" s="70" t="s">
        <v>2075</v>
      </c>
      <c r="I527" s="71"/>
      <c r="J527" s="71" t="s">
        <v>159</v>
      </c>
      <c r="K527" s="70" t="s">
        <v>2075</v>
      </c>
      <c r="L527" s="74">
        <v>1</v>
      </c>
      <c r="M527" s="75">
        <v>6102.931640625</v>
      </c>
      <c r="N527" s="75">
        <v>4984.40966796875</v>
      </c>
      <c r="O527" s="76"/>
      <c r="P527" s="77"/>
      <c r="Q527" s="77"/>
      <c r="R527" s="89"/>
      <c r="S527" s="49">
        <v>1</v>
      </c>
      <c r="T527" s="49">
        <v>1</v>
      </c>
      <c r="U527" s="50">
        <v>0</v>
      </c>
      <c r="V527" s="50">
        <v>0.002933</v>
      </c>
      <c r="W527" s="50">
        <v>0</v>
      </c>
      <c r="X527" s="50">
        <v>0.525855</v>
      </c>
      <c r="Y527" s="50">
        <v>0</v>
      </c>
      <c r="Z527" s="50">
        <v>1</v>
      </c>
      <c r="AA527" s="72">
        <v>527</v>
      </c>
      <c r="AB527" s="72"/>
      <c r="AC527" s="73"/>
      <c r="AD527" s="80" t="s">
        <v>2075</v>
      </c>
      <c r="AE527" s="80"/>
      <c r="AF527" s="80"/>
      <c r="AG527" s="80"/>
      <c r="AH527" s="80"/>
      <c r="AI527" s="80"/>
      <c r="AJ527" s="80" t="s">
        <v>3408</v>
      </c>
      <c r="AK527" s="85" t="str">
        <f>HYPERLINK("https://yt3.ggpht.com/ytc/AKedOLSTdeGSM2CazkSgi8Nffgnki7rvvDOFShCr08EfxA=s88-c-k-c0x00ffffff-no-rj")</f>
        <v>https://yt3.ggpht.com/ytc/AKedOLSTdeGSM2CazkSgi8Nffgnki7rvvDOFShCr08EfxA=s88-c-k-c0x00ffffff-no-rj</v>
      </c>
      <c r="AL527" s="80">
        <v>0</v>
      </c>
      <c r="AM527" s="80">
        <v>0</v>
      </c>
      <c r="AN527" s="80">
        <v>10</v>
      </c>
      <c r="AO527" s="80" t="b">
        <v>0</v>
      </c>
      <c r="AP527" s="80">
        <v>0</v>
      </c>
      <c r="AQ527" s="80"/>
      <c r="AR527" s="80"/>
      <c r="AS527" s="80" t="s">
        <v>3412</v>
      </c>
      <c r="AT527" s="85" t="str">
        <f>HYPERLINK("https://www.youtube.com/channel/UCblMkBEHgD7uaLC0lBFebGQ")</f>
        <v>https://www.youtube.com/channel/UCblMkBEHgD7uaLC0lBFebGQ</v>
      </c>
      <c r="AU527" s="80" t="str">
        <f>REPLACE(INDEX(GroupVertices[Group],MATCH(Vertices[[#This Row],[Vertex]],GroupVertices[Vertex],0)),1,1,"")</f>
        <v>4</v>
      </c>
      <c r="AV527" s="49">
        <v>1</v>
      </c>
      <c r="AW527" s="50">
        <v>20</v>
      </c>
      <c r="AX527" s="49">
        <v>0</v>
      </c>
      <c r="AY527" s="50">
        <v>0</v>
      </c>
      <c r="AZ527" s="49">
        <v>0</v>
      </c>
      <c r="BA527" s="50">
        <v>0</v>
      </c>
      <c r="BB527" s="49">
        <v>4</v>
      </c>
      <c r="BC527" s="50">
        <v>80</v>
      </c>
      <c r="BD527" s="49">
        <v>5</v>
      </c>
      <c r="BE527" s="49"/>
      <c r="BF527" s="49"/>
      <c r="BG527" s="49"/>
      <c r="BH527" s="49"/>
      <c r="BI527" s="49"/>
      <c r="BJ527" s="49"/>
      <c r="BK527" s="111" t="s">
        <v>3488</v>
      </c>
      <c r="BL527" s="111" t="s">
        <v>3488</v>
      </c>
      <c r="BM527" s="111" t="s">
        <v>2782</v>
      </c>
      <c r="BN527" s="111" t="s">
        <v>2782</v>
      </c>
      <c r="BO527" s="2"/>
      <c r="BP527" s="3"/>
      <c r="BQ527" s="3"/>
      <c r="BR527" s="3"/>
      <c r="BS527" s="3"/>
    </row>
    <row r="528" spans="1:71" ht="15">
      <c r="A528" s="65" t="s">
        <v>748</v>
      </c>
      <c r="B528" s="66"/>
      <c r="C528" s="66"/>
      <c r="D528" s="67">
        <v>150</v>
      </c>
      <c r="E528" s="69"/>
      <c r="F528" s="103" t="str">
        <f>HYPERLINK("https://yt3.ggpht.com/ytc/AKedOLT3B31Qd7USqr64spCK5omOcKA8r64DKbIHCKjXKA=s88-c-k-c0x00ffffff-no-rj")</f>
        <v>https://yt3.ggpht.com/ytc/AKedOLT3B31Qd7USqr64spCK5omOcKA8r64DKbIHCKjXKA=s88-c-k-c0x00ffffff-no-rj</v>
      </c>
      <c r="G528" s="66"/>
      <c r="H528" s="70" t="s">
        <v>2076</v>
      </c>
      <c r="I528" s="71"/>
      <c r="J528" s="71" t="s">
        <v>159</v>
      </c>
      <c r="K528" s="70" t="s">
        <v>2076</v>
      </c>
      <c r="L528" s="74">
        <v>1</v>
      </c>
      <c r="M528" s="75">
        <v>6599.43994140625</v>
      </c>
      <c r="N528" s="75">
        <v>4932.0595703125</v>
      </c>
      <c r="O528" s="76"/>
      <c r="P528" s="77"/>
      <c r="Q528" s="77"/>
      <c r="R528" s="89"/>
      <c r="S528" s="49">
        <v>0</v>
      </c>
      <c r="T528" s="49">
        <v>1</v>
      </c>
      <c r="U528" s="50">
        <v>0</v>
      </c>
      <c r="V528" s="50">
        <v>0.002933</v>
      </c>
      <c r="W528" s="50">
        <v>0</v>
      </c>
      <c r="X528" s="50">
        <v>0.525855</v>
      </c>
      <c r="Y528" s="50">
        <v>0</v>
      </c>
      <c r="Z528" s="50">
        <v>0</v>
      </c>
      <c r="AA528" s="72">
        <v>528</v>
      </c>
      <c r="AB528" s="72"/>
      <c r="AC528" s="73"/>
      <c r="AD528" s="80" t="s">
        <v>2076</v>
      </c>
      <c r="AE528" s="80"/>
      <c r="AF528" s="80"/>
      <c r="AG528" s="80"/>
      <c r="AH528" s="80"/>
      <c r="AI528" s="80"/>
      <c r="AJ528" s="80" t="s">
        <v>3409</v>
      </c>
      <c r="AK528" s="85" t="str">
        <f>HYPERLINK("https://yt3.ggpht.com/ytc/AKedOLT3B31Qd7USqr64spCK5omOcKA8r64DKbIHCKjXKA=s88-c-k-c0x00ffffff-no-rj")</f>
        <v>https://yt3.ggpht.com/ytc/AKedOLT3B31Qd7USqr64spCK5omOcKA8r64DKbIHCKjXKA=s88-c-k-c0x00ffffff-no-rj</v>
      </c>
      <c r="AL528" s="80">
        <v>0</v>
      </c>
      <c r="AM528" s="80">
        <v>0</v>
      </c>
      <c r="AN528" s="80">
        <v>0</v>
      </c>
      <c r="AO528" s="80" t="b">
        <v>0</v>
      </c>
      <c r="AP528" s="80">
        <v>0</v>
      </c>
      <c r="AQ528" s="80"/>
      <c r="AR528" s="80"/>
      <c r="AS528" s="80" t="s">
        <v>3412</v>
      </c>
      <c r="AT528" s="85" t="str">
        <f>HYPERLINK("https://www.youtube.com/channel/UC7DURVLcH2NBsmLGwSVOP4Q")</f>
        <v>https://www.youtube.com/channel/UC7DURVLcH2NBsmLGwSVOP4Q</v>
      </c>
      <c r="AU528" s="80" t="str">
        <f>REPLACE(INDEX(GroupVertices[Group],MATCH(Vertices[[#This Row],[Vertex]],GroupVertices[Vertex],0)),1,1,"")</f>
        <v>4</v>
      </c>
      <c r="AV528" s="49">
        <v>0</v>
      </c>
      <c r="AW528" s="50">
        <v>0</v>
      </c>
      <c r="AX528" s="49">
        <v>0</v>
      </c>
      <c r="AY528" s="50">
        <v>0</v>
      </c>
      <c r="AZ528" s="49">
        <v>0</v>
      </c>
      <c r="BA528" s="50">
        <v>0</v>
      </c>
      <c r="BB528" s="49">
        <v>18</v>
      </c>
      <c r="BC528" s="50">
        <v>100</v>
      </c>
      <c r="BD528" s="49">
        <v>18</v>
      </c>
      <c r="BE528" s="49"/>
      <c r="BF528" s="49"/>
      <c r="BG528" s="49"/>
      <c r="BH528" s="49"/>
      <c r="BI528" s="49"/>
      <c r="BJ528" s="49"/>
      <c r="BK528" s="111" t="s">
        <v>4862</v>
      </c>
      <c r="BL528" s="111" t="s">
        <v>4862</v>
      </c>
      <c r="BM528" s="111" t="s">
        <v>5329</v>
      </c>
      <c r="BN528" s="111" t="s">
        <v>5329</v>
      </c>
      <c r="BO528" s="2"/>
      <c r="BP528" s="3"/>
      <c r="BQ528" s="3"/>
      <c r="BR528" s="3"/>
      <c r="BS528" s="3"/>
    </row>
    <row r="529" spans="1:71" ht="15">
      <c r="A529" s="65" t="s">
        <v>749</v>
      </c>
      <c r="B529" s="66"/>
      <c r="C529" s="66"/>
      <c r="D529" s="67">
        <v>150</v>
      </c>
      <c r="E529" s="69"/>
      <c r="F529" s="103" t="str">
        <f>HYPERLINK("https://yt3.ggpht.com/ytc/AKedOLQ-9W7xNDFJE7lFPV7zaudRtF2G56nn4qyhBQ=s88-c-k-c0x00ffffff-no-rj")</f>
        <v>https://yt3.ggpht.com/ytc/AKedOLQ-9W7xNDFJE7lFPV7zaudRtF2G56nn4qyhBQ=s88-c-k-c0x00ffffff-no-rj</v>
      </c>
      <c r="G529" s="66"/>
      <c r="H529" s="70" t="s">
        <v>2077</v>
      </c>
      <c r="I529" s="71"/>
      <c r="J529" s="71" t="s">
        <v>159</v>
      </c>
      <c r="K529" s="70" t="s">
        <v>2077</v>
      </c>
      <c r="L529" s="74">
        <v>1</v>
      </c>
      <c r="M529" s="75">
        <v>8839.9375</v>
      </c>
      <c r="N529" s="75">
        <v>2686.66943359375</v>
      </c>
      <c r="O529" s="76"/>
      <c r="P529" s="77"/>
      <c r="Q529" s="77"/>
      <c r="R529" s="89"/>
      <c r="S529" s="49">
        <v>0</v>
      </c>
      <c r="T529" s="49">
        <v>1</v>
      </c>
      <c r="U529" s="50">
        <v>0</v>
      </c>
      <c r="V529" s="50">
        <v>0.047619</v>
      </c>
      <c r="W529" s="50">
        <v>0</v>
      </c>
      <c r="X529" s="50">
        <v>0.55881</v>
      </c>
      <c r="Y529" s="50">
        <v>0</v>
      </c>
      <c r="Z529" s="50">
        <v>0</v>
      </c>
      <c r="AA529" s="72">
        <v>529</v>
      </c>
      <c r="AB529" s="72"/>
      <c r="AC529" s="73"/>
      <c r="AD529" s="80" t="s">
        <v>2077</v>
      </c>
      <c r="AE529" s="80"/>
      <c r="AF529" s="80"/>
      <c r="AG529" s="80"/>
      <c r="AH529" s="80"/>
      <c r="AI529" s="80"/>
      <c r="AJ529" s="80" t="s">
        <v>3410</v>
      </c>
      <c r="AK529" s="85" t="str">
        <f>HYPERLINK("https://yt3.ggpht.com/ytc/AKedOLQ-9W7xNDFJE7lFPV7zaudRtF2G56nn4qyhBQ=s88-c-k-c0x00ffffff-no-rj")</f>
        <v>https://yt3.ggpht.com/ytc/AKedOLQ-9W7xNDFJE7lFPV7zaudRtF2G56nn4qyhBQ=s88-c-k-c0x00ffffff-no-rj</v>
      </c>
      <c r="AL529" s="80">
        <v>0</v>
      </c>
      <c r="AM529" s="80">
        <v>0</v>
      </c>
      <c r="AN529" s="80">
        <v>0</v>
      </c>
      <c r="AO529" s="80" t="b">
        <v>0</v>
      </c>
      <c r="AP529" s="80">
        <v>0</v>
      </c>
      <c r="AQ529" s="80"/>
      <c r="AR529" s="80"/>
      <c r="AS529" s="80" t="s">
        <v>3412</v>
      </c>
      <c r="AT529" s="85" t="str">
        <f>HYPERLINK("https://www.youtube.com/channel/UCDyFrFVz6c1UPBCY5ivsQXg")</f>
        <v>https://www.youtube.com/channel/UCDyFrFVz6c1UPBCY5ivsQXg</v>
      </c>
      <c r="AU529" s="80" t="str">
        <f>REPLACE(INDEX(GroupVertices[Group],MATCH(Vertices[[#This Row],[Vertex]],GroupVertices[Vertex],0)),1,1,"")</f>
        <v>12</v>
      </c>
      <c r="AV529" s="49">
        <v>7</v>
      </c>
      <c r="AW529" s="50">
        <v>12.068965517241379</v>
      </c>
      <c r="AX529" s="49">
        <v>4</v>
      </c>
      <c r="AY529" s="50">
        <v>6.896551724137931</v>
      </c>
      <c r="AZ529" s="49">
        <v>0</v>
      </c>
      <c r="BA529" s="50">
        <v>0</v>
      </c>
      <c r="BB529" s="49">
        <v>47</v>
      </c>
      <c r="BC529" s="50">
        <v>81.03448275862068</v>
      </c>
      <c r="BD529" s="49">
        <v>58</v>
      </c>
      <c r="BE529" s="49"/>
      <c r="BF529" s="49"/>
      <c r="BG529" s="49"/>
      <c r="BH529" s="49"/>
      <c r="BI529" s="49"/>
      <c r="BJ529" s="49"/>
      <c r="BK529" s="111" t="s">
        <v>4863</v>
      </c>
      <c r="BL529" s="111" t="s">
        <v>4863</v>
      </c>
      <c r="BM529" s="111" t="s">
        <v>5330</v>
      </c>
      <c r="BN529" s="111" t="s">
        <v>5330</v>
      </c>
      <c r="BO529" s="2"/>
      <c r="BP529" s="3"/>
      <c r="BQ529" s="3"/>
      <c r="BR529" s="3"/>
      <c r="BS529" s="3"/>
    </row>
    <row r="530" spans="1:71" ht="15">
      <c r="A530" s="65" t="s">
        <v>752</v>
      </c>
      <c r="B530" s="66"/>
      <c r="C530" s="66"/>
      <c r="D530" s="67">
        <v>150</v>
      </c>
      <c r="E530" s="69"/>
      <c r="F530" s="103" t="str">
        <f>HYPERLINK("https://yt3.ggpht.com/ytc/AKedOLRTkHbJiEWtFD0pkGFRcD_-rZFfYMlhmMvQSEoBsQ=s88-c-k-c0x00ffffff-no-rj")</f>
        <v>https://yt3.ggpht.com/ytc/AKedOLRTkHbJiEWtFD0pkGFRcD_-rZFfYMlhmMvQSEoBsQ=s88-c-k-c0x00ffffff-no-rj</v>
      </c>
      <c r="G530" s="66"/>
      <c r="H530" s="70" t="s">
        <v>2802</v>
      </c>
      <c r="I530" s="71"/>
      <c r="J530" s="71" t="s">
        <v>159</v>
      </c>
      <c r="K530" s="70" t="s">
        <v>2802</v>
      </c>
      <c r="L530" s="74">
        <v>1</v>
      </c>
      <c r="M530" s="75">
        <v>9016.955078125</v>
      </c>
      <c r="N530" s="75">
        <v>975.3359985351562</v>
      </c>
      <c r="O530" s="76"/>
      <c r="P530" s="77"/>
      <c r="Q530" s="77"/>
      <c r="R530" s="89"/>
      <c r="S530" s="49">
        <v>1</v>
      </c>
      <c r="T530" s="49">
        <v>1</v>
      </c>
      <c r="U530" s="50">
        <v>0</v>
      </c>
      <c r="V530" s="50">
        <v>0</v>
      </c>
      <c r="W530" s="50">
        <v>0</v>
      </c>
      <c r="X530" s="50">
        <v>0.999999</v>
      </c>
      <c r="Y530" s="50">
        <v>0</v>
      </c>
      <c r="Z530" s="50">
        <v>0</v>
      </c>
      <c r="AA530" s="72">
        <v>530</v>
      </c>
      <c r="AB530" s="72"/>
      <c r="AC530" s="73"/>
      <c r="AD530" s="80" t="s">
        <v>2802</v>
      </c>
      <c r="AE530" s="80" t="s">
        <v>3002</v>
      </c>
      <c r="AF530" s="80"/>
      <c r="AG530" s="80"/>
      <c r="AH530" s="80"/>
      <c r="AI530" s="80"/>
      <c r="AJ530" s="87">
        <v>40858.72</v>
      </c>
      <c r="AK530" s="85" t="str">
        <f>HYPERLINK("https://yt3.ggpht.com/ytc/AKedOLRTkHbJiEWtFD0pkGFRcD_-rZFfYMlhmMvQSEoBsQ=s88-c-k-c0x00ffffff-no-rj")</f>
        <v>https://yt3.ggpht.com/ytc/AKedOLRTkHbJiEWtFD0pkGFRcD_-rZFfYMlhmMvQSEoBsQ=s88-c-k-c0x00ffffff-no-rj</v>
      </c>
      <c r="AL530" s="80">
        <v>1256036</v>
      </c>
      <c r="AM530" s="80">
        <v>0</v>
      </c>
      <c r="AN530" s="80">
        <v>1240</v>
      </c>
      <c r="AO530" s="80" t="b">
        <v>0</v>
      </c>
      <c r="AP530" s="80">
        <v>1552</v>
      </c>
      <c r="AQ530" s="80"/>
      <c r="AR530" s="80"/>
      <c r="AS530" s="80" t="s">
        <v>3412</v>
      </c>
      <c r="AT530" s="85" t="str">
        <f>HYPERLINK("https://www.youtube.com/channel/UCTtfpY4KcPLREJMMn06CR6w")</f>
        <v>https://www.youtube.com/channel/UCTtfpY4KcPLREJMMn06CR6w</v>
      </c>
      <c r="AU530" s="80" t="str">
        <f>REPLACE(INDEX(GroupVertices[Group],MATCH(Vertices[[#This Row],[Vertex]],GroupVertices[Vertex],0)),1,1,"")</f>
        <v>15</v>
      </c>
      <c r="AV530" s="49"/>
      <c r="AW530" s="50"/>
      <c r="AX530" s="49"/>
      <c r="AY530" s="50"/>
      <c r="AZ530" s="49"/>
      <c r="BA530" s="50"/>
      <c r="BB530" s="49"/>
      <c r="BC530" s="50"/>
      <c r="BD530" s="49"/>
      <c r="BE530" s="49"/>
      <c r="BF530" s="49"/>
      <c r="BG530" s="49"/>
      <c r="BH530" s="49"/>
      <c r="BI530" s="49"/>
      <c r="BJ530" s="49"/>
      <c r="BK530" s="111" t="s">
        <v>2782</v>
      </c>
      <c r="BL530" s="111" t="s">
        <v>2782</v>
      </c>
      <c r="BM530" s="111" t="s">
        <v>2782</v>
      </c>
      <c r="BN530" s="111" t="s">
        <v>2782</v>
      </c>
      <c r="BO530" s="2"/>
      <c r="BP530" s="3"/>
      <c r="BQ530" s="3"/>
      <c r="BR530" s="3"/>
      <c r="BS530" s="3"/>
    </row>
    <row r="531" spans="1:71" ht="15">
      <c r="A531" s="65" t="s">
        <v>754</v>
      </c>
      <c r="B531" s="66"/>
      <c r="C531" s="66"/>
      <c r="D531" s="67">
        <v>150</v>
      </c>
      <c r="E531" s="69"/>
      <c r="F531" s="103" t="str">
        <f>HYPERLINK("https://yt3.ggpht.com/ytc/AKedOLQMB0na0ubmp7h-M4qu8AMRarPv-bhvxSpVIyo31Q=s88-c-k-c0x00ffffff-no-rj")</f>
        <v>https://yt3.ggpht.com/ytc/AKedOLQMB0na0ubmp7h-M4qu8AMRarPv-bhvxSpVIyo31Q=s88-c-k-c0x00ffffff-no-rj</v>
      </c>
      <c r="G531" s="66"/>
      <c r="H531" s="70" t="s">
        <v>2803</v>
      </c>
      <c r="I531" s="71"/>
      <c r="J531" s="71" t="s">
        <v>159</v>
      </c>
      <c r="K531" s="70" t="s">
        <v>2803</v>
      </c>
      <c r="L531" s="74">
        <v>1</v>
      </c>
      <c r="M531" s="75">
        <v>9552.6162109375</v>
      </c>
      <c r="N531" s="75">
        <v>975.3359985351562</v>
      </c>
      <c r="O531" s="76"/>
      <c r="P531" s="77"/>
      <c r="Q531" s="77"/>
      <c r="R531" s="89"/>
      <c r="S531" s="49">
        <v>1</v>
      </c>
      <c r="T531" s="49">
        <v>1</v>
      </c>
      <c r="U531" s="50">
        <v>0</v>
      </c>
      <c r="V531" s="50">
        <v>0</v>
      </c>
      <c r="W531" s="50">
        <v>0</v>
      </c>
      <c r="X531" s="50">
        <v>0.999999</v>
      </c>
      <c r="Y531" s="50">
        <v>0</v>
      </c>
      <c r="Z531" s="50">
        <v>0</v>
      </c>
      <c r="AA531" s="72">
        <v>531</v>
      </c>
      <c r="AB531" s="72"/>
      <c r="AC531" s="73"/>
      <c r="AD531" s="80" t="s">
        <v>2803</v>
      </c>
      <c r="AE531" s="80" t="s">
        <v>3003</v>
      </c>
      <c r="AF531" s="80"/>
      <c r="AG531" s="80"/>
      <c r="AH531" s="80"/>
      <c r="AI531" s="80" t="s">
        <v>3097</v>
      </c>
      <c r="AJ531" s="87">
        <v>42372.3021875</v>
      </c>
      <c r="AK531" s="85" t="str">
        <f>HYPERLINK("https://yt3.ggpht.com/ytc/AKedOLQMB0na0ubmp7h-M4qu8AMRarPv-bhvxSpVIyo31Q=s88-c-k-c0x00ffffff-no-rj")</f>
        <v>https://yt3.ggpht.com/ytc/AKedOLQMB0na0ubmp7h-M4qu8AMRarPv-bhvxSpVIyo31Q=s88-c-k-c0x00ffffff-no-rj</v>
      </c>
      <c r="AL531" s="80">
        <v>98325</v>
      </c>
      <c r="AM531" s="80">
        <v>0</v>
      </c>
      <c r="AN531" s="80">
        <v>1120</v>
      </c>
      <c r="AO531" s="80" t="b">
        <v>0</v>
      </c>
      <c r="AP531" s="80">
        <v>226</v>
      </c>
      <c r="AQ531" s="80"/>
      <c r="AR531" s="80"/>
      <c r="AS531" s="80" t="s">
        <v>3412</v>
      </c>
      <c r="AT531" s="85" t="str">
        <f>HYPERLINK("https://www.youtube.com/channel/UCU8eIap08OaLUFa2sD2UgOQ")</f>
        <v>https://www.youtube.com/channel/UCU8eIap08OaLUFa2sD2UgOQ</v>
      </c>
      <c r="AU531" s="80" t="str">
        <f>REPLACE(INDEX(GroupVertices[Group],MATCH(Vertices[[#This Row],[Vertex]],GroupVertices[Vertex],0)),1,1,"")</f>
        <v>15</v>
      </c>
      <c r="AV531" s="49"/>
      <c r="AW531" s="50"/>
      <c r="AX531" s="49"/>
      <c r="AY531" s="50"/>
      <c r="AZ531" s="49"/>
      <c r="BA531" s="50"/>
      <c r="BB531" s="49"/>
      <c r="BC531" s="50"/>
      <c r="BD531" s="49"/>
      <c r="BE531" s="49"/>
      <c r="BF531" s="49"/>
      <c r="BG531" s="49"/>
      <c r="BH531" s="49"/>
      <c r="BI531" s="49"/>
      <c r="BJ531" s="49"/>
      <c r="BK531" s="111" t="s">
        <v>2782</v>
      </c>
      <c r="BL531" s="111" t="s">
        <v>2782</v>
      </c>
      <c r="BM531" s="111" t="s">
        <v>2782</v>
      </c>
      <c r="BN531" s="111" t="s">
        <v>2782</v>
      </c>
      <c r="BO531" s="2"/>
      <c r="BP531" s="3"/>
      <c r="BQ531" s="3"/>
      <c r="BR531" s="3"/>
      <c r="BS531" s="3"/>
    </row>
    <row r="532" spans="1:71" ht="15">
      <c r="A532" s="65" t="s">
        <v>755</v>
      </c>
      <c r="B532" s="66"/>
      <c r="C532" s="66"/>
      <c r="D532" s="67">
        <v>150</v>
      </c>
      <c r="E532" s="69"/>
      <c r="F532" s="103" t="str">
        <f>HYPERLINK("https://yt3.ggpht.com/ytc/AKedOLQ4pEWpBjna4OWeu2D7XB8ARXtNda7scFxYmyRy8A=s88-c-k-c0x00ffffff-no-rj")</f>
        <v>https://yt3.ggpht.com/ytc/AKedOLQ4pEWpBjna4OWeu2D7XB8ARXtNda7scFxYmyRy8A=s88-c-k-c0x00ffffff-no-rj</v>
      </c>
      <c r="G532" s="66"/>
      <c r="H532" s="70" t="s">
        <v>2078</v>
      </c>
      <c r="I532" s="71"/>
      <c r="J532" s="71" t="s">
        <v>159</v>
      </c>
      <c r="K532" s="70" t="s">
        <v>2078</v>
      </c>
      <c r="L532" s="74">
        <v>1</v>
      </c>
      <c r="M532" s="75">
        <v>9016.955078125</v>
      </c>
      <c r="N532" s="75">
        <v>1192.0772705078125</v>
      </c>
      <c r="O532" s="76"/>
      <c r="P532" s="77"/>
      <c r="Q532" s="77"/>
      <c r="R532" s="89"/>
      <c r="S532" s="49">
        <v>1</v>
      </c>
      <c r="T532" s="49">
        <v>1</v>
      </c>
      <c r="U532" s="50">
        <v>0</v>
      </c>
      <c r="V532" s="50">
        <v>0</v>
      </c>
      <c r="W532" s="50">
        <v>0</v>
      </c>
      <c r="X532" s="50">
        <v>0.999999</v>
      </c>
      <c r="Y532" s="50">
        <v>0</v>
      </c>
      <c r="Z532" s="50">
        <v>0</v>
      </c>
      <c r="AA532" s="72">
        <v>532</v>
      </c>
      <c r="AB532" s="72"/>
      <c r="AC532" s="73"/>
      <c r="AD532" s="80" t="s">
        <v>2078</v>
      </c>
      <c r="AE532" s="80" t="s">
        <v>3004</v>
      </c>
      <c r="AF532" s="80"/>
      <c r="AG532" s="80"/>
      <c r="AH532" s="80"/>
      <c r="AI532" s="80" t="s">
        <v>3098</v>
      </c>
      <c r="AJ532" s="80" t="s">
        <v>3411</v>
      </c>
      <c r="AK532" s="85" t="str">
        <f>HYPERLINK("https://yt3.ggpht.com/ytc/AKedOLQ4pEWpBjna4OWeu2D7XB8ARXtNda7scFxYmyRy8A=s88-c-k-c0x00ffffff-no-rj")</f>
        <v>https://yt3.ggpht.com/ytc/AKedOLQ4pEWpBjna4OWeu2D7XB8ARXtNda7scFxYmyRy8A=s88-c-k-c0x00ffffff-no-rj</v>
      </c>
      <c r="AL532" s="80">
        <v>264101</v>
      </c>
      <c r="AM532" s="80">
        <v>0</v>
      </c>
      <c r="AN532" s="80">
        <v>563</v>
      </c>
      <c r="AO532" s="80" t="b">
        <v>0</v>
      </c>
      <c r="AP532" s="80">
        <v>22</v>
      </c>
      <c r="AQ532" s="80"/>
      <c r="AR532" s="80"/>
      <c r="AS532" s="80" t="s">
        <v>3412</v>
      </c>
      <c r="AT532" s="85" t="str">
        <f>HYPERLINK("https://www.youtube.com/channel/UC7KnUtEo6OY38KDBP-XWWRg")</f>
        <v>https://www.youtube.com/channel/UC7KnUtEo6OY38KDBP-XWWRg</v>
      </c>
      <c r="AU532" s="80" t="str">
        <f>REPLACE(INDEX(GroupVertices[Group],MATCH(Vertices[[#This Row],[Vertex]],GroupVertices[Vertex],0)),1,1,"")</f>
        <v>15</v>
      </c>
      <c r="AV532" s="49">
        <v>0</v>
      </c>
      <c r="AW532" s="50">
        <v>0</v>
      </c>
      <c r="AX532" s="49">
        <v>0</v>
      </c>
      <c r="AY532" s="50">
        <v>0</v>
      </c>
      <c r="AZ532" s="49">
        <v>0</v>
      </c>
      <c r="BA532" s="50">
        <v>0</v>
      </c>
      <c r="BB532" s="49">
        <v>51</v>
      </c>
      <c r="BC532" s="50">
        <v>100</v>
      </c>
      <c r="BD532" s="49">
        <v>51</v>
      </c>
      <c r="BE532" s="49" t="s">
        <v>4249</v>
      </c>
      <c r="BF532" s="49" t="s">
        <v>4249</v>
      </c>
      <c r="BG532" s="49" t="s">
        <v>4272</v>
      </c>
      <c r="BH532" s="49" t="s">
        <v>4272</v>
      </c>
      <c r="BI532" s="49"/>
      <c r="BJ532" s="49"/>
      <c r="BK532" s="111" t="s">
        <v>4864</v>
      </c>
      <c r="BL532" s="111" t="s">
        <v>4864</v>
      </c>
      <c r="BM532" s="111" t="s">
        <v>5331</v>
      </c>
      <c r="BN532" s="111" t="s">
        <v>5331</v>
      </c>
      <c r="BO532" s="2"/>
      <c r="BP532" s="3"/>
      <c r="BQ532" s="3"/>
      <c r="BR532" s="3"/>
      <c r="BS532" s="3"/>
    </row>
    <row r="533" spans="1:71" ht="15">
      <c r="A533" s="90" t="s">
        <v>758</v>
      </c>
      <c r="B533" s="91"/>
      <c r="C533" s="91"/>
      <c r="D533" s="92">
        <v>150</v>
      </c>
      <c r="E533" s="93"/>
      <c r="F533" s="104" t="str">
        <f>HYPERLINK("https://yt3.ggpht.com/ytc/AKedOLSqT5fiNGxp2rr51wyd7gdH7qsyP2sl5OZYJjB7Pw=s88-c-k-c0x00ffffff-no-rj")</f>
        <v>https://yt3.ggpht.com/ytc/AKedOLSqT5fiNGxp2rr51wyd7gdH7qsyP2sl5OZYJjB7Pw=s88-c-k-c0x00ffffff-no-rj</v>
      </c>
      <c r="G533" s="91"/>
      <c r="H533" s="94" t="s">
        <v>2804</v>
      </c>
      <c r="I533" s="95"/>
      <c r="J533" s="95" t="s">
        <v>159</v>
      </c>
      <c r="K533" s="94" t="s">
        <v>2804</v>
      </c>
      <c r="L533" s="96">
        <v>1</v>
      </c>
      <c r="M533" s="97">
        <v>9552.6162109375</v>
      </c>
      <c r="N533" s="97">
        <v>1192.0772705078125</v>
      </c>
      <c r="O533" s="98"/>
      <c r="P533" s="99"/>
      <c r="Q533" s="99"/>
      <c r="R533" s="100"/>
      <c r="S533" s="49">
        <v>1</v>
      </c>
      <c r="T533" s="49">
        <v>1</v>
      </c>
      <c r="U533" s="50">
        <v>0</v>
      </c>
      <c r="V533" s="50">
        <v>0</v>
      </c>
      <c r="W533" s="50">
        <v>0</v>
      </c>
      <c r="X533" s="50">
        <v>0.999999</v>
      </c>
      <c r="Y533" s="50">
        <v>0</v>
      </c>
      <c r="Z533" s="50">
        <v>0</v>
      </c>
      <c r="AA533" s="101">
        <v>533</v>
      </c>
      <c r="AB533" s="101"/>
      <c r="AC533" s="102"/>
      <c r="AD533" s="80" t="s">
        <v>2804</v>
      </c>
      <c r="AE533" s="80" t="s">
        <v>3005</v>
      </c>
      <c r="AF533" s="80"/>
      <c r="AG533" s="80"/>
      <c r="AH533" s="80"/>
      <c r="AI533" s="80" t="s">
        <v>3099</v>
      </c>
      <c r="AJ533" s="87">
        <v>39181.78582175926</v>
      </c>
      <c r="AK533" s="85" t="str">
        <f>HYPERLINK("https://yt3.ggpht.com/ytc/AKedOLSqT5fiNGxp2rr51wyd7gdH7qsyP2sl5OZYJjB7Pw=s88-c-k-c0x00ffffff-no-rj")</f>
        <v>https://yt3.ggpht.com/ytc/AKedOLSqT5fiNGxp2rr51wyd7gdH7qsyP2sl5OZYJjB7Pw=s88-c-k-c0x00ffffff-no-rj</v>
      </c>
      <c r="AL533" s="80">
        <v>841726</v>
      </c>
      <c r="AM533" s="80">
        <v>0</v>
      </c>
      <c r="AN533" s="80">
        <v>3370</v>
      </c>
      <c r="AO533" s="80" t="b">
        <v>0</v>
      </c>
      <c r="AP533" s="80">
        <v>510</v>
      </c>
      <c r="AQ533" s="80"/>
      <c r="AR533" s="80"/>
      <c r="AS533" s="80" t="s">
        <v>3412</v>
      </c>
      <c r="AT533" s="85" t="str">
        <f>HYPERLINK("https://www.youtube.com/channel/UCKl4op14Jkruaa8pTw1eSVA")</f>
        <v>https://www.youtube.com/channel/UCKl4op14Jkruaa8pTw1eSVA</v>
      </c>
      <c r="AU533" s="80" t="str">
        <f>REPLACE(INDEX(GroupVertices[Group],MATCH(Vertices[[#This Row],[Vertex]],GroupVertices[Vertex],0)),1,1,"")</f>
        <v>15</v>
      </c>
      <c r="AV533" s="49"/>
      <c r="AW533" s="50"/>
      <c r="AX533" s="49"/>
      <c r="AY533" s="50"/>
      <c r="AZ533" s="49"/>
      <c r="BA533" s="50"/>
      <c r="BB533" s="49"/>
      <c r="BC533" s="50"/>
      <c r="BD533" s="49"/>
      <c r="BE533" s="49"/>
      <c r="BF533" s="49"/>
      <c r="BG533" s="49"/>
      <c r="BH533" s="49"/>
      <c r="BI533" s="49"/>
      <c r="BJ533" s="49"/>
      <c r="BK533" s="111" t="s">
        <v>2782</v>
      </c>
      <c r="BL533" s="111" t="s">
        <v>2782</v>
      </c>
      <c r="BM533" s="111" t="s">
        <v>2782</v>
      </c>
      <c r="BN533" s="111" t="s">
        <v>2782</v>
      </c>
      <c r="BO533" s="2"/>
      <c r="BP533" s="3"/>
      <c r="BQ533" s="3"/>
      <c r="BR533" s="3"/>
      <c r="BS5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3"/>
    <dataValidation allowBlank="1" showInputMessage="1" promptTitle="Vertex Tooltip" prompt="Enter optional text that will pop up when the mouse is hovered over the vertex." errorTitle="Invalid Vertex Image Key" sqref="K3:K5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3"/>
    <dataValidation allowBlank="1" showInputMessage="1" promptTitle="Vertex Label Fill Color" prompt="To select an optional fill color for the Label shape, right-click and select Select Color on the right-click menu." sqref="I3:I533"/>
    <dataValidation allowBlank="1" showInputMessage="1" promptTitle="Vertex Image File" prompt="Enter the path to an image file.  Hover over the column header for examples." errorTitle="Invalid Vertex Image Key" sqref="F3:F533"/>
    <dataValidation allowBlank="1" showInputMessage="1" promptTitle="Vertex Color" prompt="To select an optional vertex color, right-click and select Select Color on the right-click menu." sqref="B3:B533"/>
    <dataValidation allowBlank="1" showInputMessage="1" promptTitle="Vertex Opacity" prompt="Enter an optional vertex opacity between 0 (transparent) and 100 (opaque)." errorTitle="Invalid Vertex Opacity" error="The optional vertex opacity must be a whole number between 0 and 10." sqref="E3:E533"/>
    <dataValidation type="list" allowBlank="1" showInputMessage="1" showErrorMessage="1" promptTitle="Vertex Shape" prompt="Select an optional vertex shape." errorTitle="Invalid Vertex Shape" error="You have entered an invalid vertex shape.  Try selecting from the drop-down list instead." sqref="C3:C5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3">
      <formula1>ValidVertexLabelPositions</formula1>
    </dataValidation>
    <dataValidation allowBlank="1" showInputMessage="1" showErrorMessage="1" promptTitle="Vertex Name" prompt="Enter the name of the vertex." sqref="A3:A5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4158</v>
      </c>
      <c r="Z2" s="54" t="s">
        <v>4159</v>
      </c>
      <c r="AA2" s="54" t="s">
        <v>4160</v>
      </c>
      <c r="AB2" s="54" t="s">
        <v>4161</v>
      </c>
      <c r="AC2" s="54" t="s">
        <v>4162</v>
      </c>
      <c r="AD2" s="54" t="s">
        <v>4163</v>
      </c>
      <c r="AE2" s="54" t="s">
        <v>4164</v>
      </c>
      <c r="AF2" s="54" t="s">
        <v>4165</v>
      </c>
      <c r="AG2" s="54" t="s">
        <v>4168</v>
      </c>
      <c r="AH2" s="13" t="s">
        <v>4246</v>
      </c>
      <c r="AI2" s="13" t="s">
        <v>4269</v>
      </c>
      <c r="AJ2" s="13" t="s">
        <v>4284</v>
      </c>
      <c r="AK2" s="13" t="s">
        <v>4296</v>
      </c>
      <c r="AL2" s="13" t="s">
        <v>4390</v>
      </c>
    </row>
    <row r="3" spans="1:38" ht="15">
      <c r="A3" s="65" t="s">
        <v>3414</v>
      </c>
      <c r="B3" s="66" t="s">
        <v>3431</v>
      </c>
      <c r="C3" s="66" t="s">
        <v>56</v>
      </c>
      <c r="D3" s="106"/>
      <c r="E3" s="14"/>
      <c r="F3" s="15" t="s">
        <v>5351</v>
      </c>
      <c r="G3" s="64"/>
      <c r="H3" s="64"/>
      <c r="I3" s="107">
        <v>3</v>
      </c>
      <c r="J3" s="51"/>
      <c r="K3" s="49">
        <v>193</v>
      </c>
      <c r="L3" s="49">
        <v>240</v>
      </c>
      <c r="M3" s="49">
        <v>98</v>
      </c>
      <c r="N3" s="49">
        <v>338</v>
      </c>
      <c r="O3" s="49">
        <v>14</v>
      </c>
      <c r="P3" s="50">
        <v>0.3877551020408163</v>
      </c>
      <c r="Q3" s="50">
        <v>0.5588235294117647</v>
      </c>
      <c r="R3" s="49">
        <v>1</v>
      </c>
      <c r="S3" s="49">
        <v>0</v>
      </c>
      <c r="T3" s="49">
        <v>193</v>
      </c>
      <c r="U3" s="49">
        <v>338</v>
      </c>
      <c r="V3" s="49">
        <v>4</v>
      </c>
      <c r="W3" s="50">
        <v>1.999409</v>
      </c>
      <c r="X3" s="50">
        <v>0.007340241796200345</v>
      </c>
      <c r="Y3" s="49">
        <v>587</v>
      </c>
      <c r="Z3" s="50">
        <v>8.646339667108558</v>
      </c>
      <c r="AA3" s="49">
        <v>123</v>
      </c>
      <c r="AB3" s="50">
        <v>1.8117543084401238</v>
      </c>
      <c r="AC3" s="49">
        <v>0</v>
      </c>
      <c r="AD3" s="50">
        <v>0</v>
      </c>
      <c r="AE3" s="49">
        <v>6079</v>
      </c>
      <c r="AF3" s="50">
        <v>89.54190602445132</v>
      </c>
      <c r="AG3" s="49">
        <v>6789</v>
      </c>
      <c r="AH3" s="80" t="s">
        <v>4247</v>
      </c>
      <c r="AI3" s="80" t="s">
        <v>4270</v>
      </c>
      <c r="AJ3" s="80"/>
      <c r="AK3" s="83" t="s">
        <v>4297</v>
      </c>
      <c r="AL3" s="83" t="s">
        <v>4391</v>
      </c>
    </row>
    <row r="4" spans="1:38" ht="15">
      <c r="A4" s="65" t="s">
        <v>3415</v>
      </c>
      <c r="B4" s="66" t="s">
        <v>3432</v>
      </c>
      <c r="C4" s="66" t="s">
        <v>56</v>
      </c>
      <c r="D4" s="106"/>
      <c r="E4" s="14"/>
      <c r="F4" s="15" t="s">
        <v>5352</v>
      </c>
      <c r="G4" s="64"/>
      <c r="H4" s="64"/>
      <c r="I4" s="107">
        <v>4</v>
      </c>
      <c r="J4" s="78"/>
      <c r="K4" s="49">
        <v>61</v>
      </c>
      <c r="L4" s="49">
        <v>61</v>
      </c>
      <c r="M4" s="49">
        <v>0</v>
      </c>
      <c r="N4" s="49">
        <v>61</v>
      </c>
      <c r="O4" s="49">
        <v>1</v>
      </c>
      <c r="P4" s="50">
        <v>0</v>
      </c>
      <c r="Q4" s="50">
        <v>0</v>
      </c>
      <c r="R4" s="49">
        <v>1</v>
      </c>
      <c r="S4" s="49">
        <v>0</v>
      </c>
      <c r="T4" s="49">
        <v>61</v>
      </c>
      <c r="U4" s="49">
        <v>61</v>
      </c>
      <c r="V4" s="49">
        <v>4</v>
      </c>
      <c r="W4" s="50">
        <v>2.557377</v>
      </c>
      <c r="X4" s="50">
        <v>0.01639344262295082</v>
      </c>
      <c r="Y4" s="49">
        <v>43</v>
      </c>
      <c r="Z4" s="50">
        <v>18.777292576419214</v>
      </c>
      <c r="AA4" s="49">
        <v>1</v>
      </c>
      <c r="AB4" s="50">
        <v>0.4366812227074236</v>
      </c>
      <c r="AC4" s="49">
        <v>0</v>
      </c>
      <c r="AD4" s="50">
        <v>0</v>
      </c>
      <c r="AE4" s="49">
        <v>185</v>
      </c>
      <c r="AF4" s="50">
        <v>80.78602620087337</v>
      </c>
      <c r="AG4" s="49">
        <v>229</v>
      </c>
      <c r="AH4" s="80"/>
      <c r="AI4" s="80"/>
      <c r="AJ4" s="80"/>
      <c r="AK4" s="83" t="s">
        <v>4298</v>
      </c>
      <c r="AL4" s="83" t="s">
        <v>4392</v>
      </c>
    </row>
    <row r="5" spans="1:38" ht="15">
      <c r="A5" s="65" t="s">
        <v>3416</v>
      </c>
      <c r="B5" s="66" t="s">
        <v>3433</v>
      </c>
      <c r="C5" s="66" t="s">
        <v>56</v>
      </c>
      <c r="D5" s="106"/>
      <c r="E5" s="14"/>
      <c r="F5" s="15" t="s">
        <v>5353</v>
      </c>
      <c r="G5" s="64"/>
      <c r="H5" s="64"/>
      <c r="I5" s="107">
        <v>5</v>
      </c>
      <c r="J5" s="78"/>
      <c r="K5" s="49">
        <v>49</v>
      </c>
      <c r="L5" s="49">
        <v>79</v>
      </c>
      <c r="M5" s="49">
        <v>12</v>
      </c>
      <c r="N5" s="49">
        <v>91</v>
      </c>
      <c r="O5" s="49">
        <v>8</v>
      </c>
      <c r="P5" s="50">
        <v>0.5294117647058824</v>
      </c>
      <c r="Q5" s="50">
        <v>0.6923076923076923</v>
      </c>
      <c r="R5" s="49">
        <v>1</v>
      </c>
      <c r="S5" s="49">
        <v>0</v>
      </c>
      <c r="T5" s="49">
        <v>49</v>
      </c>
      <c r="U5" s="49">
        <v>91</v>
      </c>
      <c r="V5" s="49">
        <v>4</v>
      </c>
      <c r="W5" s="50">
        <v>2.031653</v>
      </c>
      <c r="X5" s="50">
        <v>0.03316326530612245</v>
      </c>
      <c r="Y5" s="49">
        <v>82</v>
      </c>
      <c r="Z5" s="50">
        <v>5.754385964912281</v>
      </c>
      <c r="AA5" s="49">
        <v>10</v>
      </c>
      <c r="AB5" s="50">
        <v>0.7017543859649122</v>
      </c>
      <c r="AC5" s="49">
        <v>0</v>
      </c>
      <c r="AD5" s="50">
        <v>0</v>
      </c>
      <c r="AE5" s="49">
        <v>1333</v>
      </c>
      <c r="AF5" s="50">
        <v>93.54385964912281</v>
      </c>
      <c r="AG5" s="49">
        <v>1425</v>
      </c>
      <c r="AH5" s="80" t="s">
        <v>4210</v>
      </c>
      <c r="AI5" s="80" t="s">
        <v>2772</v>
      </c>
      <c r="AJ5" s="80"/>
      <c r="AK5" s="83" t="s">
        <v>4299</v>
      </c>
      <c r="AL5" s="83" t="s">
        <v>4393</v>
      </c>
    </row>
    <row r="6" spans="1:38" ht="15">
      <c r="A6" s="65" t="s">
        <v>3417</v>
      </c>
      <c r="B6" s="66" t="s">
        <v>3434</v>
      </c>
      <c r="C6" s="66" t="s">
        <v>56</v>
      </c>
      <c r="D6" s="106"/>
      <c r="E6" s="14"/>
      <c r="F6" s="15" t="s">
        <v>5354</v>
      </c>
      <c r="G6" s="64"/>
      <c r="H6" s="64"/>
      <c r="I6" s="107">
        <v>6</v>
      </c>
      <c r="J6" s="78"/>
      <c r="K6" s="49">
        <v>37</v>
      </c>
      <c r="L6" s="49">
        <v>56</v>
      </c>
      <c r="M6" s="49">
        <v>13</v>
      </c>
      <c r="N6" s="49">
        <v>69</v>
      </c>
      <c r="O6" s="49">
        <v>7</v>
      </c>
      <c r="P6" s="50">
        <v>0.5833333333333334</v>
      </c>
      <c r="Q6" s="50">
        <v>0.7368421052631579</v>
      </c>
      <c r="R6" s="49">
        <v>1</v>
      </c>
      <c r="S6" s="49">
        <v>0</v>
      </c>
      <c r="T6" s="49">
        <v>37</v>
      </c>
      <c r="U6" s="49">
        <v>69</v>
      </c>
      <c r="V6" s="49">
        <v>2</v>
      </c>
      <c r="W6" s="50">
        <v>1.893353</v>
      </c>
      <c r="X6" s="50">
        <v>0.04279279279279279</v>
      </c>
      <c r="Y6" s="49">
        <v>97</v>
      </c>
      <c r="Z6" s="50">
        <v>5.546026300743282</v>
      </c>
      <c r="AA6" s="49">
        <v>9</v>
      </c>
      <c r="AB6" s="50">
        <v>0.5145797598627787</v>
      </c>
      <c r="AC6" s="49">
        <v>0</v>
      </c>
      <c r="AD6" s="50">
        <v>0</v>
      </c>
      <c r="AE6" s="49">
        <v>1643</v>
      </c>
      <c r="AF6" s="50">
        <v>93.93939393939394</v>
      </c>
      <c r="AG6" s="49">
        <v>1749</v>
      </c>
      <c r="AH6" s="80" t="s">
        <v>4248</v>
      </c>
      <c r="AI6" s="80" t="s">
        <v>4271</v>
      </c>
      <c r="AJ6" s="80"/>
      <c r="AK6" s="83" t="s">
        <v>4300</v>
      </c>
      <c r="AL6" s="83" t="s">
        <v>4394</v>
      </c>
    </row>
    <row r="7" spans="1:38" ht="15">
      <c r="A7" s="65" t="s">
        <v>3418</v>
      </c>
      <c r="B7" s="66" t="s">
        <v>3435</v>
      </c>
      <c r="C7" s="66" t="s">
        <v>56</v>
      </c>
      <c r="D7" s="106"/>
      <c r="E7" s="14"/>
      <c r="F7" s="15" t="s">
        <v>5355</v>
      </c>
      <c r="G7" s="64"/>
      <c r="H7" s="64"/>
      <c r="I7" s="107">
        <v>7</v>
      </c>
      <c r="J7" s="78"/>
      <c r="K7" s="49">
        <v>28</v>
      </c>
      <c r="L7" s="49">
        <v>54</v>
      </c>
      <c r="M7" s="49">
        <v>2</v>
      </c>
      <c r="N7" s="49">
        <v>56</v>
      </c>
      <c r="O7" s="49">
        <v>2</v>
      </c>
      <c r="P7" s="50">
        <v>1</v>
      </c>
      <c r="Q7" s="50">
        <v>1</v>
      </c>
      <c r="R7" s="49">
        <v>1</v>
      </c>
      <c r="S7" s="49">
        <v>0</v>
      </c>
      <c r="T7" s="49">
        <v>28</v>
      </c>
      <c r="U7" s="49">
        <v>56</v>
      </c>
      <c r="V7" s="49">
        <v>2</v>
      </c>
      <c r="W7" s="50">
        <v>1.859694</v>
      </c>
      <c r="X7" s="50">
        <v>0.07142857142857142</v>
      </c>
      <c r="Y7" s="49">
        <v>85</v>
      </c>
      <c r="Z7" s="50">
        <v>12.686567164179104</v>
      </c>
      <c r="AA7" s="49">
        <v>4</v>
      </c>
      <c r="AB7" s="50">
        <v>0.5970149253731343</v>
      </c>
      <c r="AC7" s="49">
        <v>0</v>
      </c>
      <c r="AD7" s="50">
        <v>0</v>
      </c>
      <c r="AE7" s="49">
        <v>581</v>
      </c>
      <c r="AF7" s="50">
        <v>86.71641791044776</v>
      </c>
      <c r="AG7" s="49">
        <v>670</v>
      </c>
      <c r="AH7" s="80" t="s">
        <v>4213</v>
      </c>
      <c r="AI7" s="80" t="s">
        <v>4251</v>
      </c>
      <c r="AJ7" s="80"/>
      <c r="AK7" s="83" t="s">
        <v>4301</v>
      </c>
      <c r="AL7" s="83" t="s">
        <v>4395</v>
      </c>
    </row>
    <row r="8" spans="1:38" ht="15">
      <c r="A8" s="65" t="s">
        <v>3419</v>
      </c>
      <c r="B8" s="66" t="s">
        <v>3436</v>
      </c>
      <c r="C8" s="66" t="s">
        <v>56</v>
      </c>
      <c r="D8" s="106"/>
      <c r="E8" s="14"/>
      <c r="F8" s="15" t="s">
        <v>5356</v>
      </c>
      <c r="G8" s="64"/>
      <c r="H8" s="64"/>
      <c r="I8" s="107">
        <v>8</v>
      </c>
      <c r="J8" s="78"/>
      <c r="K8" s="49">
        <v>27</v>
      </c>
      <c r="L8" s="49">
        <v>33</v>
      </c>
      <c r="M8" s="49">
        <v>4</v>
      </c>
      <c r="N8" s="49">
        <v>37</v>
      </c>
      <c r="O8" s="49">
        <v>3</v>
      </c>
      <c r="P8" s="50">
        <v>0.2692307692307692</v>
      </c>
      <c r="Q8" s="50">
        <v>0.42424242424242425</v>
      </c>
      <c r="R8" s="49">
        <v>1</v>
      </c>
      <c r="S8" s="49">
        <v>0</v>
      </c>
      <c r="T8" s="49">
        <v>27</v>
      </c>
      <c r="U8" s="49">
        <v>37</v>
      </c>
      <c r="V8" s="49">
        <v>2</v>
      </c>
      <c r="W8" s="50">
        <v>1.854595</v>
      </c>
      <c r="X8" s="50">
        <v>0.04700854700854701</v>
      </c>
      <c r="Y8" s="49">
        <v>49</v>
      </c>
      <c r="Z8" s="50">
        <v>9.819639278557114</v>
      </c>
      <c r="AA8" s="49">
        <v>1</v>
      </c>
      <c r="AB8" s="50">
        <v>0.20040080160320642</v>
      </c>
      <c r="AC8" s="49">
        <v>0</v>
      </c>
      <c r="AD8" s="50">
        <v>0</v>
      </c>
      <c r="AE8" s="49">
        <v>449</v>
      </c>
      <c r="AF8" s="50">
        <v>89.97995991983969</v>
      </c>
      <c r="AG8" s="49">
        <v>499</v>
      </c>
      <c r="AH8" s="80" t="s">
        <v>4236</v>
      </c>
      <c r="AI8" s="80" t="s">
        <v>2775</v>
      </c>
      <c r="AJ8" s="80"/>
      <c r="AK8" s="83" t="s">
        <v>4302</v>
      </c>
      <c r="AL8" s="83" t="s">
        <v>4396</v>
      </c>
    </row>
    <row r="9" spans="1:38" ht="15">
      <c r="A9" s="65" t="s">
        <v>3420</v>
      </c>
      <c r="B9" s="66" t="s">
        <v>3437</v>
      </c>
      <c r="C9" s="66" t="s">
        <v>56</v>
      </c>
      <c r="D9" s="106"/>
      <c r="E9" s="14"/>
      <c r="F9" s="15" t="s">
        <v>5357</v>
      </c>
      <c r="G9" s="64"/>
      <c r="H9" s="64"/>
      <c r="I9" s="107">
        <v>9</v>
      </c>
      <c r="J9" s="78"/>
      <c r="K9" s="49">
        <v>26</v>
      </c>
      <c r="L9" s="49">
        <v>29</v>
      </c>
      <c r="M9" s="49">
        <v>0</v>
      </c>
      <c r="N9" s="49">
        <v>29</v>
      </c>
      <c r="O9" s="49">
        <v>4</v>
      </c>
      <c r="P9" s="50">
        <v>0</v>
      </c>
      <c r="Q9" s="50">
        <v>0</v>
      </c>
      <c r="R9" s="49">
        <v>1</v>
      </c>
      <c r="S9" s="49">
        <v>0</v>
      </c>
      <c r="T9" s="49">
        <v>26</v>
      </c>
      <c r="U9" s="49">
        <v>29</v>
      </c>
      <c r="V9" s="49">
        <v>2</v>
      </c>
      <c r="W9" s="50">
        <v>1.849112</v>
      </c>
      <c r="X9" s="50">
        <v>0.038461538461538464</v>
      </c>
      <c r="Y9" s="49">
        <v>59</v>
      </c>
      <c r="Z9" s="50">
        <v>10.424028268551236</v>
      </c>
      <c r="AA9" s="49">
        <v>4</v>
      </c>
      <c r="AB9" s="50">
        <v>0.7067137809187279</v>
      </c>
      <c r="AC9" s="49">
        <v>0</v>
      </c>
      <c r="AD9" s="50">
        <v>0</v>
      </c>
      <c r="AE9" s="49">
        <v>503</v>
      </c>
      <c r="AF9" s="50">
        <v>88.86925795053004</v>
      </c>
      <c r="AG9" s="49">
        <v>566</v>
      </c>
      <c r="AH9" s="80"/>
      <c r="AI9" s="80"/>
      <c r="AJ9" s="80"/>
      <c r="AK9" s="83" t="s">
        <v>4303</v>
      </c>
      <c r="AL9" s="83" t="s">
        <v>4397</v>
      </c>
    </row>
    <row r="10" spans="1:38" ht="14.25" customHeight="1">
      <c r="A10" s="65" t="s">
        <v>3421</v>
      </c>
      <c r="B10" s="66" t="s">
        <v>3438</v>
      </c>
      <c r="C10" s="66" t="s">
        <v>56</v>
      </c>
      <c r="D10" s="106"/>
      <c r="E10" s="14"/>
      <c r="F10" s="15" t="s">
        <v>5358</v>
      </c>
      <c r="G10" s="64"/>
      <c r="H10" s="64"/>
      <c r="I10" s="107">
        <v>10</v>
      </c>
      <c r="J10" s="78"/>
      <c r="K10" s="49">
        <v>22</v>
      </c>
      <c r="L10" s="49">
        <v>25</v>
      </c>
      <c r="M10" s="49">
        <v>4</v>
      </c>
      <c r="N10" s="49">
        <v>29</v>
      </c>
      <c r="O10" s="49">
        <v>3</v>
      </c>
      <c r="P10" s="50">
        <v>0.14285714285714285</v>
      </c>
      <c r="Q10" s="50">
        <v>0.25</v>
      </c>
      <c r="R10" s="49">
        <v>1</v>
      </c>
      <c r="S10" s="49">
        <v>0</v>
      </c>
      <c r="T10" s="49">
        <v>22</v>
      </c>
      <c r="U10" s="49">
        <v>29</v>
      </c>
      <c r="V10" s="49">
        <v>5</v>
      </c>
      <c r="W10" s="50">
        <v>2.475207</v>
      </c>
      <c r="X10" s="50">
        <v>0.05194805194805195</v>
      </c>
      <c r="Y10" s="49">
        <v>30</v>
      </c>
      <c r="Z10" s="50">
        <v>7.83289817232376</v>
      </c>
      <c r="AA10" s="49">
        <v>3</v>
      </c>
      <c r="AB10" s="50">
        <v>0.783289817232376</v>
      </c>
      <c r="AC10" s="49">
        <v>0</v>
      </c>
      <c r="AD10" s="50">
        <v>0</v>
      </c>
      <c r="AE10" s="49">
        <v>350</v>
      </c>
      <c r="AF10" s="50">
        <v>91.38381201044386</v>
      </c>
      <c r="AG10" s="49">
        <v>383</v>
      </c>
      <c r="AH10" s="80"/>
      <c r="AI10" s="80"/>
      <c r="AJ10" s="80"/>
      <c r="AK10" s="83" t="s">
        <v>4304</v>
      </c>
      <c r="AL10" s="83" t="s">
        <v>4398</v>
      </c>
    </row>
    <row r="11" spans="1:38" ht="15">
      <c r="A11" s="65" t="s">
        <v>3422</v>
      </c>
      <c r="B11" s="66" t="s">
        <v>3439</v>
      </c>
      <c r="C11" s="66" t="s">
        <v>56</v>
      </c>
      <c r="D11" s="106"/>
      <c r="E11" s="14"/>
      <c r="F11" s="15" t="s">
        <v>5359</v>
      </c>
      <c r="G11" s="64"/>
      <c r="H11" s="64"/>
      <c r="I11" s="107">
        <v>11</v>
      </c>
      <c r="J11" s="78"/>
      <c r="K11" s="49">
        <v>19</v>
      </c>
      <c r="L11" s="49">
        <v>34</v>
      </c>
      <c r="M11" s="49">
        <v>4</v>
      </c>
      <c r="N11" s="49">
        <v>38</v>
      </c>
      <c r="O11" s="49">
        <v>5</v>
      </c>
      <c r="P11" s="50">
        <v>0.7777777777777778</v>
      </c>
      <c r="Q11" s="50">
        <v>0.875</v>
      </c>
      <c r="R11" s="49">
        <v>1</v>
      </c>
      <c r="S11" s="49">
        <v>0</v>
      </c>
      <c r="T11" s="49">
        <v>19</v>
      </c>
      <c r="U11" s="49">
        <v>38</v>
      </c>
      <c r="V11" s="49">
        <v>5</v>
      </c>
      <c r="W11" s="50">
        <v>2.404432</v>
      </c>
      <c r="X11" s="50">
        <v>0.0935672514619883</v>
      </c>
      <c r="Y11" s="49">
        <v>46</v>
      </c>
      <c r="Z11" s="50">
        <v>14.153846153846153</v>
      </c>
      <c r="AA11" s="49">
        <v>2</v>
      </c>
      <c r="AB11" s="50">
        <v>0.6153846153846154</v>
      </c>
      <c r="AC11" s="49">
        <v>0</v>
      </c>
      <c r="AD11" s="50">
        <v>0</v>
      </c>
      <c r="AE11" s="49">
        <v>277</v>
      </c>
      <c r="AF11" s="50">
        <v>85.23076923076923</v>
      </c>
      <c r="AG11" s="49">
        <v>325</v>
      </c>
      <c r="AH11" s="80"/>
      <c r="AI11" s="80"/>
      <c r="AJ11" s="80"/>
      <c r="AK11" s="83" t="s">
        <v>4305</v>
      </c>
      <c r="AL11" s="83" t="s">
        <v>4399</v>
      </c>
    </row>
    <row r="12" spans="1:38" ht="15">
      <c r="A12" s="65" t="s">
        <v>3423</v>
      </c>
      <c r="B12" s="66" t="s">
        <v>3440</v>
      </c>
      <c r="C12" s="66" t="s">
        <v>56</v>
      </c>
      <c r="D12" s="106"/>
      <c r="E12" s="14"/>
      <c r="F12" s="15" t="s">
        <v>5360</v>
      </c>
      <c r="G12" s="64"/>
      <c r="H12" s="64"/>
      <c r="I12" s="107">
        <v>12</v>
      </c>
      <c r="J12" s="78"/>
      <c r="K12" s="49">
        <v>16</v>
      </c>
      <c r="L12" s="49">
        <v>18</v>
      </c>
      <c r="M12" s="49">
        <v>4</v>
      </c>
      <c r="N12" s="49">
        <v>22</v>
      </c>
      <c r="O12" s="49">
        <v>1</v>
      </c>
      <c r="P12" s="50">
        <v>0</v>
      </c>
      <c r="Q12" s="50">
        <v>0</v>
      </c>
      <c r="R12" s="49">
        <v>1</v>
      </c>
      <c r="S12" s="49">
        <v>0</v>
      </c>
      <c r="T12" s="49">
        <v>16</v>
      </c>
      <c r="U12" s="49">
        <v>22</v>
      </c>
      <c r="V12" s="49">
        <v>3</v>
      </c>
      <c r="W12" s="50">
        <v>1.8125</v>
      </c>
      <c r="X12" s="50">
        <v>0.07916666666666666</v>
      </c>
      <c r="Y12" s="49">
        <v>10</v>
      </c>
      <c r="Z12" s="50">
        <v>6.097560975609756</v>
      </c>
      <c r="AA12" s="49">
        <v>2</v>
      </c>
      <c r="AB12" s="50">
        <v>1.2195121951219512</v>
      </c>
      <c r="AC12" s="49">
        <v>0</v>
      </c>
      <c r="AD12" s="50">
        <v>0</v>
      </c>
      <c r="AE12" s="49">
        <v>152</v>
      </c>
      <c r="AF12" s="50">
        <v>92.6829268292683</v>
      </c>
      <c r="AG12" s="49">
        <v>164</v>
      </c>
      <c r="AH12" s="80"/>
      <c r="AI12" s="80"/>
      <c r="AJ12" s="80"/>
      <c r="AK12" s="83" t="s">
        <v>4306</v>
      </c>
      <c r="AL12" s="83" t="s">
        <v>4400</v>
      </c>
    </row>
    <row r="13" spans="1:38" ht="15">
      <c r="A13" s="65" t="s">
        <v>3424</v>
      </c>
      <c r="B13" s="66" t="s">
        <v>3441</v>
      </c>
      <c r="C13" s="66" t="s">
        <v>56</v>
      </c>
      <c r="D13" s="106"/>
      <c r="E13" s="14"/>
      <c r="F13" s="15" t="s">
        <v>5361</v>
      </c>
      <c r="G13" s="64"/>
      <c r="H13" s="64"/>
      <c r="I13" s="107">
        <v>13</v>
      </c>
      <c r="J13" s="78"/>
      <c r="K13" s="49">
        <v>12</v>
      </c>
      <c r="L13" s="49">
        <v>12</v>
      </c>
      <c r="M13" s="49">
        <v>0</v>
      </c>
      <c r="N13" s="49">
        <v>12</v>
      </c>
      <c r="O13" s="49">
        <v>1</v>
      </c>
      <c r="P13" s="50">
        <v>0</v>
      </c>
      <c r="Q13" s="50">
        <v>0</v>
      </c>
      <c r="R13" s="49">
        <v>1</v>
      </c>
      <c r="S13" s="49">
        <v>0</v>
      </c>
      <c r="T13" s="49">
        <v>12</v>
      </c>
      <c r="U13" s="49">
        <v>12</v>
      </c>
      <c r="V13" s="49">
        <v>2</v>
      </c>
      <c r="W13" s="50">
        <v>1.680556</v>
      </c>
      <c r="X13" s="50">
        <v>0.08333333333333333</v>
      </c>
      <c r="Y13" s="49">
        <v>13</v>
      </c>
      <c r="Z13" s="50">
        <v>19.696969696969695</v>
      </c>
      <c r="AA13" s="49">
        <v>1</v>
      </c>
      <c r="AB13" s="50">
        <v>1.5151515151515151</v>
      </c>
      <c r="AC13" s="49">
        <v>0</v>
      </c>
      <c r="AD13" s="50">
        <v>0</v>
      </c>
      <c r="AE13" s="49">
        <v>52</v>
      </c>
      <c r="AF13" s="50">
        <v>78.78787878787878</v>
      </c>
      <c r="AG13" s="49">
        <v>66</v>
      </c>
      <c r="AH13" s="80"/>
      <c r="AI13" s="80"/>
      <c r="AJ13" s="80"/>
      <c r="AK13" s="83" t="s">
        <v>4307</v>
      </c>
      <c r="AL13" s="83" t="s">
        <v>2782</v>
      </c>
    </row>
    <row r="14" spans="1:38" ht="15">
      <c r="A14" s="65" t="s">
        <v>3425</v>
      </c>
      <c r="B14" s="66" t="s">
        <v>3442</v>
      </c>
      <c r="C14" s="66" t="s">
        <v>56</v>
      </c>
      <c r="D14" s="106"/>
      <c r="E14" s="14"/>
      <c r="F14" s="15" t="s">
        <v>5362</v>
      </c>
      <c r="G14" s="64"/>
      <c r="H14" s="64"/>
      <c r="I14" s="107">
        <v>14</v>
      </c>
      <c r="J14" s="78"/>
      <c r="K14" s="49">
        <v>11</v>
      </c>
      <c r="L14" s="49">
        <v>9</v>
      </c>
      <c r="M14" s="49">
        <v>9</v>
      </c>
      <c r="N14" s="49">
        <v>18</v>
      </c>
      <c r="O14" s="49">
        <v>3</v>
      </c>
      <c r="P14" s="50">
        <v>0.1</v>
      </c>
      <c r="Q14" s="50">
        <v>0.18181818181818182</v>
      </c>
      <c r="R14" s="49">
        <v>1</v>
      </c>
      <c r="S14" s="49">
        <v>0</v>
      </c>
      <c r="T14" s="49">
        <v>11</v>
      </c>
      <c r="U14" s="49">
        <v>18</v>
      </c>
      <c r="V14" s="49">
        <v>3</v>
      </c>
      <c r="W14" s="50">
        <v>1.884298</v>
      </c>
      <c r="X14" s="50">
        <v>0.1</v>
      </c>
      <c r="Y14" s="49">
        <v>17</v>
      </c>
      <c r="Z14" s="50">
        <v>9.23913043478261</v>
      </c>
      <c r="AA14" s="49">
        <v>7</v>
      </c>
      <c r="AB14" s="50">
        <v>3.8043478260869565</v>
      </c>
      <c r="AC14" s="49">
        <v>0</v>
      </c>
      <c r="AD14" s="50">
        <v>0</v>
      </c>
      <c r="AE14" s="49">
        <v>160</v>
      </c>
      <c r="AF14" s="50">
        <v>86.95652173913044</v>
      </c>
      <c r="AG14" s="49">
        <v>184</v>
      </c>
      <c r="AH14" s="80" t="s">
        <v>4211</v>
      </c>
      <c r="AI14" s="80" t="s">
        <v>4257</v>
      </c>
      <c r="AJ14" s="80"/>
      <c r="AK14" s="83" t="s">
        <v>4308</v>
      </c>
      <c r="AL14" s="83" t="s">
        <v>4401</v>
      </c>
    </row>
    <row r="15" spans="1:38" ht="15">
      <c r="A15" s="65" t="s">
        <v>3426</v>
      </c>
      <c r="B15" s="66" t="s">
        <v>3431</v>
      </c>
      <c r="C15" s="66" t="s">
        <v>59</v>
      </c>
      <c r="D15" s="106"/>
      <c r="E15" s="14"/>
      <c r="F15" s="15" t="s">
        <v>5363</v>
      </c>
      <c r="G15" s="64"/>
      <c r="H15" s="64"/>
      <c r="I15" s="107">
        <v>15</v>
      </c>
      <c r="J15" s="78"/>
      <c r="K15" s="49">
        <v>11</v>
      </c>
      <c r="L15" s="49">
        <v>14</v>
      </c>
      <c r="M15" s="49">
        <v>0</v>
      </c>
      <c r="N15" s="49">
        <v>14</v>
      </c>
      <c r="O15" s="49">
        <v>2</v>
      </c>
      <c r="P15" s="50">
        <v>0.2</v>
      </c>
      <c r="Q15" s="50">
        <v>0.3333333333333333</v>
      </c>
      <c r="R15" s="49">
        <v>1</v>
      </c>
      <c r="S15" s="49">
        <v>0</v>
      </c>
      <c r="T15" s="49">
        <v>11</v>
      </c>
      <c r="U15" s="49">
        <v>14</v>
      </c>
      <c r="V15" s="49">
        <v>3</v>
      </c>
      <c r="W15" s="50">
        <v>1.785124</v>
      </c>
      <c r="X15" s="50">
        <v>0.10909090909090909</v>
      </c>
      <c r="Y15" s="49">
        <v>14</v>
      </c>
      <c r="Z15" s="50">
        <v>10.071942446043165</v>
      </c>
      <c r="AA15" s="49">
        <v>1</v>
      </c>
      <c r="AB15" s="50">
        <v>0.7194244604316546</v>
      </c>
      <c r="AC15" s="49">
        <v>0</v>
      </c>
      <c r="AD15" s="50">
        <v>0</v>
      </c>
      <c r="AE15" s="49">
        <v>124</v>
      </c>
      <c r="AF15" s="50">
        <v>89.20863309352518</v>
      </c>
      <c r="AG15" s="49">
        <v>139</v>
      </c>
      <c r="AH15" s="80"/>
      <c r="AI15" s="80"/>
      <c r="AJ15" s="80"/>
      <c r="AK15" s="83" t="s">
        <v>4309</v>
      </c>
      <c r="AL15" s="83" t="s">
        <v>2782</v>
      </c>
    </row>
    <row r="16" spans="1:38" ht="15">
      <c r="A16" s="65" t="s">
        <v>3427</v>
      </c>
      <c r="B16" s="66" t="s">
        <v>3432</v>
      </c>
      <c r="C16" s="66" t="s">
        <v>59</v>
      </c>
      <c r="D16" s="106"/>
      <c r="E16" s="14"/>
      <c r="F16" s="15" t="s">
        <v>5364</v>
      </c>
      <c r="G16" s="64"/>
      <c r="H16" s="64"/>
      <c r="I16" s="107">
        <v>16</v>
      </c>
      <c r="J16" s="78"/>
      <c r="K16" s="49">
        <v>10</v>
      </c>
      <c r="L16" s="49">
        <v>19</v>
      </c>
      <c r="M16" s="49">
        <v>2</v>
      </c>
      <c r="N16" s="49">
        <v>21</v>
      </c>
      <c r="O16" s="49">
        <v>2</v>
      </c>
      <c r="P16" s="50">
        <v>1</v>
      </c>
      <c r="Q16" s="50">
        <v>1</v>
      </c>
      <c r="R16" s="49">
        <v>1</v>
      </c>
      <c r="S16" s="49">
        <v>0</v>
      </c>
      <c r="T16" s="49">
        <v>10</v>
      </c>
      <c r="U16" s="49">
        <v>21</v>
      </c>
      <c r="V16" s="49">
        <v>2</v>
      </c>
      <c r="W16" s="50">
        <v>1.62</v>
      </c>
      <c r="X16" s="50">
        <v>0.2</v>
      </c>
      <c r="Y16" s="49">
        <v>39</v>
      </c>
      <c r="Z16" s="50">
        <v>13</v>
      </c>
      <c r="AA16" s="49">
        <v>7</v>
      </c>
      <c r="AB16" s="50">
        <v>2.3333333333333335</v>
      </c>
      <c r="AC16" s="49">
        <v>0</v>
      </c>
      <c r="AD16" s="50">
        <v>0</v>
      </c>
      <c r="AE16" s="49">
        <v>254</v>
      </c>
      <c r="AF16" s="50">
        <v>84.66666666666667</v>
      </c>
      <c r="AG16" s="49">
        <v>300</v>
      </c>
      <c r="AH16" s="80"/>
      <c r="AI16" s="80"/>
      <c r="AJ16" s="80"/>
      <c r="AK16" s="83" t="s">
        <v>4310</v>
      </c>
      <c r="AL16" s="83" t="s">
        <v>4402</v>
      </c>
    </row>
    <row r="17" spans="1:38" ht="15">
      <c r="A17" s="65" t="s">
        <v>3428</v>
      </c>
      <c r="B17" s="66" t="s">
        <v>3433</v>
      </c>
      <c r="C17" s="66" t="s">
        <v>59</v>
      </c>
      <c r="D17" s="106"/>
      <c r="E17" s="14"/>
      <c r="F17" s="15" t="s">
        <v>5365</v>
      </c>
      <c r="G17" s="64"/>
      <c r="H17" s="64"/>
      <c r="I17" s="107">
        <v>17</v>
      </c>
      <c r="J17" s="78"/>
      <c r="K17" s="49">
        <v>4</v>
      </c>
      <c r="L17" s="49">
        <v>2</v>
      </c>
      <c r="M17" s="49">
        <v>4</v>
      </c>
      <c r="N17" s="49">
        <v>6</v>
      </c>
      <c r="O17" s="49">
        <v>6</v>
      </c>
      <c r="P17" s="50" t="s">
        <v>3446</v>
      </c>
      <c r="Q17" s="50" t="s">
        <v>3446</v>
      </c>
      <c r="R17" s="49">
        <v>4</v>
      </c>
      <c r="S17" s="49">
        <v>4</v>
      </c>
      <c r="T17" s="49">
        <v>1</v>
      </c>
      <c r="U17" s="49">
        <v>2</v>
      </c>
      <c r="V17" s="49">
        <v>0</v>
      </c>
      <c r="W17" s="50">
        <v>0</v>
      </c>
      <c r="X17" s="50">
        <v>0</v>
      </c>
      <c r="Y17" s="49">
        <v>0</v>
      </c>
      <c r="Z17" s="50">
        <v>0</v>
      </c>
      <c r="AA17" s="49">
        <v>0</v>
      </c>
      <c r="AB17" s="50">
        <v>0</v>
      </c>
      <c r="AC17" s="49">
        <v>0</v>
      </c>
      <c r="AD17" s="50">
        <v>0</v>
      </c>
      <c r="AE17" s="49">
        <v>51</v>
      </c>
      <c r="AF17" s="50">
        <v>100</v>
      </c>
      <c r="AG17" s="49">
        <v>51</v>
      </c>
      <c r="AH17" s="80" t="s">
        <v>4249</v>
      </c>
      <c r="AI17" s="80" t="s">
        <v>4272</v>
      </c>
      <c r="AJ17" s="80"/>
      <c r="AK17" s="83" t="s">
        <v>4311</v>
      </c>
      <c r="AL17" s="83" t="s">
        <v>4403</v>
      </c>
    </row>
    <row r="18" spans="1:38" ht="15">
      <c r="A18" s="65" t="s">
        <v>3429</v>
      </c>
      <c r="B18" s="66" t="s">
        <v>3434</v>
      </c>
      <c r="C18" s="66" t="s">
        <v>59</v>
      </c>
      <c r="D18" s="106"/>
      <c r="E18" s="14"/>
      <c r="F18" s="15" t="s">
        <v>5366</v>
      </c>
      <c r="G18" s="64"/>
      <c r="H18" s="64"/>
      <c r="I18" s="107">
        <v>18</v>
      </c>
      <c r="J18" s="78"/>
      <c r="K18" s="49">
        <v>3</v>
      </c>
      <c r="L18" s="49">
        <v>6</v>
      </c>
      <c r="M18" s="49">
        <v>0</v>
      </c>
      <c r="N18" s="49">
        <v>6</v>
      </c>
      <c r="O18" s="49">
        <v>2</v>
      </c>
      <c r="P18" s="50">
        <v>1</v>
      </c>
      <c r="Q18" s="50">
        <v>1</v>
      </c>
      <c r="R18" s="49">
        <v>1</v>
      </c>
      <c r="S18" s="49">
        <v>0</v>
      </c>
      <c r="T18" s="49">
        <v>3</v>
      </c>
      <c r="U18" s="49">
        <v>6</v>
      </c>
      <c r="V18" s="49">
        <v>2</v>
      </c>
      <c r="W18" s="50">
        <v>0.888889</v>
      </c>
      <c r="X18" s="50">
        <v>0.6666666666666666</v>
      </c>
      <c r="Y18" s="49">
        <v>1</v>
      </c>
      <c r="Z18" s="50">
        <v>2.857142857142857</v>
      </c>
      <c r="AA18" s="49">
        <v>2</v>
      </c>
      <c r="AB18" s="50">
        <v>5.714285714285714</v>
      </c>
      <c r="AC18" s="49">
        <v>0</v>
      </c>
      <c r="AD18" s="50">
        <v>0</v>
      </c>
      <c r="AE18" s="49">
        <v>32</v>
      </c>
      <c r="AF18" s="50">
        <v>91.42857142857143</v>
      </c>
      <c r="AG18" s="49">
        <v>35</v>
      </c>
      <c r="AH18" s="80"/>
      <c r="AI18" s="80"/>
      <c r="AJ18" s="80"/>
      <c r="AK18" s="83" t="s">
        <v>4312</v>
      </c>
      <c r="AL18" s="83" t="s">
        <v>2782</v>
      </c>
    </row>
    <row r="19" spans="1:38" ht="15">
      <c r="A19" s="65" t="s">
        <v>3430</v>
      </c>
      <c r="B19" s="66" t="s">
        <v>3435</v>
      </c>
      <c r="C19" s="66" t="s">
        <v>59</v>
      </c>
      <c r="D19" s="106"/>
      <c r="E19" s="14"/>
      <c r="F19" s="15" t="s">
        <v>3430</v>
      </c>
      <c r="G19" s="64"/>
      <c r="H19" s="64"/>
      <c r="I19" s="107">
        <v>19</v>
      </c>
      <c r="J19" s="78"/>
      <c r="K19" s="49">
        <v>2</v>
      </c>
      <c r="L19" s="49">
        <v>2</v>
      </c>
      <c r="M19" s="49">
        <v>0</v>
      </c>
      <c r="N19" s="49">
        <v>2</v>
      </c>
      <c r="O19" s="49">
        <v>1</v>
      </c>
      <c r="P19" s="50">
        <v>0</v>
      </c>
      <c r="Q19" s="50">
        <v>0</v>
      </c>
      <c r="R19" s="49">
        <v>1</v>
      </c>
      <c r="S19" s="49">
        <v>0</v>
      </c>
      <c r="T19" s="49">
        <v>2</v>
      </c>
      <c r="U19" s="49">
        <v>2</v>
      </c>
      <c r="V19" s="49">
        <v>1</v>
      </c>
      <c r="W19" s="50">
        <v>0.5</v>
      </c>
      <c r="X19" s="50">
        <v>0.5</v>
      </c>
      <c r="Y19" s="49">
        <v>1</v>
      </c>
      <c r="Z19" s="50">
        <v>7.142857142857143</v>
      </c>
      <c r="AA19" s="49">
        <v>0</v>
      </c>
      <c r="AB19" s="50">
        <v>0</v>
      </c>
      <c r="AC19" s="49">
        <v>0</v>
      </c>
      <c r="AD19" s="50">
        <v>0</v>
      </c>
      <c r="AE19" s="49">
        <v>13</v>
      </c>
      <c r="AF19" s="50">
        <v>92.85714285714286</v>
      </c>
      <c r="AG19" s="49">
        <v>14</v>
      </c>
      <c r="AH19" s="80"/>
      <c r="AI19" s="80"/>
      <c r="AJ19" s="80"/>
      <c r="AK19" s="83" t="s">
        <v>2782</v>
      </c>
      <c r="AL19" s="83" t="s">
        <v>2782</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3414</v>
      </c>
      <c r="B2" s="83" t="s">
        <v>596</v>
      </c>
      <c r="C2" s="80">
        <f>VLOOKUP(GroupVertices[[#This Row],[Vertex]],Vertices[],MATCH("ID",Vertices[[#Headers],[Vertex]:[Top Word Pairs in Comment by Salience]],0),FALSE)</f>
        <v>373</v>
      </c>
    </row>
    <row r="3" spans="1:3" ht="15">
      <c r="A3" s="81" t="s">
        <v>3414</v>
      </c>
      <c r="B3" s="83" t="s">
        <v>287</v>
      </c>
      <c r="C3" s="80">
        <f>VLOOKUP(GroupVertices[[#This Row],[Vertex]],Vertices[],MATCH("ID",Vertices[[#Headers],[Vertex]:[Top Word Pairs in Comment by Salience]],0),FALSE)</f>
        <v>41</v>
      </c>
    </row>
    <row r="4" spans="1:3" ht="15">
      <c r="A4" s="81" t="s">
        <v>3414</v>
      </c>
      <c r="B4" s="83" t="s">
        <v>595</v>
      </c>
      <c r="C4" s="80">
        <f>VLOOKUP(GroupVertices[[#This Row],[Vertex]],Vertices[],MATCH("ID",Vertices[[#Headers],[Vertex]:[Top Word Pairs in Comment by Salience]],0),FALSE)</f>
        <v>372</v>
      </c>
    </row>
    <row r="5" spans="1:3" ht="15">
      <c r="A5" s="81" t="s">
        <v>3414</v>
      </c>
      <c r="B5" s="83" t="s">
        <v>594</v>
      </c>
      <c r="C5" s="80">
        <f>VLOOKUP(GroupVertices[[#This Row],[Vertex]],Vertices[],MATCH("ID",Vertices[[#Headers],[Vertex]:[Top Word Pairs in Comment by Salience]],0),FALSE)</f>
        <v>371</v>
      </c>
    </row>
    <row r="6" spans="1:3" ht="15">
      <c r="A6" s="81" t="s">
        <v>3414</v>
      </c>
      <c r="B6" s="83" t="s">
        <v>593</v>
      </c>
      <c r="C6" s="80">
        <f>VLOOKUP(GroupVertices[[#This Row],[Vertex]],Vertices[],MATCH("ID",Vertices[[#Headers],[Vertex]:[Top Word Pairs in Comment by Salience]],0),FALSE)</f>
        <v>370</v>
      </c>
    </row>
    <row r="7" spans="1:3" ht="15">
      <c r="A7" s="81" t="s">
        <v>3414</v>
      </c>
      <c r="B7" s="83" t="s">
        <v>592</v>
      </c>
      <c r="C7" s="80">
        <f>VLOOKUP(GroupVertices[[#This Row],[Vertex]],Vertices[],MATCH("ID",Vertices[[#Headers],[Vertex]:[Top Word Pairs in Comment by Salience]],0),FALSE)</f>
        <v>369</v>
      </c>
    </row>
    <row r="8" spans="1:3" ht="15">
      <c r="A8" s="81" t="s">
        <v>3414</v>
      </c>
      <c r="B8" s="83" t="s">
        <v>591</v>
      </c>
      <c r="C8" s="80">
        <f>VLOOKUP(GroupVertices[[#This Row],[Vertex]],Vertices[],MATCH("ID",Vertices[[#Headers],[Vertex]:[Top Word Pairs in Comment by Salience]],0),FALSE)</f>
        <v>368</v>
      </c>
    </row>
    <row r="9" spans="1:3" ht="15">
      <c r="A9" s="81" t="s">
        <v>3414</v>
      </c>
      <c r="B9" s="83" t="s">
        <v>590</v>
      </c>
      <c r="C9" s="80">
        <f>VLOOKUP(GroupVertices[[#This Row],[Vertex]],Vertices[],MATCH("ID",Vertices[[#Headers],[Vertex]:[Top Word Pairs in Comment by Salience]],0),FALSE)</f>
        <v>367</v>
      </c>
    </row>
    <row r="10" spans="1:3" ht="15">
      <c r="A10" s="81" t="s">
        <v>3414</v>
      </c>
      <c r="B10" s="83" t="s">
        <v>589</v>
      </c>
      <c r="C10" s="80">
        <f>VLOOKUP(GroupVertices[[#This Row],[Vertex]],Vertices[],MATCH("ID",Vertices[[#Headers],[Vertex]:[Top Word Pairs in Comment by Salience]],0),FALSE)</f>
        <v>366</v>
      </c>
    </row>
    <row r="11" spans="1:3" ht="15">
      <c r="A11" s="81" t="s">
        <v>3414</v>
      </c>
      <c r="B11" s="83" t="s">
        <v>588</v>
      </c>
      <c r="C11" s="80">
        <f>VLOOKUP(GroupVertices[[#This Row],[Vertex]],Vertices[],MATCH("ID",Vertices[[#Headers],[Vertex]:[Top Word Pairs in Comment by Salience]],0),FALSE)</f>
        <v>365</v>
      </c>
    </row>
    <row r="12" spans="1:3" ht="15">
      <c r="A12" s="81" t="s">
        <v>3414</v>
      </c>
      <c r="B12" s="83" t="s">
        <v>587</v>
      </c>
      <c r="C12" s="80">
        <f>VLOOKUP(GroupVertices[[#This Row],[Vertex]],Vertices[],MATCH("ID",Vertices[[#Headers],[Vertex]:[Top Word Pairs in Comment by Salience]],0),FALSE)</f>
        <v>364</v>
      </c>
    </row>
    <row r="13" spans="1:3" ht="15">
      <c r="A13" s="81" t="s">
        <v>3414</v>
      </c>
      <c r="B13" s="83" t="s">
        <v>586</v>
      </c>
      <c r="C13" s="80">
        <f>VLOOKUP(GroupVertices[[#This Row],[Vertex]],Vertices[],MATCH("ID",Vertices[[#Headers],[Vertex]:[Top Word Pairs in Comment by Salience]],0),FALSE)</f>
        <v>363</v>
      </c>
    </row>
    <row r="14" spans="1:3" ht="15">
      <c r="A14" s="81" t="s">
        <v>3414</v>
      </c>
      <c r="B14" s="83" t="s">
        <v>585</v>
      </c>
      <c r="C14" s="80">
        <f>VLOOKUP(GroupVertices[[#This Row],[Vertex]],Vertices[],MATCH("ID",Vertices[[#Headers],[Vertex]:[Top Word Pairs in Comment by Salience]],0),FALSE)</f>
        <v>362</v>
      </c>
    </row>
    <row r="15" spans="1:3" ht="15">
      <c r="A15" s="81" t="s">
        <v>3414</v>
      </c>
      <c r="B15" s="83" t="s">
        <v>584</v>
      </c>
      <c r="C15" s="80">
        <f>VLOOKUP(GroupVertices[[#This Row],[Vertex]],Vertices[],MATCH("ID",Vertices[[#Headers],[Vertex]:[Top Word Pairs in Comment by Salience]],0),FALSE)</f>
        <v>361</v>
      </c>
    </row>
    <row r="16" spans="1:3" ht="15">
      <c r="A16" s="81" t="s">
        <v>3414</v>
      </c>
      <c r="B16" s="83" t="s">
        <v>583</v>
      </c>
      <c r="C16" s="80">
        <f>VLOOKUP(GroupVertices[[#This Row],[Vertex]],Vertices[],MATCH("ID",Vertices[[#Headers],[Vertex]:[Top Word Pairs in Comment by Salience]],0),FALSE)</f>
        <v>360</v>
      </c>
    </row>
    <row r="17" spans="1:3" ht="15">
      <c r="A17" s="81" t="s">
        <v>3414</v>
      </c>
      <c r="B17" s="83" t="s">
        <v>582</v>
      </c>
      <c r="C17" s="80">
        <f>VLOOKUP(GroupVertices[[#This Row],[Vertex]],Vertices[],MATCH("ID",Vertices[[#Headers],[Vertex]:[Top Word Pairs in Comment by Salience]],0),FALSE)</f>
        <v>359</v>
      </c>
    </row>
    <row r="18" spans="1:3" ht="15">
      <c r="A18" s="81" t="s">
        <v>3414</v>
      </c>
      <c r="B18" s="83" t="s">
        <v>581</v>
      </c>
      <c r="C18" s="80">
        <f>VLOOKUP(GroupVertices[[#This Row],[Vertex]],Vertices[],MATCH("ID",Vertices[[#Headers],[Vertex]:[Top Word Pairs in Comment by Salience]],0),FALSE)</f>
        <v>358</v>
      </c>
    </row>
    <row r="19" spans="1:3" ht="15">
      <c r="A19" s="81" t="s">
        <v>3414</v>
      </c>
      <c r="B19" s="83" t="s">
        <v>580</v>
      </c>
      <c r="C19" s="80">
        <f>VLOOKUP(GroupVertices[[#This Row],[Vertex]],Vertices[],MATCH("ID",Vertices[[#Headers],[Vertex]:[Top Word Pairs in Comment by Salience]],0),FALSE)</f>
        <v>357</v>
      </c>
    </row>
    <row r="20" spans="1:3" ht="15">
      <c r="A20" s="81" t="s">
        <v>3414</v>
      </c>
      <c r="B20" s="83" t="s">
        <v>579</v>
      </c>
      <c r="C20" s="80">
        <f>VLOOKUP(GroupVertices[[#This Row],[Vertex]],Vertices[],MATCH("ID",Vertices[[#Headers],[Vertex]:[Top Word Pairs in Comment by Salience]],0),FALSE)</f>
        <v>356</v>
      </c>
    </row>
    <row r="21" spans="1:3" ht="15">
      <c r="A21" s="81" t="s">
        <v>3414</v>
      </c>
      <c r="B21" s="83" t="s">
        <v>578</v>
      </c>
      <c r="C21" s="80">
        <f>VLOOKUP(GroupVertices[[#This Row],[Vertex]],Vertices[],MATCH("ID",Vertices[[#Headers],[Vertex]:[Top Word Pairs in Comment by Salience]],0),FALSE)</f>
        <v>355</v>
      </c>
    </row>
    <row r="22" spans="1:3" ht="15">
      <c r="A22" s="81" t="s">
        <v>3414</v>
      </c>
      <c r="B22" s="83" t="s">
        <v>577</v>
      </c>
      <c r="C22" s="80">
        <f>VLOOKUP(GroupVertices[[#This Row],[Vertex]],Vertices[],MATCH("ID",Vertices[[#Headers],[Vertex]:[Top Word Pairs in Comment by Salience]],0),FALSE)</f>
        <v>354</v>
      </c>
    </row>
    <row r="23" spans="1:3" ht="15">
      <c r="A23" s="81" t="s">
        <v>3414</v>
      </c>
      <c r="B23" s="83" t="s">
        <v>576</v>
      </c>
      <c r="C23" s="80">
        <f>VLOOKUP(GroupVertices[[#This Row],[Vertex]],Vertices[],MATCH("ID",Vertices[[#Headers],[Vertex]:[Top Word Pairs in Comment by Salience]],0),FALSE)</f>
        <v>353</v>
      </c>
    </row>
    <row r="24" spans="1:3" ht="15">
      <c r="A24" s="81" t="s">
        <v>3414</v>
      </c>
      <c r="B24" s="83" t="s">
        <v>574</v>
      </c>
      <c r="C24" s="80">
        <f>VLOOKUP(GroupVertices[[#This Row],[Vertex]],Vertices[],MATCH("ID",Vertices[[#Headers],[Vertex]:[Top Word Pairs in Comment by Salience]],0),FALSE)</f>
        <v>352</v>
      </c>
    </row>
    <row r="25" spans="1:3" ht="15">
      <c r="A25" s="81" t="s">
        <v>3414</v>
      </c>
      <c r="B25" s="83" t="s">
        <v>575</v>
      </c>
      <c r="C25" s="80">
        <f>VLOOKUP(GroupVertices[[#This Row],[Vertex]],Vertices[],MATCH("ID",Vertices[[#Headers],[Vertex]:[Top Word Pairs in Comment by Salience]],0),FALSE)</f>
        <v>351</v>
      </c>
    </row>
    <row r="26" spans="1:3" ht="15">
      <c r="A26" s="81" t="s">
        <v>3414</v>
      </c>
      <c r="B26" s="83" t="s">
        <v>573</v>
      </c>
      <c r="C26" s="80">
        <f>VLOOKUP(GroupVertices[[#This Row],[Vertex]],Vertices[],MATCH("ID",Vertices[[#Headers],[Vertex]:[Top Word Pairs in Comment by Salience]],0),FALSE)</f>
        <v>350</v>
      </c>
    </row>
    <row r="27" spans="1:3" ht="15">
      <c r="A27" s="81" t="s">
        <v>3414</v>
      </c>
      <c r="B27" s="83" t="s">
        <v>572</v>
      </c>
      <c r="C27" s="80">
        <f>VLOOKUP(GroupVertices[[#This Row],[Vertex]],Vertices[],MATCH("ID",Vertices[[#Headers],[Vertex]:[Top Word Pairs in Comment by Salience]],0),FALSE)</f>
        <v>349</v>
      </c>
    </row>
    <row r="28" spans="1:3" ht="15">
      <c r="A28" s="81" t="s">
        <v>3414</v>
      </c>
      <c r="B28" s="83" t="s">
        <v>571</v>
      </c>
      <c r="C28" s="80">
        <f>VLOOKUP(GroupVertices[[#This Row],[Vertex]],Vertices[],MATCH("ID",Vertices[[#Headers],[Vertex]:[Top Word Pairs in Comment by Salience]],0),FALSE)</f>
        <v>348</v>
      </c>
    </row>
    <row r="29" spans="1:3" ht="15">
      <c r="A29" s="81" t="s">
        <v>3414</v>
      </c>
      <c r="B29" s="83" t="s">
        <v>570</v>
      </c>
      <c r="C29" s="80">
        <f>VLOOKUP(GroupVertices[[#This Row],[Vertex]],Vertices[],MATCH("ID",Vertices[[#Headers],[Vertex]:[Top Word Pairs in Comment by Salience]],0),FALSE)</f>
        <v>347</v>
      </c>
    </row>
    <row r="30" spans="1:3" ht="15">
      <c r="A30" s="81" t="s">
        <v>3414</v>
      </c>
      <c r="B30" s="83" t="s">
        <v>568</v>
      </c>
      <c r="C30" s="80">
        <f>VLOOKUP(GroupVertices[[#This Row],[Vertex]],Vertices[],MATCH("ID",Vertices[[#Headers],[Vertex]:[Top Word Pairs in Comment by Salience]],0),FALSE)</f>
        <v>346</v>
      </c>
    </row>
    <row r="31" spans="1:3" ht="15">
      <c r="A31" s="81" t="s">
        <v>3414</v>
      </c>
      <c r="B31" s="83" t="s">
        <v>569</v>
      </c>
      <c r="C31" s="80">
        <f>VLOOKUP(GroupVertices[[#This Row],[Vertex]],Vertices[],MATCH("ID",Vertices[[#Headers],[Vertex]:[Top Word Pairs in Comment by Salience]],0),FALSE)</f>
        <v>345</v>
      </c>
    </row>
    <row r="32" spans="1:3" ht="15">
      <c r="A32" s="81" t="s">
        <v>3414</v>
      </c>
      <c r="B32" s="83" t="s">
        <v>513</v>
      </c>
      <c r="C32" s="80">
        <f>VLOOKUP(GroupVertices[[#This Row],[Vertex]],Vertices[],MATCH("ID",Vertices[[#Headers],[Vertex]:[Top Word Pairs in Comment by Salience]],0),FALSE)</f>
        <v>289</v>
      </c>
    </row>
    <row r="33" spans="1:3" ht="15">
      <c r="A33" s="81" t="s">
        <v>3414</v>
      </c>
      <c r="B33" s="83" t="s">
        <v>512</v>
      </c>
      <c r="C33" s="80">
        <f>VLOOKUP(GroupVertices[[#This Row],[Vertex]],Vertices[],MATCH("ID",Vertices[[#Headers],[Vertex]:[Top Word Pairs in Comment by Salience]],0),FALSE)</f>
        <v>288</v>
      </c>
    </row>
    <row r="34" spans="1:3" ht="15">
      <c r="A34" s="81" t="s">
        <v>3414</v>
      </c>
      <c r="B34" s="83" t="s">
        <v>511</v>
      </c>
      <c r="C34" s="80">
        <f>VLOOKUP(GroupVertices[[#This Row],[Vertex]],Vertices[],MATCH("ID",Vertices[[#Headers],[Vertex]:[Top Word Pairs in Comment by Salience]],0),FALSE)</f>
        <v>287</v>
      </c>
    </row>
    <row r="35" spans="1:3" ht="15">
      <c r="A35" s="81" t="s">
        <v>3414</v>
      </c>
      <c r="B35" s="83" t="s">
        <v>510</v>
      </c>
      <c r="C35" s="80">
        <f>VLOOKUP(GroupVertices[[#This Row],[Vertex]],Vertices[],MATCH("ID",Vertices[[#Headers],[Vertex]:[Top Word Pairs in Comment by Salience]],0),FALSE)</f>
        <v>286</v>
      </c>
    </row>
    <row r="36" spans="1:3" ht="15">
      <c r="A36" s="81" t="s">
        <v>3414</v>
      </c>
      <c r="B36" s="83" t="s">
        <v>509</v>
      </c>
      <c r="C36" s="80">
        <f>VLOOKUP(GroupVertices[[#This Row],[Vertex]],Vertices[],MATCH("ID",Vertices[[#Headers],[Vertex]:[Top Word Pairs in Comment by Salience]],0),FALSE)</f>
        <v>285</v>
      </c>
    </row>
    <row r="37" spans="1:3" ht="15">
      <c r="A37" s="81" t="s">
        <v>3414</v>
      </c>
      <c r="B37" s="83" t="s">
        <v>508</v>
      </c>
      <c r="C37" s="80">
        <f>VLOOKUP(GroupVertices[[#This Row],[Vertex]],Vertices[],MATCH("ID",Vertices[[#Headers],[Vertex]:[Top Word Pairs in Comment by Salience]],0),FALSE)</f>
        <v>284</v>
      </c>
    </row>
    <row r="38" spans="1:3" ht="15">
      <c r="A38" s="81" t="s">
        <v>3414</v>
      </c>
      <c r="B38" s="83" t="s">
        <v>507</v>
      </c>
      <c r="C38" s="80">
        <f>VLOOKUP(GroupVertices[[#This Row],[Vertex]],Vertices[],MATCH("ID",Vertices[[#Headers],[Vertex]:[Top Word Pairs in Comment by Salience]],0),FALSE)</f>
        <v>283</v>
      </c>
    </row>
    <row r="39" spans="1:3" ht="15">
      <c r="A39" s="81" t="s">
        <v>3414</v>
      </c>
      <c r="B39" s="83" t="s">
        <v>506</v>
      </c>
      <c r="C39" s="80">
        <f>VLOOKUP(GroupVertices[[#This Row],[Vertex]],Vertices[],MATCH("ID",Vertices[[#Headers],[Vertex]:[Top Word Pairs in Comment by Salience]],0),FALSE)</f>
        <v>282</v>
      </c>
    </row>
    <row r="40" spans="1:3" ht="15">
      <c r="A40" s="81" t="s">
        <v>3414</v>
      </c>
      <c r="B40" s="83" t="s">
        <v>505</v>
      </c>
      <c r="C40" s="80">
        <f>VLOOKUP(GroupVertices[[#This Row],[Vertex]],Vertices[],MATCH("ID",Vertices[[#Headers],[Vertex]:[Top Word Pairs in Comment by Salience]],0),FALSE)</f>
        <v>281</v>
      </c>
    </row>
    <row r="41" spans="1:3" ht="15">
      <c r="A41" s="81" t="s">
        <v>3414</v>
      </c>
      <c r="B41" s="83" t="s">
        <v>504</v>
      </c>
      <c r="C41" s="80">
        <f>VLOOKUP(GroupVertices[[#This Row],[Vertex]],Vertices[],MATCH("ID",Vertices[[#Headers],[Vertex]:[Top Word Pairs in Comment by Salience]],0),FALSE)</f>
        <v>280</v>
      </c>
    </row>
    <row r="42" spans="1:3" ht="15">
      <c r="A42" s="81" t="s">
        <v>3414</v>
      </c>
      <c r="B42" s="83" t="s">
        <v>503</v>
      </c>
      <c r="C42" s="80">
        <f>VLOOKUP(GroupVertices[[#This Row],[Vertex]],Vertices[],MATCH("ID",Vertices[[#Headers],[Vertex]:[Top Word Pairs in Comment by Salience]],0),FALSE)</f>
        <v>279</v>
      </c>
    </row>
    <row r="43" spans="1:3" ht="15">
      <c r="A43" s="81" t="s">
        <v>3414</v>
      </c>
      <c r="B43" s="83" t="s">
        <v>502</v>
      </c>
      <c r="C43" s="80">
        <f>VLOOKUP(GroupVertices[[#This Row],[Vertex]],Vertices[],MATCH("ID",Vertices[[#Headers],[Vertex]:[Top Word Pairs in Comment by Salience]],0),FALSE)</f>
        <v>278</v>
      </c>
    </row>
    <row r="44" spans="1:3" ht="15">
      <c r="A44" s="81" t="s">
        <v>3414</v>
      </c>
      <c r="B44" s="83" t="s">
        <v>501</v>
      </c>
      <c r="C44" s="80">
        <f>VLOOKUP(GroupVertices[[#This Row],[Vertex]],Vertices[],MATCH("ID",Vertices[[#Headers],[Vertex]:[Top Word Pairs in Comment by Salience]],0),FALSE)</f>
        <v>277</v>
      </c>
    </row>
    <row r="45" spans="1:3" ht="15">
      <c r="A45" s="81" t="s">
        <v>3414</v>
      </c>
      <c r="B45" s="83" t="s">
        <v>500</v>
      </c>
      <c r="C45" s="80">
        <f>VLOOKUP(GroupVertices[[#This Row],[Vertex]],Vertices[],MATCH("ID",Vertices[[#Headers],[Vertex]:[Top Word Pairs in Comment by Salience]],0),FALSE)</f>
        <v>276</v>
      </c>
    </row>
    <row r="46" spans="1:3" ht="15">
      <c r="A46" s="81" t="s">
        <v>3414</v>
      </c>
      <c r="B46" s="83" t="s">
        <v>499</v>
      </c>
      <c r="C46" s="80">
        <f>VLOOKUP(GroupVertices[[#This Row],[Vertex]],Vertices[],MATCH("ID",Vertices[[#Headers],[Vertex]:[Top Word Pairs in Comment by Salience]],0),FALSE)</f>
        <v>275</v>
      </c>
    </row>
    <row r="47" spans="1:3" ht="15">
      <c r="A47" s="81" t="s">
        <v>3414</v>
      </c>
      <c r="B47" s="83" t="s">
        <v>498</v>
      </c>
      <c r="C47" s="80">
        <f>VLOOKUP(GroupVertices[[#This Row],[Vertex]],Vertices[],MATCH("ID",Vertices[[#Headers],[Vertex]:[Top Word Pairs in Comment by Salience]],0),FALSE)</f>
        <v>274</v>
      </c>
    </row>
    <row r="48" spans="1:3" ht="15">
      <c r="A48" s="81" t="s">
        <v>3414</v>
      </c>
      <c r="B48" s="83" t="s">
        <v>497</v>
      </c>
      <c r="C48" s="80">
        <f>VLOOKUP(GroupVertices[[#This Row],[Vertex]],Vertices[],MATCH("ID",Vertices[[#Headers],[Vertex]:[Top Word Pairs in Comment by Salience]],0),FALSE)</f>
        <v>273</v>
      </c>
    </row>
    <row r="49" spans="1:3" ht="15">
      <c r="A49" s="81" t="s">
        <v>3414</v>
      </c>
      <c r="B49" s="83" t="s">
        <v>496</v>
      </c>
      <c r="C49" s="80">
        <f>VLOOKUP(GroupVertices[[#This Row],[Vertex]],Vertices[],MATCH("ID",Vertices[[#Headers],[Vertex]:[Top Word Pairs in Comment by Salience]],0),FALSE)</f>
        <v>272</v>
      </c>
    </row>
    <row r="50" spans="1:3" ht="15">
      <c r="A50" s="81" t="s">
        <v>3414</v>
      </c>
      <c r="B50" s="83" t="s">
        <v>495</v>
      </c>
      <c r="C50" s="80">
        <f>VLOOKUP(GroupVertices[[#This Row],[Vertex]],Vertices[],MATCH("ID",Vertices[[#Headers],[Vertex]:[Top Word Pairs in Comment by Salience]],0),FALSE)</f>
        <v>271</v>
      </c>
    </row>
    <row r="51" spans="1:3" ht="15">
      <c r="A51" s="81" t="s">
        <v>3414</v>
      </c>
      <c r="B51" s="83" t="s">
        <v>494</v>
      </c>
      <c r="C51" s="80">
        <f>VLOOKUP(GroupVertices[[#This Row],[Vertex]],Vertices[],MATCH("ID",Vertices[[#Headers],[Vertex]:[Top Word Pairs in Comment by Salience]],0),FALSE)</f>
        <v>270</v>
      </c>
    </row>
    <row r="52" spans="1:3" ht="15">
      <c r="A52" s="81" t="s">
        <v>3414</v>
      </c>
      <c r="B52" s="83" t="s">
        <v>493</v>
      </c>
      <c r="C52" s="80">
        <f>VLOOKUP(GroupVertices[[#This Row],[Vertex]],Vertices[],MATCH("ID",Vertices[[#Headers],[Vertex]:[Top Word Pairs in Comment by Salience]],0),FALSE)</f>
        <v>269</v>
      </c>
    </row>
    <row r="53" spans="1:3" ht="15">
      <c r="A53" s="81" t="s">
        <v>3414</v>
      </c>
      <c r="B53" s="83" t="s">
        <v>492</v>
      </c>
      <c r="C53" s="80">
        <f>VLOOKUP(GroupVertices[[#This Row],[Vertex]],Vertices[],MATCH("ID",Vertices[[#Headers],[Vertex]:[Top Word Pairs in Comment by Salience]],0),FALSE)</f>
        <v>268</v>
      </c>
    </row>
    <row r="54" spans="1:3" ht="15">
      <c r="A54" s="81" t="s">
        <v>3414</v>
      </c>
      <c r="B54" s="83" t="s">
        <v>491</v>
      </c>
      <c r="C54" s="80">
        <f>VLOOKUP(GroupVertices[[#This Row],[Vertex]],Vertices[],MATCH("ID",Vertices[[#Headers],[Vertex]:[Top Word Pairs in Comment by Salience]],0),FALSE)</f>
        <v>267</v>
      </c>
    </row>
    <row r="55" spans="1:3" ht="15">
      <c r="A55" s="81" t="s">
        <v>3414</v>
      </c>
      <c r="B55" s="83" t="s">
        <v>490</v>
      </c>
      <c r="C55" s="80">
        <f>VLOOKUP(GroupVertices[[#This Row],[Vertex]],Vertices[],MATCH("ID",Vertices[[#Headers],[Vertex]:[Top Word Pairs in Comment by Salience]],0),FALSE)</f>
        <v>266</v>
      </c>
    </row>
    <row r="56" spans="1:3" ht="15">
      <c r="A56" s="81" t="s">
        <v>3414</v>
      </c>
      <c r="B56" s="83" t="s">
        <v>489</v>
      </c>
      <c r="C56" s="80">
        <f>VLOOKUP(GroupVertices[[#This Row],[Vertex]],Vertices[],MATCH("ID",Vertices[[#Headers],[Vertex]:[Top Word Pairs in Comment by Salience]],0),FALSE)</f>
        <v>265</v>
      </c>
    </row>
    <row r="57" spans="1:3" ht="15">
      <c r="A57" s="81" t="s">
        <v>3414</v>
      </c>
      <c r="B57" s="83" t="s">
        <v>488</v>
      </c>
      <c r="C57" s="80">
        <f>VLOOKUP(GroupVertices[[#This Row],[Vertex]],Vertices[],MATCH("ID",Vertices[[#Headers],[Vertex]:[Top Word Pairs in Comment by Salience]],0),FALSE)</f>
        <v>264</v>
      </c>
    </row>
    <row r="58" spans="1:3" ht="15">
      <c r="A58" s="81" t="s">
        <v>3414</v>
      </c>
      <c r="B58" s="83" t="s">
        <v>487</v>
      </c>
      <c r="C58" s="80">
        <f>VLOOKUP(GroupVertices[[#This Row],[Vertex]],Vertices[],MATCH("ID",Vertices[[#Headers],[Vertex]:[Top Word Pairs in Comment by Salience]],0),FALSE)</f>
        <v>263</v>
      </c>
    </row>
    <row r="59" spans="1:3" ht="15">
      <c r="A59" s="81" t="s">
        <v>3414</v>
      </c>
      <c r="B59" s="83" t="s">
        <v>486</v>
      </c>
      <c r="C59" s="80">
        <f>VLOOKUP(GroupVertices[[#This Row],[Vertex]],Vertices[],MATCH("ID",Vertices[[#Headers],[Vertex]:[Top Word Pairs in Comment by Salience]],0),FALSE)</f>
        <v>262</v>
      </c>
    </row>
    <row r="60" spans="1:3" ht="15">
      <c r="A60" s="81" t="s">
        <v>3414</v>
      </c>
      <c r="B60" s="83" t="s">
        <v>485</v>
      </c>
      <c r="C60" s="80">
        <f>VLOOKUP(GroupVertices[[#This Row],[Vertex]],Vertices[],MATCH("ID",Vertices[[#Headers],[Vertex]:[Top Word Pairs in Comment by Salience]],0),FALSE)</f>
        <v>261</v>
      </c>
    </row>
    <row r="61" spans="1:3" ht="15">
      <c r="A61" s="81" t="s">
        <v>3414</v>
      </c>
      <c r="B61" s="83" t="s">
        <v>484</v>
      </c>
      <c r="C61" s="80">
        <f>VLOOKUP(GroupVertices[[#This Row],[Vertex]],Vertices[],MATCH("ID",Vertices[[#Headers],[Vertex]:[Top Word Pairs in Comment by Salience]],0),FALSE)</f>
        <v>260</v>
      </c>
    </row>
    <row r="62" spans="1:3" ht="15">
      <c r="A62" s="81" t="s">
        <v>3414</v>
      </c>
      <c r="B62" s="83" t="s">
        <v>483</v>
      </c>
      <c r="C62" s="80">
        <f>VLOOKUP(GroupVertices[[#This Row],[Vertex]],Vertices[],MATCH("ID",Vertices[[#Headers],[Vertex]:[Top Word Pairs in Comment by Salience]],0),FALSE)</f>
        <v>259</v>
      </c>
    </row>
    <row r="63" spans="1:3" ht="15">
      <c r="A63" s="81" t="s">
        <v>3414</v>
      </c>
      <c r="B63" s="83" t="s">
        <v>482</v>
      </c>
      <c r="C63" s="80">
        <f>VLOOKUP(GroupVertices[[#This Row],[Vertex]],Vertices[],MATCH("ID",Vertices[[#Headers],[Vertex]:[Top Word Pairs in Comment by Salience]],0),FALSE)</f>
        <v>258</v>
      </c>
    </row>
    <row r="64" spans="1:3" ht="15">
      <c r="A64" s="81" t="s">
        <v>3414</v>
      </c>
      <c r="B64" s="83" t="s">
        <v>481</v>
      </c>
      <c r="C64" s="80">
        <f>VLOOKUP(GroupVertices[[#This Row],[Vertex]],Vertices[],MATCH("ID",Vertices[[#Headers],[Vertex]:[Top Word Pairs in Comment by Salience]],0),FALSE)</f>
        <v>257</v>
      </c>
    </row>
    <row r="65" spans="1:3" ht="15">
      <c r="A65" s="81" t="s">
        <v>3414</v>
      </c>
      <c r="B65" s="83" t="s">
        <v>480</v>
      </c>
      <c r="C65" s="80">
        <f>VLOOKUP(GroupVertices[[#This Row],[Vertex]],Vertices[],MATCH("ID",Vertices[[#Headers],[Vertex]:[Top Word Pairs in Comment by Salience]],0),FALSE)</f>
        <v>256</v>
      </c>
    </row>
    <row r="66" spans="1:3" ht="15">
      <c r="A66" s="81" t="s">
        <v>3414</v>
      </c>
      <c r="B66" s="83" t="s">
        <v>479</v>
      </c>
      <c r="C66" s="80">
        <f>VLOOKUP(GroupVertices[[#This Row],[Vertex]],Vertices[],MATCH("ID",Vertices[[#Headers],[Vertex]:[Top Word Pairs in Comment by Salience]],0),FALSE)</f>
        <v>255</v>
      </c>
    </row>
    <row r="67" spans="1:3" ht="15">
      <c r="A67" s="81" t="s">
        <v>3414</v>
      </c>
      <c r="B67" s="83" t="s">
        <v>478</v>
      </c>
      <c r="C67" s="80">
        <f>VLOOKUP(GroupVertices[[#This Row],[Vertex]],Vertices[],MATCH("ID",Vertices[[#Headers],[Vertex]:[Top Word Pairs in Comment by Salience]],0),FALSE)</f>
        <v>254</v>
      </c>
    </row>
    <row r="68" spans="1:3" ht="15">
      <c r="A68" s="81" t="s">
        <v>3414</v>
      </c>
      <c r="B68" s="83" t="s">
        <v>477</v>
      </c>
      <c r="C68" s="80">
        <f>VLOOKUP(GroupVertices[[#This Row],[Vertex]],Vertices[],MATCH("ID",Vertices[[#Headers],[Vertex]:[Top Word Pairs in Comment by Salience]],0),FALSE)</f>
        <v>253</v>
      </c>
    </row>
    <row r="69" spans="1:3" ht="15">
      <c r="A69" s="81" t="s">
        <v>3414</v>
      </c>
      <c r="B69" s="83" t="s">
        <v>476</v>
      </c>
      <c r="C69" s="80">
        <f>VLOOKUP(GroupVertices[[#This Row],[Vertex]],Vertices[],MATCH("ID",Vertices[[#Headers],[Vertex]:[Top Word Pairs in Comment by Salience]],0),FALSE)</f>
        <v>252</v>
      </c>
    </row>
    <row r="70" spans="1:3" ht="15">
      <c r="A70" s="81" t="s">
        <v>3414</v>
      </c>
      <c r="B70" s="83" t="s">
        <v>475</v>
      </c>
      <c r="C70" s="80">
        <f>VLOOKUP(GroupVertices[[#This Row],[Vertex]],Vertices[],MATCH("ID",Vertices[[#Headers],[Vertex]:[Top Word Pairs in Comment by Salience]],0),FALSE)</f>
        <v>251</v>
      </c>
    </row>
    <row r="71" spans="1:3" ht="15">
      <c r="A71" s="81" t="s">
        <v>3414</v>
      </c>
      <c r="B71" s="83" t="s">
        <v>474</v>
      </c>
      <c r="C71" s="80">
        <f>VLOOKUP(GroupVertices[[#This Row],[Vertex]],Vertices[],MATCH("ID",Vertices[[#Headers],[Vertex]:[Top Word Pairs in Comment by Salience]],0),FALSE)</f>
        <v>250</v>
      </c>
    </row>
    <row r="72" spans="1:3" ht="15">
      <c r="A72" s="81" t="s">
        <v>3414</v>
      </c>
      <c r="B72" s="83" t="s">
        <v>473</v>
      </c>
      <c r="C72" s="80">
        <f>VLOOKUP(GroupVertices[[#This Row],[Vertex]],Vertices[],MATCH("ID",Vertices[[#Headers],[Vertex]:[Top Word Pairs in Comment by Salience]],0),FALSE)</f>
        <v>249</v>
      </c>
    </row>
    <row r="73" spans="1:3" ht="15">
      <c r="A73" s="81" t="s">
        <v>3414</v>
      </c>
      <c r="B73" s="83" t="s">
        <v>472</v>
      </c>
      <c r="C73" s="80">
        <f>VLOOKUP(GroupVertices[[#This Row],[Vertex]],Vertices[],MATCH("ID",Vertices[[#Headers],[Vertex]:[Top Word Pairs in Comment by Salience]],0),FALSE)</f>
        <v>248</v>
      </c>
    </row>
    <row r="74" spans="1:3" ht="15">
      <c r="A74" s="81" t="s">
        <v>3414</v>
      </c>
      <c r="B74" s="83" t="s">
        <v>471</v>
      </c>
      <c r="C74" s="80">
        <f>VLOOKUP(GroupVertices[[#This Row],[Vertex]],Vertices[],MATCH("ID",Vertices[[#Headers],[Vertex]:[Top Word Pairs in Comment by Salience]],0),FALSE)</f>
        <v>247</v>
      </c>
    </row>
    <row r="75" spans="1:3" ht="15">
      <c r="A75" s="81" t="s">
        <v>3414</v>
      </c>
      <c r="B75" s="83" t="s">
        <v>470</v>
      </c>
      <c r="C75" s="80">
        <f>VLOOKUP(GroupVertices[[#This Row],[Vertex]],Vertices[],MATCH("ID",Vertices[[#Headers],[Vertex]:[Top Word Pairs in Comment by Salience]],0),FALSE)</f>
        <v>246</v>
      </c>
    </row>
    <row r="76" spans="1:3" ht="15">
      <c r="A76" s="81" t="s">
        <v>3414</v>
      </c>
      <c r="B76" s="83" t="s">
        <v>465</v>
      </c>
      <c r="C76" s="80">
        <f>VLOOKUP(GroupVertices[[#This Row],[Vertex]],Vertices[],MATCH("ID",Vertices[[#Headers],[Vertex]:[Top Word Pairs in Comment by Salience]],0),FALSE)</f>
        <v>241</v>
      </c>
    </row>
    <row r="77" spans="1:3" ht="15">
      <c r="A77" s="81" t="s">
        <v>3414</v>
      </c>
      <c r="B77" s="83" t="s">
        <v>464</v>
      </c>
      <c r="C77" s="80">
        <f>VLOOKUP(GroupVertices[[#This Row],[Vertex]],Vertices[],MATCH("ID",Vertices[[#Headers],[Vertex]:[Top Word Pairs in Comment by Salience]],0),FALSE)</f>
        <v>240</v>
      </c>
    </row>
    <row r="78" spans="1:3" ht="15">
      <c r="A78" s="81" t="s">
        <v>3414</v>
      </c>
      <c r="B78" s="83" t="s">
        <v>463</v>
      </c>
      <c r="C78" s="80">
        <f>VLOOKUP(GroupVertices[[#This Row],[Vertex]],Vertices[],MATCH("ID",Vertices[[#Headers],[Vertex]:[Top Word Pairs in Comment by Salience]],0),FALSE)</f>
        <v>239</v>
      </c>
    </row>
    <row r="79" spans="1:3" ht="15">
      <c r="A79" s="81" t="s">
        <v>3414</v>
      </c>
      <c r="B79" s="83" t="s">
        <v>462</v>
      </c>
      <c r="C79" s="80">
        <f>VLOOKUP(GroupVertices[[#This Row],[Vertex]],Vertices[],MATCH("ID",Vertices[[#Headers],[Vertex]:[Top Word Pairs in Comment by Salience]],0),FALSE)</f>
        <v>238</v>
      </c>
    </row>
    <row r="80" spans="1:3" ht="15">
      <c r="A80" s="81" t="s">
        <v>3414</v>
      </c>
      <c r="B80" s="83" t="s">
        <v>461</v>
      </c>
      <c r="C80" s="80">
        <f>VLOOKUP(GroupVertices[[#This Row],[Vertex]],Vertices[],MATCH("ID",Vertices[[#Headers],[Vertex]:[Top Word Pairs in Comment by Salience]],0),FALSE)</f>
        <v>237</v>
      </c>
    </row>
    <row r="81" spans="1:3" ht="15">
      <c r="A81" s="81" t="s">
        <v>3414</v>
      </c>
      <c r="B81" s="83" t="s">
        <v>460</v>
      </c>
      <c r="C81" s="80">
        <f>VLOOKUP(GroupVertices[[#This Row],[Vertex]],Vertices[],MATCH("ID",Vertices[[#Headers],[Vertex]:[Top Word Pairs in Comment by Salience]],0),FALSE)</f>
        <v>236</v>
      </c>
    </row>
    <row r="82" spans="1:3" ht="15">
      <c r="A82" s="81" t="s">
        <v>3414</v>
      </c>
      <c r="B82" s="83" t="s">
        <v>459</v>
      </c>
      <c r="C82" s="80">
        <f>VLOOKUP(GroupVertices[[#This Row],[Vertex]],Vertices[],MATCH("ID",Vertices[[#Headers],[Vertex]:[Top Word Pairs in Comment by Salience]],0),FALSE)</f>
        <v>235</v>
      </c>
    </row>
    <row r="83" spans="1:3" ht="15">
      <c r="A83" s="81" t="s">
        <v>3414</v>
      </c>
      <c r="B83" s="83" t="s">
        <v>458</v>
      </c>
      <c r="C83" s="80">
        <f>VLOOKUP(GroupVertices[[#This Row],[Vertex]],Vertices[],MATCH("ID",Vertices[[#Headers],[Vertex]:[Top Word Pairs in Comment by Salience]],0),FALSE)</f>
        <v>234</v>
      </c>
    </row>
    <row r="84" spans="1:3" ht="15">
      <c r="A84" s="81" t="s">
        <v>3414</v>
      </c>
      <c r="B84" s="83" t="s">
        <v>457</v>
      </c>
      <c r="C84" s="80">
        <f>VLOOKUP(GroupVertices[[#This Row],[Vertex]],Vertices[],MATCH("ID",Vertices[[#Headers],[Vertex]:[Top Word Pairs in Comment by Salience]],0),FALSE)</f>
        <v>233</v>
      </c>
    </row>
    <row r="85" spans="1:3" ht="15">
      <c r="A85" s="81" t="s">
        <v>3414</v>
      </c>
      <c r="B85" s="83" t="s">
        <v>456</v>
      </c>
      <c r="C85" s="80">
        <f>VLOOKUP(GroupVertices[[#This Row],[Vertex]],Vertices[],MATCH("ID",Vertices[[#Headers],[Vertex]:[Top Word Pairs in Comment by Salience]],0),FALSE)</f>
        <v>232</v>
      </c>
    </row>
    <row r="86" spans="1:3" ht="15">
      <c r="A86" s="81" t="s">
        <v>3414</v>
      </c>
      <c r="B86" s="83" t="s">
        <v>455</v>
      </c>
      <c r="C86" s="80">
        <f>VLOOKUP(GroupVertices[[#This Row],[Vertex]],Vertices[],MATCH("ID",Vertices[[#Headers],[Vertex]:[Top Word Pairs in Comment by Salience]],0),FALSE)</f>
        <v>231</v>
      </c>
    </row>
    <row r="87" spans="1:3" ht="15">
      <c r="A87" s="81" t="s">
        <v>3414</v>
      </c>
      <c r="B87" s="83" t="s">
        <v>454</v>
      </c>
      <c r="C87" s="80">
        <f>VLOOKUP(GroupVertices[[#This Row],[Vertex]],Vertices[],MATCH("ID",Vertices[[#Headers],[Vertex]:[Top Word Pairs in Comment by Salience]],0),FALSE)</f>
        <v>230</v>
      </c>
    </row>
    <row r="88" spans="1:3" ht="15">
      <c r="A88" s="81" t="s">
        <v>3414</v>
      </c>
      <c r="B88" s="83" t="s">
        <v>453</v>
      </c>
      <c r="C88" s="80">
        <f>VLOOKUP(GroupVertices[[#This Row],[Vertex]],Vertices[],MATCH("ID",Vertices[[#Headers],[Vertex]:[Top Word Pairs in Comment by Salience]],0),FALSE)</f>
        <v>229</v>
      </c>
    </row>
    <row r="89" spans="1:3" ht="15">
      <c r="A89" s="81" t="s">
        <v>3414</v>
      </c>
      <c r="B89" s="83" t="s">
        <v>452</v>
      </c>
      <c r="C89" s="80">
        <f>VLOOKUP(GroupVertices[[#This Row],[Vertex]],Vertices[],MATCH("ID",Vertices[[#Headers],[Vertex]:[Top Word Pairs in Comment by Salience]],0),FALSE)</f>
        <v>228</v>
      </c>
    </row>
    <row r="90" spans="1:3" ht="15">
      <c r="A90" s="81" t="s">
        <v>3414</v>
      </c>
      <c r="B90" s="83" t="s">
        <v>451</v>
      </c>
      <c r="C90" s="80">
        <f>VLOOKUP(GroupVertices[[#This Row],[Vertex]],Vertices[],MATCH("ID",Vertices[[#Headers],[Vertex]:[Top Word Pairs in Comment by Salience]],0),FALSE)</f>
        <v>227</v>
      </c>
    </row>
    <row r="91" spans="1:3" ht="15">
      <c r="A91" s="81" t="s">
        <v>3414</v>
      </c>
      <c r="B91" s="83" t="s">
        <v>450</v>
      </c>
      <c r="C91" s="80">
        <f>VLOOKUP(GroupVertices[[#This Row],[Vertex]],Vertices[],MATCH("ID",Vertices[[#Headers],[Vertex]:[Top Word Pairs in Comment by Salience]],0),FALSE)</f>
        <v>226</v>
      </c>
    </row>
    <row r="92" spans="1:3" ht="15">
      <c r="A92" s="81" t="s">
        <v>3414</v>
      </c>
      <c r="B92" s="83" t="s">
        <v>449</v>
      </c>
      <c r="C92" s="80">
        <f>VLOOKUP(GroupVertices[[#This Row],[Vertex]],Vertices[],MATCH("ID",Vertices[[#Headers],[Vertex]:[Top Word Pairs in Comment by Salience]],0),FALSE)</f>
        <v>225</v>
      </c>
    </row>
    <row r="93" spans="1:3" ht="15">
      <c r="A93" s="81" t="s">
        <v>3414</v>
      </c>
      <c r="B93" s="83" t="s">
        <v>448</v>
      </c>
      <c r="C93" s="80">
        <f>VLOOKUP(GroupVertices[[#This Row],[Vertex]],Vertices[],MATCH("ID",Vertices[[#Headers],[Vertex]:[Top Word Pairs in Comment by Salience]],0),FALSE)</f>
        <v>224</v>
      </c>
    </row>
    <row r="94" spans="1:3" ht="15">
      <c r="A94" s="81" t="s">
        <v>3414</v>
      </c>
      <c r="B94" s="83" t="s">
        <v>447</v>
      </c>
      <c r="C94" s="80">
        <f>VLOOKUP(GroupVertices[[#This Row],[Vertex]],Vertices[],MATCH("ID",Vertices[[#Headers],[Vertex]:[Top Word Pairs in Comment by Salience]],0),FALSE)</f>
        <v>223</v>
      </c>
    </row>
    <row r="95" spans="1:3" ht="15">
      <c r="A95" s="81" t="s">
        <v>3414</v>
      </c>
      <c r="B95" s="83" t="s">
        <v>446</v>
      </c>
      <c r="C95" s="80">
        <f>VLOOKUP(GroupVertices[[#This Row],[Vertex]],Vertices[],MATCH("ID",Vertices[[#Headers],[Vertex]:[Top Word Pairs in Comment by Salience]],0),FALSE)</f>
        <v>222</v>
      </c>
    </row>
    <row r="96" spans="1:3" ht="15">
      <c r="A96" s="81" t="s">
        <v>3414</v>
      </c>
      <c r="B96" s="83" t="s">
        <v>445</v>
      </c>
      <c r="C96" s="80">
        <f>VLOOKUP(GroupVertices[[#This Row],[Vertex]],Vertices[],MATCH("ID",Vertices[[#Headers],[Vertex]:[Top Word Pairs in Comment by Salience]],0),FALSE)</f>
        <v>221</v>
      </c>
    </row>
    <row r="97" spans="1:3" ht="15">
      <c r="A97" s="81" t="s">
        <v>3414</v>
      </c>
      <c r="B97" s="83" t="s">
        <v>444</v>
      </c>
      <c r="C97" s="80">
        <f>VLOOKUP(GroupVertices[[#This Row],[Vertex]],Vertices[],MATCH("ID",Vertices[[#Headers],[Vertex]:[Top Word Pairs in Comment by Salience]],0),FALSE)</f>
        <v>220</v>
      </c>
    </row>
    <row r="98" spans="1:3" ht="15">
      <c r="A98" s="81" t="s">
        <v>3414</v>
      </c>
      <c r="B98" s="83" t="s">
        <v>443</v>
      </c>
      <c r="C98" s="80">
        <f>VLOOKUP(GroupVertices[[#This Row],[Vertex]],Vertices[],MATCH("ID",Vertices[[#Headers],[Vertex]:[Top Word Pairs in Comment by Salience]],0),FALSE)</f>
        <v>219</v>
      </c>
    </row>
    <row r="99" spans="1:3" ht="15">
      <c r="A99" s="81" t="s">
        <v>3414</v>
      </c>
      <c r="B99" s="83" t="s">
        <v>442</v>
      </c>
      <c r="C99" s="80">
        <f>VLOOKUP(GroupVertices[[#This Row],[Vertex]],Vertices[],MATCH("ID",Vertices[[#Headers],[Vertex]:[Top Word Pairs in Comment by Salience]],0),FALSE)</f>
        <v>218</v>
      </c>
    </row>
    <row r="100" spans="1:3" ht="15">
      <c r="A100" s="81" t="s">
        <v>3414</v>
      </c>
      <c r="B100" s="83" t="s">
        <v>441</v>
      </c>
      <c r="C100" s="80">
        <f>VLOOKUP(GroupVertices[[#This Row],[Vertex]],Vertices[],MATCH("ID",Vertices[[#Headers],[Vertex]:[Top Word Pairs in Comment by Salience]],0),FALSE)</f>
        <v>217</v>
      </c>
    </row>
    <row r="101" spans="1:3" ht="15">
      <c r="A101" s="81" t="s">
        <v>3414</v>
      </c>
      <c r="B101" s="83" t="s">
        <v>440</v>
      </c>
      <c r="C101" s="80">
        <f>VLOOKUP(GroupVertices[[#This Row],[Vertex]],Vertices[],MATCH("ID",Vertices[[#Headers],[Vertex]:[Top Word Pairs in Comment by Salience]],0),FALSE)</f>
        <v>216</v>
      </c>
    </row>
    <row r="102" spans="1:3" ht="15">
      <c r="A102" s="81" t="s">
        <v>3414</v>
      </c>
      <c r="B102" s="83" t="s">
        <v>439</v>
      </c>
      <c r="C102" s="80">
        <f>VLOOKUP(GroupVertices[[#This Row],[Vertex]],Vertices[],MATCH("ID",Vertices[[#Headers],[Vertex]:[Top Word Pairs in Comment by Salience]],0),FALSE)</f>
        <v>215</v>
      </c>
    </row>
    <row r="103" spans="1:3" ht="15">
      <c r="A103" s="81" t="s">
        <v>3414</v>
      </c>
      <c r="B103" s="83" t="s">
        <v>438</v>
      </c>
      <c r="C103" s="80">
        <f>VLOOKUP(GroupVertices[[#This Row],[Vertex]],Vertices[],MATCH("ID",Vertices[[#Headers],[Vertex]:[Top Word Pairs in Comment by Salience]],0),FALSE)</f>
        <v>214</v>
      </c>
    </row>
    <row r="104" spans="1:3" ht="15">
      <c r="A104" s="81" t="s">
        <v>3414</v>
      </c>
      <c r="B104" s="83" t="s">
        <v>437</v>
      </c>
      <c r="C104" s="80">
        <f>VLOOKUP(GroupVertices[[#This Row],[Vertex]],Vertices[],MATCH("ID",Vertices[[#Headers],[Vertex]:[Top Word Pairs in Comment by Salience]],0),FALSE)</f>
        <v>213</v>
      </c>
    </row>
    <row r="105" spans="1:3" ht="15">
      <c r="A105" s="81" t="s">
        <v>3414</v>
      </c>
      <c r="B105" s="83" t="s">
        <v>436</v>
      </c>
      <c r="C105" s="80">
        <f>VLOOKUP(GroupVertices[[#This Row],[Vertex]],Vertices[],MATCH("ID",Vertices[[#Headers],[Vertex]:[Top Word Pairs in Comment by Salience]],0),FALSE)</f>
        <v>212</v>
      </c>
    </row>
    <row r="106" spans="1:3" ht="15">
      <c r="A106" s="81" t="s">
        <v>3414</v>
      </c>
      <c r="B106" s="83" t="s">
        <v>435</v>
      </c>
      <c r="C106" s="80">
        <f>VLOOKUP(GroupVertices[[#This Row],[Vertex]],Vertices[],MATCH("ID",Vertices[[#Headers],[Vertex]:[Top Word Pairs in Comment by Salience]],0),FALSE)</f>
        <v>211</v>
      </c>
    </row>
    <row r="107" spans="1:3" ht="15">
      <c r="A107" s="81" t="s">
        <v>3414</v>
      </c>
      <c r="B107" s="83" t="s">
        <v>434</v>
      </c>
      <c r="C107" s="80">
        <f>VLOOKUP(GroupVertices[[#This Row],[Vertex]],Vertices[],MATCH("ID",Vertices[[#Headers],[Vertex]:[Top Word Pairs in Comment by Salience]],0),FALSE)</f>
        <v>210</v>
      </c>
    </row>
    <row r="108" spans="1:3" ht="15">
      <c r="A108" s="81" t="s">
        <v>3414</v>
      </c>
      <c r="B108" s="83" t="s">
        <v>433</v>
      </c>
      <c r="C108" s="80">
        <f>VLOOKUP(GroupVertices[[#This Row],[Vertex]],Vertices[],MATCH("ID",Vertices[[#Headers],[Vertex]:[Top Word Pairs in Comment by Salience]],0),FALSE)</f>
        <v>209</v>
      </c>
    </row>
    <row r="109" spans="1:3" ht="15">
      <c r="A109" s="81" t="s">
        <v>3414</v>
      </c>
      <c r="B109" s="83" t="s">
        <v>432</v>
      </c>
      <c r="C109" s="80">
        <f>VLOOKUP(GroupVertices[[#This Row],[Vertex]],Vertices[],MATCH("ID",Vertices[[#Headers],[Vertex]:[Top Word Pairs in Comment by Salience]],0),FALSE)</f>
        <v>208</v>
      </c>
    </row>
    <row r="110" spans="1:3" ht="15">
      <c r="A110" s="81" t="s">
        <v>3414</v>
      </c>
      <c r="B110" s="83" t="s">
        <v>431</v>
      </c>
      <c r="C110" s="80">
        <f>VLOOKUP(GroupVertices[[#This Row],[Vertex]],Vertices[],MATCH("ID",Vertices[[#Headers],[Vertex]:[Top Word Pairs in Comment by Salience]],0),FALSE)</f>
        <v>207</v>
      </c>
    </row>
    <row r="111" spans="1:3" ht="15">
      <c r="A111" s="81" t="s">
        <v>3414</v>
      </c>
      <c r="B111" s="83" t="s">
        <v>430</v>
      </c>
      <c r="C111" s="80">
        <f>VLOOKUP(GroupVertices[[#This Row],[Vertex]],Vertices[],MATCH("ID",Vertices[[#Headers],[Vertex]:[Top Word Pairs in Comment by Salience]],0),FALSE)</f>
        <v>206</v>
      </c>
    </row>
    <row r="112" spans="1:3" ht="15">
      <c r="A112" s="81" t="s">
        <v>3414</v>
      </c>
      <c r="B112" s="83" t="s">
        <v>429</v>
      </c>
      <c r="C112" s="80">
        <f>VLOOKUP(GroupVertices[[#This Row],[Vertex]],Vertices[],MATCH("ID",Vertices[[#Headers],[Vertex]:[Top Word Pairs in Comment by Salience]],0),FALSE)</f>
        <v>205</v>
      </c>
    </row>
    <row r="113" spans="1:3" ht="15">
      <c r="A113" s="81" t="s">
        <v>3414</v>
      </c>
      <c r="B113" s="83" t="s">
        <v>428</v>
      </c>
      <c r="C113" s="80">
        <f>VLOOKUP(GroupVertices[[#This Row],[Vertex]],Vertices[],MATCH("ID",Vertices[[#Headers],[Vertex]:[Top Word Pairs in Comment by Salience]],0),FALSE)</f>
        <v>204</v>
      </c>
    </row>
    <row r="114" spans="1:3" ht="15">
      <c r="A114" s="81" t="s">
        <v>3414</v>
      </c>
      <c r="B114" s="83" t="s">
        <v>427</v>
      </c>
      <c r="C114" s="80">
        <f>VLOOKUP(GroupVertices[[#This Row],[Vertex]],Vertices[],MATCH("ID",Vertices[[#Headers],[Vertex]:[Top Word Pairs in Comment by Salience]],0),FALSE)</f>
        <v>203</v>
      </c>
    </row>
    <row r="115" spans="1:3" ht="15">
      <c r="A115" s="81" t="s">
        <v>3414</v>
      </c>
      <c r="B115" s="83" t="s">
        <v>426</v>
      </c>
      <c r="C115" s="80">
        <f>VLOOKUP(GroupVertices[[#This Row],[Vertex]],Vertices[],MATCH("ID",Vertices[[#Headers],[Vertex]:[Top Word Pairs in Comment by Salience]],0),FALSE)</f>
        <v>202</v>
      </c>
    </row>
    <row r="116" spans="1:3" ht="15">
      <c r="A116" s="81" t="s">
        <v>3414</v>
      </c>
      <c r="B116" s="83" t="s">
        <v>425</v>
      </c>
      <c r="C116" s="80">
        <f>VLOOKUP(GroupVertices[[#This Row],[Vertex]],Vertices[],MATCH("ID",Vertices[[#Headers],[Vertex]:[Top Word Pairs in Comment by Salience]],0),FALSE)</f>
        <v>201</v>
      </c>
    </row>
    <row r="117" spans="1:3" ht="15">
      <c r="A117" s="81" t="s">
        <v>3414</v>
      </c>
      <c r="B117" s="83" t="s">
        <v>424</v>
      </c>
      <c r="C117" s="80">
        <f>VLOOKUP(GroupVertices[[#This Row],[Vertex]],Vertices[],MATCH("ID",Vertices[[#Headers],[Vertex]:[Top Word Pairs in Comment by Salience]],0),FALSE)</f>
        <v>200</v>
      </c>
    </row>
    <row r="118" spans="1:3" ht="15">
      <c r="A118" s="81" t="s">
        <v>3414</v>
      </c>
      <c r="B118" s="83" t="s">
        <v>423</v>
      </c>
      <c r="C118" s="80">
        <f>VLOOKUP(GroupVertices[[#This Row],[Vertex]],Vertices[],MATCH("ID",Vertices[[#Headers],[Vertex]:[Top Word Pairs in Comment by Salience]],0),FALSE)</f>
        <v>199</v>
      </c>
    </row>
    <row r="119" spans="1:3" ht="15">
      <c r="A119" s="81" t="s">
        <v>3414</v>
      </c>
      <c r="B119" s="83" t="s">
        <v>422</v>
      </c>
      <c r="C119" s="80">
        <f>VLOOKUP(GroupVertices[[#This Row],[Vertex]],Vertices[],MATCH("ID",Vertices[[#Headers],[Vertex]:[Top Word Pairs in Comment by Salience]],0),FALSE)</f>
        <v>198</v>
      </c>
    </row>
    <row r="120" spans="1:3" ht="15">
      <c r="A120" s="81" t="s">
        <v>3414</v>
      </c>
      <c r="B120" s="83" t="s">
        <v>416</v>
      </c>
      <c r="C120" s="80">
        <f>VLOOKUP(GroupVertices[[#This Row],[Vertex]],Vertices[],MATCH("ID",Vertices[[#Headers],[Vertex]:[Top Word Pairs in Comment by Salience]],0),FALSE)</f>
        <v>192</v>
      </c>
    </row>
    <row r="121" spans="1:3" ht="15">
      <c r="A121" s="81" t="s">
        <v>3414</v>
      </c>
      <c r="B121" s="83" t="s">
        <v>415</v>
      </c>
      <c r="C121" s="80">
        <f>VLOOKUP(GroupVertices[[#This Row],[Vertex]],Vertices[],MATCH("ID",Vertices[[#Headers],[Vertex]:[Top Word Pairs in Comment by Salience]],0),FALSE)</f>
        <v>191</v>
      </c>
    </row>
    <row r="122" spans="1:3" ht="15">
      <c r="A122" s="81" t="s">
        <v>3414</v>
      </c>
      <c r="B122" s="83" t="s">
        <v>414</v>
      </c>
      <c r="C122" s="80">
        <f>VLOOKUP(GroupVertices[[#This Row],[Vertex]],Vertices[],MATCH("ID",Vertices[[#Headers],[Vertex]:[Top Word Pairs in Comment by Salience]],0),FALSE)</f>
        <v>190</v>
      </c>
    </row>
    <row r="123" spans="1:3" ht="15">
      <c r="A123" s="81" t="s">
        <v>3414</v>
      </c>
      <c r="B123" s="83" t="s">
        <v>413</v>
      </c>
      <c r="C123" s="80">
        <f>VLOOKUP(GroupVertices[[#This Row],[Vertex]],Vertices[],MATCH("ID",Vertices[[#Headers],[Vertex]:[Top Word Pairs in Comment by Salience]],0),FALSE)</f>
        <v>189</v>
      </c>
    </row>
    <row r="124" spans="1:3" ht="15">
      <c r="A124" s="81" t="s">
        <v>3414</v>
      </c>
      <c r="B124" s="83" t="s">
        <v>412</v>
      </c>
      <c r="C124" s="80">
        <f>VLOOKUP(GroupVertices[[#This Row],[Vertex]],Vertices[],MATCH("ID",Vertices[[#Headers],[Vertex]:[Top Word Pairs in Comment by Salience]],0),FALSE)</f>
        <v>188</v>
      </c>
    </row>
    <row r="125" spans="1:3" ht="15">
      <c r="A125" s="81" t="s">
        <v>3414</v>
      </c>
      <c r="B125" s="83" t="s">
        <v>411</v>
      </c>
      <c r="C125" s="80">
        <f>VLOOKUP(GroupVertices[[#This Row],[Vertex]],Vertices[],MATCH("ID",Vertices[[#Headers],[Vertex]:[Top Word Pairs in Comment by Salience]],0),FALSE)</f>
        <v>187</v>
      </c>
    </row>
    <row r="126" spans="1:3" ht="15">
      <c r="A126" s="81" t="s">
        <v>3414</v>
      </c>
      <c r="B126" s="83" t="s">
        <v>410</v>
      </c>
      <c r="C126" s="80">
        <f>VLOOKUP(GroupVertices[[#This Row],[Vertex]],Vertices[],MATCH("ID",Vertices[[#Headers],[Vertex]:[Top Word Pairs in Comment by Salience]],0),FALSE)</f>
        <v>186</v>
      </c>
    </row>
    <row r="127" spans="1:3" ht="15">
      <c r="A127" s="81" t="s">
        <v>3414</v>
      </c>
      <c r="B127" s="83" t="s">
        <v>409</v>
      </c>
      <c r="C127" s="80">
        <f>VLOOKUP(GroupVertices[[#This Row],[Vertex]],Vertices[],MATCH("ID",Vertices[[#Headers],[Vertex]:[Top Word Pairs in Comment by Salience]],0),FALSE)</f>
        <v>185</v>
      </c>
    </row>
    <row r="128" spans="1:3" ht="15">
      <c r="A128" s="81" t="s">
        <v>3414</v>
      </c>
      <c r="B128" s="83" t="s">
        <v>408</v>
      </c>
      <c r="C128" s="80">
        <f>VLOOKUP(GroupVertices[[#This Row],[Vertex]],Vertices[],MATCH("ID",Vertices[[#Headers],[Vertex]:[Top Word Pairs in Comment by Salience]],0),FALSE)</f>
        <v>184</v>
      </c>
    </row>
    <row r="129" spans="1:3" ht="15">
      <c r="A129" s="81" t="s">
        <v>3414</v>
      </c>
      <c r="B129" s="83" t="s">
        <v>407</v>
      </c>
      <c r="C129" s="80">
        <f>VLOOKUP(GroupVertices[[#This Row],[Vertex]],Vertices[],MATCH("ID",Vertices[[#Headers],[Vertex]:[Top Word Pairs in Comment by Salience]],0),FALSE)</f>
        <v>183</v>
      </c>
    </row>
    <row r="130" spans="1:3" ht="15">
      <c r="A130" s="81" t="s">
        <v>3414</v>
      </c>
      <c r="B130" s="83" t="s">
        <v>406</v>
      </c>
      <c r="C130" s="80">
        <f>VLOOKUP(GroupVertices[[#This Row],[Vertex]],Vertices[],MATCH("ID",Vertices[[#Headers],[Vertex]:[Top Word Pairs in Comment by Salience]],0),FALSE)</f>
        <v>182</v>
      </c>
    </row>
    <row r="131" spans="1:3" ht="15">
      <c r="A131" s="81" t="s">
        <v>3414</v>
      </c>
      <c r="B131" s="83" t="s">
        <v>405</v>
      </c>
      <c r="C131" s="80">
        <f>VLOOKUP(GroupVertices[[#This Row],[Vertex]],Vertices[],MATCH("ID",Vertices[[#Headers],[Vertex]:[Top Word Pairs in Comment by Salience]],0),FALSE)</f>
        <v>181</v>
      </c>
    </row>
    <row r="132" spans="1:3" ht="15">
      <c r="A132" s="81" t="s">
        <v>3414</v>
      </c>
      <c r="B132" s="83" t="s">
        <v>404</v>
      </c>
      <c r="C132" s="80">
        <f>VLOOKUP(GroupVertices[[#This Row],[Vertex]],Vertices[],MATCH("ID",Vertices[[#Headers],[Vertex]:[Top Word Pairs in Comment by Salience]],0),FALSE)</f>
        <v>180</v>
      </c>
    </row>
    <row r="133" spans="1:3" ht="15">
      <c r="A133" s="81" t="s">
        <v>3414</v>
      </c>
      <c r="B133" s="83" t="s">
        <v>403</v>
      </c>
      <c r="C133" s="80">
        <f>VLOOKUP(GroupVertices[[#This Row],[Vertex]],Vertices[],MATCH("ID",Vertices[[#Headers],[Vertex]:[Top Word Pairs in Comment by Salience]],0),FALSE)</f>
        <v>179</v>
      </c>
    </row>
    <row r="134" spans="1:3" ht="15">
      <c r="A134" s="81" t="s">
        <v>3414</v>
      </c>
      <c r="B134" s="83" t="s">
        <v>402</v>
      </c>
      <c r="C134" s="80">
        <f>VLOOKUP(GroupVertices[[#This Row],[Vertex]],Vertices[],MATCH("ID",Vertices[[#Headers],[Vertex]:[Top Word Pairs in Comment by Salience]],0),FALSE)</f>
        <v>178</v>
      </c>
    </row>
    <row r="135" spans="1:3" ht="15">
      <c r="A135" s="81" t="s">
        <v>3414</v>
      </c>
      <c r="B135" s="83" t="s">
        <v>401</v>
      </c>
      <c r="C135" s="80">
        <f>VLOOKUP(GroupVertices[[#This Row],[Vertex]],Vertices[],MATCH("ID",Vertices[[#Headers],[Vertex]:[Top Word Pairs in Comment by Salience]],0),FALSE)</f>
        <v>177</v>
      </c>
    </row>
    <row r="136" spans="1:3" ht="15">
      <c r="A136" s="81" t="s">
        <v>3414</v>
      </c>
      <c r="B136" s="83" t="s">
        <v>400</v>
      </c>
      <c r="C136" s="80">
        <f>VLOOKUP(GroupVertices[[#This Row],[Vertex]],Vertices[],MATCH("ID",Vertices[[#Headers],[Vertex]:[Top Word Pairs in Comment by Salience]],0),FALSE)</f>
        <v>176</v>
      </c>
    </row>
    <row r="137" spans="1:3" ht="15">
      <c r="A137" s="81" t="s">
        <v>3414</v>
      </c>
      <c r="B137" s="83" t="s">
        <v>399</v>
      </c>
      <c r="C137" s="80">
        <f>VLOOKUP(GroupVertices[[#This Row],[Vertex]],Vertices[],MATCH("ID",Vertices[[#Headers],[Vertex]:[Top Word Pairs in Comment by Salience]],0),FALSE)</f>
        <v>175</v>
      </c>
    </row>
    <row r="138" spans="1:3" ht="15">
      <c r="A138" s="81" t="s">
        <v>3414</v>
      </c>
      <c r="B138" s="83" t="s">
        <v>398</v>
      </c>
      <c r="C138" s="80">
        <f>VLOOKUP(GroupVertices[[#This Row],[Vertex]],Vertices[],MATCH("ID",Vertices[[#Headers],[Vertex]:[Top Word Pairs in Comment by Salience]],0),FALSE)</f>
        <v>174</v>
      </c>
    </row>
    <row r="139" spans="1:3" ht="15">
      <c r="A139" s="81" t="s">
        <v>3414</v>
      </c>
      <c r="B139" s="83" t="s">
        <v>397</v>
      </c>
      <c r="C139" s="80">
        <f>VLOOKUP(GroupVertices[[#This Row],[Vertex]],Vertices[],MATCH("ID",Vertices[[#Headers],[Vertex]:[Top Word Pairs in Comment by Salience]],0),FALSE)</f>
        <v>173</v>
      </c>
    </row>
    <row r="140" spans="1:3" ht="15">
      <c r="A140" s="81" t="s">
        <v>3414</v>
      </c>
      <c r="B140" s="83" t="s">
        <v>396</v>
      </c>
      <c r="C140" s="80">
        <f>VLOOKUP(GroupVertices[[#This Row],[Vertex]],Vertices[],MATCH("ID",Vertices[[#Headers],[Vertex]:[Top Word Pairs in Comment by Salience]],0),FALSE)</f>
        <v>172</v>
      </c>
    </row>
    <row r="141" spans="1:3" ht="15">
      <c r="A141" s="81" t="s">
        <v>3414</v>
      </c>
      <c r="B141" s="83" t="s">
        <v>395</v>
      </c>
      <c r="C141" s="80">
        <f>VLOOKUP(GroupVertices[[#This Row],[Vertex]],Vertices[],MATCH("ID",Vertices[[#Headers],[Vertex]:[Top Word Pairs in Comment by Salience]],0),FALSE)</f>
        <v>171</v>
      </c>
    </row>
    <row r="142" spans="1:3" ht="15">
      <c r="A142" s="81" t="s">
        <v>3414</v>
      </c>
      <c r="B142" s="83" t="s">
        <v>394</v>
      </c>
      <c r="C142" s="80">
        <f>VLOOKUP(GroupVertices[[#This Row],[Vertex]],Vertices[],MATCH("ID",Vertices[[#Headers],[Vertex]:[Top Word Pairs in Comment by Salience]],0),FALSE)</f>
        <v>170</v>
      </c>
    </row>
    <row r="143" spans="1:3" ht="15">
      <c r="A143" s="81" t="s">
        <v>3414</v>
      </c>
      <c r="B143" s="83" t="s">
        <v>393</v>
      </c>
      <c r="C143" s="80">
        <f>VLOOKUP(GroupVertices[[#This Row],[Vertex]],Vertices[],MATCH("ID",Vertices[[#Headers],[Vertex]:[Top Word Pairs in Comment by Salience]],0),FALSE)</f>
        <v>169</v>
      </c>
    </row>
    <row r="144" spans="1:3" ht="15">
      <c r="A144" s="81" t="s">
        <v>3414</v>
      </c>
      <c r="B144" s="83" t="s">
        <v>392</v>
      </c>
      <c r="C144" s="80">
        <f>VLOOKUP(GroupVertices[[#This Row],[Vertex]],Vertices[],MATCH("ID",Vertices[[#Headers],[Vertex]:[Top Word Pairs in Comment by Salience]],0),FALSE)</f>
        <v>168</v>
      </c>
    </row>
    <row r="145" spans="1:3" ht="15">
      <c r="A145" s="81" t="s">
        <v>3414</v>
      </c>
      <c r="B145" s="83" t="s">
        <v>391</v>
      </c>
      <c r="C145" s="80">
        <f>VLOOKUP(GroupVertices[[#This Row],[Vertex]],Vertices[],MATCH("ID",Vertices[[#Headers],[Vertex]:[Top Word Pairs in Comment by Salience]],0),FALSE)</f>
        <v>167</v>
      </c>
    </row>
    <row r="146" spans="1:3" ht="15">
      <c r="A146" s="81" t="s">
        <v>3414</v>
      </c>
      <c r="B146" s="83" t="s">
        <v>390</v>
      </c>
      <c r="C146" s="80">
        <f>VLOOKUP(GroupVertices[[#This Row],[Vertex]],Vertices[],MATCH("ID",Vertices[[#Headers],[Vertex]:[Top Word Pairs in Comment by Salience]],0),FALSE)</f>
        <v>166</v>
      </c>
    </row>
    <row r="147" spans="1:3" ht="15">
      <c r="A147" s="81" t="s">
        <v>3414</v>
      </c>
      <c r="B147" s="83" t="s">
        <v>389</v>
      </c>
      <c r="C147" s="80">
        <f>VLOOKUP(GroupVertices[[#This Row],[Vertex]],Vertices[],MATCH("ID",Vertices[[#Headers],[Vertex]:[Top Word Pairs in Comment by Salience]],0),FALSE)</f>
        <v>165</v>
      </c>
    </row>
    <row r="148" spans="1:3" ht="15">
      <c r="A148" s="81" t="s">
        <v>3414</v>
      </c>
      <c r="B148" s="83" t="s">
        <v>388</v>
      </c>
      <c r="C148" s="80">
        <f>VLOOKUP(GroupVertices[[#This Row],[Vertex]],Vertices[],MATCH("ID",Vertices[[#Headers],[Vertex]:[Top Word Pairs in Comment by Salience]],0),FALSE)</f>
        <v>164</v>
      </c>
    </row>
    <row r="149" spans="1:3" ht="15">
      <c r="A149" s="81" t="s">
        <v>3414</v>
      </c>
      <c r="B149" s="83" t="s">
        <v>386</v>
      </c>
      <c r="C149" s="80">
        <f>VLOOKUP(GroupVertices[[#This Row],[Vertex]],Vertices[],MATCH("ID",Vertices[[#Headers],[Vertex]:[Top Word Pairs in Comment by Salience]],0),FALSE)</f>
        <v>163</v>
      </c>
    </row>
    <row r="150" spans="1:3" ht="15">
      <c r="A150" s="81" t="s">
        <v>3414</v>
      </c>
      <c r="B150" s="83" t="s">
        <v>387</v>
      </c>
      <c r="C150" s="80">
        <f>VLOOKUP(GroupVertices[[#This Row],[Vertex]],Vertices[],MATCH("ID",Vertices[[#Headers],[Vertex]:[Top Word Pairs in Comment by Salience]],0),FALSE)</f>
        <v>162</v>
      </c>
    </row>
    <row r="151" spans="1:3" ht="15">
      <c r="A151" s="81" t="s">
        <v>3414</v>
      </c>
      <c r="B151" s="83" t="s">
        <v>385</v>
      </c>
      <c r="C151" s="80">
        <f>VLOOKUP(GroupVertices[[#This Row],[Vertex]],Vertices[],MATCH("ID",Vertices[[#Headers],[Vertex]:[Top Word Pairs in Comment by Salience]],0),FALSE)</f>
        <v>161</v>
      </c>
    </row>
    <row r="152" spans="1:3" ht="15">
      <c r="A152" s="81" t="s">
        <v>3414</v>
      </c>
      <c r="B152" s="83" t="s">
        <v>309</v>
      </c>
      <c r="C152" s="80">
        <f>VLOOKUP(GroupVertices[[#This Row],[Vertex]],Vertices[],MATCH("ID",Vertices[[#Headers],[Vertex]:[Top Word Pairs in Comment by Salience]],0),FALSE)</f>
        <v>83</v>
      </c>
    </row>
    <row r="153" spans="1:3" ht="15">
      <c r="A153" s="81" t="s">
        <v>3414</v>
      </c>
      <c r="B153" s="83" t="s">
        <v>308</v>
      </c>
      <c r="C153" s="80">
        <f>VLOOKUP(GroupVertices[[#This Row],[Vertex]],Vertices[],MATCH("ID",Vertices[[#Headers],[Vertex]:[Top Word Pairs in Comment by Salience]],0),FALSE)</f>
        <v>82</v>
      </c>
    </row>
    <row r="154" spans="1:3" ht="15">
      <c r="A154" s="81" t="s">
        <v>3414</v>
      </c>
      <c r="B154" s="83" t="s">
        <v>307</v>
      </c>
      <c r="C154" s="80">
        <f>VLOOKUP(GroupVertices[[#This Row],[Vertex]],Vertices[],MATCH("ID",Vertices[[#Headers],[Vertex]:[Top Word Pairs in Comment by Salience]],0),FALSE)</f>
        <v>81</v>
      </c>
    </row>
    <row r="155" spans="1:3" ht="15">
      <c r="A155" s="81" t="s">
        <v>3414</v>
      </c>
      <c r="B155" s="83" t="s">
        <v>306</v>
      </c>
      <c r="C155" s="80">
        <f>VLOOKUP(GroupVertices[[#This Row],[Vertex]],Vertices[],MATCH("ID",Vertices[[#Headers],[Vertex]:[Top Word Pairs in Comment by Salience]],0),FALSE)</f>
        <v>80</v>
      </c>
    </row>
    <row r="156" spans="1:3" ht="15">
      <c r="A156" s="81" t="s">
        <v>3414</v>
      </c>
      <c r="B156" s="83" t="s">
        <v>305</v>
      </c>
      <c r="C156" s="80">
        <f>VLOOKUP(GroupVertices[[#This Row],[Vertex]],Vertices[],MATCH("ID",Vertices[[#Headers],[Vertex]:[Top Word Pairs in Comment by Salience]],0),FALSE)</f>
        <v>79</v>
      </c>
    </row>
    <row r="157" spans="1:3" ht="15">
      <c r="A157" s="81" t="s">
        <v>3414</v>
      </c>
      <c r="B157" s="83" t="s">
        <v>304</v>
      </c>
      <c r="C157" s="80">
        <f>VLOOKUP(GroupVertices[[#This Row],[Vertex]],Vertices[],MATCH("ID",Vertices[[#Headers],[Vertex]:[Top Word Pairs in Comment by Salience]],0),FALSE)</f>
        <v>78</v>
      </c>
    </row>
    <row r="158" spans="1:3" ht="15">
      <c r="A158" s="81" t="s">
        <v>3414</v>
      </c>
      <c r="B158" s="83" t="s">
        <v>303</v>
      </c>
      <c r="C158" s="80">
        <f>VLOOKUP(GroupVertices[[#This Row],[Vertex]],Vertices[],MATCH("ID",Vertices[[#Headers],[Vertex]:[Top Word Pairs in Comment by Salience]],0),FALSE)</f>
        <v>77</v>
      </c>
    </row>
    <row r="159" spans="1:3" ht="15">
      <c r="A159" s="81" t="s">
        <v>3414</v>
      </c>
      <c r="B159" s="83" t="s">
        <v>302</v>
      </c>
      <c r="C159" s="80">
        <f>VLOOKUP(GroupVertices[[#This Row],[Vertex]],Vertices[],MATCH("ID",Vertices[[#Headers],[Vertex]:[Top Word Pairs in Comment by Salience]],0),FALSE)</f>
        <v>76</v>
      </c>
    </row>
    <row r="160" spans="1:3" ht="15">
      <c r="A160" s="81" t="s">
        <v>3414</v>
      </c>
      <c r="B160" s="83" t="s">
        <v>301</v>
      </c>
      <c r="C160" s="80">
        <f>VLOOKUP(GroupVertices[[#This Row],[Vertex]],Vertices[],MATCH("ID",Vertices[[#Headers],[Vertex]:[Top Word Pairs in Comment by Salience]],0),FALSE)</f>
        <v>75</v>
      </c>
    </row>
    <row r="161" spans="1:3" ht="15">
      <c r="A161" s="81" t="s">
        <v>3414</v>
      </c>
      <c r="B161" s="83" t="s">
        <v>300</v>
      </c>
      <c r="C161" s="80">
        <f>VLOOKUP(GroupVertices[[#This Row],[Vertex]],Vertices[],MATCH("ID",Vertices[[#Headers],[Vertex]:[Top Word Pairs in Comment by Salience]],0),FALSE)</f>
        <v>74</v>
      </c>
    </row>
    <row r="162" spans="1:3" ht="15">
      <c r="A162" s="81" t="s">
        <v>3414</v>
      </c>
      <c r="B162" s="83" t="s">
        <v>299</v>
      </c>
      <c r="C162" s="80">
        <f>VLOOKUP(GroupVertices[[#This Row],[Vertex]],Vertices[],MATCH("ID",Vertices[[#Headers],[Vertex]:[Top Word Pairs in Comment by Salience]],0),FALSE)</f>
        <v>73</v>
      </c>
    </row>
    <row r="163" spans="1:3" ht="15">
      <c r="A163" s="81" t="s">
        <v>3414</v>
      </c>
      <c r="B163" s="83" t="s">
        <v>298</v>
      </c>
      <c r="C163" s="80">
        <f>VLOOKUP(GroupVertices[[#This Row],[Vertex]],Vertices[],MATCH("ID",Vertices[[#Headers],[Vertex]:[Top Word Pairs in Comment by Salience]],0),FALSE)</f>
        <v>72</v>
      </c>
    </row>
    <row r="164" spans="1:3" ht="15">
      <c r="A164" s="81" t="s">
        <v>3414</v>
      </c>
      <c r="B164" s="83" t="s">
        <v>297</v>
      </c>
      <c r="C164" s="80">
        <f>VLOOKUP(GroupVertices[[#This Row],[Vertex]],Vertices[],MATCH("ID",Vertices[[#Headers],[Vertex]:[Top Word Pairs in Comment by Salience]],0),FALSE)</f>
        <v>71</v>
      </c>
    </row>
    <row r="165" spans="1:3" ht="15">
      <c r="A165" s="81" t="s">
        <v>3414</v>
      </c>
      <c r="B165" s="83" t="s">
        <v>296</v>
      </c>
      <c r="C165" s="80">
        <f>VLOOKUP(GroupVertices[[#This Row],[Vertex]],Vertices[],MATCH("ID",Vertices[[#Headers],[Vertex]:[Top Word Pairs in Comment by Salience]],0),FALSE)</f>
        <v>70</v>
      </c>
    </row>
    <row r="166" spans="1:3" ht="15">
      <c r="A166" s="81" t="s">
        <v>3414</v>
      </c>
      <c r="B166" s="83" t="s">
        <v>295</v>
      </c>
      <c r="C166" s="80">
        <f>VLOOKUP(GroupVertices[[#This Row],[Vertex]],Vertices[],MATCH("ID",Vertices[[#Headers],[Vertex]:[Top Word Pairs in Comment by Salience]],0),FALSE)</f>
        <v>69</v>
      </c>
    </row>
    <row r="167" spans="1:3" ht="15">
      <c r="A167" s="81" t="s">
        <v>3414</v>
      </c>
      <c r="B167" s="83" t="s">
        <v>294</v>
      </c>
      <c r="C167" s="80">
        <f>VLOOKUP(GroupVertices[[#This Row],[Vertex]],Vertices[],MATCH("ID",Vertices[[#Headers],[Vertex]:[Top Word Pairs in Comment by Salience]],0),FALSE)</f>
        <v>68</v>
      </c>
    </row>
    <row r="168" spans="1:3" ht="15">
      <c r="A168" s="81" t="s">
        <v>3414</v>
      </c>
      <c r="B168" s="83" t="s">
        <v>293</v>
      </c>
      <c r="C168" s="80">
        <f>VLOOKUP(GroupVertices[[#This Row],[Vertex]],Vertices[],MATCH("ID",Vertices[[#Headers],[Vertex]:[Top Word Pairs in Comment by Salience]],0),FALSE)</f>
        <v>67</v>
      </c>
    </row>
    <row r="169" spans="1:3" ht="15">
      <c r="A169" s="81" t="s">
        <v>3414</v>
      </c>
      <c r="B169" s="83" t="s">
        <v>292</v>
      </c>
      <c r="C169" s="80">
        <f>VLOOKUP(GroupVertices[[#This Row],[Vertex]],Vertices[],MATCH("ID",Vertices[[#Headers],[Vertex]:[Top Word Pairs in Comment by Salience]],0),FALSE)</f>
        <v>66</v>
      </c>
    </row>
    <row r="170" spans="1:3" ht="15">
      <c r="A170" s="81" t="s">
        <v>3414</v>
      </c>
      <c r="B170" s="83" t="s">
        <v>291</v>
      </c>
      <c r="C170" s="80">
        <f>VLOOKUP(GroupVertices[[#This Row],[Vertex]],Vertices[],MATCH("ID",Vertices[[#Headers],[Vertex]:[Top Word Pairs in Comment by Salience]],0),FALSE)</f>
        <v>65</v>
      </c>
    </row>
    <row r="171" spans="1:3" ht="15">
      <c r="A171" s="81" t="s">
        <v>3414</v>
      </c>
      <c r="B171" s="83" t="s">
        <v>290</v>
      </c>
      <c r="C171" s="80">
        <f>VLOOKUP(GroupVertices[[#This Row],[Vertex]],Vertices[],MATCH("ID",Vertices[[#Headers],[Vertex]:[Top Word Pairs in Comment by Salience]],0),FALSE)</f>
        <v>64</v>
      </c>
    </row>
    <row r="172" spans="1:3" ht="15">
      <c r="A172" s="81" t="s">
        <v>3414</v>
      </c>
      <c r="B172" s="83" t="s">
        <v>289</v>
      </c>
      <c r="C172" s="80">
        <f>VLOOKUP(GroupVertices[[#This Row],[Vertex]],Vertices[],MATCH("ID",Vertices[[#Headers],[Vertex]:[Top Word Pairs in Comment by Salience]],0),FALSE)</f>
        <v>63</v>
      </c>
    </row>
    <row r="173" spans="1:3" ht="15">
      <c r="A173" s="81" t="s">
        <v>3414</v>
      </c>
      <c r="B173" s="83" t="s">
        <v>288</v>
      </c>
      <c r="C173" s="80">
        <f>VLOOKUP(GroupVertices[[#This Row],[Vertex]],Vertices[],MATCH("ID",Vertices[[#Headers],[Vertex]:[Top Word Pairs in Comment by Salience]],0),FALSE)</f>
        <v>62</v>
      </c>
    </row>
    <row r="174" spans="1:3" ht="15">
      <c r="A174" s="81" t="s">
        <v>3414</v>
      </c>
      <c r="B174" s="83" t="s">
        <v>286</v>
      </c>
      <c r="C174" s="80">
        <f>VLOOKUP(GroupVertices[[#This Row],[Vertex]],Vertices[],MATCH("ID",Vertices[[#Headers],[Vertex]:[Top Word Pairs in Comment by Salience]],0),FALSE)</f>
        <v>61</v>
      </c>
    </row>
    <row r="175" spans="1:3" ht="15">
      <c r="A175" s="81" t="s">
        <v>3414</v>
      </c>
      <c r="B175" s="83" t="s">
        <v>285</v>
      </c>
      <c r="C175" s="80">
        <f>VLOOKUP(GroupVertices[[#This Row],[Vertex]],Vertices[],MATCH("ID",Vertices[[#Headers],[Vertex]:[Top Word Pairs in Comment by Salience]],0),FALSE)</f>
        <v>60</v>
      </c>
    </row>
    <row r="176" spans="1:3" ht="15">
      <c r="A176" s="81" t="s">
        <v>3414</v>
      </c>
      <c r="B176" s="83" t="s">
        <v>284</v>
      </c>
      <c r="C176" s="80">
        <f>VLOOKUP(GroupVertices[[#This Row],[Vertex]],Vertices[],MATCH("ID",Vertices[[#Headers],[Vertex]:[Top Word Pairs in Comment by Salience]],0),FALSE)</f>
        <v>59</v>
      </c>
    </row>
    <row r="177" spans="1:3" ht="15">
      <c r="A177" s="81" t="s">
        <v>3414</v>
      </c>
      <c r="B177" s="83" t="s">
        <v>283</v>
      </c>
      <c r="C177" s="80">
        <f>VLOOKUP(GroupVertices[[#This Row],[Vertex]],Vertices[],MATCH("ID",Vertices[[#Headers],[Vertex]:[Top Word Pairs in Comment by Salience]],0),FALSE)</f>
        <v>58</v>
      </c>
    </row>
    <row r="178" spans="1:3" ht="15">
      <c r="A178" s="81" t="s">
        <v>3414</v>
      </c>
      <c r="B178" s="83" t="s">
        <v>282</v>
      </c>
      <c r="C178" s="80">
        <f>VLOOKUP(GroupVertices[[#This Row],[Vertex]],Vertices[],MATCH("ID",Vertices[[#Headers],[Vertex]:[Top Word Pairs in Comment by Salience]],0),FALSE)</f>
        <v>57</v>
      </c>
    </row>
    <row r="179" spans="1:3" ht="15">
      <c r="A179" s="81" t="s">
        <v>3414</v>
      </c>
      <c r="B179" s="83" t="s">
        <v>281</v>
      </c>
      <c r="C179" s="80">
        <f>VLOOKUP(GroupVertices[[#This Row],[Vertex]],Vertices[],MATCH("ID",Vertices[[#Headers],[Vertex]:[Top Word Pairs in Comment by Salience]],0),FALSE)</f>
        <v>56</v>
      </c>
    </row>
    <row r="180" spans="1:3" ht="15">
      <c r="A180" s="81" t="s">
        <v>3414</v>
      </c>
      <c r="B180" s="83" t="s">
        <v>280</v>
      </c>
      <c r="C180" s="80">
        <f>VLOOKUP(GroupVertices[[#This Row],[Vertex]],Vertices[],MATCH("ID",Vertices[[#Headers],[Vertex]:[Top Word Pairs in Comment by Salience]],0),FALSE)</f>
        <v>55</v>
      </c>
    </row>
    <row r="181" spans="1:3" ht="15">
      <c r="A181" s="81" t="s">
        <v>3414</v>
      </c>
      <c r="B181" s="83" t="s">
        <v>279</v>
      </c>
      <c r="C181" s="80">
        <f>VLOOKUP(GroupVertices[[#This Row],[Vertex]],Vertices[],MATCH("ID",Vertices[[#Headers],[Vertex]:[Top Word Pairs in Comment by Salience]],0),FALSE)</f>
        <v>54</v>
      </c>
    </row>
    <row r="182" spans="1:3" ht="15">
      <c r="A182" s="81" t="s">
        <v>3414</v>
      </c>
      <c r="B182" s="83" t="s">
        <v>278</v>
      </c>
      <c r="C182" s="80">
        <f>VLOOKUP(GroupVertices[[#This Row],[Vertex]],Vertices[],MATCH("ID",Vertices[[#Headers],[Vertex]:[Top Word Pairs in Comment by Salience]],0),FALSE)</f>
        <v>53</v>
      </c>
    </row>
    <row r="183" spans="1:3" ht="15">
      <c r="A183" s="81" t="s">
        <v>3414</v>
      </c>
      <c r="B183" s="83" t="s">
        <v>277</v>
      </c>
      <c r="C183" s="80">
        <f>VLOOKUP(GroupVertices[[#This Row],[Vertex]],Vertices[],MATCH("ID",Vertices[[#Headers],[Vertex]:[Top Word Pairs in Comment by Salience]],0),FALSE)</f>
        <v>52</v>
      </c>
    </row>
    <row r="184" spans="1:3" ht="15">
      <c r="A184" s="81" t="s">
        <v>3414</v>
      </c>
      <c r="B184" s="83" t="s">
        <v>276</v>
      </c>
      <c r="C184" s="80">
        <f>VLOOKUP(GroupVertices[[#This Row],[Vertex]],Vertices[],MATCH("ID",Vertices[[#Headers],[Vertex]:[Top Word Pairs in Comment by Salience]],0),FALSE)</f>
        <v>51</v>
      </c>
    </row>
    <row r="185" spans="1:3" ht="15">
      <c r="A185" s="81" t="s">
        <v>3414</v>
      </c>
      <c r="B185" s="83" t="s">
        <v>275</v>
      </c>
      <c r="C185" s="80">
        <f>VLOOKUP(GroupVertices[[#This Row],[Vertex]],Vertices[],MATCH("ID",Vertices[[#Headers],[Vertex]:[Top Word Pairs in Comment by Salience]],0),FALSE)</f>
        <v>50</v>
      </c>
    </row>
    <row r="186" spans="1:3" ht="15">
      <c r="A186" s="81" t="s">
        <v>3414</v>
      </c>
      <c r="B186" s="83" t="s">
        <v>274</v>
      </c>
      <c r="C186" s="80">
        <f>VLOOKUP(GroupVertices[[#This Row],[Vertex]],Vertices[],MATCH("ID",Vertices[[#Headers],[Vertex]:[Top Word Pairs in Comment by Salience]],0),FALSE)</f>
        <v>49</v>
      </c>
    </row>
    <row r="187" spans="1:3" ht="15">
      <c r="A187" s="81" t="s">
        <v>3414</v>
      </c>
      <c r="B187" s="83" t="s">
        <v>273</v>
      </c>
      <c r="C187" s="80">
        <f>VLOOKUP(GroupVertices[[#This Row],[Vertex]],Vertices[],MATCH("ID",Vertices[[#Headers],[Vertex]:[Top Word Pairs in Comment by Salience]],0),FALSE)</f>
        <v>48</v>
      </c>
    </row>
    <row r="188" spans="1:3" ht="15">
      <c r="A188" s="81" t="s">
        <v>3414</v>
      </c>
      <c r="B188" s="83" t="s">
        <v>272</v>
      </c>
      <c r="C188" s="80">
        <f>VLOOKUP(GroupVertices[[#This Row],[Vertex]],Vertices[],MATCH("ID",Vertices[[#Headers],[Vertex]:[Top Word Pairs in Comment by Salience]],0),FALSE)</f>
        <v>47</v>
      </c>
    </row>
    <row r="189" spans="1:3" ht="15">
      <c r="A189" s="81" t="s">
        <v>3414</v>
      </c>
      <c r="B189" s="83" t="s">
        <v>271</v>
      </c>
      <c r="C189" s="80">
        <f>VLOOKUP(GroupVertices[[#This Row],[Vertex]],Vertices[],MATCH("ID",Vertices[[#Headers],[Vertex]:[Top Word Pairs in Comment by Salience]],0),FALSE)</f>
        <v>46</v>
      </c>
    </row>
    <row r="190" spans="1:3" ht="15">
      <c r="A190" s="81" t="s">
        <v>3414</v>
      </c>
      <c r="B190" s="83" t="s">
        <v>270</v>
      </c>
      <c r="C190" s="80">
        <f>VLOOKUP(GroupVertices[[#This Row],[Vertex]],Vertices[],MATCH("ID",Vertices[[#Headers],[Vertex]:[Top Word Pairs in Comment by Salience]],0),FALSE)</f>
        <v>45</v>
      </c>
    </row>
    <row r="191" spans="1:3" ht="15">
      <c r="A191" s="81" t="s">
        <v>3414</v>
      </c>
      <c r="B191" s="83" t="s">
        <v>269</v>
      </c>
      <c r="C191" s="80">
        <f>VLOOKUP(GroupVertices[[#This Row],[Vertex]],Vertices[],MATCH("ID",Vertices[[#Headers],[Vertex]:[Top Word Pairs in Comment by Salience]],0),FALSE)</f>
        <v>44</v>
      </c>
    </row>
    <row r="192" spans="1:3" ht="15">
      <c r="A192" s="81" t="s">
        <v>3414</v>
      </c>
      <c r="B192" s="83" t="s">
        <v>268</v>
      </c>
      <c r="C192" s="80">
        <f>VLOOKUP(GroupVertices[[#This Row],[Vertex]],Vertices[],MATCH("ID",Vertices[[#Headers],[Vertex]:[Top Word Pairs in Comment by Salience]],0),FALSE)</f>
        <v>43</v>
      </c>
    </row>
    <row r="193" spans="1:3" ht="15">
      <c r="A193" s="81" t="s">
        <v>3414</v>
      </c>
      <c r="B193" s="83" t="s">
        <v>267</v>
      </c>
      <c r="C193" s="80">
        <f>VLOOKUP(GroupVertices[[#This Row],[Vertex]],Vertices[],MATCH("ID",Vertices[[#Headers],[Vertex]:[Top Word Pairs in Comment by Salience]],0),FALSE)</f>
        <v>42</v>
      </c>
    </row>
    <row r="194" spans="1:3" ht="15">
      <c r="A194" s="81" t="s">
        <v>3414</v>
      </c>
      <c r="B194" s="83" t="s">
        <v>266</v>
      </c>
      <c r="C194" s="80">
        <f>VLOOKUP(GroupVertices[[#This Row],[Vertex]],Vertices[],MATCH("ID",Vertices[[#Headers],[Vertex]:[Top Word Pairs in Comment by Salience]],0),FALSE)</f>
        <v>40</v>
      </c>
    </row>
    <row r="195" spans="1:3" ht="15">
      <c r="A195" s="81" t="s">
        <v>3415</v>
      </c>
      <c r="B195" s="83" t="s">
        <v>369</v>
      </c>
      <c r="C195" s="80">
        <f>VLOOKUP(GroupVertices[[#This Row],[Vertex]],Vertices[],MATCH("ID",Vertices[[#Headers],[Vertex]:[Top Word Pairs in Comment by Salience]],0),FALSE)</f>
        <v>144</v>
      </c>
    </row>
    <row r="196" spans="1:3" ht="15">
      <c r="A196" s="81" t="s">
        <v>3415</v>
      </c>
      <c r="B196" s="83" t="s">
        <v>750</v>
      </c>
      <c r="C196" s="80">
        <f>VLOOKUP(GroupVertices[[#This Row],[Vertex]],Vertices[],MATCH("ID",Vertices[[#Headers],[Vertex]:[Top Word Pairs in Comment by Salience]],0),FALSE)</f>
        <v>85</v>
      </c>
    </row>
    <row r="197" spans="1:3" ht="15">
      <c r="A197" s="81" t="s">
        <v>3415</v>
      </c>
      <c r="B197" s="83" t="s">
        <v>368</v>
      </c>
      <c r="C197" s="80">
        <f>VLOOKUP(GroupVertices[[#This Row],[Vertex]],Vertices[],MATCH("ID",Vertices[[#Headers],[Vertex]:[Top Word Pairs in Comment by Salience]],0),FALSE)</f>
        <v>143</v>
      </c>
    </row>
    <row r="198" spans="1:3" ht="15">
      <c r="A198" s="81" t="s">
        <v>3415</v>
      </c>
      <c r="B198" s="83" t="s">
        <v>367</v>
      </c>
      <c r="C198" s="80">
        <f>VLOOKUP(GroupVertices[[#This Row],[Vertex]],Vertices[],MATCH("ID",Vertices[[#Headers],[Vertex]:[Top Word Pairs in Comment by Salience]],0),FALSE)</f>
        <v>142</v>
      </c>
    </row>
    <row r="199" spans="1:3" ht="15">
      <c r="A199" s="81" t="s">
        <v>3415</v>
      </c>
      <c r="B199" s="83" t="s">
        <v>366</v>
      </c>
      <c r="C199" s="80">
        <f>VLOOKUP(GroupVertices[[#This Row],[Vertex]],Vertices[],MATCH("ID",Vertices[[#Headers],[Vertex]:[Top Word Pairs in Comment by Salience]],0),FALSE)</f>
        <v>141</v>
      </c>
    </row>
    <row r="200" spans="1:3" ht="15">
      <c r="A200" s="81" t="s">
        <v>3415</v>
      </c>
      <c r="B200" s="83" t="s">
        <v>364</v>
      </c>
      <c r="C200" s="80">
        <f>VLOOKUP(GroupVertices[[#This Row],[Vertex]],Vertices[],MATCH("ID",Vertices[[#Headers],[Vertex]:[Top Word Pairs in Comment by Salience]],0),FALSE)</f>
        <v>140</v>
      </c>
    </row>
    <row r="201" spans="1:3" ht="15">
      <c r="A201" s="81" t="s">
        <v>3415</v>
      </c>
      <c r="B201" s="83" t="s">
        <v>365</v>
      </c>
      <c r="C201" s="80">
        <f>VLOOKUP(GroupVertices[[#This Row],[Vertex]],Vertices[],MATCH("ID",Vertices[[#Headers],[Vertex]:[Top Word Pairs in Comment by Salience]],0),FALSE)</f>
        <v>137</v>
      </c>
    </row>
    <row r="202" spans="1:3" ht="15">
      <c r="A202" s="81" t="s">
        <v>3415</v>
      </c>
      <c r="B202" s="83" t="s">
        <v>363</v>
      </c>
      <c r="C202" s="80">
        <f>VLOOKUP(GroupVertices[[#This Row],[Vertex]],Vertices[],MATCH("ID",Vertices[[#Headers],[Vertex]:[Top Word Pairs in Comment by Salience]],0),FALSE)</f>
        <v>139</v>
      </c>
    </row>
    <row r="203" spans="1:3" ht="15">
      <c r="A203" s="81" t="s">
        <v>3415</v>
      </c>
      <c r="B203" s="83" t="s">
        <v>362</v>
      </c>
      <c r="C203" s="80">
        <f>VLOOKUP(GroupVertices[[#This Row],[Vertex]],Vertices[],MATCH("ID",Vertices[[#Headers],[Vertex]:[Top Word Pairs in Comment by Salience]],0),FALSE)</f>
        <v>138</v>
      </c>
    </row>
    <row r="204" spans="1:3" ht="15">
      <c r="A204" s="81" t="s">
        <v>3415</v>
      </c>
      <c r="B204" s="83" t="s">
        <v>361</v>
      </c>
      <c r="C204" s="80">
        <f>VLOOKUP(GroupVertices[[#This Row],[Vertex]],Vertices[],MATCH("ID",Vertices[[#Headers],[Vertex]:[Top Word Pairs in Comment by Salience]],0),FALSE)</f>
        <v>136</v>
      </c>
    </row>
    <row r="205" spans="1:3" ht="15">
      <c r="A205" s="81" t="s">
        <v>3415</v>
      </c>
      <c r="B205" s="83" t="s">
        <v>360</v>
      </c>
      <c r="C205" s="80">
        <f>VLOOKUP(GroupVertices[[#This Row],[Vertex]],Vertices[],MATCH("ID",Vertices[[#Headers],[Vertex]:[Top Word Pairs in Comment by Salience]],0),FALSE)</f>
        <v>135</v>
      </c>
    </row>
    <row r="206" spans="1:3" ht="15">
      <c r="A206" s="81" t="s">
        <v>3415</v>
      </c>
      <c r="B206" s="83" t="s">
        <v>359</v>
      </c>
      <c r="C206" s="80">
        <f>VLOOKUP(GroupVertices[[#This Row],[Vertex]],Vertices[],MATCH("ID",Vertices[[#Headers],[Vertex]:[Top Word Pairs in Comment by Salience]],0),FALSE)</f>
        <v>134</v>
      </c>
    </row>
    <row r="207" spans="1:3" ht="15">
      <c r="A207" s="81" t="s">
        <v>3415</v>
      </c>
      <c r="B207" s="83" t="s">
        <v>358</v>
      </c>
      <c r="C207" s="80">
        <f>VLOOKUP(GroupVertices[[#This Row],[Vertex]],Vertices[],MATCH("ID",Vertices[[#Headers],[Vertex]:[Top Word Pairs in Comment by Salience]],0),FALSE)</f>
        <v>133</v>
      </c>
    </row>
    <row r="208" spans="1:3" ht="15">
      <c r="A208" s="81" t="s">
        <v>3415</v>
      </c>
      <c r="B208" s="83" t="s">
        <v>357</v>
      </c>
      <c r="C208" s="80">
        <f>VLOOKUP(GroupVertices[[#This Row],[Vertex]],Vertices[],MATCH("ID",Vertices[[#Headers],[Vertex]:[Top Word Pairs in Comment by Salience]],0),FALSE)</f>
        <v>132</v>
      </c>
    </row>
    <row r="209" spans="1:3" ht="15">
      <c r="A209" s="81" t="s">
        <v>3415</v>
      </c>
      <c r="B209" s="83" t="s">
        <v>356</v>
      </c>
      <c r="C209" s="80">
        <f>VLOOKUP(GroupVertices[[#This Row],[Vertex]],Vertices[],MATCH("ID",Vertices[[#Headers],[Vertex]:[Top Word Pairs in Comment by Salience]],0),FALSE)</f>
        <v>131</v>
      </c>
    </row>
    <row r="210" spans="1:3" ht="15">
      <c r="A210" s="81" t="s">
        <v>3415</v>
      </c>
      <c r="B210" s="83" t="s">
        <v>355</v>
      </c>
      <c r="C210" s="80">
        <f>VLOOKUP(GroupVertices[[#This Row],[Vertex]],Vertices[],MATCH("ID",Vertices[[#Headers],[Vertex]:[Top Word Pairs in Comment by Salience]],0),FALSE)</f>
        <v>130</v>
      </c>
    </row>
    <row r="211" spans="1:3" ht="15">
      <c r="A211" s="81" t="s">
        <v>3415</v>
      </c>
      <c r="B211" s="83" t="s">
        <v>354</v>
      </c>
      <c r="C211" s="80">
        <f>VLOOKUP(GroupVertices[[#This Row],[Vertex]],Vertices[],MATCH("ID",Vertices[[#Headers],[Vertex]:[Top Word Pairs in Comment by Salience]],0),FALSE)</f>
        <v>129</v>
      </c>
    </row>
    <row r="212" spans="1:3" ht="15">
      <c r="A212" s="81" t="s">
        <v>3415</v>
      </c>
      <c r="B212" s="83" t="s">
        <v>353</v>
      </c>
      <c r="C212" s="80">
        <f>VLOOKUP(GroupVertices[[#This Row],[Vertex]],Vertices[],MATCH("ID",Vertices[[#Headers],[Vertex]:[Top Word Pairs in Comment by Salience]],0),FALSE)</f>
        <v>128</v>
      </c>
    </row>
    <row r="213" spans="1:3" ht="15">
      <c r="A213" s="81" t="s">
        <v>3415</v>
      </c>
      <c r="B213" s="83" t="s">
        <v>352</v>
      </c>
      <c r="C213" s="80">
        <f>VLOOKUP(GroupVertices[[#This Row],[Vertex]],Vertices[],MATCH("ID",Vertices[[#Headers],[Vertex]:[Top Word Pairs in Comment by Salience]],0),FALSE)</f>
        <v>127</v>
      </c>
    </row>
    <row r="214" spans="1:3" ht="15">
      <c r="A214" s="81" t="s">
        <v>3415</v>
      </c>
      <c r="B214" s="83" t="s">
        <v>350</v>
      </c>
      <c r="C214" s="80">
        <f>VLOOKUP(GroupVertices[[#This Row],[Vertex]],Vertices[],MATCH("ID",Vertices[[#Headers],[Vertex]:[Top Word Pairs in Comment by Salience]],0),FALSE)</f>
        <v>126</v>
      </c>
    </row>
    <row r="215" spans="1:3" ht="15">
      <c r="A215" s="81" t="s">
        <v>3415</v>
      </c>
      <c r="B215" s="83" t="s">
        <v>351</v>
      </c>
      <c r="C215" s="80">
        <f>VLOOKUP(GroupVertices[[#This Row],[Vertex]],Vertices[],MATCH("ID",Vertices[[#Headers],[Vertex]:[Top Word Pairs in Comment by Salience]],0),FALSE)</f>
        <v>123</v>
      </c>
    </row>
    <row r="216" spans="1:3" ht="15">
      <c r="A216" s="81" t="s">
        <v>3415</v>
      </c>
      <c r="B216" s="83" t="s">
        <v>349</v>
      </c>
      <c r="C216" s="80">
        <f>VLOOKUP(GroupVertices[[#This Row],[Vertex]],Vertices[],MATCH("ID",Vertices[[#Headers],[Vertex]:[Top Word Pairs in Comment by Salience]],0),FALSE)</f>
        <v>125</v>
      </c>
    </row>
    <row r="217" spans="1:3" ht="15">
      <c r="A217" s="81" t="s">
        <v>3415</v>
      </c>
      <c r="B217" s="83" t="s">
        <v>348</v>
      </c>
      <c r="C217" s="80">
        <f>VLOOKUP(GroupVertices[[#This Row],[Vertex]],Vertices[],MATCH("ID",Vertices[[#Headers],[Vertex]:[Top Word Pairs in Comment by Salience]],0),FALSE)</f>
        <v>124</v>
      </c>
    </row>
    <row r="218" spans="1:3" ht="15">
      <c r="A218" s="81" t="s">
        <v>3415</v>
      </c>
      <c r="B218" s="83" t="s">
        <v>347</v>
      </c>
      <c r="C218" s="80">
        <f>VLOOKUP(GroupVertices[[#This Row],[Vertex]],Vertices[],MATCH("ID",Vertices[[#Headers],[Vertex]:[Top Word Pairs in Comment by Salience]],0),FALSE)</f>
        <v>122</v>
      </c>
    </row>
    <row r="219" spans="1:3" ht="15">
      <c r="A219" s="81" t="s">
        <v>3415</v>
      </c>
      <c r="B219" s="83" t="s">
        <v>345</v>
      </c>
      <c r="C219" s="80">
        <f>VLOOKUP(GroupVertices[[#This Row],[Vertex]],Vertices[],MATCH("ID",Vertices[[#Headers],[Vertex]:[Top Word Pairs in Comment by Salience]],0),FALSE)</f>
        <v>121</v>
      </c>
    </row>
    <row r="220" spans="1:3" ht="15">
      <c r="A220" s="81" t="s">
        <v>3415</v>
      </c>
      <c r="B220" s="83" t="s">
        <v>346</v>
      </c>
      <c r="C220" s="80">
        <f>VLOOKUP(GroupVertices[[#This Row],[Vertex]],Vertices[],MATCH("ID",Vertices[[#Headers],[Vertex]:[Top Word Pairs in Comment by Salience]],0),FALSE)</f>
        <v>118</v>
      </c>
    </row>
    <row r="221" spans="1:3" ht="15">
      <c r="A221" s="81" t="s">
        <v>3415</v>
      </c>
      <c r="B221" s="83" t="s">
        <v>344</v>
      </c>
      <c r="C221" s="80">
        <f>VLOOKUP(GroupVertices[[#This Row],[Vertex]],Vertices[],MATCH("ID",Vertices[[#Headers],[Vertex]:[Top Word Pairs in Comment by Salience]],0),FALSE)</f>
        <v>120</v>
      </c>
    </row>
    <row r="222" spans="1:3" ht="15">
      <c r="A222" s="81" t="s">
        <v>3415</v>
      </c>
      <c r="B222" s="83" t="s">
        <v>343</v>
      </c>
      <c r="C222" s="80">
        <f>VLOOKUP(GroupVertices[[#This Row],[Vertex]],Vertices[],MATCH("ID",Vertices[[#Headers],[Vertex]:[Top Word Pairs in Comment by Salience]],0),FALSE)</f>
        <v>119</v>
      </c>
    </row>
    <row r="223" spans="1:3" ht="15">
      <c r="A223" s="81" t="s">
        <v>3415</v>
      </c>
      <c r="B223" s="83" t="s">
        <v>342</v>
      </c>
      <c r="C223" s="80">
        <f>VLOOKUP(GroupVertices[[#This Row],[Vertex]],Vertices[],MATCH("ID",Vertices[[#Headers],[Vertex]:[Top Word Pairs in Comment by Salience]],0),FALSE)</f>
        <v>117</v>
      </c>
    </row>
    <row r="224" spans="1:3" ht="15">
      <c r="A224" s="81" t="s">
        <v>3415</v>
      </c>
      <c r="B224" s="83" t="s">
        <v>341</v>
      </c>
      <c r="C224" s="80">
        <f>VLOOKUP(GroupVertices[[#This Row],[Vertex]],Vertices[],MATCH("ID",Vertices[[#Headers],[Vertex]:[Top Word Pairs in Comment by Salience]],0),FALSE)</f>
        <v>116</v>
      </c>
    </row>
    <row r="225" spans="1:3" ht="15">
      <c r="A225" s="81" t="s">
        <v>3415</v>
      </c>
      <c r="B225" s="83" t="s">
        <v>339</v>
      </c>
      <c r="C225" s="80">
        <f>VLOOKUP(GroupVertices[[#This Row],[Vertex]],Vertices[],MATCH("ID",Vertices[[#Headers],[Vertex]:[Top Word Pairs in Comment by Salience]],0),FALSE)</f>
        <v>115</v>
      </c>
    </row>
    <row r="226" spans="1:3" ht="15">
      <c r="A226" s="81" t="s">
        <v>3415</v>
      </c>
      <c r="B226" s="83" t="s">
        <v>340</v>
      </c>
      <c r="C226" s="80">
        <f>VLOOKUP(GroupVertices[[#This Row],[Vertex]],Vertices[],MATCH("ID",Vertices[[#Headers],[Vertex]:[Top Word Pairs in Comment by Salience]],0),FALSE)</f>
        <v>112</v>
      </c>
    </row>
    <row r="227" spans="1:3" ht="15">
      <c r="A227" s="81" t="s">
        <v>3415</v>
      </c>
      <c r="B227" s="83" t="s">
        <v>338</v>
      </c>
      <c r="C227" s="80">
        <f>VLOOKUP(GroupVertices[[#This Row],[Vertex]],Vertices[],MATCH("ID",Vertices[[#Headers],[Vertex]:[Top Word Pairs in Comment by Salience]],0),FALSE)</f>
        <v>114</v>
      </c>
    </row>
    <row r="228" spans="1:3" ht="15">
      <c r="A228" s="81" t="s">
        <v>3415</v>
      </c>
      <c r="B228" s="83" t="s">
        <v>337</v>
      </c>
      <c r="C228" s="80">
        <f>VLOOKUP(GroupVertices[[#This Row],[Vertex]],Vertices[],MATCH("ID",Vertices[[#Headers],[Vertex]:[Top Word Pairs in Comment by Salience]],0),FALSE)</f>
        <v>113</v>
      </c>
    </row>
    <row r="229" spans="1:3" ht="15">
      <c r="A229" s="81" t="s">
        <v>3415</v>
      </c>
      <c r="B229" s="83" t="s">
        <v>336</v>
      </c>
      <c r="C229" s="80">
        <f>VLOOKUP(GroupVertices[[#This Row],[Vertex]],Vertices[],MATCH("ID",Vertices[[#Headers],[Vertex]:[Top Word Pairs in Comment by Salience]],0),FALSE)</f>
        <v>111</v>
      </c>
    </row>
    <row r="230" spans="1:3" ht="15">
      <c r="A230" s="81" t="s">
        <v>3415</v>
      </c>
      <c r="B230" s="83" t="s">
        <v>335</v>
      </c>
      <c r="C230" s="80">
        <f>VLOOKUP(GroupVertices[[#This Row],[Vertex]],Vertices[],MATCH("ID",Vertices[[#Headers],[Vertex]:[Top Word Pairs in Comment by Salience]],0),FALSE)</f>
        <v>110</v>
      </c>
    </row>
    <row r="231" spans="1:3" ht="15">
      <c r="A231" s="81" t="s">
        <v>3415</v>
      </c>
      <c r="B231" s="83" t="s">
        <v>334</v>
      </c>
      <c r="C231" s="80">
        <f>VLOOKUP(GroupVertices[[#This Row],[Vertex]],Vertices[],MATCH("ID",Vertices[[#Headers],[Vertex]:[Top Word Pairs in Comment by Salience]],0),FALSE)</f>
        <v>109</v>
      </c>
    </row>
    <row r="232" spans="1:3" ht="15">
      <c r="A232" s="81" t="s">
        <v>3415</v>
      </c>
      <c r="B232" s="83" t="s">
        <v>333</v>
      </c>
      <c r="C232" s="80">
        <f>VLOOKUP(GroupVertices[[#This Row],[Vertex]],Vertices[],MATCH("ID",Vertices[[#Headers],[Vertex]:[Top Word Pairs in Comment by Salience]],0),FALSE)</f>
        <v>108</v>
      </c>
    </row>
    <row r="233" spans="1:3" ht="15">
      <c r="A233" s="81" t="s">
        <v>3415</v>
      </c>
      <c r="B233" s="83" t="s">
        <v>332</v>
      </c>
      <c r="C233" s="80">
        <f>VLOOKUP(GroupVertices[[#This Row],[Vertex]],Vertices[],MATCH("ID",Vertices[[#Headers],[Vertex]:[Top Word Pairs in Comment by Salience]],0),FALSE)</f>
        <v>107</v>
      </c>
    </row>
    <row r="234" spans="1:3" ht="15">
      <c r="A234" s="81" t="s">
        <v>3415</v>
      </c>
      <c r="B234" s="83" t="s">
        <v>331</v>
      </c>
      <c r="C234" s="80">
        <f>VLOOKUP(GroupVertices[[#This Row],[Vertex]],Vertices[],MATCH("ID",Vertices[[#Headers],[Vertex]:[Top Word Pairs in Comment by Salience]],0),FALSE)</f>
        <v>106</v>
      </c>
    </row>
    <row r="235" spans="1:3" ht="15">
      <c r="A235" s="81" t="s">
        <v>3415</v>
      </c>
      <c r="B235" s="83" t="s">
        <v>329</v>
      </c>
      <c r="C235" s="80">
        <f>VLOOKUP(GroupVertices[[#This Row],[Vertex]],Vertices[],MATCH("ID",Vertices[[#Headers],[Vertex]:[Top Word Pairs in Comment by Salience]],0),FALSE)</f>
        <v>105</v>
      </c>
    </row>
    <row r="236" spans="1:3" ht="15">
      <c r="A236" s="81" t="s">
        <v>3415</v>
      </c>
      <c r="B236" s="83" t="s">
        <v>330</v>
      </c>
      <c r="C236" s="80">
        <f>VLOOKUP(GroupVertices[[#This Row],[Vertex]],Vertices[],MATCH("ID",Vertices[[#Headers],[Vertex]:[Top Word Pairs in Comment by Salience]],0),FALSE)</f>
        <v>102</v>
      </c>
    </row>
    <row r="237" spans="1:3" ht="15">
      <c r="A237" s="81" t="s">
        <v>3415</v>
      </c>
      <c r="B237" s="83" t="s">
        <v>328</v>
      </c>
      <c r="C237" s="80">
        <f>VLOOKUP(GroupVertices[[#This Row],[Vertex]],Vertices[],MATCH("ID",Vertices[[#Headers],[Vertex]:[Top Word Pairs in Comment by Salience]],0),FALSE)</f>
        <v>104</v>
      </c>
    </row>
    <row r="238" spans="1:3" ht="15">
      <c r="A238" s="81" t="s">
        <v>3415</v>
      </c>
      <c r="B238" s="83" t="s">
        <v>327</v>
      </c>
      <c r="C238" s="80">
        <f>VLOOKUP(GroupVertices[[#This Row],[Vertex]],Vertices[],MATCH("ID",Vertices[[#Headers],[Vertex]:[Top Word Pairs in Comment by Salience]],0),FALSE)</f>
        <v>103</v>
      </c>
    </row>
    <row r="239" spans="1:3" ht="15">
      <c r="A239" s="81" t="s">
        <v>3415</v>
      </c>
      <c r="B239" s="83" t="s">
        <v>326</v>
      </c>
      <c r="C239" s="80">
        <f>VLOOKUP(GroupVertices[[#This Row],[Vertex]],Vertices[],MATCH("ID",Vertices[[#Headers],[Vertex]:[Top Word Pairs in Comment by Salience]],0),FALSE)</f>
        <v>101</v>
      </c>
    </row>
    <row r="240" spans="1:3" ht="15">
      <c r="A240" s="81" t="s">
        <v>3415</v>
      </c>
      <c r="B240" s="83" t="s">
        <v>325</v>
      </c>
      <c r="C240" s="80">
        <f>VLOOKUP(GroupVertices[[#This Row],[Vertex]],Vertices[],MATCH("ID",Vertices[[#Headers],[Vertex]:[Top Word Pairs in Comment by Salience]],0),FALSE)</f>
        <v>100</v>
      </c>
    </row>
    <row r="241" spans="1:3" ht="15">
      <c r="A241" s="81" t="s">
        <v>3415</v>
      </c>
      <c r="B241" s="83" t="s">
        <v>324</v>
      </c>
      <c r="C241" s="80">
        <f>VLOOKUP(GroupVertices[[#This Row],[Vertex]],Vertices[],MATCH("ID",Vertices[[#Headers],[Vertex]:[Top Word Pairs in Comment by Salience]],0),FALSE)</f>
        <v>99</v>
      </c>
    </row>
    <row r="242" spans="1:3" ht="15">
      <c r="A242" s="81" t="s">
        <v>3415</v>
      </c>
      <c r="B242" s="83" t="s">
        <v>323</v>
      </c>
      <c r="C242" s="80">
        <f>VLOOKUP(GroupVertices[[#This Row],[Vertex]],Vertices[],MATCH("ID",Vertices[[#Headers],[Vertex]:[Top Word Pairs in Comment by Salience]],0),FALSE)</f>
        <v>98</v>
      </c>
    </row>
    <row r="243" spans="1:3" ht="15">
      <c r="A243" s="81" t="s">
        <v>3415</v>
      </c>
      <c r="B243" s="83" t="s">
        <v>322</v>
      </c>
      <c r="C243" s="80">
        <f>VLOOKUP(GroupVertices[[#This Row],[Vertex]],Vertices[],MATCH("ID",Vertices[[#Headers],[Vertex]:[Top Word Pairs in Comment by Salience]],0),FALSE)</f>
        <v>97</v>
      </c>
    </row>
    <row r="244" spans="1:3" ht="15">
      <c r="A244" s="81" t="s">
        <v>3415</v>
      </c>
      <c r="B244" s="83" t="s">
        <v>321</v>
      </c>
      <c r="C244" s="80">
        <f>VLOOKUP(GroupVertices[[#This Row],[Vertex]],Vertices[],MATCH("ID",Vertices[[#Headers],[Vertex]:[Top Word Pairs in Comment by Salience]],0),FALSE)</f>
        <v>96</v>
      </c>
    </row>
    <row r="245" spans="1:3" ht="15">
      <c r="A245" s="81" t="s">
        <v>3415</v>
      </c>
      <c r="B245" s="83" t="s">
        <v>320</v>
      </c>
      <c r="C245" s="80">
        <f>VLOOKUP(GroupVertices[[#This Row],[Vertex]],Vertices[],MATCH("ID",Vertices[[#Headers],[Vertex]:[Top Word Pairs in Comment by Salience]],0),FALSE)</f>
        <v>95</v>
      </c>
    </row>
    <row r="246" spans="1:3" ht="15">
      <c r="A246" s="81" t="s">
        <v>3415</v>
      </c>
      <c r="B246" s="83" t="s">
        <v>319</v>
      </c>
      <c r="C246" s="80">
        <f>VLOOKUP(GroupVertices[[#This Row],[Vertex]],Vertices[],MATCH("ID",Vertices[[#Headers],[Vertex]:[Top Word Pairs in Comment by Salience]],0),FALSE)</f>
        <v>94</v>
      </c>
    </row>
    <row r="247" spans="1:3" ht="15">
      <c r="A247" s="81" t="s">
        <v>3415</v>
      </c>
      <c r="B247" s="83" t="s">
        <v>318</v>
      </c>
      <c r="C247" s="80">
        <f>VLOOKUP(GroupVertices[[#This Row],[Vertex]],Vertices[],MATCH("ID",Vertices[[#Headers],[Vertex]:[Top Word Pairs in Comment by Salience]],0),FALSE)</f>
        <v>93</v>
      </c>
    </row>
    <row r="248" spans="1:3" ht="15">
      <c r="A248" s="81" t="s">
        <v>3415</v>
      </c>
      <c r="B248" s="83" t="s">
        <v>317</v>
      </c>
      <c r="C248" s="80">
        <f>VLOOKUP(GroupVertices[[#This Row],[Vertex]],Vertices[],MATCH("ID",Vertices[[#Headers],[Vertex]:[Top Word Pairs in Comment by Salience]],0),FALSE)</f>
        <v>92</v>
      </c>
    </row>
    <row r="249" spans="1:3" ht="15">
      <c r="A249" s="81" t="s">
        <v>3415</v>
      </c>
      <c r="B249" s="83" t="s">
        <v>316</v>
      </c>
      <c r="C249" s="80">
        <f>VLOOKUP(GroupVertices[[#This Row],[Vertex]],Vertices[],MATCH("ID",Vertices[[#Headers],[Vertex]:[Top Word Pairs in Comment by Salience]],0),FALSE)</f>
        <v>91</v>
      </c>
    </row>
    <row r="250" spans="1:3" ht="15">
      <c r="A250" s="81" t="s">
        <v>3415</v>
      </c>
      <c r="B250" s="83" t="s">
        <v>315</v>
      </c>
      <c r="C250" s="80">
        <f>VLOOKUP(GroupVertices[[#This Row],[Vertex]],Vertices[],MATCH("ID",Vertices[[#Headers],[Vertex]:[Top Word Pairs in Comment by Salience]],0),FALSE)</f>
        <v>90</v>
      </c>
    </row>
    <row r="251" spans="1:3" ht="15">
      <c r="A251" s="81" t="s">
        <v>3415</v>
      </c>
      <c r="B251" s="83" t="s">
        <v>314</v>
      </c>
      <c r="C251" s="80">
        <f>VLOOKUP(GroupVertices[[#This Row],[Vertex]],Vertices[],MATCH("ID",Vertices[[#Headers],[Vertex]:[Top Word Pairs in Comment by Salience]],0),FALSE)</f>
        <v>89</v>
      </c>
    </row>
    <row r="252" spans="1:3" ht="15">
      <c r="A252" s="81" t="s">
        <v>3415</v>
      </c>
      <c r="B252" s="83" t="s">
        <v>313</v>
      </c>
      <c r="C252" s="80">
        <f>VLOOKUP(GroupVertices[[#This Row],[Vertex]],Vertices[],MATCH("ID",Vertices[[#Headers],[Vertex]:[Top Word Pairs in Comment by Salience]],0),FALSE)</f>
        <v>88</v>
      </c>
    </row>
    <row r="253" spans="1:3" ht="15">
      <c r="A253" s="81" t="s">
        <v>3415</v>
      </c>
      <c r="B253" s="83" t="s">
        <v>312</v>
      </c>
      <c r="C253" s="80">
        <f>VLOOKUP(GroupVertices[[#This Row],[Vertex]],Vertices[],MATCH("ID",Vertices[[#Headers],[Vertex]:[Top Word Pairs in Comment by Salience]],0),FALSE)</f>
        <v>87</v>
      </c>
    </row>
    <row r="254" spans="1:3" ht="15">
      <c r="A254" s="81" t="s">
        <v>3415</v>
      </c>
      <c r="B254" s="83" t="s">
        <v>311</v>
      </c>
      <c r="C254" s="80">
        <f>VLOOKUP(GroupVertices[[#This Row],[Vertex]],Vertices[],MATCH("ID",Vertices[[#Headers],[Vertex]:[Top Word Pairs in Comment by Salience]],0),FALSE)</f>
        <v>86</v>
      </c>
    </row>
    <row r="255" spans="1:3" ht="15">
      <c r="A255" s="81" t="s">
        <v>3415</v>
      </c>
      <c r="B255" s="83" t="s">
        <v>310</v>
      </c>
      <c r="C255" s="80">
        <f>VLOOKUP(GroupVertices[[#This Row],[Vertex]],Vertices[],MATCH("ID",Vertices[[#Headers],[Vertex]:[Top Word Pairs in Comment by Salience]],0),FALSE)</f>
        <v>84</v>
      </c>
    </row>
    <row r="256" spans="1:3" ht="15">
      <c r="A256" s="81" t="s">
        <v>3416</v>
      </c>
      <c r="B256" s="83" t="s">
        <v>671</v>
      </c>
      <c r="C256" s="80">
        <f>VLOOKUP(GroupVertices[[#This Row],[Vertex]],Vertices[],MATCH("ID",Vertices[[#Headers],[Vertex]:[Top Word Pairs in Comment by Salience]],0),FALSE)</f>
        <v>448</v>
      </c>
    </row>
    <row r="257" spans="1:3" ht="15">
      <c r="A257" s="81" t="s">
        <v>3416</v>
      </c>
      <c r="B257" s="83" t="s">
        <v>623</v>
      </c>
      <c r="C257" s="80">
        <f>VLOOKUP(GroupVertices[[#This Row],[Vertex]],Vertices[],MATCH("ID",Vertices[[#Headers],[Vertex]:[Top Word Pairs in Comment by Salience]],0),FALSE)</f>
        <v>400</v>
      </c>
    </row>
    <row r="258" spans="1:3" ht="15">
      <c r="A258" s="81" t="s">
        <v>3416</v>
      </c>
      <c r="B258" s="83" t="s">
        <v>670</v>
      </c>
      <c r="C258" s="80">
        <f>VLOOKUP(GroupVertices[[#This Row],[Vertex]],Vertices[],MATCH("ID",Vertices[[#Headers],[Vertex]:[Top Word Pairs in Comment by Salience]],0),FALSE)</f>
        <v>447</v>
      </c>
    </row>
    <row r="259" spans="1:3" ht="15">
      <c r="A259" s="81" t="s">
        <v>3416</v>
      </c>
      <c r="B259" s="83" t="s">
        <v>669</v>
      </c>
      <c r="C259" s="80">
        <f>VLOOKUP(GroupVertices[[#This Row],[Vertex]],Vertices[],MATCH("ID",Vertices[[#Headers],[Vertex]:[Top Word Pairs in Comment by Salience]],0),FALSE)</f>
        <v>446</v>
      </c>
    </row>
    <row r="260" spans="1:3" ht="15">
      <c r="A260" s="81" t="s">
        <v>3416</v>
      </c>
      <c r="B260" s="83" t="s">
        <v>667</v>
      </c>
      <c r="C260" s="80">
        <f>VLOOKUP(GroupVertices[[#This Row],[Vertex]],Vertices[],MATCH("ID",Vertices[[#Headers],[Vertex]:[Top Word Pairs in Comment by Salience]],0),FALSE)</f>
        <v>444</v>
      </c>
    </row>
    <row r="261" spans="1:3" ht="15">
      <c r="A261" s="81" t="s">
        <v>3416</v>
      </c>
      <c r="B261" s="83" t="s">
        <v>666</v>
      </c>
      <c r="C261" s="80">
        <f>VLOOKUP(GroupVertices[[#This Row],[Vertex]],Vertices[],MATCH("ID",Vertices[[#Headers],[Vertex]:[Top Word Pairs in Comment by Salience]],0),FALSE)</f>
        <v>443</v>
      </c>
    </row>
    <row r="262" spans="1:3" ht="15">
      <c r="A262" s="81" t="s">
        <v>3416</v>
      </c>
      <c r="B262" s="83" t="s">
        <v>665</v>
      </c>
      <c r="C262" s="80">
        <f>VLOOKUP(GroupVertices[[#This Row],[Vertex]],Vertices[],MATCH("ID",Vertices[[#Headers],[Vertex]:[Top Word Pairs in Comment by Salience]],0),FALSE)</f>
        <v>442</v>
      </c>
    </row>
    <row r="263" spans="1:3" ht="15">
      <c r="A263" s="81" t="s">
        <v>3416</v>
      </c>
      <c r="B263" s="83" t="s">
        <v>664</v>
      </c>
      <c r="C263" s="80">
        <f>VLOOKUP(GroupVertices[[#This Row],[Vertex]],Vertices[],MATCH("ID",Vertices[[#Headers],[Vertex]:[Top Word Pairs in Comment by Salience]],0),FALSE)</f>
        <v>441</v>
      </c>
    </row>
    <row r="264" spans="1:3" ht="15">
      <c r="A264" s="81" t="s">
        <v>3416</v>
      </c>
      <c r="B264" s="83" t="s">
        <v>663</v>
      </c>
      <c r="C264" s="80">
        <f>VLOOKUP(GroupVertices[[#This Row],[Vertex]],Vertices[],MATCH("ID",Vertices[[#Headers],[Vertex]:[Top Word Pairs in Comment by Salience]],0),FALSE)</f>
        <v>440</v>
      </c>
    </row>
    <row r="265" spans="1:3" ht="15">
      <c r="A265" s="81" t="s">
        <v>3416</v>
      </c>
      <c r="B265" s="83" t="s">
        <v>662</v>
      </c>
      <c r="C265" s="80">
        <f>VLOOKUP(GroupVertices[[#This Row],[Vertex]],Vertices[],MATCH("ID",Vertices[[#Headers],[Vertex]:[Top Word Pairs in Comment by Salience]],0),FALSE)</f>
        <v>439</v>
      </c>
    </row>
    <row r="266" spans="1:3" ht="15">
      <c r="A266" s="81" t="s">
        <v>3416</v>
      </c>
      <c r="B266" s="83" t="s">
        <v>661</v>
      </c>
      <c r="C266" s="80">
        <f>VLOOKUP(GroupVertices[[#This Row],[Vertex]],Vertices[],MATCH("ID",Vertices[[#Headers],[Vertex]:[Top Word Pairs in Comment by Salience]],0),FALSE)</f>
        <v>438</v>
      </c>
    </row>
    <row r="267" spans="1:3" ht="15">
      <c r="A267" s="81" t="s">
        <v>3416</v>
      </c>
      <c r="B267" s="83" t="s">
        <v>660</v>
      </c>
      <c r="C267" s="80">
        <f>VLOOKUP(GroupVertices[[#This Row],[Vertex]],Vertices[],MATCH("ID",Vertices[[#Headers],[Vertex]:[Top Word Pairs in Comment by Salience]],0),FALSE)</f>
        <v>437</v>
      </c>
    </row>
    <row r="268" spans="1:3" ht="15">
      <c r="A268" s="81" t="s">
        <v>3416</v>
      </c>
      <c r="B268" s="83" t="s">
        <v>659</v>
      </c>
      <c r="C268" s="80">
        <f>VLOOKUP(GroupVertices[[#This Row],[Vertex]],Vertices[],MATCH("ID",Vertices[[#Headers],[Vertex]:[Top Word Pairs in Comment by Salience]],0),FALSE)</f>
        <v>436</v>
      </c>
    </row>
    <row r="269" spans="1:3" ht="15">
      <c r="A269" s="81" t="s">
        <v>3416</v>
      </c>
      <c r="B269" s="83" t="s">
        <v>658</v>
      </c>
      <c r="C269" s="80">
        <f>VLOOKUP(GroupVertices[[#This Row],[Vertex]],Vertices[],MATCH("ID",Vertices[[#Headers],[Vertex]:[Top Word Pairs in Comment by Salience]],0),FALSE)</f>
        <v>435</v>
      </c>
    </row>
    <row r="270" spans="1:3" ht="15">
      <c r="A270" s="81" t="s">
        <v>3416</v>
      </c>
      <c r="B270" s="83" t="s">
        <v>657</v>
      </c>
      <c r="C270" s="80">
        <f>VLOOKUP(GroupVertices[[#This Row],[Vertex]],Vertices[],MATCH("ID",Vertices[[#Headers],[Vertex]:[Top Word Pairs in Comment by Salience]],0),FALSE)</f>
        <v>434</v>
      </c>
    </row>
    <row r="271" spans="1:3" ht="15">
      <c r="A271" s="81" t="s">
        <v>3416</v>
      </c>
      <c r="B271" s="83" t="s">
        <v>656</v>
      </c>
      <c r="C271" s="80">
        <f>VLOOKUP(GroupVertices[[#This Row],[Vertex]],Vertices[],MATCH("ID",Vertices[[#Headers],[Vertex]:[Top Word Pairs in Comment by Salience]],0),FALSE)</f>
        <v>433</v>
      </c>
    </row>
    <row r="272" spans="1:3" ht="15">
      <c r="A272" s="81" t="s">
        <v>3416</v>
      </c>
      <c r="B272" s="83" t="s">
        <v>655</v>
      </c>
      <c r="C272" s="80">
        <f>VLOOKUP(GroupVertices[[#This Row],[Vertex]],Vertices[],MATCH("ID",Vertices[[#Headers],[Vertex]:[Top Word Pairs in Comment by Salience]],0),FALSE)</f>
        <v>432</v>
      </c>
    </row>
    <row r="273" spans="1:3" ht="15">
      <c r="A273" s="81" t="s">
        <v>3416</v>
      </c>
      <c r="B273" s="83" t="s">
        <v>654</v>
      </c>
      <c r="C273" s="80">
        <f>VLOOKUP(GroupVertices[[#This Row],[Vertex]],Vertices[],MATCH("ID",Vertices[[#Headers],[Vertex]:[Top Word Pairs in Comment by Salience]],0),FALSE)</f>
        <v>431</v>
      </c>
    </row>
    <row r="274" spans="1:3" ht="15">
      <c r="A274" s="81" t="s">
        <v>3416</v>
      </c>
      <c r="B274" s="83" t="s">
        <v>653</v>
      </c>
      <c r="C274" s="80">
        <f>VLOOKUP(GroupVertices[[#This Row],[Vertex]],Vertices[],MATCH("ID",Vertices[[#Headers],[Vertex]:[Top Word Pairs in Comment by Salience]],0),FALSE)</f>
        <v>430</v>
      </c>
    </row>
    <row r="275" spans="1:3" ht="15">
      <c r="A275" s="81" t="s">
        <v>3416</v>
      </c>
      <c r="B275" s="83" t="s">
        <v>652</v>
      </c>
      <c r="C275" s="80">
        <f>VLOOKUP(GroupVertices[[#This Row],[Vertex]],Vertices[],MATCH("ID",Vertices[[#Headers],[Vertex]:[Top Word Pairs in Comment by Salience]],0),FALSE)</f>
        <v>429</v>
      </c>
    </row>
    <row r="276" spans="1:3" ht="15">
      <c r="A276" s="81" t="s">
        <v>3416</v>
      </c>
      <c r="B276" s="83" t="s">
        <v>651</v>
      </c>
      <c r="C276" s="80">
        <f>VLOOKUP(GroupVertices[[#This Row],[Vertex]],Vertices[],MATCH("ID",Vertices[[#Headers],[Vertex]:[Top Word Pairs in Comment by Salience]],0),FALSE)</f>
        <v>428</v>
      </c>
    </row>
    <row r="277" spans="1:3" ht="15">
      <c r="A277" s="81" t="s">
        <v>3416</v>
      </c>
      <c r="B277" s="83" t="s">
        <v>650</v>
      </c>
      <c r="C277" s="80">
        <f>VLOOKUP(GroupVertices[[#This Row],[Vertex]],Vertices[],MATCH("ID",Vertices[[#Headers],[Vertex]:[Top Word Pairs in Comment by Salience]],0),FALSE)</f>
        <v>427</v>
      </c>
    </row>
    <row r="278" spans="1:3" ht="15">
      <c r="A278" s="81" t="s">
        <v>3416</v>
      </c>
      <c r="B278" s="83" t="s">
        <v>649</v>
      </c>
      <c r="C278" s="80">
        <f>VLOOKUP(GroupVertices[[#This Row],[Vertex]],Vertices[],MATCH("ID",Vertices[[#Headers],[Vertex]:[Top Word Pairs in Comment by Salience]],0),FALSE)</f>
        <v>426</v>
      </c>
    </row>
    <row r="279" spans="1:3" ht="15">
      <c r="A279" s="81" t="s">
        <v>3416</v>
      </c>
      <c r="B279" s="83" t="s">
        <v>648</v>
      </c>
      <c r="C279" s="80">
        <f>VLOOKUP(GroupVertices[[#This Row],[Vertex]],Vertices[],MATCH("ID",Vertices[[#Headers],[Vertex]:[Top Word Pairs in Comment by Salience]],0),FALSE)</f>
        <v>425</v>
      </c>
    </row>
    <row r="280" spans="1:3" ht="15">
      <c r="A280" s="81" t="s">
        <v>3416</v>
      </c>
      <c r="B280" s="83" t="s">
        <v>647</v>
      </c>
      <c r="C280" s="80">
        <f>VLOOKUP(GroupVertices[[#This Row],[Vertex]],Vertices[],MATCH("ID",Vertices[[#Headers],[Vertex]:[Top Word Pairs in Comment by Salience]],0),FALSE)</f>
        <v>424</v>
      </c>
    </row>
    <row r="281" spans="1:3" ht="15">
      <c r="A281" s="81" t="s">
        <v>3416</v>
      </c>
      <c r="B281" s="83" t="s">
        <v>646</v>
      </c>
      <c r="C281" s="80">
        <f>VLOOKUP(GroupVertices[[#This Row],[Vertex]],Vertices[],MATCH("ID",Vertices[[#Headers],[Vertex]:[Top Word Pairs in Comment by Salience]],0),FALSE)</f>
        <v>423</v>
      </c>
    </row>
    <row r="282" spans="1:3" ht="15">
      <c r="A282" s="81" t="s">
        <v>3416</v>
      </c>
      <c r="B282" s="83" t="s">
        <v>645</v>
      </c>
      <c r="C282" s="80">
        <f>VLOOKUP(GroupVertices[[#This Row],[Vertex]],Vertices[],MATCH("ID",Vertices[[#Headers],[Vertex]:[Top Word Pairs in Comment by Salience]],0),FALSE)</f>
        <v>422</v>
      </c>
    </row>
    <row r="283" spans="1:3" ht="15">
      <c r="A283" s="81" t="s">
        <v>3416</v>
      </c>
      <c r="B283" s="83" t="s">
        <v>644</v>
      </c>
      <c r="C283" s="80">
        <f>VLOOKUP(GroupVertices[[#This Row],[Vertex]],Vertices[],MATCH("ID",Vertices[[#Headers],[Vertex]:[Top Word Pairs in Comment by Salience]],0),FALSE)</f>
        <v>421</v>
      </c>
    </row>
    <row r="284" spans="1:3" ht="15">
      <c r="A284" s="81" t="s">
        <v>3416</v>
      </c>
      <c r="B284" s="83" t="s">
        <v>637</v>
      </c>
      <c r="C284" s="80">
        <f>VLOOKUP(GroupVertices[[#This Row],[Vertex]],Vertices[],MATCH("ID",Vertices[[#Headers],[Vertex]:[Top Word Pairs in Comment by Salience]],0),FALSE)</f>
        <v>414</v>
      </c>
    </row>
    <row r="285" spans="1:3" ht="15">
      <c r="A285" s="81" t="s">
        <v>3416</v>
      </c>
      <c r="B285" s="83" t="s">
        <v>643</v>
      </c>
      <c r="C285" s="80">
        <f>VLOOKUP(GroupVertices[[#This Row],[Vertex]],Vertices[],MATCH("ID",Vertices[[#Headers],[Vertex]:[Top Word Pairs in Comment by Salience]],0),FALSE)</f>
        <v>420</v>
      </c>
    </row>
    <row r="286" spans="1:3" ht="15">
      <c r="A286" s="81" t="s">
        <v>3416</v>
      </c>
      <c r="B286" s="83" t="s">
        <v>642</v>
      </c>
      <c r="C286" s="80">
        <f>VLOOKUP(GroupVertices[[#This Row],[Vertex]],Vertices[],MATCH("ID",Vertices[[#Headers],[Vertex]:[Top Word Pairs in Comment by Salience]],0),FALSE)</f>
        <v>419</v>
      </c>
    </row>
    <row r="287" spans="1:3" ht="15">
      <c r="A287" s="81" t="s">
        <v>3416</v>
      </c>
      <c r="B287" s="83" t="s">
        <v>641</v>
      </c>
      <c r="C287" s="80">
        <f>VLOOKUP(GroupVertices[[#This Row],[Vertex]],Vertices[],MATCH("ID",Vertices[[#Headers],[Vertex]:[Top Word Pairs in Comment by Salience]],0),FALSE)</f>
        <v>418</v>
      </c>
    </row>
    <row r="288" spans="1:3" ht="15">
      <c r="A288" s="81" t="s">
        <v>3416</v>
      </c>
      <c r="B288" s="83" t="s">
        <v>640</v>
      </c>
      <c r="C288" s="80">
        <f>VLOOKUP(GroupVertices[[#This Row],[Vertex]],Vertices[],MATCH("ID",Vertices[[#Headers],[Vertex]:[Top Word Pairs in Comment by Salience]],0),FALSE)</f>
        <v>417</v>
      </c>
    </row>
    <row r="289" spans="1:3" ht="15">
      <c r="A289" s="81" t="s">
        <v>3416</v>
      </c>
      <c r="B289" s="83" t="s">
        <v>639</v>
      </c>
      <c r="C289" s="80">
        <f>VLOOKUP(GroupVertices[[#This Row],[Vertex]],Vertices[],MATCH("ID",Vertices[[#Headers],[Vertex]:[Top Word Pairs in Comment by Salience]],0),FALSE)</f>
        <v>416</v>
      </c>
    </row>
    <row r="290" spans="1:3" ht="15">
      <c r="A290" s="81" t="s">
        <v>3416</v>
      </c>
      <c r="B290" s="83" t="s">
        <v>638</v>
      </c>
      <c r="C290" s="80">
        <f>VLOOKUP(GroupVertices[[#This Row],[Vertex]],Vertices[],MATCH("ID",Vertices[[#Headers],[Vertex]:[Top Word Pairs in Comment by Salience]],0),FALSE)</f>
        <v>415</v>
      </c>
    </row>
    <row r="291" spans="1:3" ht="15">
      <c r="A291" s="81" t="s">
        <v>3416</v>
      </c>
      <c r="B291" s="83" t="s">
        <v>635</v>
      </c>
      <c r="C291" s="80">
        <f>VLOOKUP(GroupVertices[[#This Row],[Vertex]],Vertices[],MATCH("ID",Vertices[[#Headers],[Vertex]:[Top Word Pairs in Comment by Salience]],0),FALSE)</f>
        <v>413</v>
      </c>
    </row>
    <row r="292" spans="1:3" ht="15">
      <c r="A292" s="81" t="s">
        <v>3416</v>
      </c>
      <c r="B292" s="83" t="s">
        <v>634</v>
      </c>
      <c r="C292" s="80">
        <f>VLOOKUP(GroupVertices[[#This Row],[Vertex]],Vertices[],MATCH("ID",Vertices[[#Headers],[Vertex]:[Top Word Pairs in Comment by Salience]],0),FALSE)</f>
        <v>412</v>
      </c>
    </row>
    <row r="293" spans="1:3" ht="15">
      <c r="A293" s="81" t="s">
        <v>3416</v>
      </c>
      <c r="B293" s="83" t="s">
        <v>633</v>
      </c>
      <c r="C293" s="80">
        <f>VLOOKUP(GroupVertices[[#This Row],[Vertex]],Vertices[],MATCH("ID",Vertices[[#Headers],[Vertex]:[Top Word Pairs in Comment by Salience]],0),FALSE)</f>
        <v>411</v>
      </c>
    </row>
    <row r="294" spans="1:3" ht="15">
      <c r="A294" s="81" t="s">
        <v>3416</v>
      </c>
      <c r="B294" s="83" t="s">
        <v>632</v>
      </c>
      <c r="C294" s="80">
        <f>VLOOKUP(GroupVertices[[#This Row],[Vertex]],Vertices[],MATCH("ID",Vertices[[#Headers],[Vertex]:[Top Word Pairs in Comment by Salience]],0),FALSE)</f>
        <v>410</v>
      </c>
    </row>
    <row r="295" spans="1:3" ht="15">
      <c r="A295" s="81" t="s">
        <v>3416</v>
      </c>
      <c r="B295" s="83" t="s">
        <v>631</v>
      </c>
      <c r="C295" s="80">
        <f>VLOOKUP(GroupVertices[[#This Row],[Vertex]],Vertices[],MATCH("ID",Vertices[[#Headers],[Vertex]:[Top Word Pairs in Comment by Salience]],0),FALSE)</f>
        <v>409</v>
      </c>
    </row>
    <row r="296" spans="1:3" ht="15">
      <c r="A296" s="81" t="s">
        <v>3416</v>
      </c>
      <c r="B296" s="83" t="s">
        <v>630</v>
      </c>
      <c r="C296" s="80">
        <f>VLOOKUP(GroupVertices[[#This Row],[Vertex]],Vertices[],MATCH("ID",Vertices[[#Headers],[Vertex]:[Top Word Pairs in Comment by Salience]],0),FALSE)</f>
        <v>408</v>
      </c>
    </row>
    <row r="297" spans="1:3" ht="15">
      <c r="A297" s="81" t="s">
        <v>3416</v>
      </c>
      <c r="B297" s="83" t="s">
        <v>629</v>
      </c>
      <c r="C297" s="80">
        <f>VLOOKUP(GroupVertices[[#This Row],[Vertex]],Vertices[],MATCH("ID",Vertices[[#Headers],[Vertex]:[Top Word Pairs in Comment by Salience]],0),FALSE)</f>
        <v>407</v>
      </c>
    </row>
    <row r="298" spans="1:3" ht="15">
      <c r="A298" s="81" t="s">
        <v>3416</v>
      </c>
      <c r="B298" s="83" t="s">
        <v>636</v>
      </c>
      <c r="C298" s="80">
        <f>VLOOKUP(GroupVertices[[#This Row],[Vertex]],Vertices[],MATCH("ID",Vertices[[#Headers],[Vertex]:[Top Word Pairs in Comment by Salience]],0),FALSE)</f>
        <v>406</v>
      </c>
    </row>
    <row r="299" spans="1:3" ht="15">
      <c r="A299" s="81" t="s">
        <v>3416</v>
      </c>
      <c r="B299" s="83" t="s">
        <v>628</v>
      </c>
      <c r="C299" s="80">
        <f>VLOOKUP(GroupVertices[[#This Row],[Vertex]],Vertices[],MATCH("ID",Vertices[[#Headers],[Vertex]:[Top Word Pairs in Comment by Salience]],0),FALSE)</f>
        <v>405</v>
      </c>
    </row>
    <row r="300" spans="1:3" ht="15">
      <c r="A300" s="81" t="s">
        <v>3416</v>
      </c>
      <c r="B300" s="83" t="s">
        <v>627</v>
      </c>
      <c r="C300" s="80">
        <f>VLOOKUP(GroupVertices[[#This Row],[Vertex]],Vertices[],MATCH("ID",Vertices[[#Headers],[Vertex]:[Top Word Pairs in Comment by Salience]],0),FALSE)</f>
        <v>404</v>
      </c>
    </row>
    <row r="301" spans="1:3" ht="15">
      <c r="A301" s="81" t="s">
        <v>3416</v>
      </c>
      <c r="B301" s="83" t="s">
        <v>626</v>
      </c>
      <c r="C301" s="80">
        <f>VLOOKUP(GroupVertices[[#This Row],[Vertex]],Vertices[],MATCH("ID",Vertices[[#Headers],[Vertex]:[Top Word Pairs in Comment by Salience]],0),FALSE)</f>
        <v>403</v>
      </c>
    </row>
    <row r="302" spans="1:3" ht="15">
      <c r="A302" s="81" t="s">
        <v>3416</v>
      </c>
      <c r="B302" s="83" t="s">
        <v>625</v>
      </c>
      <c r="C302" s="80">
        <f>VLOOKUP(GroupVertices[[#This Row],[Vertex]],Vertices[],MATCH("ID",Vertices[[#Headers],[Vertex]:[Top Word Pairs in Comment by Salience]],0),FALSE)</f>
        <v>402</v>
      </c>
    </row>
    <row r="303" spans="1:3" ht="15">
      <c r="A303" s="81" t="s">
        <v>3416</v>
      </c>
      <c r="B303" s="83" t="s">
        <v>624</v>
      </c>
      <c r="C303" s="80">
        <f>VLOOKUP(GroupVertices[[#This Row],[Vertex]],Vertices[],MATCH("ID",Vertices[[#Headers],[Vertex]:[Top Word Pairs in Comment by Salience]],0),FALSE)</f>
        <v>401</v>
      </c>
    </row>
    <row r="304" spans="1:3" ht="15">
      <c r="A304" s="81" t="s">
        <v>3416</v>
      </c>
      <c r="B304" s="83" t="s">
        <v>622</v>
      </c>
      <c r="C304" s="80">
        <f>VLOOKUP(GroupVertices[[#This Row],[Vertex]],Vertices[],MATCH("ID",Vertices[[#Headers],[Vertex]:[Top Word Pairs in Comment by Salience]],0),FALSE)</f>
        <v>399</v>
      </c>
    </row>
    <row r="305" spans="1:3" ht="15">
      <c r="A305" s="81" t="s">
        <v>3417</v>
      </c>
      <c r="B305" s="83" t="s">
        <v>748</v>
      </c>
      <c r="C305" s="80">
        <f>VLOOKUP(GroupVertices[[#This Row],[Vertex]],Vertices[],MATCH("ID",Vertices[[#Headers],[Vertex]:[Top Word Pairs in Comment by Salience]],0),FALSE)</f>
        <v>528</v>
      </c>
    </row>
    <row r="306" spans="1:3" ht="15">
      <c r="A306" s="81" t="s">
        <v>3417</v>
      </c>
      <c r="B306" s="83" t="s">
        <v>711</v>
      </c>
      <c r="C306" s="80">
        <f>VLOOKUP(GroupVertices[[#This Row],[Vertex]],Vertices[],MATCH("ID",Vertices[[#Headers],[Vertex]:[Top Word Pairs in Comment by Salience]],0),FALSE)</f>
        <v>491</v>
      </c>
    </row>
    <row r="307" spans="1:3" ht="15">
      <c r="A307" s="81" t="s">
        <v>3417</v>
      </c>
      <c r="B307" s="83" t="s">
        <v>747</v>
      </c>
      <c r="C307" s="80">
        <f>VLOOKUP(GroupVertices[[#This Row],[Vertex]],Vertices[],MATCH("ID",Vertices[[#Headers],[Vertex]:[Top Word Pairs in Comment by Salience]],0),FALSE)</f>
        <v>527</v>
      </c>
    </row>
    <row r="308" spans="1:3" ht="15">
      <c r="A308" s="81" t="s">
        <v>3417</v>
      </c>
      <c r="B308" s="83" t="s">
        <v>746</v>
      </c>
      <c r="C308" s="80">
        <f>VLOOKUP(GroupVertices[[#This Row],[Vertex]],Vertices[],MATCH("ID",Vertices[[#Headers],[Vertex]:[Top Word Pairs in Comment by Salience]],0),FALSE)</f>
        <v>526</v>
      </c>
    </row>
    <row r="309" spans="1:3" ht="15">
      <c r="A309" s="81" t="s">
        <v>3417</v>
      </c>
      <c r="B309" s="83" t="s">
        <v>745</v>
      </c>
      <c r="C309" s="80">
        <f>VLOOKUP(GroupVertices[[#This Row],[Vertex]],Vertices[],MATCH("ID",Vertices[[#Headers],[Vertex]:[Top Word Pairs in Comment by Salience]],0),FALSE)</f>
        <v>525</v>
      </c>
    </row>
    <row r="310" spans="1:3" ht="15">
      <c r="A310" s="81" t="s">
        <v>3417</v>
      </c>
      <c r="B310" s="83" t="s">
        <v>744</v>
      </c>
      <c r="C310" s="80">
        <f>VLOOKUP(GroupVertices[[#This Row],[Vertex]],Vertices[],MATCH("ID",Vertices[[#Headers],[Vertex]:[Top Word Pairs in Comment by Salience]],0),FALSE)</f>
        <v>524</v>
      </c>
    </row>
    <row r="311" spans="1:3" ht="15">
      <c r="A311" s="81" t="s">
        <v>3417</v>
      </c>
      <c r="B311" s="83" t="s">
        <v>743</v>
      </c>
      <c r="C311" s="80">
        <f>VLOOKUP(GroupVertices[[#This Row],[Vertex]],Vertices[],MATCH("ID",Vertices[[#Headers],[Vertex]:[Top Word Pairs in Comment by Salience]],0),FALSE)</f>
        <v>523</v>
      </c>
    </row>
    <row r="312" spans="1:3" ht="15">
      <c r="A312" s="81" t="s">
        <v>3417</v>
      </c>
      <c r="B312" s="83" t="s">
        <v>742</v>
      </c>
      <c r="C312" s="80">
        <f>VLOOKUP(GroupVertices[[#This Row],[Vertex]],Vertices[],MATCH("ID",Vertices[[#Headers],[Vertex]:[Top Word Pairs in Comment by Salience]],0),FALSE)</f>
        <v>522</v>
      </c>
    </row>
    <row r="313" spans="1:3" ht="15">
      <c r="A313" s="81" t="s">
        <v>3417</v>
      </c>
      <c r="B313" s="83" t="s">
        <v>741</v>
      </c>
      <c r="C313" s="80">
        <f>VLOOKUP(GroupVertices[[#This Row],[Vertex]],Vertices[],MATCH("ID",Vertices[[#Headers],[Vertex]:[Top Word Pairs in Comment by Salience]],0),FALSE)</f>
        <v>521</v>
      </c>
    </row>
    <row r="314" spans="1:3" ht="15">
      <c r="A314" s="81" t="s">
        <v>3417</v>
      </c>
      <c r="B314" s="83" t="s">
        <v>740</v>
      </c>
      <c r="C314" s="80">
        <f>VLOOKUP(GroupVertices[[#This Row],[Vertex]],Vertices[],MATCH("ID",Vertices[[#Headers],[Vertex]:[Top Word Pairs in Comment by Salience]],0),FALSE)</f>
        <v>520</v>
      </c>
    </row>
    <row r="315" spans="1:3" ht="15">
      <c r="A315" s="81" t="s">
        <v>3417</v>
      </c>
      <c r="B315" s="83" t="s">
        <v>739</v>
      </c>
      <c r="C315" s="80">
        <f>VLOOKUP(GroupVertices[[#This Row],[Vertex]],Vertices[],MATCH("ID",Vertices[[#Headers],[Vertex]:[Top Word Pairs in Comment by Salience]],0),FALSE)</f>
        <v>519</v>
      </c>
    </row>
    <row r="316" spans="1:3" ht="15">
      <c r="A316" s="81" t="s">
        <v>3417</v>
      </c>
      <c r="B316" s="83" t="s">
        <v>737</v>
      </c>
      <c r="C316" s="80">
        <f>VLOOKUP(GroupVertices[[#This Row],[Vertex]],Vertices[],MATCH("ID",Vertices[[#Headers],[Vertex]:[Top Word Pairs in Comment by Salience]],0),FALSE)</f>
        <v>517</v>
      </c>
    </row>
    <row r="317" spans="1:3" ht="15">
      <c r="A317" s="81" t="s">
        <v>3417</v>
      </c>
      <c r="B317" s="83" t="s">
        <v>736</v>
      </c>
      <c r="C317" s="80">
        <f>VLOOKUP(GroupVertices[[#This Row],[Vertex]],Vertices[],MATCH("ID",Vertices[[#Headers],[Vertex]:[Top Word Pairs in Comment by Salience]],0),FALSE)</f>
        <v>516</v>
      </c>
    </row>
    <row r="318" spans="1:3" ht="15">
      <c r="A318" s="81" t="s">
        <v>3417</v>
      </c>
      <c r="B318" s="83" t="s">
        <v>735</v>
      </c>
      <c r="C318" s="80">
        <f>VLOOKUP(GroupVertices[[#This Row],[Vertex]],Vertices[],MATCH("ID",Vertices[[#Headers],[Vertex]:[Top Word Pairs in Comment by Salience]],0),FALSE)</f>
        <v>515</v>
      </c>
    </row>
    <row r="319" spans="1:3" ht="15">
      <c r="A319" s="81" t="s">
        <v>3417</v>
      </c>
      <c r="B319" s="83" t="s">
        <v>734</v>
      </c>
      <c r="C319" s="80">
        <f>VLOOKUP(GroupVertices[[#This Row],[Vertex]],Vertices[],MATCH("ID",Vertices[[#Headers],[Vertex]:[Top Word Pairs in Comment by Salience]],0),FALSE)</f>
        <v>514</v>
      </c>
    </row>
    <row r="320" spans="1:3" ht="15">
      <c r="A320" s="81" t="s">
        <v>3417</v>
      </c>
      <c r="B320" s="83" t="s">
        <v>732</v>
      </c>
      <c r="C320" s="80">
        <f>VLOOKUP(GroupVertices[[#This Row],[Vertex]],Vertices[],MATCH("ID",Vertices[[#Headers],[Vertex]:[Top Word Pairs in Comment by Salience]],0),FALSE)</f>
        <v>512</v>
      </c>
    </row>
    <row r="321" spans="1:3" ht="15">
      <c r="A321" s="81" t="s">
        <v>3417</v>
      </c>
      <c r="B321" s="83" t="s">
        <v>731</v>
      </c>
      <c r="C321" s="80">
        <f>VLOOKUP(GroupVertices[[#This Row],[Vertex]],Vertices[],MATCH("ID",Vertices[[#Headers],[Vertex]:[Top Word Pairs in Comment by Salience]],0),FALSE)</f>
        <v>511</v>
      </c>
    </row>
    <row r="322" spans="1:3" ht="15">
      <c r="A322" s="81" t="s">
        <v>3417</v>
      </c>
      <c r="B322" s="83" t="s">
        <v>730</v>
      </c>
      <c r="C322" s="80">
        <f>VLOOKUP(GroupVertices[[#This Row],[Vertex]],Vertices[],MATCH("ID",Vertices[[#Headers],[Vertex]:[Top Word Pairs in Comment by Salience]],0),FALSE)</f>
        <v>510</v>
      </c>
    </row>
    <row r="323" spans="1:3" ht="15">
      <c r="A323" s="81" t="s">
        <v>3417</v>
      </c>
      <c r="B323" s="83" t="s">
        <v>729</v>
      </c>
      <c r="C323" s="80">
        <f>VLOOKUP(GroupVertices[[#This Row],[Vertex]],Vertices[],MATCH("ID",Vertices[[#Headers],[Vertex]:[Top Word Pairs in Comment by Salience]],0),FALSE)</f>
        <v>509</v>
      </c>
    </row>
    <row r="324" spans="1:3" ht="15">
      <c r="A324" s="81" t="s">
        <v>3417</v>
      </c>
      <c r="B324" s="83" t="s">
        <v>728</v>
      </c>
      <c r="C324" s="80">
        <f>VLOOKUP(GroupVertices[[#This Row],[Vertex]],Vertices[],MATCH("ID",Vertices[[#Headers],[Vertex]:[Top Word Pairs in Comment by Salience]],0),FALSE)</f>
        <v>508</v>
      </c>
    </row>
    <row r="325" spans="1:3" ht="15">
      <c r="A325" s="81" t="s">
        <v>3417</v>
      </c>
      <c r="B325" s="83" t="s">
        <v>727</v>
      </c>
      <c r="C325" s="80">
        <f>VLOOKUP(GroupVertices[[#This Row],[Vertex]],Vertices[],MATCH("ID",Vertices[[#Headers],[Vertex]:[Top Word Pairs in Comment by Salience]],0),FALSE)</f>
        <v>507</v>
      </c>
    </row>
    <row r="326" spans="1:3" ht="15">
      <c r="A326" s="81" t="s">
        <v>3417</v>
      </c>
      <c r="B326" s="83" t="s">
        <v>726</v>
      </c>
      <c r="C326" s="80">
        <f>VLOOKUP(GroupVertices[[#This Row],[Vertex]],Vertices[],MATCH("ID",Vertices[[#Headers],[Vertex]:[Top Word Pairs in Comment by Salience]],0),FALSE)</f>
        <v>506</v>
      </c>
    </row>
    <row r="327" spans="1:3" ht="15">
      <c r="A327" s="81" t="s">
        <v>3417</v>
      </c>
      <c r="B327" s="83" t="s">
        <v>725</v>
      </c>
      <c r="C327" s="80">
        <f>VLOOKUP(GroupVertices[[#This Row],[Vertex]],Vertices[],MATCH("ID",Vertices[[#Headers],[Vertex]:[Top Word Pairs in Comment by Salience]],0),FALSE)</f>
        <v>505</v>
      </c>
    </row>
    <row r="328" spans="1:3" ht="15">
      <c r="A328" s="81" t="s">
        <v>3417</v>
      </c>
      <c r="B328" s="83" t="s">
        <v>724</v>
      </c>
      <c r="C328" s="80">
        <f>VLOOKUP(GroupVertices[[#This Row],[Vertex]],Vertices[],MATCH("ID",Vertices[[#Headers],[Vertex]:[Top Word Pairs in Comment by Salience]],0),FALSE)</f>
        <v>504</v>
      </c>
    </row>
    <row r="329" spans="1:3" ht="15">
      <c r="A329" s="81" t="s">
        <v>3417</v>
      </c>
      <c r="B329" s="83" t="s">
        <v>723</v>
      </c>
      <c r="C329" s="80">
        <f>VLOOKUP(GroupVertices[[#This Row],[Vertex]],Vertices[],MATCH("ID",Vertices[[#Headers],[Vertex]:[Top Word Pairs in Comment by Salience]],0),FALSE)</f>
        <v>503</v>
      </c>
    </row>
    <row r="330" spans="1:3" ht="15">
      <c r="A330" s="81" t="s">
        <v>3417</v>
      </c>
      <c r="B330" s="83" t="s">
        <v>722</v>
      </c>
      <c r="C330" s="80">
        <f>VLOOKUP(GroupVertices[[#This Row],[Vertex]],Vertices[],MATCH("ID",Vertices[[#Headers],[Vertex]:[Top Word Pairs in Comment by Salience]],0),FALSE)</f>
        <v>502</v>
      </c>
    </row>
    <row r="331" spans="1:3" ht="15">
      <c r="A331" s="81" t="s">
        <v>3417</v>
      </c>
      <c r="B331" s="83" t="s">
        <v>721</v>
      </c>
      <c r="C331" s="80">
        <f>VLOOKUP(GroupVertices[[#This Row],[Vertex]],Vertices[],MATCH("ID",Vertices[[#Headers],[Vertex]:[Top Word Pairs in Comment by Salience]],0),FALSE)</f>
        <v>501</v>
      </c>
    </row>
    <row r="332" spans="1:3" ht="15">
      <c r="A332" s="81" t="s">
        <v>3417</v>
      </c>
      <c r="B332" s="83" t="s">
        <v>720</v>
      </c>
      <c r="C332" s="80">
        <f>VLOOKUP(GroupVertices[[#This Row],[Vertex]],Vertices[],MATCH("ID",Vertices[[#Headers],[Vertex]:[Top Word Pairs in Comment by Salience]],0),FALSE)</f>
        <v>500</v>
      </c>
    </row>
    <row r="333" spans="1:3" ht="15">
      <c r="A333" s="81" t="s">
        <v>3417</v>
      </c>
      <c r="B333" s="83" t="s">
        <v>719</v>
      </c>
      <c r="C333" s="80">
        <f>VLOOKUP(GroupVertices[[#This Row],[Vertex]],Vertices[],MATCH("ID",Vertices[[#Headers],[Vertex]:[Top Word Pairs in Comment by Salience]],0),FALSE)</f>
        <v>499</v>
      </c>
    </row>
    <row r="334" spans="1:3" ht="15">
      <c r="A334" s="81" t="s">
        <v>3417</v>
      </c>
      <c r="B334" s="83" t="s">
        <v>718</v>
      </c>
      <c r="C334" s="80">
        <f>VLOOKUP(GroupVertices[[#This Row],[Vertex]],Vertices[],MATCH("ID",Vertices[[#Headers],[Vertex]:[Top Word Pairs in Comment by Salience]],0),FALSE)</f>
        <v>498</v>
      </c>
    </row>
    <row r="335" spans="1:3" ht="15">
      <c r="A335" s="81" t="s">
        <v>3417</v>
      </c>
      <c r="B335" s="83" t="s">
        <v>717</v>
      </c>
      <c r="C335" s="80">
        <f>VLOOKUP(GroupVertices[[#This Row],[Vertex]],Vertices[],MATCH("ID",Vertices[[#Headers],[Vertex]:[Top Word Pairs in Comment by Salience]],0),FALSE)</f>
        <v>497</v>
      </c>
    </row>
    <row r="336" spans="1:3" ht="15">
      <c r="A336" s="81" t="s">
        <v>3417</v>
      </c>
      <c r="B336" s="83" t="s">
        <v>716</v>
      </c>
      <c r="C336" s="80">
        <f>VLOOKUP(GroupVertices[[#This Row],[Vertex]],Vertices[],MATCH("ID",Vertices[[#Headers],[Vertex]:[Top Word Pairs in Comment by Salience]],0),FALSE)</f>
        <v>496</v>
      </c>
    </row>
    <row r="337" spans="1:3" ht="15">
      <c r="A337" s="81" t="s">
        <v>3417</v>
      </c>
      <c r="B337" s="83" t="s">
        <v>715</v>
      </c>
      <c r="C337" s="80">
        <f>VLOOKUP(GroupVertices[[#This Row],[Vertex]],Vertices[],MATCH("ID",Vertices[[#Headers],[Vertex]:[Top Word Pairs in Comment by Salience]],0),FALSE)</f>
        <v>495</v>
      </c>
    </row>
    <row r="338" spans="1:3" ht="15">
      <c r="A338" s="81" t="s">
        <v>3417</v>
      </c>
      <c r="B338" s="83" t="s">
        <v>714</v>
      </c>
      <c r="C338" s="80">
        <f>VLOOKUP(GroupVertices[[#This Row],[Vertex]],Vertices[],MATCH("ID",Vertices[[#Headers],[Vertex]:[Top Word Pairs in Comment by Salience]],0),FALSE)</f>
        <v>494</v>
      </c>
    </row>
    <row r="339" spans="1:3" ht="15">
      <c r="A339" s="81" t="s">
        <v>3417</v>
      </c>
      <c r="B339" s="83" t="s">
        <v>713</v>
      </c>
      <c r="C339" s="80">
        <f>VLOOKUP(GroupVertices[[#This Row],[Vertex]],Vertices[],MATCH("ID",Vertices[[#Headers],[Vertex]:[Top Word Pairs in Comment by Salience]],0),FALSE)</f>
        <v>493</v>
      </c>
    </row>
    <row r="340" spans="1:3" ht="15">
      <c r="A340" s="81" t="s">
        <v>3417</v>
      </c>
      <c r="B340" s="83" t="s">
        <v>712</v>
      </c>
      <c r="C340" s="80">
        <f>VLOOKUP(GroupVertices[[#This Row],[Vertex]],Vertices[],MATCH("ID",Vertices[[#Headers],[Vertex]:[Top Word Pairs in Comment by Salience]],0),FALSE)</f>
        <v>492</v>
      </c>
    </row>
    <row r="341" spans="1:3" ht="15">
      <c r="A341" s="81" t="s">
        <v>3417</v>
      </c>
      <c r="B341" s="83" t="s">
        <v>710</v>
      </c>
      <c r="C341" s="80">
        <f>VLOOKUP(GroupVertices[[#This Row],[Vertex]],Vertices[],MATCH("ID",Vertices[[#Headers],[Vertex]:[Top Word Pairs in Comment by Salience]],0),FALSE)</f>
        <v>490</v>
      </c>
    </row>
    <row r="342" spans="1:3" ht="15">
      <c r="A342" s="81" t="s">
        <v>3418</v>
      </c>
      <c r="B342" s="83" t="s">
        <v>733</v>
      </c>
      <c r="C342" s="80">
        <f>VLOOKUP(GroupVertices[[#This Row],[Vertex]],Vertices[],MATCH("ID",Vertices[[#Headers],[Vertex]:[Top Word Pairs in Comment by Salience]],0),FALSE)</f>
        <v>513</v>
      </c>
    </row>
    <row r="343" spans="1:3" ht="15">
      <c r="A343" s="81" t="s">
        <v>3418</v>
      </c>
      <c r="B343" s="83" t="s">
        <v>230</v>
      </c>
      <c r="C343" s="80">
        <f>VLOOKUP(GroupVertices[[#This Row],[Vertex]],Vertices[],MATCH("ID",Vertices[[#Headers],[Vertex]:[Top Word Pairs in Comment by Salience]],0),FALSE)</f>
        <v>3</v>
      </c>
    </row>
    <row r="344" spans="1:3" ht="15">
      <c r="A344" s="81" t="s">
        <v>3418</v>
      </c>
      <c r="B344" s="83" t="s">
        <v>255</v>
      </c>
      <c r="C344" s="80">
        <f>VLOOKUP(GroupVertices[[#This Row],[Vertex]],Vertices[],MATCH("ID",Vertices[[#Headers],[Vertex]:[Top Word Pairs in Comment by Salience]],0),FALSE)</f>
        <v>29</v>
      </c>
    </row>
    <row r="345" spans="1:3" ht="15">
      <c r="A345" s="81" t="s">
        <v>3418</v>
      </c>
      <c r="B345" s="83" t="s">
        <v>254</v>
      </c>
      <c r="C345" s="80">
        <f>VLOOKUP(GroupVertices[[#This Row],[Vertex]],Vertices[],MATCH("ID",Vertices[[#Headers],[Vertex]:[Top Word Pairs in Comment by Salience]],0),FALSE)</f>
        <v>28</v>
      </c>
    </row>
    <row r="346" spans="1:3" ht="15">
      <c r="A346" s="81" t="s">
        <v>3418</v>
      </c>
      <c r="B346" s="83" t="s">
        <v>253</v>
      </c>
      <c r="C346" s="80">
        <f>VLOOKUP(GroupVertices[[#This Row],[Vertex]],Vertices[],MATCH("ID",Vertices[[#Headers],[Vertex]:[Top Word Pairs in Comment by Salience]],0),FALSE)</f>
        <v>27</v>
      </c>
    </row>
    <row r="347" spans="1:3" ht="15">
      <c r="A347" s="81" t="s">
        <v>3418</v>
      </c>
      <c r="B347" s="83" t="s">
        <v>252</v>
      </c>
      <c r="C347" s="80">
        <f>VLOOKUP(GroupVertices[[#This Row],[Vertex]],Vertices[],MATCH("ID",Vertices[[#Headers],[Vertex]:[Top Word Pairs in Comment by Salience]],0),FALSE)</f>
        <v>26</v>
      </c>
    </row>
    <row r="348" spans="1:3" ht="15">
      <c r="A348" s="81" t="s">
        <v>3418</v>
      </c>
      <c r="B348" s="83" t="s">
        <v>251</v>
      </c>
      <c r="C348" s="80">
        <f>VLOOKUP(GroupVertices[[#This Row],[Vertex]],Vertices[],MATCH("ID",Vertices[[#Headers],[Vertex]:[Top Word Pairs in Comment by Salience]],0),FALSE)</f>
        <v>25</v>
      </c>
    </row>
    <row r="349" spans="1:3" ht="15">
      <c r="A349" s="81" t="s">
        <v>3418</v>
      </c>
      <c r="B349" s="83" t="s">
        <v>250</v>
      </c>
      <c r="C349" s="80">
        <f>VLOOKUP(GroupVertices[[#This Row],[Vertex]],Vertices[],MATCH("ID",Vertices[[#Headers],[Vertex]:[Top Word Pairs in Comment by Salience]],0),FALSE)</f>
        <v>24</v>
      </c>
    </row>
    <row r="350" spans="1:3" ht="15">
      <c r="A350" s="81" t="s">
        <v>3418</v>
      </c>
      <c r="B350" s="83" t="s">
        <v>249</v>
      </c>
      <c r="C350" s="80">
        <f>VLOOKUP(GroupVertices[[#This Row],[Vertex]],Vertices[],MATCH("ID",Vertices[[#Headers],[Vertex]:[Top Word Pairs in Comment by Salience]],0),FALSE)</f>
        <v>23</v>
      </c>
    </row>
    <row r="351" spans="1:3" ht="15">
      <c r="A351" s="81" t="s">
        <v>3418</v>
      </c>
      <c r="B351" s="83" t="s">
        <v>248</v>
      </c>
      <c r="C351" s="80">
        <f>VLOOKUP(GroupVertices[[#This Row],[Vertex]],Vertices[],MATCH("ID",Vertices[[#Headers],[Vertex]:[Top Word Pairs in Comment by Salience]],0),FALSE)</f>
        <v>22</v>
      </c>
    </row>
    <row r="352" spans="1:3" ht="15">
      <c r="A352" s="81" t="s">
        <v>3418</v>
      </c>
      <c r="B352" s="83" t="s">
        <v>247</v>
      </c>
      <c r="C352" s="80">
        <f>VLOOKUP(GroupVertices[[#This Row],[Vertex]],Vertices[],MATCH("ID",Vertices[[#Headers],[Vertex]:[Top Word Pairs in Comment by Salience]],0),FALSE)</f>
        <v>21</v>
      </c>
    </row>
    <row r="353" spans="1:3" ht="15">
      <c r="A353" s="81" t="s">
        <v>3418</v>
      </c>
      <c r="B353" s="83" t="s">
        <v>246</v>
      </c>
      <c r="C353" s="80">
        <f>VLOOKUP(GroupVertices[[#This Row],[Vertex]],Vertices[],MATCH("ID",Vertices[[#Headers],[Vertex]:[Top Word Pairs in Comment by Salience]],0),FALSE)</f>
        <v>20</v>
      </c>
    </row>
    <row r="354" spans="1:3" ht="15">
      <c r="A354" s="81" t="s">
        <v>3418</v>
      </c>
      <c r="B354" s="83" t="s">
        <v>245</v>
      </c>
      <c r="C354" s="80">
        <f>VLOOKUP(GroupVertices[[#This Row],[Vertex]],Vertices[],MATCH("ID",Vertices[[#Headers],[Vertex]:[Top Word Pairs in Comment by Salience]],0),FALSE)</f>
        <v>19</v>
      </c>
    </row>
    <row r="355" spans="1:3" ht="15">
      <c r="A355" s="81" t="s">
        <v>3418</v>
      </c>
      <c r="B355" s="83" t="s">
        <v>244</v>
      </c>
      <c r="C355" s="80">
        <f>VLOOKUP(GroupVertices[[#This Row],[Vertex]],Vertices[],MATCH("ID",Vertices[[#Headers],[Vertex]:[Top Word Pairs in Comment by Salience]],0),FALSE)</f>
        <v>18</v>
      </c>
    </row>
    <row r="356" spans="1:3" ht="15">
      <c r="A356" s="81" t="s">
        <v>3418</v>
      </c>
      <c r="B356" s="83" t="s">
        <v>243</v>
      </c>
      <c r="C356" s="80">
        <f>VLOOKUP(GroupVertices[[#This Row],[Vertex]],Vertices[],MATCH("ID",Vertices[[#Headers],[Vertex]:[Top Word Pairs in Comment by Salience]],0),FALSE)</f>
        <v>17</v>
      </c>
    </row>
    <row r="357" spans="1:3" ht="15">
      <c r="A357" s="81" t="s">
        <v>3418</v>
      </c>
      <c r="B357" s="83" t="s">
        <v>242</v>
      </c>
      <c r="C357" s="80">
        <f>VLOOKUP(GroupVertices[[#This Row],[Vertex]],Vertices[],MATCH("ID",Vertices[[#Headers],[Vertex]:[Top Word Pairs in Comment by Salience]],0),FALSE)</f>
        <v>16</v>
      </c>
    </row>
    <row r="358" spans="1:3" ht="15">
      <c r="A358" s="81" t="s">
        <v>3418</v>
      </c>
      <c r="B358" s="83" t="s">
        <v>241</v>
      </c>
      <c r="C358" s="80">
        <f>VLOOKUP(GroupVertices[[#This Row],[Vertex]],Vertices[],MATCH("ID",Vertices[[#Headers],[Vertex]:[Top Word Pairs in Comment by Salience]],0),FALSE)</f>
        <v>15</v>
      </c>
    </row>
    <row r="359" spans="1:3" ht="15">
      <c r="A359" s="81" t="s">
        <v>3418</v>
      </c>
      <c r="B359" s="83" t="s">
        <v>240</v>
      </c>
      <c r="C359" s="80">
        <f>VLOOKUP(GroupVertices[[#This Row],[Vertex]],Vertices[],MATCH("ID",Vertices[[#Headers],[Vertex]:[Top Word Pairs in Comment by Salience]],0),FALSE)</f>
        <v>14</v>
      </c>
    </row>
    <row r="360" spans="1:3" ht="15">
      <c r="A360" s="81" t="s">
        <v>3418</v>
      </c>
      <c r="B360" s="83" t="s">
        <v>239</v>
      </c>
      <c r="C360" s="80">
        <f>VLOOKUP(GroupVertices[[#This Row],[Vertex]],Vertices[],MATCH("ID",Vertices[[#Headers],[Vertex]:[Top Word Pairs in Comment by Salience]],0),FALSE)</f>
        <v>13</v>
      </c>
    </row>
    <row r="361" spans="1:3" ht="15">
      <c r="A361" s="81" t="s">
        <v>3418</v>
      </c>
      <c r="B361" s="83" t="s">
        <v>238</v>
      </c>
      <c r="C361" s="80">
        <f>VLOOKUP(GroupVertices[[#This Row],[Vertex]],Vertices[],MATCH("ID",Vertices[[#Headers],[Vertex]:[Top Word Pairs in Comment by Salience]],0),FALSE)</f>
        <v>12</v>
      </c>
    </row>
    <row r="362" spans="1:3" ht="15">
      <c r="A362" s="81" t="s">
        <v>3418</v>
      </c>
      <c r="B362" s="83" t="s">
        <v>237</v>
      </c>
      <c r="C362" s="80">
        <f>VLOOKUP(GroupVertices[[#This Row],[Vertex]],Vertices[],MATCH("ID",Vertices[[#Headers],[Vertex]:[Top Word Pairs in Comment by Salience]],0),FALSE)</f>
        <v>11</v>
      </c>
    </row>
    <row r="363" spans="1:3" ht="15">
      <c r="A363" s="81" t="s">
        <v>3418</v>
      </c>
      <c r="B363" s="83" t="s">
        <v>236</v>
      </c>
      <c r="C363" s="80">
        <f>VLOOKUP(GroupVertices[[#This Row],[Vertex]],Vertices[],MATCH("ID",Vertices[[#Headers],[Vertex]:[Top Word Pairs in Comment by Salience]],0),FALSE)</f>
        <v>10</v>
      </c>
    </row>
    <row r="364" spans="1:3" ht="15">
      <c r="A364" s="81" t="s">
        <v>3418</v>
      </c>
      <c r="B364" s="83" t="s">
        <v>235</v>
      </c>
      <c r="C364" s="80">
        <f>VLOOKUP(GroupVertices[[#This Row],[Vertex]],Vertices[],MATCH("ID",Vertices[[#Headers],[Vertex]:[Top Word Pairs in Comment by Salience]],0),FALSE)</f>
        <v>9</v>
      </c>
    </row>
    <row r="365" spans="1:3" ht="15">
      <c r="A365" s="81" t="s">
        <v>3418</v>
      </c>
      <c r="B365" s="83" t="s">
        <v>234</v>
      </c>
      <c r="C365" s="80">
        <f>VLOOKUP(GroupVertices[[#This Row],[Vertex]],Vertices[],MATCH("ID",Vertices[[#Headers],[Vertex]:[Top Word Pairs in Comment by Salience]],0),FALSE)</f>
        <v>8</v>
      </c>
    </row>
    <row r="366" spans="1:3" ht="15">
      <c r="A366" s="81" t="s">
        <v>3418</v>
      </c>
      <c r="B366" s="83" t="s">
        <v>233</v>
      </c>
      <c r="C366" s="80">
        <f>VLOOKUP(GroupVertices[[#This Row],[Vertex]],Vertices[],MATCH("ID",Vertices[[#Headers],[Vertex]:[Top Word Pairs in Comment by Salience]],0),FALSE)</f>
        <v>7</v>
      </c>
    </row>
    <row r="367" spans="1:3" ht="15">
      <c r="A367" s="81" t="s">
        <v>3418</v>
      </c>
      <c r="B367" s="83" t="s">
        <v>232</v>
      </c>
      <c r="C367" s="80">
        <f>VLOOKUP(GroupVertices[[#This Row],[Vertex]],Vertices[],MATCH("ID",Vertices[[#Headers],[Vertex]:[Top Word Pairs in Comment by Salience]],0),FALSE)</f>
        <v>6</v>
      </c>
    </row>
    <row r="368" spans="1:3" ht="15">
      <c r="A368" s="81" t="s">
        <v>3418</v>
      </c>
      <c r="B368" s="83" t="s">
        <v>231</v>
      </c>
      <c r="C368" s="80">
        <f>VLOOKUP(GroupVertices[[#This Row],[Vertex]],Vertices[],MATCH("ID",Vertices[[#Headers],[Vertex]:[Top Word Pairs in Comment by Salience]],0),FALSE)</f>
        <v>5</v>
      </c>
    </row>
    <row r="369" spans="1:3" ht="15">
      <c r="A369" s="81" t="s">
        <v>3418</v>
      </c>
      <c r="B369" s="83" t="s">
        <v>229</v>
      </c>
      <c r="C369" s="80">
        <f>VLOOKUP(GroupVertices[[#This Row],[Vertex]],Vertices[],MATCH("ID",Vertices[[#Headers],[Vertex]:[Top Word Pairs in Comment by Salience]],0),FALSE)</f>
        <v>4</v>
      </c>
    </row>
    <row r="370" spans="1:3" ht="15">
      <c r="A370" s="81" t="s">
        <v>3419</v>
      </c>
      <c r="B370" s="83" t="s">
        <v>668</v>
      </c>
      <c r="C370" s="80">
        <f>VLOOKUP(GroupVertices[[#This Row],[Vertex]],Vertices[],MATCH("ID",Vertices[[#Headers],[Vertex]:[Top Word Pairs in Comment by Salience]],0),FALSE)</f>
        <v>445</v>
      </c>
    </row>
    <row r="371" spans="1:3" ht="15">
      <c r="A371" s="81" t="s">
        <v>3419</v>
      </c>
      <c r="B371" s="83" t="s">
        <v>547</v>
      </c>
      <c r="C371" s="80">
        <f>VLOOKUP(GroupVertices[[#This Row],[Vertex]],Vertices[],MATCH("ID",Vertices[[#Headers],[Vertex]:[Top Word Pairs in Comment by Salience]],0),FALSE)</f>
        <v>320</v>
      </c>
    </row>
    <row r="372" spans="1:3" ht="15">
      <c r="A372" s="81" t="s">
        <v>3419</v>
      </c>
      <c r="B372" s="83" t="s">
        <v>567</v>
      </c>
      <c r="C372" s="80">
        <f>VLOOKUP(GroupVertices[[#This Row],[Vertex]],Vertices[],MATCH("ID",Vertices[[#Headers],[Vertex]:[Top Word Pairs in Comment by Salience]],0),FALSE)</f>
        <v>344</v>
      </c>
    </row>
    <row r="373" spans="1:3" ht="15">
      <c r="A373" s="81" t="s">
        <v>3419</v>
      </c>
      <c r="B373" s="83" t="s">
        <v>566</v>
      </c>
      <c r="C373" s="80">
        <f>VLOOKUP(GroupVertices[[#This Row],[Vertex]],Vertices[],MATCH("ID",Vertices[[#Headers],[Vertex]:[Top Word Pairs in Comment by Salience]],0),FALSE)</f>
        <v>343</v>
      </c>
    </row>
    <row r="374" spans="1:3" ht="15">
      <c r="A374" s="81" t="s">
        <v>3419</v>
      </c>
      <c r="B374" s="83" t="s">
        <v>565</v>
      </c>
      <c r="C374" s="80">
        <f>VLOOKUP(GroupVertices[[#This Row],[Vertex]],Vertices[],MATCH("ID",Vertices[[#Headers],[Vertex]:[Top Word Pairs in Comment by Salience]],0),FALSE)</f>
        <v>342</v>
      </c>
    </row>
    <row r="375" spans="1:3" ht="15">
      <c r="A375" s="81" t="s">
        <v>3419</v>
      </c>
      <c r="B375" s="83" t="s">
        <v>564</v>
      </c>
      <c r="C375" s="80">
        <f>VLOOKUP(GroupVertices[[#This Row],[Vertex]],Vertices[],MATCH("ID",Vertices[[#Headers],[Vertex]:[Top Word Pairs in Comment by Salience]],0),FALSE)</f>
        <v>341</v>
      </c>
    </row>
    <row r="376" spans="1:3" ht="15">
      <c r="A376" s="81" t="s">
        <v>3419</v>
      </c>
      <c r="B376" s="83" t="s">
        <v>563</v>
      </c>
      <c r="C376" s="80">
        <f>VLOOKUP(GroupVertices[[#This Row],[Vertex]],Vertices[],MATCH("ID",Vertices[[#Headers],[Vertex]:[Top Word Pairs in Comment by Salience]],0),FALSE)</f>
        <v>340</v>
      </c>
    </row>
    <row r="377" spans="1:3" ht="15">
      <c r="A377" s="81" t="s">
        <v>3419</v>
      </c>
      <c r="B377" s="83" t="s">
        <v>562</v>
      </c>
      <c r="C377" s="80">
        <f>VLOOKUP(GroupVertices[[#This Row],[Vertex]],Vertices[],MATCH("ID",Vertices[[#Headers],[Vertex]:[Top Word Pairs in Comment by Salience]],0),FALSE)</f>
        <v>339</v>
      </c>
    </row>
    <row r="378" spans="1:3" ht="15">
      <c r="A378" s="81" t="s">
        <v>3419</v>
      </c>
      <c r="B378" s="83" t="s">
        <v>561</v>
      </c>
      <c r="C378" s="80">
        <f>VLOOKUP(GroupVertices[[#This Row],[Vertex]],Vertices[],MATCH("ID",Vertices[[#Headers],[Vertex]:[Top Word Pairs in Comment by Salience]],0),FALSE)</f>
        <v>338</v>
      </c>
    </row>
    <row r="379" spans="1:3" ht="15">
      <c r="A379" s="81" t="s">
        <v>3419</v>
      </c>
      <c r="B379" s="83" t="s">
        <v>560</v>
      </c>
      <c r="C379" s="80">
        <f>VLOOKUP(GroupVertices[[#This Row],[Vertex]],Vertices[],MATCH("ID",Vertices[[#Headers],[Vertex]:[Top Word Pairs in Comment by Salience]],0),FALSE)</f>
        <v>337</v>
      </c>
    </row>
    <row r="380" spans="1:3" ht="15">
      <c r="A380" s="81" t="s">
        <v>3419</v>
      </c>
      <c r="B380" s="83" t="s">
        <v>559</v>
      </c>
      <c r="C380" s="80">
        <f>VLOOKUP(GroupVertices[[#This Row],[Vertex]],Vertices[],MATCH("ID",Vertices[[#Headers],[Vertex]:[Top Word Pairs in Comment by Salience]],0),FALSE)</f>
        <v>336</v>
      </c>
    </row>
    <row r="381" spans="1:3" ht="15">
      <c r="A381" s="81" t="s">
        <v>3419</v>
      </c>
      <c r="B381" s="83" t="s">
        <v>558</v>
      </c>
      <c r="C381" s="80">
        <f>VLOOKUP(GroupVertices[[#This Row],[Vertex]],Vertices[],MATCH("ID",Vertices[[#Headers],[Vertex]:[Top Word Pairs in Comment by Salience]],0),FALSE)</f>
        <v>335</v>
      </c>
    </row>
    <row r="382" spans="1:3" ht="15">
      <c r="A382" s="81" t="s">
        <v>3419</v>
      </c>
      <c r="B382" s="83" t="s">
        <v>557</v>
      </c>
      <c r="C382" s="80">
        <f>VLOOKUP(GroupVertices[[#This Row],[Vertex]],Vertices[],MATCH("ID",Vertices[[#Headers],[Vertex]:[Top Word Pairs in Comment by Salience]],0),FALSE)</f>
        <v>334</v>
      </c>
    </row>
    <row r="383" spans="1:3" ht="15">
      <c r="A383" s="81" t="s">
        <v>3419</v>
      </c>
      <c r="B383" s="83" t="s">
        <v>556</v>
      </c>
      <c r="C383" s="80">
        <f>VLOOKUP(GroupVertices[[#This Row],[Vertex]],Vertices[],MATCH("ID",Vertices[[#Headers],[Vertex]:[Top Word Pairs in Comment by Salience]],0),FALSE)</f>
        <v>333</v>
      </c>
    </row>
    <row r="384" spans="1:3" ht="15">
      <c r="A384" s="81" t="s">
        <v>3419</v>
      </c>
      <c r="B384" s="83" t="s">
        <v>555</v>
      </c>
      <c r="C384" s="80">
        <f>VLOOKUP(GroupVertices[[#This Row],[Vertex]],Vertices[],MATCH("ID",Vertices[[#Headers],[Vertex]:[Top Word Pairs in Comment by Salience]],0),FALSE)</f>
        <v>332</v>
      </c>
    </row>
    <row r="385" spans="1:3" ht="15">
      <c r="A385" s="81" t="s">
        <v>3419</v>
      </c>
      <c r="B385" s="83" t="s">
        <v>554</v>
      </c>
      <c r="C385" s="80">
        <f>VLOOKUP(GroupVertices[[#This Row],[Vertex]],Vertices[],MATCH("ID",Vertices[[#Headers],[Vertex]:[Top Word Pairs in Comment by Salience]],0),FALSE)</f>
        <v>331</v>
      </c>
    </row>
    <row r="386" spans="1:3" ht="15">
      <c r="A386" s="81" t="s">
        <v>3419</v>
      </c>
      <c r="B386" s="83" t="s">
        <v>553</v>
      </c>
      <c r="C386" s="80">
        <f>VLOOKUP(GroupVertices[[#This Row],[Vertex]],Vertices[],MATCH("ID",Vertices[[#Headers],[Vertex]:[Top Word Pairs in Comment by Salience]],0),FALSE)</f>
        <v>330</v>
      </c>
    </row>
    <row r="387" spans="1:3" ht="15">
      <c r="A387" s="81" t="s">
        <v>3419</v>
      </c>
      <c r="B387" s="83" t="s">
        <v>552</v>
      </c>
      <c r="C387" s="80">
        <f>VLOOKUP(GroupVertices[[#This Row],[Vertex]],Vertices[],MATCH("ID",Vertices[[#Headers],[Vertex]:[Top Word Pairs in Comment by Salience]],0),FALSE)</f>
        <v>329</v>
      </c>
    </row>
    <row r="388" spans="1:3" ht="15">
      <c r="A388" s="81" t="s">
        <v>3419</v>
      </c>
      <c r="B388" s="83" t="s">
        <v>551</v>
      </c>
      <c r="C388" s="80">
        <f>VLOOKUP(GroupVertices[[#This Row],[Vertex]],Vertices[],MATCH("ID",Vertices[[#Headers],[Vertex]:[Top Word Pairs in Comment by Salience]],0),FALSE)</f>
        <v>328</v>
      </c>
    </row>
    <row r="389" spans="1:3" ht="15">
      <c r="A389" s="81" t="s">
        <v>3419</v>
      </c>
      <c r="B389" s="83" t="s">
        <v>550</v>
      </c>
      <c r="C389" s="80">
        <f>VLOOKUP(GroupVertices[[#This Row],[Vertex]],Vertices[],MATCH("ID",Vertices[[#Headers],[Vertex]:[Top Word Pairs in Comment by Salience]],0),FALSE)</f>
        <v>327</v>
      </c>
    </row>
    <row r="390" spans="1:3" ht="15">
      <c r="A390" s="81" t="s">
        <v>3419</v>
      </c>
      <c r="B390" s="83" t="s">
        <v>549</v>
      </c>
      <c r="C390" s="80">
        <f>VLOOKUP(GroupVertices[[#This Row],[Vertex]],Vertices[],MATCH("ID",Vertices[[#Headers],[Vertex]:[Top Word Pairs in Comment by Salience]],0),FALSE)</f>
        <v>326</v>
      </c>
    </row>
    <row r="391" spans="1:3" ht="15">
      <c r="A391" s="81" t="s">
        <v>3419</v>
      </c>
      <c r="B391" s="83" t="s">
        <v>548</v>
      </c>
      <c r="C391" s="80">
        <f>VLOOKUP(GroupVertices[[#This Row],[Vertex]],Vertices[],MATCH("ID",Vertices[[#Headers],[Vertex]:[Top Word Pairs in Comment by Salience]],0),FALSE)</f>
        <v>325</v>
      </c>
    </row>
    <row r="392" spans="1:3" ht="15">
      <c r="A392" s="81" t="s">
        <v>3419</v>
      </c>
      <c r="B392" s="83" t="s">
        <v>546</v>
      </c>
      <c r="C392" s="80">
        <f>VLOOKUP(GroupVertices[[#This Row],[Vertex]],Vertices[],MATCH("ID",Vertices[[#Headers],[Vertex]:[Top Word Pairs in Comment by Salience]],0),FALSE)</f>
        <v>324</v>
      </c>
    </row>
    <row r="393" spans="1:3" ht="15">
      <c r="A393" s="81" t="s">
        <v>3419</v>
      </c>
      <c r="B393" s="83" t="s">
        <v>545</v>
      </c>
      <c r="C393" s="80">
        <f>VLOOKUP(GroupVertices[[#This Row],[Vertex]],Vertices[],MATCH("ID",Vertices[[#Headers],[Vertex]:[Top Word Pairs in Comment by Salience]],0),FALSE)</f>
        <v>323</v>
      </c>
    </row>
    <row r="394" spans="1:3" ht="15">
      <c r="A394" s="81" t="s">
        <v>3419</v>
      </c>
      <c r="B394" s="83" t="s">
        <v>544</v>
      </c>
      <c r="C394" s="80">
        <f>VLOOKUP(GroupVertices[[#This Row],[Vertex]],Vertices[],MATCH("ID",Vertices[[#Headers],[Vertex]:[Top Word Pairs in Comment by Salience]],0),FALSE)</f>
        <v>322</v>
      </c>
    </row>
    <row r="395" spans="1:3" ht="15">
      <c r="A395" s="81" t="s">
        <v>3419</v>
      </c>
      <c r="B395" s="83" t="s">
        <v>543</v>
      </c>
      <c r="C395" s="80">
        <f>VLOOKUP(GroupVertices[[#This Row],[Vertex]],Vertices[],MATCH("ID",Vertices[[#Headers],[Vertex]:[Top Word Pairs in Comment by Salience]],0),FALSE)</f>
        <v>321</v>
      </c>
    </row>
    <row r="396" spans="1:3" ht="15">
      <c r="A396" s="81" t="s">
        <v>3419</v>
      </c>
      <c r="B396" s="83" t="s">
        <v>542</v>
      </c>
      <c r="C396" s="80">
        <f>VLOOKUP(GroupVertices[[#This Row],[Vertex]],Vertices[],MATCH("ID",Vertices[[#Headers],[Vertex]:[Top Word Pairs in Comment by Salience]],0),FALSE)</f>
        <v>319</v>
      </c>
    </row>
    <row r="397" spans="1:3" ht="15">
      <c r="A397" s="81" t="s">
        <v>3420</v>
      </c>
      <c r="B397" s="83" t="s">
        <v>541</v>
      </c>
      <c r="C397" s="80">
        <f>VLOOKUP(GroupVertices[[#This Row],[Vertex]],Vertices[],MATCH("ID",Vertices[[#Headers],[Vertex]:[Top Word Pairs in Comment by Salience]],0),FALSE)</f>
        <v>318</v>
      </c>
    </row>
    <row r="398" spans="1:3" ht="15">
      <c r="A398" s="81" t="s">
        <v>3420</v>
      </c>
      <c r="B398" s="83" t="s">
        <v>753</v>
      </c>
      <c r="C398" s="80">
        <f>VLOOKUP(GroupVertices[[#This Row],[Vertex]],Vertices[],MATCH("ID",Vertices[[#Headers],[Vertex]:[Top Word Pairs in Comment by Salience]],0),FALSE)</f>
        <v>294</v>
      </c>
    </row>
    <row r="399" spans="1:3" ht="15">
      <c r="A399" s="81" t="s">
        <v>3420</v>
      </c>
      <c r="B399" s="83" t="s">
        <v>540</v>
      </c>
      <c r="C399" s="80">
        <f>VLOOKUP(GroupVertices[[#This Row],[Vertex]],Vertices[],MATCH("ID",Vertices[[#Headers],[Vertex]:[Top Word Pairs in Comment by Salience]],0),FALSE)</f>
        <v>317</v>
      </c>
    </row>
    <row r="400" spans="1:3" ht="15">
      <c r="A400" s="81" t="s">
        <v>3420</v>
      </c>
      <c r="B400" s="83" t="s">
        <v>539</v>
      </c>
      <c r="C400" s="80">
        <f>VLOOKUP(GroupVertices[[#This Row],[Vertex]],Vertices[],MATCH("ID",Vertices[[#Headers],[Vertex]:[Top Word Pairs in Comment by Salience]],0),FALSE)</f>
        <v>316</v>
      </c>
    </row>
    <row r="401" spans="1:3" ht="15">
      <c r="A401" s="81" t="s">
        <v>3420</v>
      </c>
      <c r="B401" s="83" t="s">
        <v>538</v>
      </c>
      <c r="C401" s="80">
        <f>VLOOKUP(GroupVertices[[#This Row],[Vertex]],Vertices[],MATCH("ID",Vertices[[#Headers],[Vertex]:[Top Word Pairs in Comment by Salience]],0),FALSE)</f>
        <v>315</v>
      </c>
    </row>
    <row r="402" spans="1:3" ht="15">
      <c r="A402" s="81" t="s">
        <v>3420</v>
      </c>
      <c r="B402" s="83" t="s">
        <v>537</v>
      </c>
      <c r="C402" s="80">
        <f>VLOOKUP(GroupVertices[[#This Row],[Vertex]],Vertices[],MATCH("ID",Vertices[[#Headers],[Vertex]:[Top Word Pairs in Comment by Salience]],0),FALSE)</f>
        <v>314</v>
      </c>
    </row>
    <row r="403" spans="1:3" ht="15">
      <c r="A403" s="81" t="s">
        <v>3420</v>
      </c>
      <c r="B403" s="83" t="s">
        <v>536</v>
      </c>
      <c r="C403" s="80">
        <f>VLOOKUP(GroupVertices[[#This Row],[Vertex]],Vertices[],MATCH("ID",Vertices[[#Headers],[Vertex]:[Top Word Pairs in Comment by Salience]],0),FALSE)</f>
        <v>313</v>
      </c>
    </row>
    <row r="404" spans="1:3" ht="15">
      <c r="A404" s="81" t="s">
        <v>3420</v>
      </c>
      <c r="B404" s="83" t="s">
        <v>535</v>
      </c>
      <c r="C404" s="80">
        <f>VLOOKUP(GroupVertices[[#This Row],[Vertex]],Vertices[],MATCH("ID",Vertices[[#Headers],[Vertex]:[Top Word Pairs in Comment by Salience]],0),FALSE)</f>
        <v>312</v>
      </c>
    </row>
    <row r="405" spans="1:3" ht="15">
      <c r="A405" s="81" t="s">
        <v>3420</v>
      </c>
      <c r="B405" s="83" t="s">
        <v>534</v>
      </c>
      <c r="C405" s="80">
        <f>VLOOKUP(GroupVertices[[#This Row],[Vertex]],Vertices[],MATCH("ID",Vertices[[#Headers],[Vertex]:[Top Word Pairs in Comment by Salience]],0),FALSE)</f>
        <v>311</v>
      </c>
    </row>
    <row r="406" spans="1:3" ht="15">
      <c r="A406" s="81" t="s">
        <v>3420</v>
      </c>
      <c r="B406" s="83" t="s">
        <v>533</v>
      </c>
      <c r="C406" s="80">
        <f>VLOOKUP(GroupVertices[[#This Row],[Vertex]],Vertices[],MATCH("ID",Vertices[[#Headers],[Vertex]:[Top Word Pairs in Comment by Salience]],0),FALSE)</f>
        <v>310</v>
      </c>
    </row>
    <row r="407" spans="1:3" ht="15">
      <c r="A407" s="81" t="s">
        <v>3420</v>
      </c>
      <c r="B407" s="83" t="s">
        <v>532</v>
      </c>
      <c r="C407" s="80">
        <f>VLOOKUP(GroupVertices[[#This Row],[Vertex]],Vertices[],MATCH("ID",Vertices[[#Headers],[Vertex]:[Top Word Pairs in Comment by Salience]],0),FALSE)</f>
        <v>309</v>
      </c>
    </row>
    <row r="408" spans="1:3" ht="15">
      <c r="A408" s="81" t="s">
        <v>3420</v>
      </c>
      <c r="B408" s="83" t="s">
        <v>531</v>
      </c>
      <c r="C408" s="80">
        <f>VLOOKUP(GroupVertices[[#This Row],[Vertex]],Vertices[],MATCH("ID",Vertices[[#Headers],[Vertex]:[Top Word Pairs in Comment by Salience]],0),FALSE)</f>
        <v>308</v>
      </c>
    </row>
    <row r="409" spans="1:3" ht="15">
      <c r="A409" s="81" t="s">
        <v>3420</v>
      </c>
      <c r="B409" s="83" t="s">
        <v>530</v>
      </c>
      <c r="C409" s="80">
        <f>VLOOKUP(GroupVertices[[#This Row],[Vertex]],Vertices[],MATCH("ID",Vertices[[#Headers],[Vertex]:[Top Word Pairs in Comment by Salience]],0),FALSE)</f>
        <v>307</v>
      </c>
    </row>
    <row r="410" spans="1:3" ht="15">
      <c r="A410" s="81" t="s">
        <v>3420</v>
      </c>
      <c r="B410" s="83" t="s">
        <v>529</v>
      </c>
      <c r="C410" s="80">
        <f>VLOOKUP(GroupVertices[[#This Row],[Vertex]],Vertices[],MATCH("ID",Vertices[[#Headers],[Vertex]:[Top Word Pairs in Comment by Salience]],0),FALSE)</f>
        <v>306</v>
      </c>
    </row>
    <row r="411" spans="1:3" ht="15">
      <c r="A411" s="81" t="s">
        <v>3420</v>
      </c>
      <c r="B411" s="83" t="s">
        <v>528</v>
      </c>
      <c r="C411" s="80">
        <f>VLOOKUP(GroupVertices[[#This Row],[Vertex]],Vertices[],MATCH("ID",Vertices[[#Headers],[Vertex]:[Top Word Pairs in Comment by Salience]],0),FALSE)</f>
        <v>305</v>
      </c>
    </row>
    <row r="412" spans="1:3" ht="15">
      <c r="A412" s="81" t="s">
        <v>3420</v>
      </c>
      <c r="B412" s="83" t="s">
        <v>527</v>
      </c>
      <c r="C412" s="80">
        <f>VLOOKUP(GroupVertices[[#This Row],[Vertex]],Vertices[],MATCH("ID",Vertices[[#Headers],[Vertex]:[Top Word Pairs in Comment by Salience]],0),FALSE)</f>
        <v>304</v>
      </c>
    </row>
    <row r="413" spans="1:3" ht="15">
      <c r="A413" s="81" t="s">
        <v>3420</v>
      </c>
      <c r="B413" s="83" t="s">
        <v>526</v>
      </c>
      <c r="C413" s="80">
        <f>VLOOKUP(GroupVertices[[#This Row],[Vertex]],Vertices[],MATCH("ID",Vertices[[#Headers],[Vertex]:[Top Word Pairs in Comment by Salience]],0),FALSE)</f>
        <v>303</v>
      </c>
    </row>
    <row r="414" spans="1:3" ht="15">
      <c r="A414" s="81" t="s">
        <v>3420</v>
      </c>
      <c r="B414" s="83" t="s">
        <v>525</v>
      </c>
      <c r="C414" s="80">
        <f>VLOOKUP(GroupVertices[[#This Row],[Vertex]],Vertices[],MATCH("ID",Vertices[[#Headers],[Vertex]:[Top Word Pairs in Comment by Salience]],0),FALSE)</f>
        <v>302</v>
      </c>
    </row>
    <row r="415" spans="1:3" ht="15">
      <c r="A415" s="81" t="s">
        <v>3420</v>
      </c>
      <c r="B415" s="83" t="s">
        <v>524</v>
      </c>
      <c r="C415" s="80">
        <f>VLOOKUP(GroupVertices[[#This Row],[Vertex]],Vertices[],MATCH("ID",Vertices[[#Headers],[Vertex]:[Top Word Pairs in Comment by Salience]],0),FALSE)</f>
        <v>301</v>
      </c>
    </row>
    <row r="416" spans="1:3" ht="15">
      <c r="A416" s="81" t="s">
        <v>3420</v>
      </c>
      <c r="B416" s="83" t="s">
        <v>523</v>
      </c>
      <c r="C416" s="80">
        <f>VLOOKUP(GroupVertices[[#This Row],[Vertex]],Vertices[],MATCH("ID",Vertices[[#Headers],[Vertex]:[Top Word Pairs in Comment by Salience]],0),FALSE)</f>
        <v>300</v>
      </c>
    </row>
    <row r="417" spans="1:3" ht="15">
      <c r="A417" s="81" t="s">
        <v>3420</v>
      </c>
      <c r="B417" s="83" t="s">
        <v>522</v>
      </c>
      <c r="C417" s="80">
        <f>VLOOKUP(GroupVertices[[#This Row],[Vertex]],Vertices[],MATCH("ID",Vertices[[#Headers],[Vertex]:[Top Word Pairs in Comment by Salience]],0),FALSE)</f>
        <v>299</v>
      </c>
    </row>
    <row r="418" spans="1:3" ht="15">
      <c r="A418" s="81" t="s">
        <v>3420</v>
      </c>
      <c r="B418" s="83" t="s">
        <v>521</v>
      </c>
      <c r="C418" s="80">
        <f>VLOOKUP(GroupVertices[[#This Row],[Vertex]],Vertices[],MATCH("ID",Vertices[[#Headers],[Vertex]:[Top Word Pairs in Comment by Salience]],0),FALSE)</f>
        <v>298</v>
      </c>
    </row>
    <row r="419" spans="1:3" ht="15">
      <c r="A419" s="81" t="s">
        <v>3420</v>
      </c>
      <c r="B419" s="83" t="s">
        <v>520</v>
      </c>
      <c r="C419" s="80">
        <f>VLOOKUP(GroupVertices[[#This Row],[Vertex]],Vertices[],MATCH("ID",Vertices[[#Headers],[Vertex]:[Top Word Pairs in Comment by Salience]],0),FALSE)</f>
        <v>297</v>
      </c>
    </row>
    <row r="420" spans="1:3" ht="15">
      <c r="A420" s="81" t="s">
        <v>3420</v>
      </c>
      <c r="B420" s="83" t="s">
        <v>519</v>
      </c>
      <c r="C420" s="80">
        <f>VLOOKUP(GroupVertices[[#This Row],[Vertex]],Vertices[],MATCH("ID",Vertices[[#Headers],[Vertex]:[Top Word Pairs in Comment by Salience]],0),FALSE)</f>
        <v>296</v>
      </c>
    </row>
    <row r="421" spans="1:3" ht="15">
      <c r="A421" s="81" t="s">
        <v>3420</v>
      </c>
      <c r="B421" s="83" t="s">
        <v>518</v>
      </c>
      <c r="C421" s="80">
        <f>VLOOKUP(GroupVertices[[#This Row],[Vertex]],Vertices[],MATCH("ID",Vertices[[#Headers],[Vertex]:[Top Word Pairs in Comment by Salience]],0),FALSE)</f>
        <v>295</v>
      </c>
    </row>
    <row r="422" spans="1:3" ht="15">
      <c r="A422" s="81" t="s">
        <v>3420</v>
      </c>
      <c r="B422" s="83" t="s">
        <v>517</v>
      </c>
      <c r="C422" s="80">
        <f>VLOOKUP(GroupVertices[[#This Row],[Vertex]],Vertices[],MATCH("ID",Vertices[[#Headers],[Vertex]:[Top Word Pairs in Comment by Salience]],0),FALSE)</f>
        <v>293</v>
      </c>
    </row>
    <row r="423" spans="1:3" ht="15">
      <c r="A423" s="81" t="s">
        <v>3421</v>
      </c>
      <c r="B423" s="83" t="s">
        <v>688</v>
      </c>
      <c r="C423" s="80">
        <f>VLOOKUP(GroupVertices[[#This Row],[Vertex]],Vertices[],MATCH("ID",Vertices[[#Headers],[Vertex]:[Top Word Pairs in Comment by Salience]],0),FALSE)</f>
        <v>467</v>
      </c>
    </row>
    <row r="424" spans="1:3" ht="15">
      <c r="A424" s="81" t="s">
        <v>3421</v>
      </c>
      <c r="B424" s="83" t="s">
        <v>757</v>
      </c>
      <c r="C424" s="80">
        <f>VLOOKUP(GroupVertices[[#This Row],[Vertex]],Vertices[],MATCH("ID",Vertices[[#Headers],[Vertex]:[Top Word Pairs in Comment by Salience]],0),FALSE)</f>
        <v>452</v>
      </c>
    </row>
    <row r="425" spans="1:3" ht="15">
      <c r="A425" s="81" t="s">
        <v>3421</v>
      </c>
      <c r="B425" s="83" t="s">
        <v>687</v>
      </c>
      <c r="C425" s="80">
        <f>VLOOKUP(GroupVertices[[#This Row],[Vertex]],Vertices[],MATCH("ID",Vertices[[#Headers],[Vertex]:[Top Word Pairs in Comment by Salience]],0),FALSE)</f>
        <v>466</v>
      </c>
    </row>
    <row r="426" spans="1:3" ht="15">
      <c r="A426" s="81" t="s">
        <v>3421</v>
      </c>
      <c r="B426" s="83" t="s">
        <v>417</v>
      </c>
      <c r="C426" s="80">
        <f>VLOOKUP(GroupVertices[[#This Row],[Vertex]],Vertices[],MATCH("ID",Vertices[[#Headers],[Vertex]:[Top Word Pairs in Comment by Salience]],0),FALSE)</f>
        <v>193</v>
      </c>
    </row>
    <row r="427" spans="1:3" ht="15">
      <c r="A427" s="81" t="s">
        <v>3421</v>
      </c>
      <c r="B427" s="83" t="s">
        <v>686</v>
      </c>
      <c r="C427" s="80">
        <f>VLOOKUP(GroupVertices[[#This Row],[Vertex]],Vertices[],MATCH("ID",Vertices[[#Headers],[Vertex]:[Top Word Pairs in Comment by Salience]],0),FALSE)</f>
        <v>465</v>
      </c>
    </row>
    <row r="428" spans="1:3" ht="15">
      <c r="A428" s="81" t="s">
        <v>3421</v>
      </c>
      <c r="B428" s="83" t="s">
        <v>685</v>
      </c>
      <c r="C428" s="80">
        <f>VLOOKUP(GroupVertices[[#This Row],[Vertex]],Vertices[],MATCH("ID",Vertices[[#Headers],[Vertex]:[Top Word Pairs in Comment by Salience]],0),FALSE)</f>
        <v>464</v>
      </c>
    </row>
    <row r="429" spans="1:3" ht="15">
      <c r="A429" s="81" t="s">
        <v>3421</v>
      </c>
      <c r="B429" s="83" t="s">
        <v>684</v>
      </c>
      <c r="C429" s="80">
        <f>VLOOKUP(GroupVertices[[#This Row],[Vertex]],Vertices[],MATCH("ID",Vertices[[#Headers],[Vertex]:[Top Word Pairs in Comment by Salience]],0),FALSE)</f>
        <v>463</v>
      </c>
    </row>
    <row r="430" spans="1:3" ht="15">
      <c r="A430" s="81" t="s">
        <v>3421</v>
      </c>
      <c r="B430" s="83" t="s">
        <v>683</v>
      </c>
      <c r="C430" s="80">
        <f>VLOOKUP(GroupVertices[[#This Row],[Vertex]],Vertices[],MATCH("ID",Vertices[[#Headers],[Vertex]:[Top Word Pairs in Comment by Salience]],0),FALSE)</f>
        <v>462</v>
      </c>
    </row>
    <row r="431" spans="1:3" ht="15">
      <c r="A431" s="81" t="s">
        <v>3421</v>
      </c>
      <c r="B431" s="83" t="s">
        <v>682</v>
      </c>
      <c r="C431" s="80">
        <f>VLOOKUP(GroupVertices[[#This Row],[Vertex]],Vertices[],MATCH("ID",Vertices[[#Headers],[Vertex]:[Top Word Pairs in Comment by Salience]],0),FALSE)</f>
        <v>461</v>
      </c>
    </row>
    <row r="432" spans="1:3" ht="15">
      <c r="A432" s="81" t="s">
        <v>3421</v>
      </c>
      <c r="B432" s="83" t="s">
        <v>681</v>
      </c>
      <c r="C432" s="80">
        <f>VLOOKUP(GroupVertices[[#This Row],[Vertex]],Vertices[],MATCH("ID",Vertices[[#Headers],[Vertex]:[Top Word Pairs in Comment by Salience]],0),FALSE)</f>
        <v>460</v>
      </c>
    </row>
    <row r="433" spans="1:3" ht="15">
      <c r="A433" s="81" t="s">
        <v>3421</v>
      </c>
      <c r="B433" s="83" t="s">
        <v>680</v>
      </c>
      <c r="C433" s="80">
        <f>VLOOKUP(GroupVertices[[#This Row],[Vertex]],Vertices[],MATCH("ID",Vertices[[#Headers],[Vertex]:[Top Word Pairs in Comment by Salience]],0),FALSE)</f>
        <v>459</v>
      </c>
    </row>
    <row r="434" spans="1:3" ht="15">
      <c r="A434" s="81" t="s">
        <v>3421</v>
      </c>
      <c r="B434" s="83" t="s">
        <v>679</v>
      </c>
      <c r="C434" s="80">
        <f>VLOOKUP(GroupVertices[[#This Row],[Vertex]],Vertices[],MATCH("ID",Vertices[[#Headers],[Vertex]:[Top Word Pairs in Comment by Salience]],0),FALSE)</f>
        <v>458</v>
      </c>
    </row>
    <row r="435" spans="1:3" ht="15">
      <c r="A435" s="81" t="s">
        <v>3421</v>
      </c>
      <c r="B435" s="83" t="s">
        <v>678</v>
      </c>
      <c r="C435" s="80">
        <f>VLOOKUP(GroupVertices[[#This Row],[Vertex]],Vertices[],MATCH("ID",Vertices[[#Headers],[Vertex]:[Top Word Pairs in Comment by Salience]],0),FALSE)</f>
        <v>457</v>
      </c>
    </row>
    <row r="436" spans="1:3" ht="15">
      <c r="A436" s="81" t="s">
        <v>3421</v>
      </c>
      <c r="B436" s="83" t="s">
        <v>677</v>
      </c>
      <c r="C436" s="80">
        <f>VLOOKUP(GroupVertices[[#This Row],[Vertex]],Vertices[],MATCH("ID",Vertices[[#Headers],[Vertex]:[Top Word Pairs in Comment by Salience]],0),FALSE)</f>
        <v>456</v>
      </c>
    </row>
    <row r="437" spans="1:3" ht="15">
      <c r="A437" s="81" t="s">
        <v>3421</v>
      </c>
      <c r="B437" s="83" t="s">
        <v>676</v>
      </c>
      <c r="C437" s="80">
        <f>VLOOKUP(GroupVertices[[#This Row],[Vertex]],Vertices[],MATCH("ID",Vertices[[#Headers],[Vertex]:[Top Word Pairs in Comment by Salience]],0),FALSE)</f>
        <v>455</v>
      </c>
    </row>
    <row r="438" spans="1:3" ht="15">
      <c r="A438" s="81" t="s">
        <v>3421</v>
      </c>
      <c r="B438" s="83" t="s">
        <v>675</v>
      </c>
      <c r="C438" s="80">
        <f>VLOOKUP(GroupVertices[[#This Row],[Vertex]],Vertices[],MATCH("ID",Vertices[[#Headers],[Vertex]:[Top Word Pairs in Comment by Salience]],0),FALSE)</f>
        <v>454</v>
      </c>
    </row>
    <row r="439" spans="1:3" ht="15">
      <c r="A439" s="81" t="s">
        <v>3421</v>
      </c>
      <c r="B439" s="83" t="s">
        <v>674</v>
      </c>
      <c r="C439" s="80">
        <f>VLOOKUP(GroupVertices[[#This Row],[Vertex]],Vertices[],MATCH("ID",Vertices[[#Headers],[Vertex]:[Top Word Pairs in Comment by Salience]],0),FALSE)</f>
        <v>453</v>
      </c>
    </row>
    <row r="440" spans="1:3" ht="15">
      <c r="A440" s="81" t="s">
        <v>3421</v>
      </c>
      <c r="B440" s="83" t="s">
        <v>673</v>
      </c>
      <c r="C440" s="80">
        <f>VLOOKUP(GroupVertices[[#This Row],[Vertex]],Vertices[],MATCH("ID",Vertices[[#Headers],[Vertex]:[Top Word Pairs in Comment by Salience]],0),FALSE)</f>
        <v>451</v>
      </c>
    </row>
    <row r="441" spans="1:3" ht="15">
      <c r="A441" s="81" t="s">
        <v>3421</v>
      </c>
      <c r="B441" s="83" t="s">
        <v>421</v>
      </c>
      <c r="C441" s="80">
        <f>VLOOKUP(GroupVertices[[#This Row],[Vertex]],Vertices[],MATCH("ID",Vertices[[#Headers],[Vertex]:[Top Word Pairs in Comment by Salience]],0),FALSE)</f>
        <v>197</v>
      </c>
    </row>
    <row r="442" spans="1:3" ht="15">
      <c r="A442" s="81" t="s">
        <v>3421</v>
      </c>
      <c r="B442" s="83" t="s">
        <v>420</v>
      </c>
      <c r="C442" s="80">
        <f>VLOOKUP(GroupVertices[[#This Row],[Vertex]],Vertices[],MATCH("ID",Vertices[[#Headers],[Vertex]:[Top Word Pairs in Comment by Salience]],0),FALSE)</f>
        <v>196</v>
      </c>
    </row>
    <row r="443" spans="1:3" ht="15">
      <c r="A443" s="81" t="s">
        <v>3421</v>
      </c>
      <c r="B443" s="83" t="s">
        <v>419</v>
      </c>
      <c r="C443" s="80">
        <f>VLOOKUP(GroupVertices[[#This Row],[Vertex]],Vertices[],MATCH("ID",Vertices[[#Headers],[Vertex]:[Top Word Pairs in Comment by Salience]],0),FALSE)</f>
        <v>195</v>
      </c>
    </row>
    <row r="444" spans="1:3" ht="15">
      <c r="A444" s="81" t="s">
        <v>3421</v>
      </c>
      <c r="B444" s="83" t="s">
        <v>418</v>
      </c>
      <c r="C444" s="80">
        <f>VLOOKUP(GroupVertices[[#This Row],[Vertex]],Vertices[],MATCH("ID",Vertices[[#Headers],[Vertex]:[Top Word Pairs in Comment by Salience]],0),FALSE)</f>
        <v>194</v>
      </c>
    </row>
    <row r="445" spans="1:3" ht="15">
      <c r="A445" s="81" t="s">
        <v>3422</v>
      </c>
      <c r="B445" s="83" t="s">
        <v>621</v>
      </c>
      <c r="C445" s="80">
        <f>VLOOKUP(GroupVertices[[#This Row],[Vertex]],Vertices[],MATCH("ID",Vertices[[#Headers],[Vertex]:[Top Word Pairs in Comment by Salience]],0),FALSE)</f>
        <v>398</v>
      </c>
    </row>
    <row r="446" spans="1:3" ht="15">
      <c r="A446" s="81" t="s">
        <v>3422</v>
      </c>
      <c r="B446" s="83" t="s">
        <v>607</v>
      </c>
      <c r="C446" s="80">
        <f>VLOOKUP(GroupVertices[[#This Row],[Vertex]],Vertices[],MATCH("ID",Vertices[[#Headers],[Vertex]:[Top Word Pairs in Comment by Salience]],0),FALSE)</f>
        <v>384</v>
      </c>
    </row>
    <row r="447" spans="1:3" ht="15">
      <c r="A447" s="81" t="s">
        <v>3422</v>
      </c>
      <c r="B447" s="83" t="s">
        <v>620</v>
      </c>
      <c r="C447" s="80">
        <f>VLOOKUP(GroupVertices[[#This Row],[Vertex]],Vertices[],MATCH("ID",Vertices[[#Headers],[Vertex]:[Top Word Pairs in Comment by Salience]],0),FALSE)</f>
        <v>397</v>
      </c>
    </row>
    <row r="448" spans="1:3" ht="15">
      <c r="A448" s="81" t="s">
        <v>3422</v>
      </c>
      <c r="B448" s="83" t="s">
        <v>619</v>
      </c>
      <c r="C448" s="80">
        <f>VLOOKUP(GroupVertices[[#This Row],[Vertex]],Vertices[],MATCH("ID",Vertices[[#Headers],[Vertex]:[Top Word Pairs in Comment by Salience]],0),FALSE)</f>
        <v>396</v>
      </c>
    </row>
    <row r="449" spans="1:3" ht="15">
      <c r="A449" s="81" t="s">
        <v>3422</v>
      </c>
      <c r="B449" s="83" t="s">
        <v>618</v>
      </c>
      <c r="C449" s="80">
        <f>VLOOKUP(GroupVertices[[#This Row],[Vertex]],Vertices[],MATCH("ID",Vertices[[#Headers],[Vertex]:[Top Word Pairs in Comment by Salience]],0),FALSE)</f>
        <v>395</v>
      </c>
    </row>
    <row r="450" spans="1:3" ht="15">
      <c r="A450" s="81" t="s">
        <v>3422</v>
      </c>
      <c r="B450" s="83" t="s">
        <v>617</v>
      </c>
      <c r="C450" s="80">
        <f>VLOOKUP(GroupVertices[[#This Row],[Vertex]],Vertices[],MATCH("ID",Vertices[[#Headers],[Vertex]:[Top Word Pairs in Comment by Salience]],0),FALSE)</f>
        <v>394</v>
      </c>
    </row>
    <row r="451" spans="1:3" ht="15">
      <c r="A451" s="81" t="s">
        <v>3422</v>
      </c>
      <c r="B451" s="83" t="s">
        <v>616</v>
      </c>
      <c r="C451" s="80">
        <f>VLOOKUP(GroupVertices[[#This Row],[Vertex]],Vertices[],MATCH("ID",Vertices[[#Headers],[Vertex]:[Top Word Pairs in Comment by Salience]],0),FALSE)</f>
        <v>393</v>
      </c>
    </row>
    <row r="452" spans="1:3" ht="15">
      <c r="A452" s="81" t="s">
        <v>3422</v>
      </c>
      <c r="B452" s="83" t="s">
        <v>615</v>
      </c>
      <c r="C452" s="80">
        <f>VLOOKUP(GroupVertices[[#This Row],[Vertex]],Vertices[],MATCH("ID",Vertices[[#Headers],[Vertex]:[Top Word Pairs in Comment by Salience]],0),FALSE)</f>
        <v>392</v>
      </c>
    </row>
    <row r="453" spans="1:3" ht="15">
      <c r="A453" s="81" t="s">
        <v>3422</v>
      </c>
      <c r="B453" s="83" t="s">
        <v>614</v>
      </c>
      <c r="C453" s="80">
        <f>VLOOKUP(GroupVertices[[#This Row],[Vertex]],Vertices[],MATCH("ID",Vertices[[#Headers],[Vertex]:[Top Word Pairs in Comment by Salience]],0),FALSE)</f>
        <v>391</v>
      </c>
    </row>
    <row r="454" spans="1:3" ht="15">
      <c r="A454" s="81" t="s">
        <v>3422</v>
      </c>
      <c r="B454" s="83" t="s">
        <v>467</v>
      </c>
      <c r="C454" s="80">
        <f>VLOOKUP(GroupVertices[[#This Row],[Vertex]],Vertices[],MATCH("ID",Vertices[[#Headers],[Vertex]:[Top Word Pairs in Comment by Salience]],0),FALSE)</f>
        <v>243</v>
      </c>
    </row>
    <row r="455" spans="1:3" ht="15">
      <c r="A455" s="81" t="s">
        <v>3422</v>
      </c>
      <c r="B455" s="83" t="s">
        <v>613</v>
      </c>
      <c r="C455" s="80">
        <f>VLOOKUP(GroupVertices[[#This Row],[Vertex]],Vertices[],MATCH("ID",Vertices[[#Headers],[Vertex]:[Top Word Pairs in Comment by Salience]],0),FALSE)</f>
        <v>390</v>
      </c>
    </row>
    <row r="456" spans="1:3" ht="15">
      <c r="A456" s="81" t="s">
        <v>3422</v>
      </c>
      <c r="B456" s="83" t="s">
        <v>612</v>
      </c>
      <c r="C456" s="80">
        <f>VLOOKUP(GroupVertices[[#This Row],[Vertex]],Vertices[],MATCH("ID",Vertices[[#Headers],[Vertex]:[Top Word Pairs in Comment by Salience]],0),FALSE)</f>
        <v>389</v>
      </c>
    </row>
    <row r="457" spans="1:3" ht="15">
      <c r="A457" s="81" t="s">
        <v>3422</v>
      </c>
      <c r="B457" s="83" t="s">
        <v>611</v>
      </c>
      <c r="C457" s="80">
        <f>VLOOKUP(GroupVertices[[#This Row],[Vertex]],Vertices[],MATCH("ID",Vertices[[#Headers],[Vertex]:[Top Word Pairs in Comment by Salience]],0),FALSE)</f>
        <v>388</v>
      </c>
    </row>
    <row r="458" spans="1:3" ht="15">
      <c r="A458" s="81" t="s">
        <v>3422</v>
      </c>
      <c r="B458" s="83" t="s">
        <v>610</v>
      </c>
      <c r="C458" s="80">
        <f>VLOOKUP(GroupVertices[[#This Row],[Vertex]],Vertices[],MATCH("ID",Vertices[[#Headers],[Vertex]:[Top Word Pairs in Comment by Salience]],0),FALSE)</f>
        <v>387</v>
      </c>
    </row>
    <row r="459" spans="1:3" ht="15">
      <c r="A459" s="81" t="s">
        <v>3422</v>
      </c>
      <c r="B459" s="83" t="s">
        <v>609</v>
      </c>
      <c r="C459" s="80">
        <f>VLOOKUP(GroupVertices[[#This Row],[Vertex]],Vertices[],MATCH("ID",Vertices[[#Headers],[Vertex]:[Top Word Pairs in Comment by Salience]],0),FALSE)</f>
        <v>386</v>
      </c>
    </row>
    <row r="460" spans="1:3" ht="15">
      <c r="A460" s="81" t="s">
        <v>3422</v>
      </c>
      <c r="B460" s="83" t="s">
        <v>608</v>
      </c>
      <c r="C460" s="80">
        <f>VLOOKUP(GroupVertices[[#This Row],[Vertex]],Vertices[],MATCH("ID",Vertices[[#Headers],[Vertex]:[Top Word Pairs in Comment by Salience]],0),FALSE)</f>
        <v>385</v>
      </c>
    </row>
    <row r="461" spans="1:3" ht="15">
      <c r="A461" s="81" t="s">
        <v>3422</v>
      </c>
      <c r="B461" s="83" t="s">
        <v>469</v>
      </c>
      <c r="C461" s="80">
        <f>VLOOKUP(GroupVertices[[#This Row],[Vertex]],Vertices[],MATCH("ID",Vertices[[#Headers],[Vertex]:[Top Word Pairs in Comment by Salience]],0),FALSE)</f>
        <v>245</v>
      </c>
    </row>
    <row r="462" spans="1:3" ht="15">
      <c r="A462" s="81" t="s">
        <v>3422</v>
      </c>
      <c r="B462" s="83" t="s">
        <v>468</v>
      </c>
      <c r="C462" s="80">
        <f>VLOOKUP(GroupVertices[[#This Row],[Vertex]],Vertices[],MATCH("ID",Vertices[[#Headers],[Vertex]:[Top Word Pairs in Comment by Salience]],0),FALSE)</f>
        <v>244</v>
      </c>
    </row>
    <row r="463" spans="1:3" ht="15">
      <c r="A463" s="81" t="s">
        <v>3422</v>
      </c>
      <c r="B463" s="83" t="s">
        <v>466</v>
      </c>
      <c r="C463" s="80">
        <f>VLOOKUP(GroupVertices[[#This Row],[Vertex]],Vertices[],MATCH("ID",Vertices[[#Headers],[Vertex]:[Top Word Pairs in Comment by Salience]],0),FALSE)</f>
        <v>242</v>
      </c>
    </row>
    <row r="464" spans="1:3" ht="15">
      <c r="A464" s="81" t="s">
        <v>3423</v>
      </c>
      <c r="B464" s="83" t="s">
        <v>384</v>
      </c>
      <c r="C464" s="80">
        <f>VLOOKUP(GroupVertices[[#This Row],[Vertex]],Vertices[],MATCH("ID",Vertices[[#Headers],[Vertex]:[Top Word Pairs in Comment by Salience]],0),FALSE)</f>
        <v>160</v>
      </c>
    </row>
    <row r="465" spans="1:3" ht="15">
      <c r="A465" s="81" t="s">
        <v>3423</v>
      </c>
      <c r="B465" s="83" t="s">
        <v>751</v>
      </c>
      <c r="C465" s="80">
        <f>VLOOKUP(GroupVertices[[#This Row],[Vertex]],Vertices[],MATCH("ID",Vertices[[#Headers],[Vertex]:[Top Word Pairs in Comment by Salience]],0),FALSE)</f>
        <v>146</v>
      </c>
    </row>
    <row r="466" spans="1:3" ht="15">
      <c r="A466" s="81" t="s">
        <v>3423</v>
      </c>
      <c r="B466" s="83" t="s">
        <v>383</v>
      </c>
      <c r="C466" s="80">
        <f>VLOOKUP(GroupVertices[[#This Row],[Vertex]],Vertices[],MATCH("ID",Vertices[[#Headers],[Vertex]:[Top Word Pairs in Comment by Salience]],0),FALSE)</f>
        <v>159</v>
      </c>
    </row>
    <row r="467" spans="1:3" ht="15">
      <c r="A467" s="81" t="s">
        <v>3423</v>
      </c>
      <c r="B467" s="83" t="s">
        <v>379</v>
      </c>
      <c r="C467" s="80">
        <f>VLOOKUP(GroupVertices[[#This Row],[Vertex]],Vertices[],MATCH("ID",Vertices[[#Headers],[Vertex]:[Top Word Pairs in Comment by Salience]],0),FALSE)</f>
        <v>156</v>
      </c>
    </row>
    <row r="468" spans="1:3" ht="15">
      <c r="A468" s="81" t="s">
        <v>3423</v>
      </c>
      <c r="B468" s="83" t="s">
        <v>382</v>
      </c>
      <c r="C468" s="80">
        <f>VLOOKUP(GroupVertices[[#This Row],[Vertex]],Vertices[],MATCH("ID",Vertices[[#Headers],[Vertex]:[Top Word Pairs in Comment by Salience]],0),FALSE)</f>
        <v>158</v>
      </c>
    </row>
    <row r="469" spans="1:3" ht="15">
      <c r="A469" s="81" t="s">
        <v>3423</v>
      </c>
      <c r="B469" s="83" t="s">
        <v>381</v>
      </c>
      <c r="C469" s="80">
        <f>VLOOKUP(GroupVertices[[#This Row],[Vertex]],Vertices[],MATCH("ID",Vertices[[#Headers],[Vertex]:[Top Word Pairs in Comment by Salience]],0),FALSE)</f>
        <v>157</v>
      </c>
    </row>
    <row r="470" spans="1:3" ht="15">
      <c r="A470" s="81" t="s">
        <v>3423</v>
      </c>
      <c r="B470" s="83" t="s">
        <v>375</v>
      </c>
      <c r="C470" s="80">
        <f>VLOOKUP(GroupVertices[[#This Row],[Vertex]],Vertices[],MATCH("ID",Vertices[[#Headers],[Vertex]:[Top Word Pairs in Comment by Salience]],0),FALSE)</f>
        <v>151</v>
      </c>
    </row>
    <row r="471" spans="1:3" ht="15">
      <c r="A471" s="81" t="s">
        <v>3423</v>
      </c>
      <c r="B471" s="83" t="s">
        <v>380</v>
      </c>
      <c r="C471" s="80">
        <f>VLOOKUP(GroupVertices[[#This Row],[Vertex]],Vertices[],MATCH("ID",Vertices[[#Headers],[Vertex]:[Top Word Pairs in Comment by Salience]],0),FALSE)</f>
        <v>155</v>
      </c>
    </row>
    <row r="472" spans="1:3" ht="15">
      <c r="A472" s="81" t="s">
        <v>3423</v>
      </c>
      <c r="B472" s="83" t="s">
        <v>378</v>
      </c>
      <c r="C472" s="80">
        <f>VLOOKUP(GroupVertices[[#This Row],[Vertex]],Vertices[],MATCH("ID",Vertices[[#Headers],[Vertex]:[Top Word Pairs in Comment by Salience]],0),FALSE)</f>
        <v>154</v>
      </c>
    </row>
    <row r="473" spans="1:3" ht="15">
      <c r="A473" s="81" t="s">
        <v>3423</v>
      </c>
      <c r="B473" s="83" t="s">
        <v>377</v>
      </c>
      <c r="C473" s="80">
        <f>VLOOKUP(GroupVertices[[#This Row],[Vertex]],Vertices[],MATCH("ID",Vertices[[#Headers],[Vertex]:[Top Word Pairs in Comment by Salience]],0),FALSE)</f>
        <v>153</v>
      </c>
    </row>
    <row r="474" spans="1:3" ht="15">
      <c r="A474" s="81" t="s">
        <v>3423</v>
      </c>
      <c r="B474" s="83" t="s">
        <v>376</v>
      </c>
      <c r="C474" s="80">
        <f>VLOOKUP(GroupVertices[[#This Row],[Vertex]],Vertices[],MATCH("ID",Vertices[[#Headers],[Vertex]:[Top Word Pairs in Comment by Salience]],0),FALSE)</f>
        <v>152</v>
      </c>
    </row>
    <row r="475" spans="1:3" ht="15">
      <c r="A475" s="81" t="s">
        <v>3423</v>
      </c>
      <c r="B475" s="83" t="s">
        <v>374</v>
      </c>
      <c r="C475" s="80">
        <f>VLOOKUP(GroupVertices[[#This Row],[Vertex]],Vertices[],MATCH("ID",Vertices[[#Headers],[Vertex]:[Top Word Pairs in Comment by Salience]],0),FALSE)</f>
        <v>150</v>
      </c>
    </row>
    <row r="476" spans="1:3" ht="15">
      <c r="A476" s="81" t="s">
        <v>3423</v>
      </c>
      <c r="B476" s="83" t="s">
        <v>373</v>
      </c>
      <c r="C476" s="80">
        <f>VLOOKUP(GroupVertices[[#This Row],[Vertex]],Vertices[],MATCH("ID",Vertices[[#Headers],[Vertex]:[Top Word Pairs in Comment by Salience]],0),FALSE)</f>
        <v>149</v>
      </c>
    </row>
    <row r="477" spans="1:3" ht="15">
      <c r="A477" s="81" t="s">
        <v>3423</v>
      </c>
      <c r="B477" s="83" t="s">
        <v>372</v>
      </c>
      <c r="C477" s="80">
        <f>VLOOKUP(GroupVertices[[#This Row],[Vertex]],Vertices[],MATCH("ID",Vertices[[#Headers],[Vertex]:[Top Word Pairs in Comment by Salience]],0),FALSE)</f>
        <v>148</v>
      </c>
    </row>
    <row r="478" spans="1:3" ht="15">
      <c r="A478" s="81" t="s">
        <v>3423</v>
      </c>
      <c r="B478" s="83" t="s">
        <v>371</v>
      </c>
      <c r="C478" s="80">
        <f>VLOOKUP(GroupVertices[[#This Row],[Vertex]],Vertices[],MATCH("ID",Vertices[[#Headers],[Vertex]:[Top Word Pairs in Comment by Salience]],0),FALSE)</f>
        <v>147</v>
      </c>
    </row>
    <row r="479" spans="1:3" ht="15">
      <c r="A479" s="81" t="s">
        <v>3423</v>
      </c>
      <c r="B479" s="83" t="s">
        <v>370</v>
      </c>
      <c r="C479" s="80">
        <f>VLOOKUP(GroupVertices[[#This Row],[Vertex]],Vertices[],MATCH("ID",Vertices[[#Headers],[Vertex]:[Top Word Pairs in Comment by Salience]],0),FALSE)</f>
        <v>145</v>
      </c>
    </row>
    <row r="480" spans="1:3" ht="15">
      <c r="A480" s="81" t="s">
        <v>3424</v>
      </c>
      <c r="B480" s="83" t="s">
        <v>699</v>
      </c>
      <c r="C480" s="80">
        <f>VLOOKUP(GroupVertices[[#This Row],[Vertex]],Vertices[],MATCH("ID",Vertices[[#Headers],[Vertex]:[Top Word Pairs in Comment by Salience]],0),FALSE)</f>
        <v>479</v>
      </c>
    </row>
    <row r="481" spans="1:3" ht="15">
      <c r="A481" s="81" t="s">
        <v>3424</v>
      </c>
      <c r="B481" s="83" t="s">
        <v>759</v>
      </c>
      <c r="C481" s="80">
        <f>VLOOKUP(GroupVertices[[#This Row],[Vertex]],Vertices[],MATCH("ID",Vertices[[#Headers],[Vertex]:[Top Word Pairs in Comment by Salience]],0),FALSE)</f>
        <v>469</v>
      </c>
    </row>
    <row r="482" spans="1:3" ht="15">
      <c r="A482" s="81" t="s">
        <v>3424</v>
      </c>
      <c r="B482" s="83" t="s">
        <v>698</v>
      </c>
      <c r="C482" s="80">
        <f>VLOOKUP(GroupVertices[[#This Row],[Vertex]],Vertices[],MATCH("ID",Vertices[[#Headers],[Vertex]:[Top Word Pairs in Comment by Salience]],0),FALSE)</f>
        <v>478</v>
      </c>
    </row>
    <row r="483" spans="1:3" ht="15">
      <c r="A483" s="81" t="s">
        <v>3424</v>
      </c>
      <c r="B483" s="83" t="s">
        <v>697</v>
      </c>
      <c r="C483" s="80">
        <f>VLOOKUP(GroupVertices[[#This Row],[Vertex]],Vertices[],MATCH("ID",Vertices[[#Headers],[Vertex]:[Top Word Pairs in Comment by Salience]],0),FALSE)</f>
        <v>477</v>
      </c>
    </row>
    <row r="484" spans="1:3" ht="15">
      <c r="A484" s="81" t="s">
        <v>3424</v>
      </c>
      <c r="B484" s="83" t="s">
        <v>696</v>
      </c>
      <c r="C484" s="80">
        <f>VLOOKUP(GroupVertices[[#This Row],[Vertex]],Vertices[],MATCH("ID",Vertices[[#Headers],[Vertex]:[Top Word Pairs in Comment by Salience]],0),FALSE)</f>
        <v>476</v>
      </c>
    </row>
    <row r="485" spans="1:3" ht="15">
      <c r="A485" s="81" t="s">
        <v>3424</v>
      </c>
      <c r="B485" s="83" t="s">
        <v>695</v>
      </c>
      <c r="C485" s="80">
        <f>VLOOKUP(GroupVertices[[#This Row],[Vertex]],Vertices[],MATCH("ID",Vertices[[#Headers],[Vertex]:[Top Word Pairs in Comment by Salience]],0),FALSE)</f>
        <v>475</v>
      </c>
    </row>
    <row r="486" spans="1:3" ht="15">
      <c r="A486" s="81" t="s">
        <v>3424</v>
      </c>
      <c r="B486" s="83" t="s">
        <v>694</v>
      </c>
      <c r="C486" s="80">
        <f>VLOOKUP(GroupVertices[[#This Row],[Vertex]],Vertices[],MATCH("ID",Vertices[[#Headers],[Vertex]:[Top Word Pairs in Comment by Salience]],0),FALSE)</f>
        <v>474</v>
      </c>
    </row>
    <row r="487" spans="1:3" ht="15">
      <c r="A487" s="81" t="s">
        <v>3424</v>
      </c>
      <c r="B487" s="83" t="s">
        <v>693</v>
      </c>
      <c r="C487" s="80">
        <f>VLOOKUP(GroupVertices[[#This Row],[Vertex]],Vertices[],MATCH("ID",Vertices[[#Headers],[Vertex]:[Top Word Pairs in Comment by Salience]],0),FALSE)</f>
        <v>473</v>
      </c>
    </row>
    <row r="488" spans="1:3" ht="15">
      <c r="A488" s="81" t="s">
        <v>3424</v>
      </c>
      <c r="B488" s="83" t="s">
        <v>692</v>
      </c>
      <c r="C488" s="80">
        <f>VLOOKUP(GroupVertices[[#This Row],[Vertex]],Vertices[],MATCH("ID",Vertices[[#Headers],[Vertex]:[Top Word Pairs in Comment by Salience]],0),FALSE)</f>
        <v>472</v>
      </c>
    </row>
    <row r="489" spans="1:3" ht="15">
      <c r="A489" s="81" t="s">
        <v>3424</v>
      </c>
      <c r="B489" s="83" t="s">
        <v>691</v>
      </c>
      <c r="C489" s="80">
        <f>VLOOKUP(GroupVertices[[#This Row],[Vertex]],Vertices[],MATCH("ID",Vertices[[#Headers],[Vertex]:[Top Word Pairs in Comment by Salience]],0),FALSE)</f>
        <v>471</v>
      </c>
    </row>
    <row r="490" spans="1:3" ht="15">
      <c r="A490" s="81" t="s">
        <v>3424</v>
      </c>
      <c r="B490" s="83" t="s">
        <v>690</v>
      </c>
      <c r="C490" s="80">
        <f>VLOOKUP(GroupVertices[[#This Row],[Vertex]],Vertices[],MATCH("ID",Vertices[[#Headers],[Vertex]:[Top Word Pairs in Comment by Salience]],0),FALSE)</f>
        <v>470</v>
      </c>
    </row>
    <row r="491" spans="1:3" ht="15">
      <c r="A491" s="81" t="s">
        <v>3424</v>
      </c>
      <c r="B491" s="83" t="s">
        <v>689</v>
      </c>
      <c r="C491" s="80">
        <f>VLOOKUP(GroupVertices[[#This Row],[Vertex]],Vertices[],MATCH("ID",Vertices[[#Headers],[Vertex]:[Top Word Pairs in Comment by Salience]],0),FALSE)</f>
        <v>468</v>
      </c>
    </row>
    <row r="492" spans="1:3" ht="15">
      <c r="A492" s="81" t="s">
        <v>3425</v>
      </c>
      <c r="B492" s="83" t="s">
        <v>749</v>
      </c>
      <c r="C492" s="80">
        <f>VLOOKUP(GroupVertices[[#This Row],[Vertex]],Vertices[],MATCH("ID",Vertices[[#Headers],[Vertex]:[Top Word Pairs in Comment by Salience]],0),FALSE)</f>
        <v>529</v>
      </c>
    </row>
    <row r="493" spans="1:3" ht="15">
      <c r="A493" s="81" t="s">
        <v>3425</v>
      </c>
      <c r="B493" s="83" t="s">
        <v>605</v>
      </c>
      <c r="C493" s="80">
        <f>VLOOKUP(GroupVertices[[#This Row],[Vertex]],Vertices[],MATCH("ID",Vertices[[#Headers],[Vertex]:[Top Word Pairs in Comment by Salience]],0),FALSE)</f>
        <v>375</v>
      </c>
    </row>
    <row r="494" spans="1:3" ht="15">
      <c r="A494" s="81" t="s">
        <v>3425</v>
      </c>
      <c r="B494" s="83" t="s">
        <v>606</v>
      </c>
      <c r="C494" s="80">
        <f>VLOOKUP(GroupVertices[[#This Row],[Vertex]],Vertices[],MATCH("ID",Vertices[[#Headers],[Vertex]:[Top Word Pairs in Comment by Salience]],0),FALSE)</f>
        <v>383</v>
      </c>
    </row>
    <row r="495" spans="1:3" ht="15">
      <c r="A495" s="81" t="s">
        <v>3425</v>
      </c>
      <c r="B495" s="83" t="s">
        <v>604</v>
      </c>
      <c r="C495" s="80">
        <f>VLOOKUP(GroupVertices[[#This Row],[Vertex]],Vertices[],MATCH("ID",Vertices[[#Headers],[Vertex]:[Top Word Pairs in Comment by Salience]],0),FALSE)</f>
        <v>382</v>
      </c>
    </row>
    <row r="496" spans="1:3" ht="15">
      <c r="A496" s="81" t="s">
        <v>3425</v>
      </c>
      <c r="B496" s="83" t="s">
        <v>603</v>
      </c>
      <c r="C496" s="80">
        <f>VLOOKUP(GroupVertices[[#This Row],[Vertex]],Vertices[],MATCH("ID",Vertices[[#Headers],[Vertex]:[Top Word Pairs in Comment by Salience]],0),FALSE)</f>
        <v>381</v>
      </c>
    </row>
    <row r="497" spans="1:3" ht="15">
      <c r="A497" s="81" t="s">
        <v>3425</v>
      </c>
      <c r="B497" s="83" t="s">
        <v>602</v>
      </c>
      <c r="C497" s="80">
        <f>VLOOKUP(GroupVertices[[#This Row],[Vertex]],Vertices[],MATCH("ID",Vertices[[#Headers],[Vertex]:[Top Word Pairs in Comment by Salience]],0),FALSE)</f>
        <v>380</v>
      </c>
    </row>
    <row r="498" spans="1:3" ht="15">
      <c r="A498" s="81" t="s">
        <v>3425</v>
      </c>
      <c r="B498" s="83" t="s">
        <v>601</v>
      </c>
      <c r="C498" s="80">
        <f>VLOOKUP(GroupVertices[[#This Row],[Vertex]],Vertices[],MATCH("ID",Vertices[[#Headers],[Vertex]:[Top Word Pairs in Comment by Salience]],0),FALSE)</f>
        <v>379</v>
      </c>
    </row>
    <row r="499" spans="1:3" ht="15">
      <c r="A499" s="81" t="s">
        <v>3425</v>
      </c>
      <c r="B499" s="83" t="s">
        <v>599</v>
      </c>
      <c r="C499" s="80">
        <f>VLOOKUP(GroupVertices[[#This Row],[Vertex]],Vertices[],MATCH("ID",Vertices[[#Headers],[Vertex]:[Top Word Pairs in Comment by Salience]],0),FALSE)</f>
        <v>378</v>
      </c>
    </row>
    <row r="500" spans="1:3" ht="15">
      <c r="A500" s="81" t="s">
        <v>3425</v>
      </c>
      <c r="B500" s="83" t="s">
        <v>600</v>
      </c>
      <c r="C500" s="80">
        <f>VLOOKUP(GroupVertices[[#This Row],[Vertex]],Vertices[],MATCH("ID",Vertices[[#Headers],[Vertex]:[Top Word Pairs in Comment by Salience]],0),FALSE)</f>
        <v>377</v>
      </c>
    </row>
    <row r="501" spans="1:3" ht="15">
      <c r="A501" s="81" t="s">
        <v>3425</v>
      </c>
      <c r="B501" s="83" t="s">
        <v>598</v>
      </c>
      <c r="C501" s="80">
        <f>VLOOKUP(GroupVertices[[#This Row],[Vertex]],Vertices[],MATCH("ID",Vertices[[#Headers],[Vertex]:[Top Word Pairs in Comment by Salience]],0),FALSE)</f>
        <v>376</v>
      </c>
    </row>
    <row r="502" spans="1:3" ht="15">
      <c r="A502" s="81" t="s">
        <v>3425</v>
      </c>
      <c r="B502" s="83" t="s">
        <v>597</v>
      </c>
      <c r="C502" s="80">
        <f>VLOOKUP(GroupVertices[[#This Row],[Vertex]],Vertices[],MATCH("ID",Vertices[[#Headers],[Vertex]:[Top Word Pairs in Comment by Salience]],0),FALSE)</f>
        <v>374</v>
      </c>
    </row>
    <row r="503" spans="1:3" ht="15">
      <c r="A503" s="81" t="s">
        <v>3426</v>
      </c>
      <c r="B503" s="83" t="s">
        <v>738</v>
      </c>
      <c r="C503" s="80">
        <f>VLOOKUP(GroupVertices[[#This Row],[Vertex]],Vertices[],MATCH("ID",Vertices[[#Headers],[Vertex]:[Top Word Pairs in Comment by Salience]],0),FALSE)</f>
        <v>518</v>
      </c>
    </row>
    <row r="504" spans="1:3" ht="15">
      <c r="A504" s="81" t="s">
        <v>3426</v>
      </c>
      <c r="B504" s="83" t="s">
        <v>702</v>
      </c>
      <c r="C504" s="80">
        <f>VLOOKUP(GroupVertices[[#This Row],[Vertex]],Vertices[],MATCH("ID",Vertices[[#Headers],[Vertex]:[Top Word Pairs in Comment by Salience]],0),FALSE)</f>
        <v>482</v>
      </c>
    </row>
    <row r="505" spans="1:3" ht="15">
      <c r="A505" s="81" t="s">
        <v>3426</v>
      </c>
      <c r="B505" s="83" t="s">
        <v>709</v>
      </c>
      <c r="C505" s="80">
        <f>VLOOKUP(GroupVertices[[#This Row],[Vertex]],Vertices[],MATCH("ID",Vertices[[#Headers],[Vertex]:[Top Word Pairs in Comment by Salience]],0),FALSE)</f>
        <v>489</v>
      </c>
    </row>
    <row r="506" spans="1:3" ht="15">
      <c r="A506" s="81" t="s">
        <v>3426</v>
      </c>
      <c r="B506" s="83" t="s">
        <v>708</v>
      </c>
      <c r="C506" s="80">
        <f>VLOOKUP(GroupVertices[[#This Row],[Vertex]],Vertices[],MATCH("ID",Vertices[[#Headers],[Vertex]:[Top Word Pairs in Comment by Salience]],0),FALSE)</f>
        <v>488</v>
      </c>
    </row>
    <row r="507" spans="1:3" ht="15">
      <c r="A507" s="81" t="s">
        <v>3426</v>
      </c>
      <c r="B507" s="83" t="s">
        <v>707</v>
      </c>
      <c r="C507" s="80">
        <f>VLOOKUP(GroupVertices[[#This Row],[Vertex]],Vertices[],MATCH("ID",Vertices[[#Headers],[Vertex]:[Top Word Pairs in Comment by Salience]],0),FALSE)</f>
        <v>487</v>
      </c>
    </row>
    <row r="508" spans="1:3" ht="15">
      <c r="A508" s="81" t="s">
        <v>3426</v>
      </c>
      <c r="B508" s="83" t="s">
        <v>706</v>
      </c>
      <c r="C508" s="80">
        <f>VLOOKUP(GroupVertices[[#This Row],[Vertex]],Vertices[],MATCH("ID",Vertices[[#Headers],[Vertex]:[Top Word Pairs in Comment by Salience]],0),FALSE)</f>
        <v>486</v>
      </c>
    </row>
    <row r="509" spans="1:3" ht="15">
      <c r="A509" s="81" t="s">
        <v>3426</v>
      </c>
      <c r="B509" s="83" t="s">
        <v>705</v>
      </c>
      <c r="C509" s="80">
        <f>VLOOKUP(GroupVertices[[#This Row],[Vertex]],Vertices[],MATCH("ID",Vertices[[#Headers],[Vertex]:[Top Word Pairs in Comment by Salience]],0),FALSE)</f>
        <v>485</v>
      </c>
    </row>
    <row r="510" spans="1:3" ht="15">
      <c r="A510" s="81" t="s">
        <v>3426</v>
      </c>
      <c r="B510" s="83" t="s">
        <v>704</v>
      </c>
      <c r="C510" s="80">
        <f>VLOOKUP(GroupVertices[[#This Row],[Vertex]],Vertices[],MATCH("ID",Vertices[[#Headers],[Vertex]:[Top Word Pairs in Comment by Salience]],0),FALSE)</f>
        <v>484</v>
      </c>
    </row>
    <row r="511" spans="1:3" ht="15">
      <c r="A511" s="81" t="s">
        <v>3426</v>
      </c>
      <c r="B511" s="83" t="s">
        <v>703</v>
      </c>
      <c r="C511" s="80">
        <f>VLOOKUP(GroupVertices[[#This Row],[Vertex]],Vertices[],MATCH("ID",Vertices[[#Headers],[Vertex]:[Top Word Pairs in Comment by Salience]],0),FALSE)</f>
        <v>483</v>
      </c>
    </row>
    <row r="512" spans="1:3" ht="15">
      <c r="A512" s="81" t="s">
        <v>3426</v>
      </c>
      <c r="B512" s="83" t="s">
        <v>701</v>
      </c>
      <c r="C512" s="80">
        <f>VLOOKUP(GroupVertices[[#This Row],[Vertex]],Vertices[],MATCH("ID",Vertices[[#Headers],[Vertex]:[Top Word Pairs in Comment by Salience]],0),FALSE)</f>
        <v>481</v>
      </c>
    </row>
    <row r="513" spans="1:3" ht="15">
      <c r="A513" s="81" t="s">
        <v>3426</v>
      </c>
      <c r="B513" s="83" t="s">
        <v>700</v>
      </c>
      <c r="C513" s="80">
        <f>VLOOKUP(GroupVertices[[#This Row],[Vertex]],Vertices[],MATCH("ID",Vertices[[#Headers],[Vertex]:[Top Word Pairs in Comment by Salience]],0),FALSE)</f>
        <v>480</v>
      </c>
    </row>
    <row r="514" spans="1:3" ht="15">
      <c r="A514" s="81" t="s">
        <v>3427</v>
      </c>
      <c r="B514" s="83" t="s">
        <v>265</v>
      </c>
      <c r="C514" s="80">
        <f>VLOOKUP(GroupVertices[[#This Row],[Vertex]],Vertices[],MATCH("ID",Vertices[[#Headers],[Vertex]:[Top Word Pairs in Comment by Salience]],0),FALSE)</f>
        <v>39</v>
      </c>
    </row>
    <row r="515" spans="1:3" ht="15">
      <c r="A515" s="81" t="s">
        <v>3427</v>
      </c>
      <c r="B515" s="83" t="s">
        <v>256</v>
      </c>
      <c r="C515" s="80">
        <f>VLOOKUP(GroupVertices[[#This Row],[Vertex]],Vertices[],MATCH("ID",Vertices[[#Headers],[Vertex]:[Top Word Pairs in Comment by Salience]],0),FALSE)</f>
        <v>30</v>
      </c>
    </row>
    <row r="516" spans="1:3" ht="15">
      <c r="A516" s="81" t="s">
        <v>3427</v>
      </c>
      <c r="B516" s="83" t="s">
        <v>264</v>
      </c>
      <c r="C516" s="80">
        <f>VLOOKUP(GroupVertices[[#This Row],[Vertex]],Vertices[],MATCH("ID",Vertices[[#Headers],[Vertex]:[Top Word Pairs in Comment by Salience]],0),FALSE)</f>
        <v>38</v>
      </c>
    </row>
    <row r="517" spans="1:3" ht="15">
      <c r="A517" s="81" t="s">
        <v>3427</v>
      </c>
      <c r="B517" s="83" t="s">
        <v>263</v>
      </c>
      <c r="C517" s="80">
        <f>VLOOKUP(GroupVertices[[#This Row],[Vertex]],Vertices[],MATCH("ID",Vertices[[#Headers],[Vertex]:[Top Word Pairs in Comment by Salience]],0),FALSE)</f>
        <v>37</v>
      </c>
    </row>
    <row r="518" spans="1:3" ht="15">
      <c r="A518" s="81" t="s">
        <v>3427</v>
      </c>
      <c r="B518" s="83" t="s">
        <v>262</v>
      </c>
      <c r="C518" s="80">
        <f>VLOOKUP(GroupVertices[[#This Row],[Vertex]],Vertices[],MATCH("ID",Vertices[[#Headers],[Vertex]:[Top Word Pairs in Comment by Salience]],0),FALSE)</f>
        <v>36</v>
      </c>
    </row>
    <row r="519" spans="1:3" ht="15">
      <c r="A519" s="81" t="s">
        <v>3427</v>
      </c>
      <c r="B519" s="83" t="s">
        <v>261</v>
      </c>
      <c r="C519" s="80">
        <f>VLOOKUP(GroupVertices[[#This Row],[Vertex]],Vertices[],MATCH("ID",Vertices[[#Headers],[Vertex]:[Top Word Pairs in Comment by Salience]],0),FALSE)</f>
        <v>35</v>
      </c>
    </row>
    <row r="520" spans="1:3" ht="15">
      <c r="A520" s="81" t="s">
        <v>3427</v>
      </c>
      <c r="B520" s="83" t="s">
        <v>260</v>
      </c>
      <c r="C520" s="80">
        <f>VLOOKUP(GroupVertices[[#This Row],[Vertex]],Vertices[],MATCH("ID",Vertices[[#Headers],[Vertex]:[Top Word Pairs in Comment by Salience]],0),FALSE)</f>
        <v>34</v>
      </c>
    </row>
    <row r="521" spans="1:3" ht="15">
      <c r="A521" s="81" t="s">
        <v>3427</v>
      </c>
      <c r="B521" s="83" t="s">
        <v>259</v>
      </c>
      <c r="C521" s="80">
        <f>VLOOKUP(GroupVertices[[#This Row],[Vertex]],Vertices[],MATCH("ID",Vertices[[#Headers],[Vertex]:[Top Word Pairs in Comment by Salience]],0),FALSE)</f>
        <v>33</v>
      </c>
    </row>
    <row r="522" spans="1:3" ht="15">
      <c r="A522" s="81" t="s">
        <v>3427</v>
      </c>
      <c r="B522" s="83" t="s">
        <v>258</v>
      </c>
      <c r="C522" s="80">
        <f>VLOOKUP(GroupVertices[[#This Row],[Vertex]],Vertices[],MATCH("ID",Vertices[[#Headers],[Vertex]:[Top Word Pairs in Comment by Salience]],0),FALSE)</f>
        <v>32</v>
      </c>
    </row>
    <row r="523" spans="1:3" ht="15">
      <c r="A523" s="81" t="s">
        <v>3427</v>
      </c>
      <c r="B523" s="83" t="s">
        <v>257</v>
      </c>
      <c r="C523" s="80">
        <f>VLOOKUP(GroupVertices[[#This Row],[Vertex]],Vertices[],MATCH("ID",Vertices[[#Headers],[Vertex]:[Top Word Pairs in Comment by Salience]],0),FALSE)</f>
        <v>31</v>
      </c>
    </row>
    <row r="524" spans="1:3" ht="15">
      <c r="A524" s="81" t="s">
        <v>3428</v>
      </c>
      <c r="B524" s="83" t="s">
        <v>752</v>
      </c>
      <c r="C524" s="80">
        <f>VLOOKUP(GroupVertices[[#This Row],[Vertex]],Vertices[],MATCH("ID",Vertices[[#Headers],[Vertex]:[Top Word Pairs in Comment by Salience]],0),FALSE)</f>
        <v>530</v>
      </c>
    </row>
    <row r="525" spans="1:3" ht="15">
      <c r="A525" s="81" t="s">
        <v>3428</v>
      </c>
      <c r="B525" s="83" t="s">
        <v>754</v>
      </c>
      <c r="C525" s="80">
        <f>VLOOKUP(GroupVertices[[#This Row],[Vertex]],Vertices[],MATCH("ID",Vertices[[#Headers],[Vertex]:[Top Word Pairs in Comment by Salience]],0),FALSE)</f>
        <v>531</v>
      </c>
    </row>
    <row r="526" spans="1:3" ht="15">
      <c r="A526" s="81" t="s">
        <v>3428</v>
      </c>
      <c r="B526" s="83" t="s">
        <v>755</v>
      </c>
      <c r="C526" s="80">
        <f>VLOOKUP(GroupVertices[[#This Row],[Vertex]],Vertices[],MATCH("ID",Vertices[[#Headers],[Vertex]:[Top Word Pairs in Comment by Salience]],0),FALSE)</f>
        <v>532</v>
      </c>
    </row>
    <row r="527" spans="1:3" ht="15">
      <c r="A527" s="81" t="s">
        <v>3428</v>
      </c>
      <c r="B527" s="83" t="s">
        <v>758</v>
      </c>
      <c r="C527" s="80">
        <f>VLOOKUP(GroupVertices[[#This Row],[Vertex]],Vertices[],MATCH("ID",Vertices[[#Headers],[Vertex]:[Top Word Pairs in Comment by Salience]],0),FALSE)</f>
        <v>533</v>
      </c>
    </row>
    <row r="528" spans="1:3" ht="15">
      <c r="A528" s="81" t="s">
        <v>3429</v>
      </c>
      <c r="B528" s="83" t="s">
        <v>516</v>
      </c>
      <c r="C528" s="80">
        <f>VLOOKUP(GroupVertices[[#This Row],[Vertex]],Vertices[],MATCH("ID",Vertices[[#Headers],[Vertex]:[Top Word Pairs in Comment by Salience]],0),FALSE)</f>
        <v>292</v>
      </c>
    </row>
    <row r="529" spans="1:3" ht="15">
      <c r="A529" s="81" t="s">
        <v>3429</v>
      </c>
      <c r="B529" s="83" t="s">
        <v>514</v>
      </c>
      <c r="C529" s="80">
        <f>VLOOKUP(GroupVertices[[#This Row],[Vertex]],Vertices[],MATCH("ID",Vertices[[#Headers],[Vertex]:[Top Word Pairs in Comment by Salience]],0),FALSE)</f>
        <v>290</v>
      </c>
    </row>
    <row r="530" spans="1:3" ht="15">
      <c r="A530" s="81" t="s">
        <v>3429</v>
      </c>
      <c r="B530" s="83" t="s">
        <v>515</v>
      </c>
      <c r="C530" s="80">
        <f>VLOOKUP(GroupVertices[[#This Row],[Vertex]],Vertices[],MATCH("ID",Vertices[[#Headers],[Vertex]:[Top Word Pairs in Comment by Salience]],0),FALSE)</f>
        <v>291</v>
      </c>
    </row>
    <row r="531" spans="1:3" ht="15">
      <c r="A531" s="81" t="s">
        <v>3430</v>
      </c>
      <c r="B531" s="83" t="s">
        <v>756</v>
      </c>
      <c r="C531" s="80">
        <f>VLOOKUP(GroupVertices[[#This Row],[Vertex]],Vertices[],MATCH("ID",Vertices[[#Headers],[Vertex]:[Top Word Pairs in Comment by Salience]],0),FALSE)</f>
        <v>450</v>
      </c>
    </row>
    <row r="532" spans="1:3" ht="15">
      <c r="A532" s="81" t="s">
        <v>3430</v>
      </c>
      <c r="B532" s="83" t="s">
        <v>672</v>
      </c>
      <c r="C532" s="80">
        <f>VLOOKUP(GroupVertices[[#This Row],[Vertex]],Vertices[],MATCH("ID",Vertices[[#Headers],[Vertex]:[Top Word Pairs in Comment by Salience]],0),FALSE)</f>
        <v>449</v>
      </c>
    </row>
  </sheetData>
  <dataValidations count="3" xWindow="58" yWindow="226">
    <dataValidation allowBlank="1" showInputMessage="1" showErrorMessage="1" promptTitle="Group Name" prompt="Enter the name of the group.  The group name must also be entered on the Groups worksheet." sqref="A2:A532"/>
    <dataValidation allowBlank="1" showInputMessage="1" showErrorMessage="1" promptTitle="Vertex Name" prompt="Enter the name of a vertex to include in the group." sqref="B2:B532"/>
    <dataValidation allowBlank="1" showInputMessage="1" promptTitle="Vertex ID" prompt="This is the value of the hidden ID cell in the Vertices worksheet.  It gets filled in by the items on the NodeXL, Analysis, Groups menu." sqref="C2:C5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4172</v>
      </c>
      <c r="B2" s="35" t="s">
        <v>192</v>
      </c>
      <c r="D2" s="32">
        <f>MIN(Vertices[Degree])</f>
        <v>0</v>
      </c>
      <c r="E2" s="3">
        <f>COUNTIF(Vertices[Degree],"&gt;= "&amp;D2)-COUNTIF(Vertices[Degree],"&gt;="&amp;D3)</f>
        <v>0</v>
      </c>
      <c r="F2" s="38">
        <f>MIN(Vertices[In-Degree])</f>
        <v>0</v>
      </c>
      <c r="G2" s="39">
        <f>COUNTIF(Vertices[In-Degree],"&gt;= "&amp;F2)-COUNTIF(Vertices[In-Degree],"&gt;="&amp;F3)</f>
        <v>517</v>
      </c>
      <c r="H2" s="38">
        <f>MIN(Vertices[Out-Degree])</f>
        <v>1</v>
      </c>
      <c r="I2" s="39">
        <f>COUNTIF(Vertices[Out-Degree],"&gt;= "&amp;H2)-COUNTIF(Vertices[Out-Degree],"&gt;="&amp;H3)</f>
        <v>521</v>
      </c>
      <c r="J2" s="38">
        <f>MIN(Vertices[Betweenness Centrality])</f>
        <v>0</v>
      </c>
      <c r="K2" s="39">
        <f>COUNTIF(Vertices[Betweenness Centrality],"&gt;= "&amp;J2)-COUNTIF(Vertices[Betweenness Centrality],"&gt;="&amp;J3)</f>
        <v>520</v>
      </c>
      <c r="L2" s="38">
        <f>MIN(Vertices[Closeness Centrality])</f>
        <v>0</v>
      </c>
      <c r="M2" s="39">
        <f>COUNTIF(Vertices[Closeness Centrality],"&gt;= "&amp;L2)-COUNTIF(Vertices[Closeness Centrality],"&gt;="&amp;L3)</f>
        <v>476</v>
      </c>
      <c r="N2" s="38">
        <f>MIN(Vertices[Eigenvector Centrality])</f>
        <v>0</v>
      </c>
      <c r="O2" s="39">
        <f>COUNTIF(Vertices[Eigenvector Centrality],"&gt;= "&amp;N2)-COUNTIF(Vertices[Eigenvector Centrality],"&gt;="&amp;N3)</f>
        <v>340</v>
      </c>
      <c r="P2" s="38">
        <f>MIN(Vertices[PageRank])</f>
        <v>0.479465</v>
      </c>
      <c r="Q2" s="39">
        <f>COUNTIF(Vertices[PageRank],"&gt;= "&amp;P2)-COUNTIF(Vertices[PageRank],"&gt;="&amp;P3)</f>
        <v>517</v>
      </c>
      <c r="R2" s="38">
        <f>MIN(Vertices[Clustering Coefficient])</f>
        <v>0</v>
      </c>
      <c r="S2" s="44">
        <f>COUNTIF(Vertices[Clustering Coefficient],"&gt;= "&amp;R2)-COUNTIF(Vertices[Clustering Coefficient],"&gt;="&amp;R3)</f>
        <v>514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5.617647058823529</v>
      </c>
      <c r="G3" s="41">
        <f>COUNTIF(Vertices[In-Degree],"&gt;= "&amp;F3)-COUNTIF(Vertices[In-Degree],"&gt;="&amp;F4)</f>
        <v>3</v>
      </c>
      <c r="H3" s="40">
        <f aca="true" t="shared" si="3" ref="H3:H35">H2+($H$36-$H$2)/BinDivisor</f>
        <v>3.235294117647059</v>
      </c>
      <c r="I3" s="41">
        <f>COUNTIF(Vertices[Out-Degree],"&gt;= "&amp;H3)-COUNTIF(Vertices[Out-Degree],"&gt;="&amp;H4)</f>
        <v>3</v>
      </c>
      <c r="J3" s="40">
        <f aca="true" t="shared" si="4" ref="J3:J35">J2+($J$36-$J$2)/BinDivisor</f>
        <v>1078.1176470588234</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36</v>
      </c>
      <c r="N3" s="40">
        <f aca="true" t="shared" si="6" ref="N3:N35">N2+($N$36-$N$2)/BinDivisor</f>
        <v>0.0020482647058823527</v>
      </c>
      <c r="O3" s="41">
        <f>COUNTIF(Vertices[Eigenvector Centrality],"&gt;= "&amp;N3)-COUNTIF(Vertices[Eigenvector Centrality],"&gt;="&amp;N4)</f>
        <v>0</v>
      </c>
      <c r="P3" s="40">
        <f aca="true" t="shared" si="7" ref="P3:P35">P2+($P$36-$P$2)/BinDivisor</f>
        <v>2.9513214999999997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531</v>
      </c>
      <c r="D4" s="33">
        <f t="shared" si="1"/>
        <v>0</v>
      </c>
      <c r="E4" s="3">
        <f>COUNTIF(Vertices[Degree],"&gt;= "&amp;D4)-COUNTIF(Vertices[Degree],"&gt;="&amp;D5)</f>
        <v>0</v>
      </c>
      <c r="F4" s="38">
        <f t="shared" si="2"/>
        <v>11.235294117647058</v>
      </c>
      <c r="G4" s="39">
        <f>COUNTIF(Vertices[In-Degree],"&gt;= "&amp;F4)-COUNTIF(Vertices[In-Degree],"&gt;="&amp;F5)</f>
        <v>3</v>
      </c>
      <c r="H4" s="38">
        <f t="shared" si="3"/>
        <v>5.470588235294118</v>
      </c>
      <c r="I4" s="39">
        <f>COUNTIF(Vertices[Out-Degree],"&gt;= "&amp;H4)-COUNTIF(Vertices[Out-Degree],"&gt;="&amp;H5)</f>
        <v>0</v>
      </c>
      <c r="J4" s="38">
        <f t="shared" si="4"/>
        <v>2156.235294117647</v>
      </c>
      <c r="K4" s="39">
        <f>COUNTIF(Vertices[Betweenness Centrality],"&gt;= "&amp;J4)-COUNTIF(Vertices[Betweenness Centrality],"&gt;="&amp;J5)</f>
        <v>3</v>
      </c>
      <c r="L4" s="38">
        <f t="shared" si="5"/>
        <v>0.058823529411764705</v>
      </c>
      <c r="M4" s="39">
        <f>COUNTIF(Vertices[Closeness Centrality],"&gt;= "&amp;L4)-COUNTIF(Vertices[Closeness Centrality],"&gt;="&amp;L5)</f>
        <v>12</v>
      </c>
      <c r="N4" s="38">
        <f t="shared" si="6"/>
        <v>0.0040965294117647055</v>
      </c>
      <c r="O4" s="39">
        <f>COUNTIF(Vertices[Eigenvector Centrality],"&gt;= "&amp;N4)-COUNTIF(Vertices[Eigenvector Centrality],"&gt;="&amp;N5)</f>
        <v>190</v>
      </c>
      <c r="P4" s="38">
        <f t="shared" si="7"/>
        <v>5.423178</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16.852941176470587</v>
      </c>
      <c r="G5" s="41">
        <f>COUNTIF(Vertices[In-Degree],"&gt;= "&amp;F5)-COUNTIF(Vertices[In-Degree],"&gt;="&amp;F6)</f>
        <v>1</v>
      </c>
      <c r="H5" s="40">
        <f t="shared" si="3"/>
        <v>7.705882352941177</v>
      </c>
      <c r="I5" s="41">
        <f>COUNTIF(Vertices[Out-Degree],"&gt;= "&amp;H5)-COUNTIF(Vertices[Out-Degree],"&gt;="&amp;H6)</f>
        <v>1</v>
      </c>
      <c r="J5" s="40">
        <f t="shared" si="4"/>
        <v>3234.3529411764703</v>
      </c>
      <c r="K5" s="41">
        <f>COUNTIF(Vertices[Betweenness Centrality],"&gt;= "&amp;J5)-COUNTIF(Vertices[Betweenness Centrality],"&gt;="&amp;J6)</f>
        <v>1</v>
      </c>
      <c r="L5" s="40">
        <f t="shared" si="5"/>
        <v>0.08823529411764705</v>
      </c>
      <c r="M5" s="41">
        <f>COUNTIF(Vertices[Closeness Centrality],"&gt;= "&amp;L5)-COUNTIF(Vertices[Closeness Centrality],"&gt;="&amp;L6)</f>
        <v>2</v>
      </c>
      <c r="N5" s="40">
        <f t="shared" si="6"/>
        <v>0.006144794117647058</v>
      </c>
      <c r="O5" s="41">
        <f>COUNTIF(Vertices[Eigenvector Centrality],"&gt;= "&amp;N5)-COUNTIF(Vertices[Eigenvector Centrality],"&gt;="&amp;N6)</f>
        <v>0</v>
      </c>
      <c r="P5" s="40">
        <f t="shared" si="7"/>
        <v>7.8950344999999995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700</v>
      </c>
      <c r="D6" s="33">
        <f t="shared" si="1"/>
        <v>0</v>
      </c>
      <c r="E6" s="3">
        <f>COUNTIF(Vertices[Degree],"&gt;= "&amp;D6)-COUNTIF(Vertices[Degree],"&gt;="&amp;D7)</f>
        <v>0</v>
      </c>
      <c r="F6" s="38">
        <f t="shared" si="2"/>
        <v>22.470588235294116</v>
      </c>
      <c r="G6" s="39">
        <f>COUNTIF(Vertices[In-Degree],"&gt;= "&amp;F6)-COUNTIF(Vertices[In-Degree],"&gt;="&amp;F7)</f>
        <v>2</v>
      </c>
      <c r="H6" s="38">
        <f t="shared" si="3"/>
        <v>9.941176470588236</v>
      </c>
      <c r="I6" s="39">
        <f>COUNTIF(Vertices[Out-Degree],"&gt;= "&amp;H6)-COUNTIF(Vertices[Out-Degree],"&gt;="&amp;H7)</f>
        <v>1</v>
      </c>
      <c r="J6" s="38">
        <f t="shared" si="4"/>
        <v>4312.470588235294</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0.008193058823529411</v>
      </c>
      <c r="O6" s="39">
        <f>COUNTIF(Vertices[Eigenvector Centrality],"&gt;= "&amp;N6)-COUNTIF(Vertices[Eigenvector Centrality],"&gt;="&amp;N7)</f>
        <v>0</v>
      </c>
      <c r="P6" s="38">
        <f t="shared" si="7"/>
        <v>10.366890999999999</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156</v>
      </c>
      <c r="D7" s="33">
        <f t="shared" si="1"/>
        <v>0</v>
      </c>
      <c r="E7" s="3">
        <f>COUNTIF(Vertices[Degree],"&gt;= "&amp;D7)-COUNTIF(Vertices[Degree],"&gt;="&amp;D8)</f>
        <v>0</v>
      </c>
      <c r="F7" s="40">
        <f t="shared" si="2"/>
        <v>28.088235294117645</v>
      </c>
      <c r="G7" s="41">
        <f>COUNTIF(Vertices[In-Degree],"&gt;= "&amp;F7)-COUNTIF(Vertices[In-Degree],"&gt;="&amp;F8)</f>
        <v>1</v>
      </c>
      <c r="H7" s="40">
        <f t="shared" si="3"/>
        <v>12.176470588235293</v>
      </c>
      <c r="I7" s="41">
        <f>COUNTIF(Vertices[Out-Degree],"&gt;= "&amp;H7)-COUNTIF(Vertices[Out-Degree],"&gt;="&amp;H8)</f>
        <v>1</v>
      </c>
      <c r="J7" s="40">
        <f t="shared" si="4"/>
        <v>5390.588235294117</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0.010241323529411765</v>
      </c>
      <c r="O7" s="41">
        <f>COUNTIF(Vertices[Eigenvector Centrality],"&gt;= "&amp;N7)-COUNTIF(Vertices[Eigenvector Centrality],"&gt;="&amp;N8)</f>
        <v>0</v>
      </c>
      <c r="P7" s="40">
        <f t="shared" si="7"/>
        <v>12.838747499999998</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856</v>
      </c>
      <c r="D8" s="33">
        <f t="shared" si="1"/>
        <v>0</v>
      </c>
      <c r="E8" s="3">
        <f>COUNTIF(Vertices[Degree],"&gt;= "&amp;D8)-COUNTIF(Vertices[Degree],"&gt;="&amp;D9)</f>
        <v>0</v>
      </c>
      <c r="F8" s="38">
        <f t="shared" si="2"/>
        <v>33.705882352941174</v>
      </c>
      <c r="G8" s="39">
        <f>COUNTIF(Vertices[In-Degree],"&gt;= "&amp;F8)-COUNTIF(Vertices[In-Degree],"&gt;="&amp;F9)</f>
        <v>1</v>
      </c>
      <c r="H8" s="38">
        <f t="shared" si="3"/>
        <v>14.411764705882351</v>
      </c>
      <c r="I8" s="39">
        <f>COUNTIF(Vertices[Out-Degree],"&gt;= "&amp;H8)-COUNTIF(Vertices[Out-Degree],"&gt;="&amp;H9)</f>
        <v>0</v>
      </c>
      <c r="J8" s="38">
        <f t="shared" si="4"/>
        <v>6468.7058823529405</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0.012289588235294118</v>
      </c>
      <c r="O8" s="39">
        <f>COUNTIF(Vertices[Eigenvector Centrality],"&gt;= "&amp;N8)-COUNTIF(Vertices[Eigenvector Centrality],"&gt;="&amp;N9)</f>
        <v>0</v>
      </c>
      <c r="P8" s="38">
        <f t="shared" si="7"/>
        <v>15.310603999999998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39.3235294117647</v>
      </c>
      <c r="G9" s="41">
        <f>COUNTIF(Vertices[In-Degree],"&gt;= "&amp;F9)-COUNTIF(Vertices[In-Degree],"&gt;="&amp;F10)</f>
        <v>1</v>
      </c>
      <c r="H9" s="40">
        <f t="shared" si="3"/>
        <v>16.64705882352941</v>
      </c>
      <c r="I9" s="41">
        <f>COUNTIF(Vertices[Out-Degree],"&gt;= "&amp;H9)-COUNTIF(Vertices[Out-Degree],"&gt;="&amp;H10)</f>
        <v>0</v>
      </c>
      <c r="J9" s="40">
        <f t="shared" si="4"/>
        <v>7546.823529411764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0.014337852941176472</v>
      </c>
      <c r="O9" s="41">
        <f>COUNTIF(Vertices[Eigenvector Centrality],"&gt;= "&amp;N9)-COUNTIF(Vertices[Eigenvector Centrality],"&gt;="&amp;N10)</f>
        <v>0</v>
      </c>
      <c r="P9" s="40">
        <f t="shared" si="7"/>
        <v>17.7824605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151</v>
      </c>
      <c r="B10" s="35">
        <v>65</v>
      </c>
      <c r="D10" s="33">
        <f t="shared" si="1"/>
        <v>0</v>
      </c>
      <c r="E10" s="3">
        <f>COUNTIF(Vertices[Degree],"&gt;= "&amp;D10)-COUNTIF(Vertices[Degree],"&gt;="&amp;D11)</f>
        <v>0</v>
      </c>
      <c r="F10" s="38">
        <f t="shared" si="2"/>
        <v>44.94117647058823</v>
      </c>
      <c r="G10" s="39">
        <f>COUNTIF(Vertices[In-Degree],"&gt;= "&amp;F10)-COUNTIF(Vertices[In-Degree],"&gt;="&amp;F11)</f>
        <v>1</v>
      </c>
      <c r="H10" s="38">
        <f t="shared" si="3"/>
        <v>18.882352941176467</v>
      </c>
      <c r="I10" s="39">
        <f>COUNTIF(Vertices[Out-Degree],"&gt;= "&amp;H10)-COUNTIF(Vertices[Out-Degree],"&gt;="&amp;H11)</f>
        <v>0</v>
      </c>
      <c r="J10" s="38">
        <f t="shared" si="4"/>
        <v>8624.941176470587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0.016386117647058825</v>
      </c>
      <c r="O10" s="39">
        <f>COUNTIF(Vertices[Eigenvector Centrality],"&gt;= "&amp;N10)-COUNTIF(Vertices[Eigenvector Centrality],"&gt;="&amp;N11)</f>
        <v>0</v>
      </c>
      <c r="P10" s="38">
        <f t="shared" si="7"/>
        <v>20.254317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50.55882352941176</v>
      </c>
      <c r="G11" s="41">
        <f>COUNTIF(Vertices[In-Degree],"&gt;= "&amp;F11)-COUNTIF(Vertices[In-Degree],"&gt;="&amp;F12)</f>
        <v>0</v>
      </c>
      <c r="H11" s="40">
        <f t="shared" si="3"/>
        <v>21.117647058823525</v>
      </c>
      <c r="I11" s="41">
        <f>COUNTIF(Vertices[Out-Degree],"&gt;= "&amp;H11)-COUNTIF(Vertices[Out-Degree],"&gt;="&amp;H12)</f>
        <v>1</v>
      </c>
      <c r="J11" s="40">
        <f t="shared" si="4"/>
        <v>9703.05882352941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0.01843438235294118</v>
      </c>
      <c r="O11" s="41">
        <f>COUNTIF(Vertices[Eigenvector Centrality],"&gt;= "&amp;N11)-COUNTIF(Vertices[Eigenvector Centrality],"&gt;="&amp;N12)</f>
        <v>0</v>
      </c>
      <c r="P11" s="40">
        <f t="shared" si="7"/>
        <v>22.7261735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170</v>
      </c>
      <c r="B12" s="35">
        <v>0.36242884250474383</v>
      </c>
      <c r="D12" s="33">
        <f t="shared" si="1"/>
        <v>0</v>
      </c>
      <c r="E12" s="3">
        <f>COUNTIF(Vertices[Degree],"&gt;= "&amp;D12)-COUNTIF(Vertices[Degree],"&gt;="&amp;D13)</f>
        <v>0</v>
      </c>
      <c r="F12" s="38">
        <f t="shared" si="2"/>
        <v>56.17647058823529</v>
      </c>
      <c r="G12" s="39">
        <f>COUNTIF(Vertices[In-Degree],"&gt;= "&amp;F12)-COUNTIF(Vertices[In-Degree],"&gt;="&amp;F13)</f>
        <v>0</v>
      </c>
      <c r="H12" s="38">
        <f t="shared" si="3"/>
        <v>23.352941176470583</v>
      </c>
      <c r="I12" s="39">
        <f>COUNTIF(Vertices[Out-Degree],"&gt;= "&amp;H12)-COUNTIF(Vertices[Out-Degree],"&gt;="&amp;H13)</f>
        <v>0</v>
      </c>
      <c r="J12" s="38">
        <f t="shared" si="4"/>
        <v>10781.176470588234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0.020482647058823533</v>
      </c>
      <c r="O12" s="39">
        <f>COUNTIF(Vertices[Eigenvector Centrality],"&gt;= "&amp;N12)-COUNTIF(Vertices[Eigenvector Centrality],"&gt;="&amp;N13)</f>
        <v>0</v>
      </c>
      <c r="P12" s="38">
        <f t="shared" si="7"/>
        <v>25.198030000000003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171</v>
      </c>
      <c r="B13" s="35">
        <v>0.532033426183844</v>
      </c>
      <c r="D13" s="33">
        <f t="shared" si="1"/>
        <v>0</v>
      </c>
      <c r="E13" s="3">
        <f>COUNTIF(Vertices[Degree],"&gt;= "&amp;D13)-COUNTIF(Vertices[Degree],"&gt;="&amp;D14)</f>
        <v>0</v>
      </c>
      <c r="F13" s="40">
        <f t="shared" si="2"/>
        <v>61.79411764705882</v>
      </c>
      <c r="G13" s="41">
        <f>COUNTIF(Vertices[In-Degree],"&gt;= "&amp;F13)-COUNTIF(Vertices[In-Degree],"&gt;="&amp;F14)</f>
        <v>0</v>
      </c>
      <c r="H13" s="40">
        <f t="shared" si="3"/>
        <v>25.58823529411764</v>
      </c>
      <c r="I13" s="41">
        <f>COUNTIF(Vertices[Out-Degree],"&gt;= "&amp;H13)-COUNTIF(Vertices[Out-Degree],"&gt;="&amp;H14)</f>
        <v>0</v>
      </c>
      <c r="J13" s="40">
        <f t="shared" si="4"/>
        <v>11859.294117647058</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0.022530911764705886</v>
      </c>
      <c r="O13" s="41">
        <f>COUNTIF(Vertices[Eigenvector Centrality],"&gt;= "&amp;N13)-COUNTIF(Vertices[Eigenvector Centrality],"&gt;="&amp;N14)</f>
        <v>0</v>
      </c>
      <c r="P13" s="40">
        <f t="shared" si="7"/>
        <v>27.669886500000004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116"/>
      <c r="B14" s="116"/>
      <c r="D14" s="33">
        <f t="shared" si="1"/>
        <v>0</v>
      </c>
      <c r="E14" s="3">
        <f>COUNTIF(Vertices[Degree],"&gt;= "&amp;D14)-COUNTIF(Vertices[Degree],"&gt;="&amp;D15)</f>
        <v>0</v>
      </c>
      <c r="F14" s="38">
        <f t="shared" si="2"/>
        <v>67.41176470588235</v>
      </c>
      <c r="G14" s="39">
        <f>COUNTIF(Vertices[In-Degree],"&gt;= "&amp;F14)-COUNTIF(Vertices[In-Degree],"&gt;="&amp;F15)</f>
        <v>0</v>
      </c>
      <c r="H14" s="38">
        <f t="shared" si="3"/>
        <v>27.8235294117647</v>
      </c>
      <c r="I14" s="39">
        <f>COUNTIF(Vertices[Out-Degree],"&gt;= "&amp;H14)-COUNTIF(Vertices[Out-Degree],"&gt;="&amp;H15)</f>
        <v>2</v>
      </c>
      <c r="J14" s="38">
        <f t="shared" si="4"/>
        <v>12937.411764705881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0.02457917647058824</v>
      </c>
      <c r="O14" s="39">
        <f>COUNTIF(Vertices[Eigenvector Centrality],"&gt;= "&amp;N14)-COUNTIF(Vertices[Eigenvector Centrality],"&gt;="&amp;N15)</f>
        <v>0</v>
      </c>
      <c r="P14" s="38">
        <f t="shared" si="7"/>
        <v>30.141743000000005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16</v>
      </c>
      <c r="D15" s="33">
        <f t="shared" si="1"/>
        <v>0</v>
      </c>
      <c r="E15" s="3">
        <f>COUNTIF(Vertices[Degree],"&gt;= "&amp;D15)-COUNTIF(Vertices[Degree],"&gt;="&amp;D16)</f>
        <v>0</v>
      </c>
      <c r="F15" s="40">
        <f t="shared" si="2"/>
        <v>73.02941176470588</v>
      </c>
      <c r="G15" s="41">
        <f>COUNTIF(Vertices[In-Degree],"&gt;= "&amp;F15)-COUNTIF(Vertices[In-Degree],"&gt;="&amp;F16)</f>
        <v>0</v>
      </c>
      <c r="H15" s="40">
        <f t="shared" si="3"/>
        <v>30.058823529411757</v>
      </c>
      <c r="I15" s="41">
        <f>COUNTIF(Vertices[Out-Degree],"&gt;= "&amp;H15)-COUNTIF(Vertices[Out-Degree],"&gt;="&amp;H16)</f>
        <v>0</v>
      </c>
      <c r="J15" s="40">
        <f t="shared" si="4"/>
        <v>14015.529411764704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0.026627441176470593</v>
      </c>
      <c r="O15" s="41">
        <f>COUNTIF(Vertices[Eigenvector Centrality],"&gt;= "&amp;N15)-COUNTIF(Vertices[Eigenvector Centrality],"&gt;="&amp;N16)</f>
        <v>0</v>
      </c>
      <c r="P15" s="40">
        <f t="shared" si="7"/>
        <v>32.61359950000001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153</v>
      </c>
      <c r="B16" s="35">
        <v>4</v>
      </c>
      <c r="D16" s="33">
        <f t="shared" si="1"/>
        <v>0</v>
      </c>
      <c r="E16" s="3">
        <f>COUNTIF(Vertices[Degree],"&gt;= "&amp;D16)-COUNTIF(Vertices[Degree],"&gt;="&amp;D17)</f>
        <v>0</v>
      </c>
      <c r="F16" s="38">
        <f t="shared" si="2"/>
        <v>78.64705882352942</v>
      </c>
      <c r="G16" s="39">
        <f>COUNTIF(Vertices[In-Degree],"&gt;= "&amp;F16)-COUNTIF(Vertices[In-Degree],"&gt;="&amp;F17)</f>
        <v>0</v>
      </c>
      <c r="H16" s="38">
        <f t="shared" si="3"/>
        <v>32.29411764705882</v>
      </c>
      <c r="I16" s="39">
        <f>COUNTIF(Vertices[Out-Degree],"&gt;= "&amp;H16)-COUNTIF(Vertices[Out-Degree],"&gt;="&amp;H17)</f>
        <v>0</v>
      </c>
      <c r="J16" s="38">
        <f t="shared" si="4"/>
        <v>15093.647058823528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0.028675705882352947</v>
      </c>
      <c r="O16" s="39">
        <f>COUNTIF(Vertices[Eigenvector Centrality],"&gt;= "&amp;N16)-COUNTIF(Vertices[Eigenvector Centrality],"&gt;="&amp;N17)</f>
        <v>0</v>
      </c>
      <c r="P16" s="38">
        <f t="shared" si="7"/>
        <v>35.08545600000001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154</v>
      </c>
      <c r="B17" s="35">
        <v>193</v>
      </c>
      <c r="D17" s="33">
        <f t="shared" si="1"/>
        <v>0</v>
      </c>
      <c r="E17" s="3">
        <f>COUNTIF(Vertices[Degree],"&gt;= "&amp;D17)-COUNTIF(Vertices[Degree],"&gt;="&amp;D18)</f>
        <v>0</v>
      </c>
      <c r="F17" s="40">
        <f t="shared" si="2"/>
        <v>84.26470588235296</v>
      </c>
      <c r="G17" s="41">
        <f>COUNTIF(Vertices[In-Degree],"&gt;= "&amp;F17)-COUNTIF(Vertices[In-Degree],"&gt;="&amp;F18)</f>
        <v>0</v>
      </c>
      <c r="H17" s="40">
        <f t="shared" si="3"/>
        <v>34.52941176470588</v>
      </c>
      <c r="I17" s="41">
        <f>COUNTIF(Vertices[Out-Degree],"&gt;= "&amp;H17)-COUNTIF(Vertices[Out-Degree],"&gt;="&amp;H18)</f>
        <v>0</v>
      </c>
      <c r="J17" s="40">
        <f t="shared" si="4"/>
        <v>16171.764705882351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0.0307239705882353</v>
      </c>
      <c r="O17" s="41">
        <f>COUNTIF(Vertices[Eigenvector Centrality],"&gt;= "&amp;N17)-COUNTIF(Vertices[Eigenvector Centrality],"&gt;="&amp;N18)</f>
        <v>0</v>
      </c>
      <c r="P17" s="40">
        <f t="shared" si="7"/>
        <v>37.55731250000001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338</v>
      </c>
      <c r="D18" s="33">
        <f t="shared" si="1"/>
        <v>0</v>
      </c>
      <c r="E18" s="3">
        <f>COUNTIF(Vertices[Degree],"&gt;= "&amp;D18)-COUNTIF(Vertices[Degree],"&gt;="&amp;D19)</f>
        <v>0</v>
      </c>
      <c r="F18" s="38">
        <f t="shared" si="2"/>
        <v>89.88235294117649</v>
      </c>
      <c r="G18" s="39">
        <f>COUNTIF(Vertices[In-Degree],"&gt;= "&amp;F18)-COUNTIF(Vertices[In-Degree],"&gt;="&amp;F19)</f>
        <v>0</v>
      </c>
      <c r="H18" s="38">
        <f t="shared" si="3"/>
        <v>36.764705882352935</v>
      </c>
      <c r="I18" s="39">
        <f>COUNTIF(Vertices[Out-Degree],"&gt;= "&amp;H18)-COUNTIF(Vertices[Out-Degree],"&gt;="&amp;H19)</f>
        <v>0</v>
      </c>
      <c r="J18" s="38">
        <f t="shared" si="4"/>
        <v>17249.882352941175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0.03277223529411765</v>
      </c>
      <c r="O18" s="39">
        <f>COUNTIF(Vertices[Eigenvector Centrality],"&gt;= "&amp;N18)-COUNTIF(Vertices[Eigenvector Centrality],"&gt;="&amp;N19)</f>
        <v>0</v>
      </c>
      <c r="P18" s="38">
        <f t="shared" si="7"/>
        <v>40.02916900000001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95.50000000000003</v>
      </c>
      <c r="G19" s="41">
        <f>COUNTIF(Vertices[In-Degree],"&gt;= "&amp;F19)-COUNTIF(Vertices[In-Degree],"&gt;="&amp;F20)</f>
        <v>0</v>
      </c>
      <c r="H19" s="40">
        <f t="shared" si="3"/>
        <v>38.99999999999999</v>
      </c>
      <c r="I19" s="41">
        <f>COUNTIF(Vertices[Out-Degree],"&gt;= "&amp;H19)-COUNTIF(Vertices[Out-Degree],"&gt;="&amp;H20)</f>
        <v>0</v>
      </c>
      <c r="J19" s="40">
        <f t="shared" si="4"/>
        <v>18328</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0.034820500000000004</v>
      </c>
      <c r="O19" s="41">
        <f>COUNTIF(Vertices[Eigenvector Centrality],"&gt;= "&amp;N19)-COUNTIF(Vertices[Eigenvector Centrality],"&gt;="&amp;N20)</f>
        <v>0</v>
      </c>
      <c r="P19" s="40">
        <f t="shared" si="7"/>
        <v>42.50102550000001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156</v>
      </c>
      <c r="B20" s="35">
        <v>11</v>
      </c>
      <c r="D20" s="33">
        <f t="shared" si="1"/>
        <v>0</v>
      </c>
      <c r="E20" s="3">
        <f>COUNTIF(Vertices[Degree],"&gt;= "&amp;D20)-COUNTIF(Vertices[Degree],"&gt;="&amp;D21)</f>
        <v>0</v>
      </c>
      <c r="F20" s="38">
        <f t="shared" si="2"/>
        <v>101.11764705882356</v>
      </c>
      <c r="G20" s="39">
        <f>COUNTIF(Vertices[In-Degree],"&gt;= "&amp;F20)-COUNTIF(Vertices[In-Degree],"&gt;="&amp;F21)</f>
        <v>0</v>
      </c>
      <c r="H20" s="38">
        <f t="shared" si="3"/>
        <v>41.23529411764705</v>
      </c>
      <c r="I20" s="39">
        <f>COUNTIF(Vertices[Out-Degree],"&gt;= "&amp;H20)-COUNTIF(Vertices[Out-Degree],"&gt;="&amp;H21)</f>
        <v>0</v>
      </c>
      <c r="J20" s="38">
        <f t="shared" si="4"/>
        <v>19406.117647058825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0.03686876470588236</v>
      </c>
      <c r="O20" s="39">
        <f>COUNTIF(Vertices[Eigenvector Centrality],"&gt;= "&amp;N20)-COUNTIF(Vertices[Eigenvector Centrality],"&gt;="&amp;N21)</f>
        <v>0</v>
      </c>
      <c r="P20" s="38">
        <f t="shared" si="7"/>
        <v>44.97288200000001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2.397436</v>
      </c>
      <c r="D21" s="33">
        <f t="shared" si="1"/>
        <v>0</v>
      </c>
      <c r="E21" s="3">
        <f>COUNTIF(Vertices[Degree],"&gt;= "&amp;D21)-COUNTIF(Vertices[Degree],"&gt;="&amp;D22)</f>
        <v>0</v>
      </c>
      <c r="F21" s="40">
        <f t="shared" si="2"/>
        <v>106.7352941176471</v>
      </c>
      <c r="G21" s="41">
        <f>COUNTIF(Vertices[In-Degree],"&gt;= "&amp;F21)-COUNTIF(Vertices[In-Degree],"&gt;="&amp;F22)</f>
        <v>0</v>
      </c>
      <c r="H21" s="40">
        <f t="shared" si="3"/>
        <v>43.47058823529411</v>
      </c>
      <c r="I21" s="41">
        <f>COUNTIF(Vertices[Out-Degree],"&gt;= "&amp;H21)-COUNTIF(Vertices[Out-Degree],"&gt;="&amp;H22)</f>
        <v>0</v>
      </c>
      <c r="J21" s="40">
        <f t="shared" si="4"/>
        <v>20484.23529411765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0.03891702941176471</v>
      </c>
      <c r="O21" s="41">
        <f>COUNTIF(Vertices[Eigenvector Centrality],"&gt;= "&amp;N21)-COUNTIF(Vertices[Eigenvector Centrality],"&gt;="&amp;N22)</f>
        <v>0</v>
      </c>
      <c r="P21" s="40">
        <f t="shared" si="7"/>
        <v>47.444738500000014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112.35294117647064</v>
      </c>
      <c r="G22" s="39">
        <f>COUNTIF(Vertices[In-Degree],"&gt;= "&amp;F22)-COUNTIF(Vertices[In-Degree],"&gt;="&amp;F23)</f>
        <v>0</v>
      </c>
      <c r="H22" s="38">
        <f t="shared" si="3"/>
        <v>45.70588235294117</v>
      </c>
      <c r="I22" s="39">
        <f>COUNTIF(Vertices[Out-Degree],"&gt;= "&amp;H22)-COUNTIF(Vertices[Out-Degree],"&gt;="&amp;H23)</f>
        <v>0</v>
      </c>
      <c r="J22" s="38">
        <f t="shared" si="4"/>
        <v>21562.352941176476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0.040965294117647065</v>
      </c>
      <c r="O22" s="39">
        <f>COUNTIF(Vertices[Eigenvector Centrality],"&gt;= "&amp;N22)-COUNTIF(Vertices[Eigenvector Centrality],"&gt;="&amp;N23)</f>
        <v>0</v>
      </c>
      <c r="P22" s="38">
        <f t="shared" si="7"/>
        <v>49.916595000000015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0.0025512560849944924</v>
      </c>
      <c r="D23" s="33">
        <f t="shared" si="1"/>
        <v>0</v>
      </c>
      <c r="E23" s="3">
        <f>COUNTIF(Vertices[Degree],"&gt;= "&amp;D23)-COUNTIF(Vertices[Degree],"&gt;="&amp;D24)</f>
        <v>0</v>
      </c>
      <c r="F23" s="40">
        <f t="shared" si="2"/>
        <v>117.97058823529417</v>
      </c>
      <c r="G23" s="41">
        <f>COUNTIF(Vertices[In-Degree],"&gt;= "&amp;F23)-COUNTIF(Vertices[In-Degree],"&gt;="&amp;F24)</f>
        <v>0</v>
      </c>
      <c r="H23" s="40">
        <f t="shared" si="3"/>
        <v>47.941176470588225</v>
      </c>
      <c r="I23" s="41">
        <f>COUNTIF(Vertices[Out-Degree],"&gt;= "&amp;H23)-COUNTIF(Vertices[Out-Degree],"&gt;="&amp;H24)</f>
        <v>0</v>
      </c>
      <c r="J23" s="40">
        <f t="shared" si="4"/>
        <v>22640.4705882353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0.04301355882352942</v>
      </c>
      <c r="O23" s="41">
        <f>COUNTIF(Vertices[Eigenvector Centrality],"&gt;= "&amp;N23)-COUNTIF(Vertices[Eigenvector Centrality],"&gt;="&amp;N24)</f>
        <v>0</v>
      </c>
      <c r="P23" s="40">
        <f t="shared" si="7"/>
        <v>52.388451500000016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4173</v>
      </c>
      <c r="B24" s="35">
        <v>0.56645</v>
      </c>
      <c r="D24" s="33">
        <f t="shared" si="1"/>
        <v>0</v>
      </c>
      <c r="E24" s="3">
        <f>COUNTIF(Vertices[Degree],"&gt;= "&amp;D24)-COUNTIF(Vertices[Degree],"&gt;="&amp;D25)</f>
        <v>0</v>
      </c>
      <c r="F24" s="38">
        <f t="shared" si="2"/>
        <v>123.58823529411771</v>
      </c>
      <c r="G24" s="39">
        <f>COUNTIF(Vertices[In-Degree],"&gt;= "&amp;F24)-COUNTIF(Vertices[In-Degree],"&gt;="&amp;F25)</f>
        <v>0</v>
      </c>
      <c r="H24" s="38">
        <f t="shared" si="3"/>
        <v>50.17647058823528</v>
      </c>
      <c r="I24" s="39">
        <f>COUNTIF(Vertices[Out-Degree],"&gt;= "&amp;H24)-COUNTIF(Vertices[Out-Degree],"&gt;="&amp;H25)</f>
        <v>0</v>
      </c>
      <c r="J24" s="38">
        <f t="shared" si="4"/>
        <v>23718.588235294126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0.04506182352941177</v>
      </c>
      <c r="O24" s="39">
        <f>COUNTIF(Vertices[Eigenvector Centrality],"&gt;= "&amp;N24)-COUNTIF(Vertices[Eigenvector Centrality],"&gt;="&amp;N25)</f>
        <v>0</v>
      </c>
      <c r="P24" s="38">
        <f t="shared" si="7"/>
        <v>54.86030800000002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6"/>
      <c r="B25" s="116"/>
      <c r="D25" s="33">
        <f t="shared" si="1"/>
        <v>0</v>
      </c>
      <c r="E25" s="3">
        <f>COUNTIF(Vertices[Degree],"&gt;= "&amp;D25)-COUNTIF(Vertices[Degree],"&gt;="&amp;D26)</f>
        <v>0</v>
      </c>
      <c r="F25" s="40">
        <f t="shared" si="2"/>
        <v>129.20588235294125</v>
      </c>
      <c r="G25" s="41">
        <f>COUNTIF(Vertices[In-Degree],"&gt;= "&amp;F25)-COUNTIF(Vertices[In-Degree],"&gt;="&amp;F26)</f>
        <v>0</v>
      </c>
      <c r="H25" s="40">
        <f t="shared" si="3"/>
        <v>52.41176470588234</v>
      </c>
      <c r="I25" s="41">
        <f>COUNTIF(Vertices[Out-Degree],"&gt;= "&amp;H25)-COUNTIF(Vertices[Out-Degree],"&gt;="&amp;H26)</f>
        <v>0</v>
      </c>
      <c r="J25" s="40">
        <f t="shared" si="4"/>
        <v>24796.70588235295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0.047110088235294126</v>
      </c>
      <c r="O25" s="41">
        <f>COUNTIF(Vertices[Eigenvector Centrality],"&gt;= "&amp;N25)-COUNTIF(Vertices[Eigenvector Centrality],"&gt;="&amp;N26)</f>
        <v>0</v>
      </c>
      <c r="P25" s="40">
        <f t="shared" si="7"/>
        <v>57.33216450000002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4174</v>
      </c>
      <c r="B26" s="35" t="s">
        <v>4189</v>
      </c>
      <c r="D26" s="33">
        <f t="shared" si="1"/>
        <v>0</v>
      </c>
      <c r="E26" s="3">
        <f>COUNTIF(Vertices[Degree],"&gt;= "&amp;D26)-COUNTIF(Vertices[Degree],"&gt;="&amp;D27)</f>
        <v>0</v>
      </c>
      <c r="F26" s="38">
        <f t="shared" si="2"/>
        <v>134.82352941176478</v>
      </c>
      <c r="G26" s="39">
        <f>COUNTIF(Vertices[In-Degree],"&gt;= "&amp;F26)-COUNTIF(Vertices[In-Degree],"&gt;="&amp;F27)</f>
        <v>0</v>
      </c>
      <c r="H26" s="38">
        <f t="shared" si="3"/>
        <v>54.6470588235294</v>
      </c>
      <c r="I26" s="39">
        <f>COUNTIF(Vertices[Out-Degree],"&gt;= "&amp;H26)-COUNTIF(Vertices[Out-Degree],"&gt;="&amp;H27)</f>
        <v>0</v>
      </c>
      <c r="J26" s="38">
        <f t="shared" si="4"/>
        <v>25874.823529411777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0.04915835294117648</v>
      </c>
      <c r="O26" s="39">
        <f>COUNTIF(Vertices[Eigenvector Centrality],"&gt;= "&amp;N26)-COUNTIF(Vertices[Eigenvector Centrality],"&gt;="&amp;N27)</f>
        <v>0</v>
      </c>
      <c r="P26" s="38">
        <f t="shared" si="7"/>
        <v>59.80402100000002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140.44117647058832</v>
      </c>
      <c r="G27" s="41">
        <f>COUNTIF(Vertices[In-Degree],"&gt;= "&amp;F27)-COUNTIF(Vertices[In-Degree],"&gt;="&amp;F28)</f>
        <v>0</v>
      </c>
      <c r="H27" s="40">
        <f t="shared" si="3"/>
        <v>56.88235294117646</v>
      </c>
      <c r="I27" s="41">
        <f>COUNTIF(Vertices[Out-Degree],"&gt;= "&amp;H27)-COUNTIF(Vertices[Out-Degree],"&gt;="&amp;H28)</f>
        <v>0</v>
      </c>
      <c r="J27" s="40">
        <f t="shared" si="4"/>
        <v>26952.941176470602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0.05120661764705883</v>
      </c>
      <c r="O27" s="41">
        <f>COUNTIF(Vertices[Eigenvector Centrality],"&gt;= "&amp;N27)-COUNTIF(Vertices[Eigenvector Centrality],"&gt;="&amp;N28)</f>
        <v>0</v>
      </c>
      <c r="P27" s="40">
        <f t="shared" si="7"/>
        <v>62.27587750000002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4175</v>
      </c>
      <c r="B28" s="35" t="s">
        <v>5375</v>
      </c>
      <c r="D28" s="33">
        <f t="shared" si="1"/>
        <v>0</v>
      </c>
      <c r="E28" s="3">
        <f>COUNTIF(Vertices[Degree],"&gt;= "&amp;D28)-COUNTIF(Vertices[Degree],"&gt;="&amp;D29)</f>
        <v>0</v>
      </c>
      <c r="F28" s="38">
        <f t="shared" si="2"/>
        <v>146.05882352941185</v>
      </c>
      <c r="G28" s="39">
        <f>COUNTIF(Vertices[In-Degree],"&gt;= "&amp;F28)-COUNTIF(Vertices[In-Degree],"&gt;="&amp;F29)</f>
        <v>0</v>
      </c>
      <c r="H28" s="38">
        <f t="shared" si="3"/>
        <v>59.117647058823515</v>
      </c>
      <c r="I28" s="39">
        <f>COUNTIF(Vertices[Out-Degree],"&gt;= "&amp;H28)-COUNTIF(Vertices[Out-Degree],"&gt;="&amp;H29)</f>
        <v>0</v>
      </c>
      <c r="J28" s="38">
        <f t="shared" si="4"/>
        <v>28031.058823529427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0.05325488235294119</v>
      </c>
      <c r="O28" s="39">
        <f>COUNTIF(Vertices[Eigenvector Centrality],"&gt;= "&amp;N28)-COUNTIF(Vertices[Eigenvector Centrality],"&gt;="&amp;N29)</f>
        <v>0</v>
      </c>
      <c r="P28" s="38">
        <f t="shared" si="7"/>
        <v>64.74773400000002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4176</v>
      </c>
      <c r="B29" s="35" t="s">
        <v>5376</v>
      </c>
      <c r="D29" s="33">
        <f t="shared" si="1"/>
        <v>0</v>
      </c>
      <c r="E29" s="3">
        <f>COUNTIF(Vertices[Degree],"&gt;= "&amp;D29)-COUNTIF(Vertices[Degree],"&gt;="&amp;D30)</f>
        <v>0</v>
      </c>
      <c r="F29" s="40">
        <f t="shared" si="2"/>
        <v>151.6764705882354</v>
      </c>
      <c r="G29" s="41">
        <f>COUNTIF(Vertices[In-Degree],"&gt;= "&amp;F29)-COUNTIF(Vertices[In-Degree],"&gt;="&amp;F30)</f>
        <v>0</v>
      </c>
      <c r="H29" s="40">
        <f t="shared" si="3"/>
        <v>61.35294117647057</v>
      </c>
      <c r="I29" s="41">
        <f>COUNTIF(Vertices[Out-Degree],"&gt;= "&amp;H29)-COUNTIF(Vertices[Out-Degree],"&gt;="&amp;H30)</f>
        <v>0</v>
      </c>
      <c r="J29" s="40">
        <f t="shared" si="4"/>
        <v>29109.176470588252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0.05530314705882354</v>
      </c>
      <c r="O29" s="41">
        <f>COUNTIF(Vertices[Eigenvector Centrality],"&gt;= "&amp;N29)-COUNTIF(Vertices[Eigenvector Centrality],"&gt;="&amp;N30)</f>
        <v>0</v>
      </c>
      <c r="P29" s="40">
        <f t="shared" si="7"/>
        <v>67.21959050000002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157.29411764705893</v>
      </c>
      <c r="G30" s="39">
        <f>COUNTIF(Vertices[In-Degree],"&gt;= "&amp;F30)-COUNTIF(Vertices[In-Degree],"&gt;="&amp;F31)</f>
        <v>0</v>
      </c>
      <c r="H30" s="38">
        <f t="shared" si="3"/>
        <v>63.58823529411763</v>
      </c>
      <c r="I30" s="39">
        <f>COUNTIF(Vertices[Out-Degree],"&gt;= "&amp;H30)-COUNTIF(Vertices[Out-Degree],"&gt;="&amp;H31)</f>
        <v>0</v>
      </c>
      <c r="J30" s="38">
        <f t="shared" si="4"/>
        <v>30187.294117647078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0.057351411764705894</v>
      </c>
      <c r="O30" s="39">
        <f>COUNTIF(Vertices[Eigenvector Centrality],"&gt;= "&amp;N30)-COUNTIF(Vertices[Eigenvector Centrality],"&gt;="&amp;N31)</f>
        <v>0</v>
      </c>
      <c r="P30" s="38">
        <f t="shared" si="7"/>
        <v>69.69144700000003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4177</v>
      </c>
      <c r="B31" s="35" t="s">
        <v>5370</v>
      </c>
      <c r="D31" s="33">
        <f t="shared" si="1"/>
        <v>0</v>
      </c>
      <c r="E31" s="3">
        <f>COUNTIF(Vertices[Degree],"&gt;= "&amp;D31)-COUNTIF(Vertices[Degree],"&gt;="&amp;D32)</f>
        <v>0</v>
      </c>
      <c r="F31" s="40">
        <f t="shared" si="2"/>
        <v>162.91176470588246</v>
      </c>
      <c r="G31" s="41">
        <f>COUNTIF(Vertices[In-Degree],"&gt;= "&amp;F31)-COUNTIF(Vertices[In-Degree],"&gt;="&amp;F32)</f>
        <v>0</v>
      </c>
      <c r="H31" s="40">
        <f t="shared" si="3"/>
        <v>65.8235294117647</v>
      </c>
      <c r="I31" s="41">
        <f>COUNTIF(Vertices[Out-Degree],"&gt;= "&amp;H31)-COUNTIF(Vertices[Out-Degree],"&gt;="&amp;H32)</f>
        <v>0</v>
      </c>
      <c r="J31" s="40">
        <f t="shared" si="4"/>
        <v>31265.411764705903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0.05939967647058825</v>
      </c>
      <c r="O31" s="41">
        <f>COUNTIF(Vertices[Eigenvector Centrality],"&gt;= "&amp;N31)-COUNTIF(Vertices[Eigenvector Centrality],"&gt;="&amp;N32)</f>
        <v>0</v>
      </c>
      <c r="P31" s="40">
        <f t="shared" si="7"/>
        <v>72.16330350000003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4178</v>
      </c>
      <c r="B32" s="35" t="s">
        <v>5371</v>
      </c>
      <c r="D32" s="33">
        <f t="shared" si="1"/>
        <v>0</v>
      </c>
      <c r="E32" s="3">
        <f>COUNTIF(Vertices[Degree],"&gt;= "&amp;D32)-COUNTIF(Vertices[Degree],"&gt;="&amp;D33)</f>
        <v>0</v>
      </c>
      <c r="F32" s="38">
        <f t="shared" si="2"/>
        <v>168.529411764706</v>
      </c>
      <c r="G32" s="39">
        <f>COUNTIF(Vertices[In-Degree],"&gt;= "&amp;F32)-COUNTIF(Vertices[In-Degree],"&gt;="&amp;F33)</f>
        <v>0</v>
      </c>
      <c r="H32" s="38">
        <f t="shared" si="3"/>
        <v>68.05882352941175</v>
      </c>
      <c r="I32" s="39">
        <f>COUNTIF(Vertices[Out-Degree],"&gt;= "&amp;H32)-COUNTIF(Vertices[Out-Degree],"&gt;="&amp;H33)</f>
        <v>0</v>
      </c>
      <c r="J32" s="38">
        <f t="shared" si="4"/>
        <v>32343.529411764728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0.0614479411764706</v>
      </c>
      <c r="O32" s="39">
        <f>COUNTIF(Vertices[Eigenvector Centrality],"&gt;= "&amp;N32)-COUNTIF(Vertices[Eigenvector Centrality],"&gt;="&amp;N33)</f>
        <v>0</v>
      </c>
      <c r="P32" s="38">
        <f t="shared" si="7"/>
        <v>74.63516000000003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409.5">
      <c r="A33" s="35" t="s">
        <v>4179</v>
      </c>
      <c r="B33" s="54" t="s">
        <v>5372</v>
      </c>
      <c r="D33" s="33">
        <f t="shared" si="1"/>
        <v>0</v>
      </c>
      <c r="E33" s="3">
        <f>COUNTIF(Vertices[Degree],"&gt;= "&amp;D33)-COUNTIF(Vertices[Degree],"&gt;="&amp;D34)</f>
        <v>0</v>
      </c>
      <c r="F33" s="40">
        <f t="shared" si="2"/>
        <v>174.14705882352953</v>
      </c>
      <c r="G33" s="41">
        <f>COUNTIF(Vertices[In-Degree],"&gt;= "&amp;F33)-COUNTIF(Vertices[In-Degree],"&gt;="&amp;F34)</f>
        <v>0</v>
      </c>
      <c r="H33" s="40">
        <f t="shared" si="3"/>
        <v>70.29411764705881</v>
      </c>
      <c r="I33" s="41">
        <f>COUNTIF(Vertices[Out-Degree],"&gt;= "&amp;H33)-COUNTIF(Vertices[Out-Degree],"&gt;="&amp;H34)</f>
        <v>0</v>
      </c>
      <c r="J33" s="40">
        <f t="shared" si="4"/>
        <v>33421.64705882355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0.06349620588235295</v>
      </c>
      <c r="O33" s="41">
        <f>COUNTIF(Vertices[Eigenvector Centrality],"&gt;= "&amp;N33)-COUNTIF(Vertices[Eigenvector Centrality],"&gt;="&amp;N34)</f>
        <v>0</v>
      </c>
      <c r="P33" s="40">
        <f t="shared" si="7"/>
        <v>77.10701650000003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4180</v>
      </c>
      <c r="B34" s="35" t="s">
        <v>5373</v>
      </c>
      <c r="D34" s="33">
        <f t="shared" si="1"/>
        <v>0</v>
      </c>
      <c r="E34" s="3">
        <f>COUNTIF(Vertices[Degree],"&gt;= "&amp;D34)-COUNTIF(Vertices[Degree],"&gt;="&amp;D35)</f>
        <v>0</v>
      </c>
      <c r="F34" s="38">
        <f t="shared" si="2"/>
        <v>179.76470588235307</v>
      </c>
      <c r="G34" s="39">
        <f>COUNTIF(Vertices[In-Degree],"&gt;= "&amp;F34)-COUNTIF(Vertices[In-Degree],"&gt;="&amp;F35)</f>
        <v>0</v>
      </c>
      <c r="H34" s="38">
        <f t="shared" si="3"/>
        <v>72.52941176470587</v>
      </c>
      <c r="I34" s="39">
        <f>COUNTIF(Vertices[Out-Degree],"&gt;= "&amp;H34)-COUNTIF(Vertices[Out-Degree],"&gt;="&amp;H35)</f>
        <v>0</v>
      </c>
      <c r="J34" s="38">
        <f t="shared" si="4"/>
        <v>34499.76470588238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0.0655444705882353</v>
      </c>
      <c r="O34" s="39">
        <f>COUNTIF(Vertices[Eigenvector Centrality],"&gt;= "&amp;N34)-COUNTIF(Vertices[Eigenvector Centrality],"&gt;="&amp;N35)</f>
        <v>0</v>
      </c>
      <c r="P34" s="38">
        <f t="shared" si="7"/>
        <v>79.57887300000003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4181</v>
      </c>
      <c r="B35" s="35" t="s">
        <v>5374</v>
      </c>
      <c r="D35" s="33">
        <f t="shared" si="1"/>
        <v>0</v>
      </c>
      <c r="E35" s="3">
        <f>COUNTIF(Vertices[Degree],"&gt;= "&amp;D35)-COUNTIF(Vertices[Degree],"&gt;="&amp;D36)</f>
        <v>0</v>
      </c>
      <c r="F35" s="40">
        <f t="shared" si="2"/>
        <v>185.3823529411766</v>
      </c>
      <c r="G35" s="41">
        <f>COUNTIF(Vertices[In-Degree],"&gt;= "&amp;F35)-COUNTIF(Vertices[In-Degree],"&gt;="&amp;F36)</f>
        <v>0</v>
      </c>
      <c r="H35" s="40">
        <f t="shared" si="3"/>
        <v>74.76470588235293</v>
      </c>
      <c r="I35" s="41">
        <f>COUNTIF(Vertices[Out-Degree],"&gt;= "&amp;H35)-COUNTIF(Vertices[Out-Degree],"&gt;="&amp;H36)</f>
        <v>0</v>
      </c>
      <c r="J35" s="40">
        <f t="shared" si="4"/>
        <v>35577.882352941204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0.06759273529411765</v>
      </c>
      <c r="O35" s="41">
        <f>COUNTIF(Vertices[Eigenvector Centrality],"&gt;= "&amp;N35)-COUNTIF(Vertices[Eigenvector Centrality],"&gt;="&amp;N36)</f>
        <v>0</v>
      </c>
      <c r="P35" s="40">
        <f t="shared" si="7"/>
        <v>82.05072950000003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4182</v>
      </c>
      <c r="B36" s="35" t="s">
        <v>3413</v>
      </c>
      <c r="D36" s="33">
        <f>MAX(Vertices[Degree])</f>
        <v>0</v>
      </c>
      <c r="E36" s="3">
        <f>COUNTIF(Vertices[Degree],"&gt;= "&amp;D36)-COUNTIF(Vertices[Degree],"&gt;="&amp;#REF!)</f>
        <v>0</v>
      </c>
      <c r="F36" s="42">
        <f>MAX(Vertices[In-Degree])</f>
        <v>191</v>
      </c>
      <c r="G36" s="43">
        <f>COUNTIF(Vertices[In-Degree],"&gt;= "&amp;F36)-COUNTIF(Vertices[In-Degree],"&gt;="&amp;#REF!)</f>
        <v>1</v>
      </c>
      <c r="H36" s="42">
        <f>MAX(Vertices[Out-Degree])</f>
        <v>77</v>
      </c>
      <c r="I36" s="43">
        <f>COUNTIF(Vertices[Out-Degree],"&gt;= "&amp;H36)-COUNTIF(Vertices[Out-Degree],"&gt;="&amp;#REF!)</f>
        <v>1</v>
      </c>
      <c r="J36" s="42">
        <f>MAX(Vertices[Betweenness Centrality])</f>
        <v>36656</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0.069641</v>
      </c>
      <c r="O36" s="43">
        <f>COUNTIF(Vertices[Eigenvector Centrality],"&gt;= "&amp;N36)-COUNTIF(Vertices[Eigenvector Centrality],"&gt;="&amp;#REF!)</f>
        <v>1</v>
      </c>
      <c r="P36" s="42">
        <f>MAX(Vertices[PageRank])</f>
        <v>84.522586</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4183</v>
      </c>
      <c r="B37" s="35" t="s">
        <v>3413</v>
      </c>
    </row>
    <row r="38" spans="1:2" ht="15">
      <c r="A38" s="35" t="s">
        <v>4184</v>
      </c>
      <c r="B38" s="35" t="s">
        <v>3413</v>
      </c>
    </row>
    <row r="39" spans="1:2" ht="15">
      <c r="A39" s="35" t="s">
        <v>4185</v>
      </c>
      <c r="B39" s="35"/>
    </row>
    <row r="40" spans="1:2" ht="15">
      <c r="A40" s="35" t="s">
        <v>21</v>
      </c>
      <c r="B40" s="35"/>
    </row>
    <row r="41" spans="1:2" ht="15">
      <c r="A41" s="35" t="s">
        <v>4186</v>
      </c>
      <c r="B41" s="35" t="s">
        <v>34</v>
      </c>
    </row>
    <row r="42" spans="1:2" ht="15">
      <c r="A42" s="35" t="s">
        <v>4187</v>
      </c>
      <c r="B42" s="35"/>
    </row>
    <row r="43" spans="1:2" ht="15">
      <c r="A43" s="35" t="s">
        <v>4188</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191</v>
      </c>
    </row>
    <row r="83" spans="1:2" ht="15">
      <c r="A83" s="34" t="s">
        <v>90</v>
      </c>
      <c r="B83" s="48">
        <f>_xlfn.IFERROR(AVERAGE(Vertices[In-Degree]),NoMetricMessage)</f>
        <v>1.4444444444444444</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77</v>
      </c>
    </row>
    <row r="97" spans="1:2" ht="15">
      <c r="A97" s="34" t="s">
        <v>96</v>
      </c>
      <c r="B97" s="48">
        <f>_xlfn.IFERROR(AVERAGE(Vertices[Out-Degree]),NoMetricMessage)</f>
        <v>1.4444444444444444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36656</v>
      </c>
    </row>
    <row r="111" spans="1:2" ht="15">
      <c r="A111" s="34" t="s">
        <v>102</v>
      </c>
      <c r="B111" s="48">
        <f>_xlfn.IFERROR(AVERAGE(Vertices[Betweenness Centrality]),NoMetricMessage)</f>
        <v>152.50470809792844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0.015241442561205293</v>
      </c>
    </row>
    <row r="126" spans="1:2" ht="15">
      <c r="A126" s="34" t="s">
        <v>109</v>
      </c>
      <c r="B126" s="48">
        <f>_xlfn.IFERROR(MEDIAN(Vertices[Closeness Centrality]),NoMetricMessage)</f>
        <v>0.002933</v>
      </c>
    </row>
    <row r="137" spans="1:2" ht="15">
      <c r="A137" s="34" t="s">
        <v>112</v>
      </c>
      <c r="B137" s="48">
        <f>IF(COUNT(Vertices[Eigenvector Centrality])&gt;0,N2,NoMetricMessage)</f>
        <v>0</v>
      </c>
    </row>
    <row r="138" spans="1:2" ht="15">
      <c r="A138" s="34" t="s">
        <v>113</v>
      </c>
      <c r="B138" s="48">
        <f>IF(COUNT(Vertices[Eigenvector Centrality])&gt;0,N36,NoMetricMessage)</f>
        <v>0.069641</v>
      </c>
    </row>
    <row r="139" spans="1:2" ht="15">
      <c r="A139" s="34" t="s">
        <v>114</v>
      </c>
      <c r="B139" s="48">
        <f>_xlfn.IFERROR(AVERAGE(Vertices[Eigenvector Centrality]),NoMetricMessage)</f>
        <v>0.001883376647834269</v>
      </c>
    </row>
    <row r="140" spans="1:2" ht="15">
      <c r="A140" s="34" t="s">
        <v>115</v>
      </c>
      <c r="B140" s="48">
        <f>_xlfn.IFERROR(MEDIAN(Vertices[Eigenvector Centrality]),NoMetricMessage)</f>
        <v>0</v>
      </c>
    </row>
    <row r="151" spans="1:2" ht="15">
      <c r="A151" s="34" t="s">
        <v>140</v>
      </c>
      <c r="B151" s="48">
        <f>IF(COUNT(Vertices[PageRank])&gt;0,P2,NoMetricMessage)</f>
        <v>0.479465</v>
      </c>
    </row>
    <row r="152" spans="1:2" ht="15">
      <c r="A152" s="34" t="s">
        <v>141</v>
      </c>
      <c r="B152" s="48">
        <f>IF(COUNT(Vertices[PageRank])&gt;0,P36,NoMetricMessage)</f>
        <v>84.522586</v>
      </c>
    </row>
    <row r="153" spans="1:2" ht="15">
      <c r="A153" s="34" t="s">
        <v>142</v>
      </c>
      <c r="B153" s="48">
        <f>_xlfn.IFERROR(AVERAGE(Vertices[PageRank]),NoMetricMessage)</f>
        <v>0.9999991318267375</v>
      </c>
    </row>
    <row r="154" spans="1:2" ht="15">
      <c r="A154" s="34" t="s">
        <v>143</v>
      </c>
      <c r="B154" s="48">
        <f>_xlfn.IFERROR(MEDIAN(Vertices[PageRank]),NoMetricMessage)</f>
        <v>0.526148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0.017457381443038603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209</v>
      </c>
    </row>
    <row r="22" spans="4:11" ht="409.5">
      <c r="D22">
        <v>10</v>
      </c>
      <c r="J22" t="s">
        <v>189</v>
      </c>
      <c r="K22" s="13" t="s">
        <v>210</v>
      </c>
    </row>
    <row r="23" spans="4:11" ht="409.5">
      <c r="D23">
        <v>11</v>
      </c>
      <c r="J23" t="s">
        <v>190</v>
      </c>
      <c r="K23" s="13" t="s">
        <v>5369</v>
      </c>
    </row>
    <row r="24" spans="10:11" ht="15">
      <c r="J24" t="s">
        <v>191</v>
      </c>
      <c r="K24">
        <v>19</v>
      </c>
    </row>
    <row r="25" spans="10:11" ht="15">
      <c r="J25" t="s">
        <v>211</v>
      </c>
      <c r="K25" t="s">
        <v>5367</v>
      </c>
    </row>
    <row r="26" spans="10:11" ht="409.5">
      <c r="J26" t="s">
        <v>212</v>
      </c>
      <c r="K26" s="13" t="s">
        <v>5368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1C7DA-A628-4897-B321-4C9BD688EC7F}">
  <dimension ref="A1:G14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3447</v>
      </c>
      <c r="B1" s="13" t="s">
        <v>4140</v>
      </c>
      <c r="C1" s="13" t="s">
        <v>4144</v>
      </c>
      <c r="D1" s="13" t="s">
        <v>144</v>
      </c>
      <c r="E1" s="13" t="s">
        <v>4146</v>
      </c>
      <c r="F1" s="13" t="s">
        <v>4147</v>
      </c>
      <c r="G1" s="13" t="s">
        <v>4148</v>
      </c>
    </row>
    <row r="2" spans="1:7" ht="15">
      <c r="A2" s="80" t="s">
        <v>3448</v>
      </c>
      <c r="B2" s="80" t="s">
        <v>4141</v>
      </c>
      <c r="C2" s="109"/>
      <c r="D2" s="80"/>
      <c r="E2" s="80"/>
      <c r="F2" s="80"/>
      <c r="G2" s="80"/>
    </row>
    <row r="3" spans="1:7" ht="15">
      <c r="A3" s="81" t="s">
        <v>3449</v>
      </c>
      <c r="B3" s="80" t="s">
        <v>4142</v>
      </c>
      <c r="C3" s="109"/>
      <c r="D3" s="80"/>
      <c r="E3" s="80"/>
      <c r="F3" s="80"/>
      <c r="G3" s="80"/>
    </row>
    <row r="4" spans="1:7" ht="15">
      <c r="A4" s="81" t="s">
        <v>3450</v>
      </c>
      <c r="B4" s="80" t="s">
        <v>4143</v>
      </c>
      <c r="C4" s="109"/>
      <c r="D4" s="80"/>
      <c r="E4" s="80"/>
      <c r="F4" s="80"/>
      <c r="G4" s="80"/>
    </row>
    <row r="5" spans="1:7" ht="15">
      <c r="A5" s="81" t="s">
        <v>3451</v>
      </c>
      <c r="B5" s="80">
        <v>1173</v>
      </c>
      <c r="C5" s="109">
        <v>0.08632617015013247</v>
      </c>
      <c r="D5" s="80"/>
      <c r="E5" s="80"/>
      <c r="F5" s="80"/>
      <c r="G5" s="80"/>
    </row>
    <row r="6" spans="1:7" ht="15">
      <c r="A6" s="81" t="s">
        <v>3452</v>
      </c>
      <c r="B6" s="80">
        <v>177</v>
      </c>
      <c r="C6" s="109">
        <v>0.013026199587871651</v>
      </c>
      <c r="D6" s="80"/>
      <c r="E6" s="80"/>
      <c r="F6" s="80"/>
      <c r="G6" s="80"/>
    </row>
    <row r="7" spans="1:7" ht="15">
      <c r="A7" s="81" t="s">
        <v>3453</v>
      </c>
      <c r="B7" s="80">
        <v>0</v>
      </c>
      <c r="C7" s="109">
        <v>0</v>
      </c>
      <c r="D7" s="80"/>
      <c r="E7" s="80"/>
      <c r="F7" s="80"/>
      <c r="G7" s="80"/>
    </row>
    <row r="8" spans="1:7" ht="15">
      <c r="A8" s="81" t="s">
        <v>3454</v>
      </c>
      <c r="B8" s="80">
        <v>12238</v>
      </c>
      <c r="C8" s="109">
        <v>0.9006476302619959</v>
      </c>
      <c r="D8" s="80"/>
      <c r="E8" s="80"/>
      <c r="F8" s="80"/>
      <c r="G8" s="80"/>
    </row>
    <row r="9" spans="1:7" ht="15">
      <c r="A9" s="81" t="s">
        <v>3455</v>
      </c>
      <c r="B9" s="80">
        <v>13588</v>
      </c>
      <c r="C9" s="109">
        <v>1</v>
      </c>
      <c r="D9" s="80"/>
      <c r="E9" s="80"/>
      <c r="F9" s="80"/>
      <c r="G9" s="80"/>
    </row>
    <row r="10" spans="1:7" ht="15">
      <c r="A10" s="84" t="s">
        <v>3456</v>
      </c>
      <c r="B10" s="83">
        <v>112</v>
      </c>
      <c r="C10" s="110">
        <v>0.020621598977658914</v>
      </c>
      <c r="D10" s="83" t="s">
        <v>4145</v>
      </c>
      <c r="E10" s="83" t="b">
        <v>1</v>
      </c>
      <c r="F10" s="83" t="b">
        <v>0</v>
      </c>
      <c r="G10" s="83" t="b">
        <v>0</v>
      </c>
    </row>
    <row r="11" spans="1:7" ht="15">
      <c r="A11" s="84" t="s">
        <v>3457</v>
      </c>
      <c r="B11" s="83">
        <v>77</v>
      </c>
      <c r="C11" s="110">
        <v>0.016335385787230133</v>
      </c>
      <c r="D11" s="83" t="s">
        <v>4145</v>
      </c>
      <c r="E11" s="83" t="b">
        <v>1</v>
      </c>
      <c r="F11" s="83" t="b">
        <v>0</v>
      </c>
      <c r="G11" s="83" t="b">
        <v>0</v>
      </c>
    </row>
    <row r="12" spans="1:7" ht="15">
      <c r="A12" s="84" t="s">
        <v>3458</v>
      </c>
      <c r="B12" s="83">
        <v>76</v>
      </c>
      <c r="C12" s="110">
        <v>0.01640924504861142</v>
      </c>
      <c r="D12" s="83" t="s">
        <v>4145</v>
      </c>
      <c r="E12" s="83" t="b">
        <v>0</v>
      </c>
      <c r="F12" s="83" t="b">
        <v>0</v>
      </c>
      <c r="G12" s="83" t="b">
        <v>0</v>
      </c>
    </row>
    <row r="13" spans="1:7" ht="15">
      <c r="A13" s="84" t="s">
        <v>3459</v>
      </c>
      <c r="B13" s="83">
        <v>74</v>
      </c>
      <c r="C13" s="110">
        <v>0.016073027987495585</v>
      </c>
      <c r="D13" s="83" t="s">
        <v>4145</v>
      </c>
      <c r="E13" s="83" t="b">
        <v>0</v>
      </c>
      <c r="F13" s="83" t="b">
        <v>0</v>
      </c>
      <c r="G13" s="83" t="b">
        <v>0</v>
      </c>
    </row>
    <row r="14" spans="1:7" ht="15">
      <c r="A14" s="84" t="s">
        <v>3460</v>
      </c>
      <c r="B14" s="83">
        <v>64</v>
      </c>
      <c r="C14" s="110">
        <v>0.01424476448733427</v>
      </c>
      <c r="D14" s="83" t="s">
        <v>4145</v>
      </c>
      <c r="E14" s="83" t="b">
        <v>1</v>
      </c>
      <c r="F14" s="83" t="b">
        <v>0</v>
      </c>
      <c r="G14" s="83" t="b">
        <v>0</v>
      </c>
    </row>
    <row r="15" spans="1:7" ht="15">
      <c r="A15" s="84" t="s">
        <v>3461</v>
      </c>
      <c r="B15" s="83">
        <v>64</v>
      </c>
      <c r="C15" s="110">
        <v>0.0140701947134311</v>
      </c>
      <c r="D15" s="83" t="s">
        <v>4145</v>
      </c>
      <c r="E15" s="83" t="b">
        <v>1</v>
      </c>
      <c r="F15" s="83" t="b">
        <v>0</v>
      </c>
      <c r="G15" s="83" t="b">
        <v>0</v>
      </c>
    </row>
    <row r="16" spans="1:7" ht="15">
      <c r="A16" s="84" t="s">
        <v>1152</v>
      </c>
      <c r="B16" s="83">
        <v>63</v>
      </c>
      <c r="C16" s="110">
        <v>0.013935587039809058</v>
      </c>
      <c r="D16" s="83" t="s">
        <v>4145</v>
      </c>
      <c r="E16" s="83" t="b">
        <v>1</v>
      </c>
      <c r="F16" s="83" t="b">
        <v>0</v>
      </c>
      <c r="G16" s="83" t="b">
        <v>0</v>
      </c>
    </row>
    <row r="17" spans="1:7" ht="15">
      <c r="A17" s="84" t="s">
        <v>3462</v>
      </c>
      <c r="B17" s="83">
        <v>57</v>
      </c>
      <c r="C17" s="110">
        <v>0.013363277890125808</v>
      </c>
      <c r="D17" s="83" t="s">
        <v>4145</v>
      </c>
      <c r="E17" s="83" t="b">
        <v>0</v>
      </c>
      <c r="F17" s="83" t="b">
        <v>0</v>
      </c>
      <c r="G17" s="83" t="b">
        <v>0</v>
      </c>
    </row>
    <row r="18" spans="1:7" ht="15">
      <c r="A18" s="84" t="s">
        <v>3463</v>
      </c>
      <c r="B18" s="83">
        <v>45</v>
      </c>
      <c r="C18" s="110">
        <v>0.011430596919640596</v>
      </c>
      <c r="D18" s="83" t="s">
        <v>4145</v>
      </c>
      <c r="E18" s="83" t="b">
        <v>1</v>
      </c>
      <c r="F18" s="83" t="b">
        <v>0</v>
      </c>
      <c r="G18" s="83" t="b">
        <v>0</v>
      </c>
    </row>
    <row r="19" spans="1:7" ht="15">
      <c r="A19" s="84" t="s">
        <v>3464</v>
      </c>
      <c r="B19" s="83">
        <v>45</v>
      </c>
      <c r="C19" s="110">
        <v>0.011341716614834059</v>
      </c>
      <c r="D19" s="83" t="s">
        <v>4145</v>
      </c>
      <c r="E19" s="83" t="b">
        <v>1</v>
      </c>
      <c r="F19" s="83" t="b">
        <v>0</v>
      </c>
      <c r="G19" s="83" t="b">
        <v>0</v>
      </c>
    </row>
    <row r="20" spans="1:7" ht="15">
      <c r="A20" s="84" t="s">
        <v>3465</v>
      </c>
      <c r="B20" s="83">
        <v>43</v>
      </c>
      <c r="C20" s="110">
        <v>0.010922570389878792</v>
      </c>
      <c r="D20" s="83" t="s">
        <v>4145</v>
      </c>
      <c r="E20" s="83" t="b">
        <v>1</v>
      </c>
      <c r="F20" s="83" t="b">
        <v>0</v>
      </c>
      <c r="G20" s="83" t="b">
        <v>0</v>
      </c>
    </row>
    <row r="21" spans="1:7" ht="15">
      <c r="A21" s="84" t="s">
        <v>3466</v>
      </c>
      <c r="B21" s="83">
        <v>43</v>
      </c>
      <c r="C21" s="110">
        <v>0.010922570389878792</v>
      </c>
      <c r="D21" s="83" t="s">
        <v>4145</v>
      </c>
      <c r="E21" s="83" t="b">
        <v>0</v>
      </c>
      <c r="F21" s="83" t="b">
        <v>0</v>
      </c>
      <c r="G21" s="83" t="b">
        <v>0</v>
      </c>
    </row>
    <row r="22" spans="1:7" ht="15">
      <c r="A22" s="84" t="s">
        <v>3467</v>
      </c>
      <c r="B22" s="83">
        <v>39</v>
      </c>
      <c r="C22" s="110">
        <v>0.010501862975791318</v>
      </c>
      <c r="D22" s="83" t="s">
        <v>4145</v>
      </c>
      <c r="E22" s="83" t="b">
        <v>0</v>
      </c>
      <c r="F22" s="83" t="b">
        <v>0</v>
      </c>
      <c r="G22" s="83" t="b">
        <v>0</v>
      </c>
    </row>
    <row r="23" spans="1:7" ht="15">
      <c r="A23" s="84" t="s">
        <v>3468</v>
      </c>
      <c r="B23" s="83">
        <v>37</v>
      </c>
      <c r="C23" s="110">
        <v>0.010337716054521802</v>
      </c>
      <c r="D23" s="83" t="s">
        <v>4145</v>
      </c>
      <c r="E23" s="83" t="b">
        <v>0</v>
      </c>
      <c r="F23" s="83" t="b">
        <v>0</v>
      </c>
      <c r="G23" s="83" t="b">
        <v>0</v>
      </c>
    </row>
    <row r="24" spans="1:7" ht="15">
      <c r="A24" s="84" t="s">
        <v>3469</v>
      </c>
      <c r="B24" s="83">
        <v>37</v>
      </c>
      <c r="C24" s="110">
        <v>0.009876209705828963</v>
      </c>
      <c r="D24" s="83" t="s">
        <v>4145</v>
      </c>
      <c r="E24" s="83" t="b">
        <v>1</v>
      </c>
      <c r="F24" s="83" t="b">
        <v>0</v>
      </c>
      <c r="G24" s="83" t="b">
        <v>0</v>
      </c>
    </row>
    <row r="25" spans="1:7" ht="15">
      <c r="A25" s="84" t="s">
        <v>3470</v>
      </c>
      <c r="B25" s="83">
        <v>34</v>
      </c>
      <c r="C25" s="110">
        <v>0.009592263053297986</v>
      </c>
      <c r="D25" s="83" t="s">
        <v>4145</v>
      </c>
      <c r="E25" s="83" t="b">
        <v>0</v>
      </c>
      <c r="F25" s="83" t="b">
        <v>0</v>
      </c>
      <c r="G25" s="83" t="b">
        <v>0</v>
      </c>
    </row>
    <row r="26" spans="1:7" ht="15">
      <c r="A26" s="84" t="s">
        <v>3471</v>
      </c>
      <c r="B26" s="83">
        <v>31</v>
      </c>
      <c r="C26" s="110">
        <v>0.008923507984423602</v>
      </c>
      <c r="D26" s="83" t="s">
        <v>4145</v>
      </c>
      <c r="E26" s="83" t="b">
        <v>1</v>
      </c>
      <c r="F26" s="83" t="b">
        <v>0</v>
      </c>
      <c r="G26" s="83" t="b">
        <v>0</v>
      </c>
    </row>
    <row r="27" spans="1:7" ht="15">
      <c r="A27" s="84" t="s">
        <v>3472</v>
      </c>
      <c r="B27" s="83">
        <v>29</v>
      </c>
      <c r="C27" s="110">
        <v>0.008435227867081996</v>
      </c>
      <c r="D27" s="83" t="s">
        <v>4145</v>
      </c>
      <c r="E27" s="83" t="b">
        <v>0</v>
      </c>
      <c r="F27" s="83" t="b">
        <v>0</v>
      </c>
      <c r="G27" s="83" t="b">
        <v>0</v>
      </c>
    </row>
    <row r="28" spans="1:7" ht="15">
      <c r="A28" s="84" t="s">
        <v>3473</v>
      </c>
      <c r="B28" s="83">
        <v>25</v>
      </c>
      <c r="C28" s="110">
        <v>0.007789727145056085</v>
      </c>
      <c r="D28" s="83" t="s">
        <v>4145</v>
      </c>
      <c r="E28" s="83" t="b">
        <v>0</v>
      </c>
      <c r="F28" s="83" t="b">
        <v>0</v>
      </c>
      <c r="G28" s="83" t="b">
        <v>0</v>
      </c>
    </row>
    <row r="29" spans="1:7" ht="15">
      <c r="A29" s="84" t="s">
        <v>3474</v>
      </c>
      <c r="B29" s="83">
        <v>24</v>
      </c>
      <c r="C29" s="110">
        <v>0.007478138059253842</v>
      </c>
      <c r="D29" s="83" t="s">
        <v>4145</v>
      </c>
      <c r="E29" s="83" t="b">
        <v>0</v>
      </c>
      <c r="F29" s="83" t="b">
        <v>0</v>
      </c>
      <c r="G29" s="83" t="b">
        <v>0</v>
      </c>
    </row>
    <row r="30" spans="1:7" ht="15">
      <c r="A30" s="84" t="s">
        <v>3475</v>
      </c>
      <c r="B30" s="83">
        <v>23</v>
      </c>
      <c r="C30" s="110">
        <v>0.011904834187821366</v>
      </c>
      <c r="D30" s="83" t="s">
        <v>4145</v>
      </c>
      <c r="E30" s="83" t="b">
        <v>0</v>
      </c>
      <c r="F30" s="83" t="b">
        <v>0</v>
      </c>
      <c r="G30" s="83" t="b">
        <v>0</v>
      </c>
    </row>
    <row r="31" spans="1:7" ht="15">
      <c r="A31" s="84" t="s">
        <v>3476</v>
      </c>
      <c r="B31" s="83">
        <v>22</v>
      </c>
      <c r="C31" s="110">
        <v>0.006854959887649356</v>
      </c>
      <c r="D31" s="83" t="s">
        <v>4145</v>
      </c>
      <c r="E31" s="83" t="b">
        <v>0</v>
      </c>
      <c r="F31" s="83" t="b">
        <v>0</v>
      </c>
      <c r="G31" s="83" t="b">
        <v>0</v>
      </c>
    </row>
    <row r="32" spans="1:7" ht="15">
      <c r="A32" s="84" t="s">
        <v>3477</v>
      </c>
      <c r="B32" s="83">
        <v>20</v>
      </c>
      <c r="C32" s="110">
        <v>0.006395550994613514</v>
      </c>
      <c r="D32" s="83" t="s">
        <v>4145</v>
      </c>
      <c r="E32" s="83" t="b">
        <v>0</v>
      </c>
      <c r="F32" s="83" t="b">
        <v>0</v>
      </c>
      <c r="G32" s="83" t="b">
        <v>0</v>
      </c>
    </row>
    <row r="33" spans="1:7" ht="15">
      <c r="A33" s="84" t="s">
        <v>3478</v>
      </c>
      <c r="B33" s="83">
        <v>19</v>
      </c>
      <c r="C33" s="110">
        <v>0.0061595027227289096</v>
      </c>
      <c r="D33" s="83" t="s">
        <v>4145</v>
      </c>
      <c r="E33" s="83" t="b">
        <v>0</v>
      </c>
      <c r="F33" s="83" t="b">
        <v>0</v>
      </c>
      <c r="G33" s="83" t="b">
        <v>0</v>
      </c>
    </row>
    <row r="34" spans="1:7" ht="15">
      <c r="A34" s="84" t="s">
        <v>3479</v>
      </c>
      <c r="B34" s="83">
        <v>19</v>
      </c>
      <c r="C34" s="110">
        <v>0.006247760056287947</v>
      </c>
      <c r="D34" s="83" t="s">
        <v>4145</v>
      </c>
      <c r="E34" s="83" t="b">
        <v>0</v>
      </c>
      <c r="F34" s="83" t="b">
        <v>0</v>
      </c>
      <c r="G34" s="83" t="b">
        <v>0</v>
      </c>
    </row>
    <row r="35" spans="1:7" ht="15">
      <c r="A35" s="84" t="s">
        <v>3480</v>
      </c>
      <c r="B35" s="83">
        <v>19</v>
      </c>
      <c r="C35" s="110">
        <v>0.006247760056287947</v>
      </c>
      <c r="D35" s="83" t="s">
        <v>4145</v>
      </c>
      <c r="E35" s="83" t="b">
        <v>0</v>
      </c>
      <c r="F35" s="83" t="b">
        <v>0</v>
      </c>
      <c r="G35" s="83" t="b">
        <v>0</v>
      </c>
    </row>
    <row r="36" spans="1:7" ht="15">
      <c r="A36" s="84" t="s">
        <v>3481</v>
      </c>
      <c r="B36" s="83">
        <v>19</v>
      </c>
      <c r="C36" s="110">
        <v>0.0061595027227289096</v>
      </c>
      <c r="D36" s="83" t="s">
        <v>4145</v>
      </c>
      <c r="E36" s="83" t="b">
        <v>0</v>
      </c>
      <c r="F36" s="83" t="b">
        <v>0</v>
      </c>
      <c r="G36" s="83" t="b">
        <v>0</v>
      </c>
    </row>
    <row r="37" spans="1:7" ht="15">
      <c r="A37" s="84" t="s">
        <v>3482</v>
      </c>
      <c r="B37" s="83">
        <v>19</v>
      </c>
      <c r="C37" s="110">
        <v>0.006341063338340491</v>
      </c>
      <c r="D37" s="83" t="s">
        <v>4145</v>
      </c>
      <c r="E37" s="83" t="b">
        <v>0</v>
      </c>
      <c r="F37" s="83" t="b">
        <v>0</v>
      </c>
      <c r="G37" s="83" t="b">
        <v>0</v>
      </c>
    </row>
    <row r="38" spans="1:7" ht="15">
      <c r="A38" s="84" t="s">
        <v>3483</v>
      </c>
      <c r="B38" s="83">
        <v>18</v>
      </c>
      <c r="C38" s="110">
        <v>0.0060073231626383596</v>
      </c>
      <c r="D38" s="83" t="s">
        <v>4145</v>
      </c>
      <c r="E38" s="83" t="b">
        <v>0</v>
      </c>
      <c r="F38" s="83" t="b">
        <v>0</v>
      </c>
      <c r="G38" s="83" t="b">
        <v>0</v>
      </c>
    </row>
    <row r="39" spans="1:7" ht="15">
      <c r="A39" s="84" t="s">
        <v>3484</v>
      </c>
      <c r="B39" s="83">
        <v>18</v>
      </c>
      <c r="C39" s="110">
        <v>0.006101076060166012</v>
      </c>
      <c r="D39" s="83" t="s">
        <v>4145</v>
      </c>
      <c r="E39" s="83" t="b">
        <v>1</v>
      </c>
      <c r="F39" s="83" t="b">
        <v>0</v>
      </c>
      <c r="G39" s="83" t="b">
        <v>0</v>
      </c>
    </row>
    <row r="40" spans="1:7" ht="15">
      <c r="A40" s="84" t="s">
        <v>3485</v>
      </c>
      <c r="B40" s="83">
        <v>18</v>
      </c>
      <c r="C40" s="110">
        <v>0.005918930579641213</v>
      </c>
      <c r="D40" s="83" t="s">
        <v>4145</v>
      </c>
      <c r="E40" s="83" t="b">
        <v>0</v>
      </c>
      <c r="F40" s="83" t="b">
        <v>0</v>
      </c>
      <c r="G40" s="83" t="b">
        <v>0</v>
      </c>
    </row>
    <row r="41" spans="1:7" ht="15">
      <c r="A41" s="84" t="s">
        <v>3486</v>
      </c>
      <c r="B41" s="83">
        <v>18</v>
      </c>
      <c r="C41" s="110">
        <v>0.005918930579641213</v>
      </c>
      <c r="D41" s="83" t="s">
        <v>4145</v>
      </c>
      <c r="E41" s="83" t="b">
        <v>1</v>
      </c>
      <c r="F41" s="83" t="b">
        <v>0</v>
      </c>
      <c r="G41" s="83" t="b">
        <v>0</v>
      </c>
    </row>
    <row r="42" spans="1:7" ht="15">
      <c r="A42" s="84" t="s">
        <v>3487</v>
      </c>
      <c r="B42" s="83">
        <v>17</v>
      </c>
      <c r="C42" s="110">
        <v>0.005673582986936229</v>
      </c>
      <c r="D42" s="83" t="s">
        <v>4145</v>
      </c>
      <c r="E42" s="83" t="b">
        <v>0</v>
      </c>
      <c r="F42" s="83" t="b">
        <v>0</v>
      </c>
      <c r="G42" s="83" t="b">
        <v>0</v>
      </c>
    </row>
    <row r="43" spans="1:7" ht="15">
      <c r="A43" s="84" t="s">
        <v>3488</v>
      </c>
      <c r="B43" s="83">
        <v>16</v>
      </c>
      <c r="C43" s="110">
        <v>0.005423178720147566</v>
      </c>
      <c r="D43" s="83" t="s">
        <v>4145</v>
      </c>
      <c r="E43" s="83" t="b">
        <v>0</v>
      </c>
      <c r="F43" s="83" t="b">
        <v>0</v>
      </c>
      <c r="G43" s="83" t="b">
        <v>0</v>
      </c>
    </row>
    <row r="44" spans="1:7" ht="15">
      <c r="A44" s="84" t="s">
        <v>3489</v>
      </c>
      <c r="B44" s="83">
        <v>16</v>
      </c>
      <c r="C44" s="110">
        <v>0.005423178720147566</v>
      </c>
      <c r="D44" s="83" t="s">
        <v>4145</v>
      </c>
      <c r="E44" s="83" t="b">
        <v>1</v>
      </c>
      <c r="F44" s="83" t="b">
        <v>0</v>
      </c>
      <c r="G44" s="83" t="b">
        <v>0</v>
      </c>
    </row>
    <row r="45" spans="1:7" ht="15">
      <c r="A45" s="84" t="s">
        <v>3490</v>
      </c>
      <c r="B45" s="83">
        <v>16</v>
      </c>
      <c r="C45" s="110">
        <v>0.00560673384411255</v>
      </c>
      <c r="D45" s="83" t="s">
        <v>4145</v>
      </c>
      <c r="E45" s="83" t="b">
        <v>0</v>
      </c>
      <c r="F45" s="83" t="b">
        <v>0</v>
      </c>
      <c r="G45" s="83" t="b">
        <v>0</v>
      </c>
    </row>
    <row r="46" spans="1:7" ht="15">
      <c r="A46" s="84" t="s">
        <v>3491</v>
      </c>
      <c r="B46" s="83">
        <v>15</v>
      </c>
      <c r="C46" s="110">
        <v>0.005167401336785951</v>
      </c>
      <c r="D46" s="83" t="s">
        <v>4145</v>
      </c>
      <c r="E46" s="83" t="b">
        <v>1</v>
      </c>
      <c r="F46" s="83" t="b">
        <v>0</v>
      </c>
      <c r="G46" s="83" t="b">
        <v>0</v>
      </c>
    </row>
    <row r="47" spans="1:7" ht="15">
      <c r="A47" s="84" t="s">
        <v>3492</v>
      </c>
      <c r="B47" s="83">
        <v>15</v>
      </c>
      <c r="C47" s="110">
        <v>0.005351816490343353</v>
      </c>
      <c r="D47" s="83" t="s">
        <v>4145</v>
      </c>
      <c r="E47" s="83" t="b">
        <v>0</v>
      </c>
      <c r="F47" s="83" t="b">
        <v>0</v>
      </c>
      <c r="G47" s="83" t="b">
        <v>0</v>
      </c>
    </row>
    <row r="48" spans="1:7" ht="15">
      <c r="A48" s="84" t="s">
        <v>3493</v>
      </c>
      <c r="B48" s="83">
        <v>15</v>
      </c>
      <c r="C48" s="110">
        <v>0.005256312978855516</v>
      </c>
      <c r="D48" s="83" t="s">
        <v>4145</v>
      </c>
      <c r="E48" s="83" t="b">
        <v>0</v>
      </c>
      <c r="F48" s="83" t="b">
        <v>0</v>
      </c>
      <c r="G48" s="83" t="b">
        <v>0</v>
      </c>
    </row>
    <row r="49" spans="1:7" ht="15">
      <c r="A49" s="84" t="s">
        <v>3494</v>
      </c>
      <c r="B49" s="83">
        <v>14</v>
      </c>
      <c r="C49" s="110">
        <v>0.005091303598233216</v>
      </c>
      <c r="D49" s="83" t="s">
        <v>4145</v>
      </c>
      <c r="E49" s="83" t="b">
        <v>0</v>
      </c>
      <c r="F49" s="83" t="b">
        <v>0</v>
      </c>
      <c r="G49" s="83" t="b">
        <v>0</v>
      </c>
    </row>
    <row r="50" spans="1:7" ht="15">
      <c r="A50" s="84" t="s">
        <v>3495</v>
      </c>
      <c r="B50" s="83">
        <v>14</v>
      </c>
      <c r="C50" s="110">
        <v>0.004905892113598481</v>
      </c>
      <c r="D50" s="83" t="s">
        <v>4145</v>
      </c>
      <c r="E50" s="83" t="b">
        <v>0</v>
      </c>
      <c r="F50" s="83" t="b">
        <v>0</v>
      </c>
      <c r="G50" s="83" t="b">
        <v>0</v>
      </c>
    </row>
    <row r="51" spans="1:7" ht="15">
      <c r="A51" s="84" t="s">
        <v>3496</v>
      </c>
      <c r="B51" s="83">
        <v>14</v>
      </c>
      <c r="C51" s="110">
        <v>0.004905892113598481</v>
      </c>
      <c r="D51" s="83" t="s">
        <v>4145</v>
      </c>
      <c r="E51" s="83" t="b">
        <v>0</v>
      </c>
      <c r="F51" s="83" t="b">
        <v>0</v>
      </c>
      <c r="G51" s="83" t="b">
        <v>0</v>
      </c>
    </row>
    <row r="52" spans="1:7" ht="15">
      <c r="A52" s="84" t="s">
        <v>3497</v>
      </c>
      <c r="B52" s="83">
        <v>14</v>
      </c>
      <c r="C52" s="110">
        <v>0.005091303598233216</v>
      </c>
      <c r="D52" s="83" t="s">
        <v>4145</v>
      </c>
      <c r="E52" s="83" t="b">
        <v>0</v>
      </c>
      <c r="F52" s="83" t="b">
        <v>0</v>
      </c>
      <c r="G52" s="83" t="b">
        <v>0</v>
      </c>
    </row>
    <row r="53" spans="1:7" ht="15">
      <c r="A53" s="84" t="s">
        <v>3498</v>
      </c>
      <c r="B53" s="83">
        <v>14</v>
      </c>
      <c r="C53" s="110">
        <v>0.004995028724320462</v>
      </c>
      <c r="D53" s="83" t="s">
        <v>4145</v>
      </c>
      <c r="E53" s="83" t="b">
        <v>0</v>
      </c>
      <c r="F53" s="83" t="b">
        <v>0</v>
      </c>
      <c r="G53" s="83" t="b">
        <v>0</v>
      </c>
    </row>
    <row r="54" spans="1:7" ht="15">
      <c r="A54" s="84" t="s">
        <v>3499</v>
      </c>
      <c r="B54" s="83">
        <v>14</v>
      </c>
      <c r="C54" s="110">
        <v>0.004905892113598481</v>
      </c>
      <c r="D54" s="83" t="s">
        <v>4145</v>
      </c>
      <c r="E54" s="83" t="b">
        <v>0</v>
      </c>
      <c r="F54" s="83" t="b">
        <v>0</v>
      </c>
      <c r="G54" s="83" t="b">
        <v>0</v>
      </c>
    </row>
    <row r="55" spans="1:7" ht="15">
      <c r="A55" s="84" t="s">
        <v>3500</v>
      </c>
      <c r="B55" s="83">
        <v>13</v>
      </c>
      <c r="C55" s="110">
        <v>0.004824820319906268</v>
      </c>
      <c r="D55" s="83" t="s">
        <v>4145</v>
      </c>
      <c r="E55" s="83" t="b">
        <v>0</v>
      </c>
      <c r="F55" s="83" t="b">
        <v>0</v>
      </c>
      <c r="G55" s="83" t="b">
        <v>0</v>
      </c>
    </row>
    <row r="56" spans="1:7" ht="15">
      <c r="A56" s="84" t="s">
        <v>3501</v>
      </c>
      <c r="B56" s="83">
        <v>13</v>
      </c>
      <c r="C56" s="110">
        <v>0.0047276390555022725</v>
      </c>
      <c r="D56" s="83" t="s">
        <v>4145</v>
      </c>
      <c r="E56" s="83" t="b">
        <v>1</v>
      </c>
      <c r="F56" s="83" t="b">
        <v>0</v>
      </c>
      <c r="G56" s="83" t="b">
        <v>0</v>
      </c>
    </row>
    <row r="57" spans="1:7" ht="15">
      <c r="A57" s="84" t="s">
        <v>3502</v>
      </c>
      <c r="B57" s="83">
        <v>13</v>
      </c>
      <c r="C57" s="110">
        <v>0.0046382409582975724</v>
      </c>
      <c r="D57" s="83" t="s">
        <v>4145</v>
      </c>
      <c r="E57" s="83" t="b">
        <v>0</v>
      </c>
      <c r="F57" s="83" t="b">
        <v>0</v>
      </c>
      <c r="G57" s="83" t="b">
        <v>0</v>
      </c>
    </row>
    <row r="58" spans="1:7" ht="15">
      <c r="A58" s="84" t="s">
        <v>3503</v>
      </c>
      <c r="B58" s="83">
        <v>13</v>
      </c>
      <c r="C58" s="110">
        <v>0.00570543255545299</v>
      </c>
      <c r="D58" s="83" t="s">
        <v>4145</v>
      </c>
      <c r="E58" s="83" t="b">
        <v>0</v>
      </c>
      <c r="F58" s="83" t="b">
        <v>0</v>
      </c>
      <c r="G58" s="83" t="b">
        <v>0</v>
      </c>
    </row>
    <row r="59" spans="1:7" ht="15">
      <c r="A59" s="84" t="s">
        <v>3504</v>
      </c>
      <c r="B59" s="83">
        <v>12</v>
      </c>
      <c r="C59" s="110">
        <v>0.00455194186243928</v>
      </c>
      <c r="D59" s="83" t="s">
        <v>4145</v>
      </c>
      <c r="E59" s="83" t="b">
        <v>0</v>
      </c>
      <c r="F59" s="83" t="b">
        <v>0</v>
      </c>
      <c r="G59" s="83" t="b">
        <v>0</v>
      </c>
    </row>
    <row r="60" spans="1:7" ht="15">
      <c r="A60" s="84" t="s">
        <v>3505</v>
      </c>
      <c r="B60" s="83">
        <v>12</v>
      </c>
      <c r="C60" s="110">
        <v>0.004363974512771328</v>
      </c>
      <c r="D60" s="83" t="s">
        <v>4145</v>
      </c>
      <c r="E60" s="83" t="b">
        <v>1</v>
      </c>
      <c r="F60" s="83" t="b">
        <v>0</v>
      </c>
      <c r="G60" s="83" t="b">
        <v>0</v>
      </c>
    </row>
    <row r="61" spans="1:7" ht="15">
      <c r="A61" s="84" t="s">
        <v>3506</v>
      </c>
      <c r="B61" s="83">
        <v>12</v>
      </c>
      <c r="C61" s="110">
        <v>0.004363974512771328</v>
      </c>
      <c r="D61" s="83" t="s">
        <v>4145</v>
      </c>
      <c r="E61" s="83" t="b">
        <v>0</v>
      </c>
      <c r="F61" s="83" t="b">
        <v>0</v>
      </c>
      <c r="G61" s="83" t="b">
        <v>0</v>
      </c>
    </row>
    <row r="62" spans="1:7" ht="15">
      <c r="A62" s="84" t="s">
        <v>3507</v>
      </c>
      <c r="B62" s="83">
        <v>12</v>
      </c>
      <c r="C62" s="110">
        <v>0.004363974512771328</v>
      </c>
      <c r="D62" s="83" t="s">
        <v>4145</v>
      </c>
      <c r="E62" s="83" t="b">
        <v>0</v>
      </c>
      <c r="F62" s="83" t="b">
        <v>0</v>
      </c>
      <c r="G62" s="83" t="b">
        <v>0</v>
      </c>
    </row>
    <row r="63" spans="1:7" ht="15">
      <c r="A63" s="84" t="s">
        <v>3508</v>
      </c>
      <c r="B63" s="83">
        <v>12</v>
      </c>
      <c r="C63" s="110">
        <v>0.004363974512771328</v>
      </c>
      <c r="D63" s="83" t="s">
        <v>4145</v>
      </c>
      <c r="E63" s="83" t="b">
        <v>0</v>
      </c>
      <c r="F63" s="83" t="b">
        <v>0</v>
      </c>
      <c r="G63" s="83" t="b">
        <v>0</v>
      </c>
    </row>
    <row r="64" spans="1:7" ht="15">
      <c r="A64" s="84" t="s">
        <v>3509</v>
      </c>
      <c r="B64" s="83">
        <v>12</v>
      </c>
      <c r="C64" s="110">
        <v>0.004453680295298093</v>
      </c>
      <c r="D64" s="83" t="s">
        <v>4145</v>
      </c>
      <c r="E64" s="83" t="b">
        <v>0</v>
      </c>
      <c r="F64" s="83" t="b">
        <v>0</v>
      </c>
      <c r="G64" s="83" t="b">
        <v>0</v>
      </c>
    </row>
    <row r="65" spans="1:7" ht="15">
      <c r="A65" s="84" t="s">
        <v>3510</v>
      </c>
      <c r="B65" s="83">
        <v>12</v>
      </c>
      <c r="C65" s="110">
        <v>0.004453680295298093</v>
      </c>
      <c r="D65" s="83" t="s">
        <v>4145</v>
      </c>
      <c r="E65" s="83" t="b">
        <v>0</v>
      </c>
      <c r="F65" s="83" t="b">
        <v>0</v>
      </c>
      <c r="G65" s="83" t="b">
        <v>0</v>
      </c>
    </row>
    <row r="66" spans="1:7" ht="15">
      <c r="A66" s="84" t="s">
        <v>3511</v>
      </c>
      <c r="B66" s="83">
        <v>11</v>
      </c>
      <c r="C66" s="110">
        <v>0.004172613373902673</v>
      </c>
      <c r="D66" s="83" t="s">
        <v>4145</v>
      </c>
      <c r="E66" s="83" t="b">
        <v>0</v>
      </c>
      <c r="F66" s="83" t="b">
        <v>0</v>
      </c>
      <c r="G66" s="83" t="b">
        <v>0</v>
      </c>
    </row>
    <row r="67" spans="1:7" ht="15">
      <c r="A67" s="84" t="s">
        <v>3512</v>
      </c>
      <c r="B67" s="83">
        <v>11</v>
      </c>
      <c r="C67" s="110">
        <v>0.004509689844692619</v>
      </c>
      <c r="D67" s="83" t="s">
        <v>4145</v>
      </c>
      <c r="E67" s="83" t="b">
        <v>0</v>
      </c>
      <c r="F67" s="83" t="b">
        <v>0</v>
      </c>
      <c r="G67" s="83" t="b">
        <v>0</v>
      </c>
    </row>
    <row r="68" spans="1:7" ht="15">
      <c r="A68" s="84" t="s">
        <v>3513</v>
      </c>
      <c r="B68" s="83">
        <v>11</v>
      </c>
      <c r="C68" s="110">
        <v>0.004082540270689919</v>
      </c>
      <c r="D68" s="83" t="s">
        <v>4145</v>
      </c>
      <c r="E68" s="83" t="b">
        <v>0</v>
      </c>
      <c r="F68" s="83" t="b">
        <v>1</v>
      </c>
      <c r="G68" s="83" t="b">
        <v>0</v>
      </c>
    </row>
    <row r="69" spans="1:7" ht="15">
      <c r="A69" s="84" t="s">
        <v>3514</v>
      </c>
      <c r="B69" s="83">
        <v>11</v>
      </c>
      <c r="C69" s="110">
        <v>0.004172613373902673</v>
      </c>
      <c r="D69" s="83" t="s">
        <v>4145</v>
      </c>
      <c r="E69" s="83" t="b">
        <v>1</v>
      </c>
      <c r="F69" s="83" t="b">
        <v>0</v>
      </c>
      <c r="G69" s="83" t="b">
        <v>0</v>
      </c>
    </row>
    <row r="70" spans="1:7" ht="15">
      <c r="A70" s="84" t="s">
        <v>3515</v>
      </c>
      <c r="B70" s="83">
        <v>11</v>
      </c>
      <c r="C70" s="110">
        <v>0.004082540270689919</v>
      </c>
      <c r="D70" s="83" t="s">
        <v>4145</v>
      </c>
      <c r="E70" s="83" t="b">
        <v>1</v>
      </c>
      <c r="F70" s="83" t="b">
        <v>0</v>
      </c>
      <c r="G70" s="83" t="b">
        <v>0</v>
      </c>
    </row>
    <row r="71" spans="1:7" ht="15">
      <c r="A71" s="84" t="s">
        <v>3516</v>
      </c>
      <c r="B71" s="83">
        <v>11</v>
      </c>
      <c r="C71" s="110">
        <v>0.004082540270689919</v>
      </c>
      <c r="D71" s="83" t="s">
        <v>4145</v>
      </c>
      <c r="E71" s="83" t="b">
        <v>1</v>
      </c>
      <c r="F71" s="83" t="b">
        <v>0</v>
      </c>
      <c r="G71" s="83" t="b">
        <v>0</v>
      </c>
    </row>
    <row r="72" spans="1:7" ht="15">
      <c r="A72" s="84" t="s">
        <v>3517</v>
      </c>
      <c r="B72" s="83">
        <v>10</v>
      </c>
      <c r="C72" s="110">
        <v>0.0038838041545266504</v>
      </c>
      <c r="D72" s="83" t="s">
        <v>4145</v>
      </c>
      <c r="E72" s="83" t="b">
        <v>0</v>
      </c>
      <c r="F72" s="83" t="b">
        <v>0</v>
      </c>
      <c r="G72" s="83" t="b">
        <v>0</v>
      </c>
    </row>
    <row r="73" spans="1:7" ht="15">
      <c r="A73" s="84" t="s">
        <v>3518</v>
      </c>
      <c r="B73" s="83">
        <v>10</v>
      </c>
      <c r="C73" s="110">
        <v>0.003984996088151539</v>
      </c>
      <c r="D73" s="83" t="s">
        <v>4145</v>
      </c>
      <c r="E73" s="83" t="b">
        <v>0</v>
      </c>
      <c r="F73" s="83" t="b">
        <v>0</v>
      </c>
      <c r="G73" s="83" t="b">
        <v>0</v>
      </c>
    </row>
    <row r="74" spans="1:7" ht="15">
      <c r="A74" s="84" t="s">
        <v>3519</v>
      </c>
      <c r="B74" s="83">
        <v>10</v>
      </c>
      <c r="C74" s="110">
        <v>0.0038838041545266504</v>
      </c>
      <c r="D74" s="83" t="s">
        <v>4145</v>
      </c>
      <c r="E74" s="83" t="b">
        <v>0</v>
      </c>
      <c r="F74" s="83" t="b">
        <v>0</v>
      </c>
      <c r="G74" s="83" t="b">
        <v>0</v>
      </c>
    </row>
    <row r="75" spans="1:7" ht="15">
      <c r="A75" s="84" t="s">
        <v>3520</v>
      </c>
      <c r="B75" s="83">
        <v>10</v>
      </c>
      <c r="C75" s="110">
        <v>0.0037932848853660666</v>
      </c>
      <c r="D75" s="83" t="s">
        <v>4145</v>
      </c>
      <c r="E75" s="83" t="b">
        <v>1</v>
      </c>
      <c r="F75" s="83" t="b">
        <v>0</v>
      </c>
      <c r="G75" s="83" t="b">
        <v>0</v>
      </c>
    </row>
    <row r="76" spans="1:7" ht="15">
      <c r="A76" s="84" t="s">
        <v>3521</v>
      </c>
      <c r="B76" s="83">
        <v>10</v>
      </c>
      <c r="C76" s="110">
        <v>0.0037932848853660666</v>
      </c>
      <c r="D76" s="83" t="s">
        <v>4145</v>
      </c>
      <c r="E76" s="83" t="b">
        <v>1</v>
      </c>
      <c r="F76" s="83" t="b">
        <v>0</v>
      </c>
      <c r="G76" s="83" t="b">
        <v>0</v>
      </c>
    </row>
    <row r="77" spans="1:7" ht="15">
      <c r="A77" s="84" t="s">
        <v>3522</v>
      </c>
      <c r="B77" s="83">
        <v>10</v>
      </c>
      <c r="C77" s="110">
        <v>0.0037932848853660666</v>
      </c>
      <c r="D77" s="83" t="s">
        <v>4145</v>
      </c>
      <c r="E77" s="83" t="b">
        <v>0</v>
      </c>
      <c r="F77" s="83" t="b">
        <v>0</v>
      </c>
      <c r="G77" s="83" t="b">
        <v>0</v>
      </c>
    </row>
    <row r="78" spans="1:7" ht="15">
      <c r="A78" s="84" t="s">
        <v>3523</v>
      </c>
      <c r="B78" s="83">
        <v>9</v>
      </c>
      <c r="C78" s="110">
        <v>0.0034954237390739853</v>
      </c>
      <c r="D78" s="83" t="s">
        <v>4145</v>
      </c>
      <c r="E78" s="83" t="b">
        <v>0</v>
      </c>
      <c r="F78" s="83" t="b">
        <v>0</v>
      </c>
      <c r="G78" s="83" t="b">
        <v>0</v>
      </c>
    </row>
    <row r="79" spans="1:7" ht="15">
      <c r="A79" s="84" t="s">
        <v>3524</v>
      </c>
      <c r="B79" s="83">
        <v>9</v>
      </c>
      <c r="C79" s="110">
        <v>0.0035864964793363855</v>
      </c>
      <c r="D79" s="83" t="s">
        <v>4145</v>
      </c>
      <c r="E79" s="83" t="b">
        <v>0</v>
      </c>
      <c r="F79" s="83" t="b">
        <v>0</v>
      </c>
      <c r="G79" s="83" t="b">
        <v>0</v>
      </c>
    </row>
    <row r="80" spans="1:7" ht="15">
      <c r="A80" s="84" t="s">
        <v>3525</v>
      </c>
      <c r="B80" s="83">
        <v>9</v>
      </c>
      <c r="C80" s="110">
        <v>0.0034954237390739853</v>
      </c>
      <c r="D80" s="83" t="s">
        <v>4145</v>
      </c>
      <c r="E80" s="83" t="b">
        <v>0</v>
      </c>
      <c r="F80" s="83" t="b">
        <v>0</v>
      </c>
      <c r="G80" s="83" t="b">
        <v>0</v>
      </c>
    </row>
    <row r="81" spans="1:7" ht="15">
      <c r="A81" s="84" t="s">
        <v>3526</v>
      </c>
      <c r="B81" s="83">
        <v>9</v>
      </c>
      <c r="C81" s="110">
        <v>0.0034954237390739853</v>
      </c>
      <c r="D81" s="83" t="s">
        <v>4145</v>
      </c>
      <c r="E81" s="83" t="b">
        <v>0</v>
      </c>
      <c r="F81" s="83" t="b">
        <v>0</v>
      </c>
      <c r="G81" s="83" t="b">
        <v>0</v>
      </c>
    </row>
    <row r="82" spans="1:7" ht="15">
      <c r="A82" s="84" t="s">
        <v>3527</v>
      </c>
      <c r="B82" s="83">
        <v>9</v>
      </c>
      <c r="C82" s="110">
        <v>0.0034954237390739853</v>
      </c>
      <c r="D82" s="83" t="s">
        <v>4145</v>
      </c>
      <c r="E82" s="83" t="b">
        <v>0</v>
      </c>
      <c r="F82" s="83" t="b">
        <v>0</v>
      </c>
      <c r="G82" s="83" t="b">
        <v>0</v>
      </c>
    </row>
    <row r="83" spans="1:7" ht="15">
      <c r="A83" s="84" t="s">
        <v>3528</v>
      </c>
      <c r="B83" s="83">
        <v>8</v>
      </c>
      <c r="C83" s="110">
        <v>0.0031879968705212317</v>
      </c>
      <c r="D83" s="83" t="s">
        <v>4145</v>
      </c>
      <c r="E83" s="83" t="b">
        <v>1</v>
      </c>
      <c r="F83" s="83" t="b">
        <v>0</v>
      </c>
      <c r="G83" s="83" t="b">
        <v>0</v>
      </c>
    </row>
    <row r="84" spans="1:7" ht="15">
      <c r="A84" s="84" t="s">
        <v>3529</v>
      </c>
      <c r="B84" s="83">
        <v>8</v>
      </c>
      <c r="C84" s="110">
        <v>0.0032797744325037226</v>
      </c>
      <c r="D84" s="83" t="s">
        <v>4145</v>
      </c>
      <c r="E84" s="83" t="b">
        <v>0</v>
      </c>
      <c r="F84" s="83" t="b">
        <v>0</v>
      </c>
      <c r="G84" s="83" t="b">
        <v>0</v>
      </c>
    </row>
    <row r="85" spans="1:7" ht="15">
      <c r="A85" s="84" t="s">
        <v>3530</v>
      </c>
      <c r="B85" s="83">
        <v>8</v>
      </c>
      <c r="C85" s="110">
        <v>0.003511035418740301</v>
      </c>
      <c r="D85" s="83" t="s">
        <v>4145</v>
      </c>
      <c r="E85" s="83" t="b">
        <v>0</v>
      </c>
      <c r="F85" s="83" t="b">
        <v>0</v>
      </c>
      <c r="G85" s="83" t="b">
        <v>0</v>
      </c>
    </row>
    <row r="86" spans="1:7" ht="15">
      <c r="A86" s="84" t="s">
        <v>3531</v>
      </c>
      <c r="B86" s="83">
        <v>8</v>
      </c>
      <c r="C86" s="110">
        <v>0.0032797744325037226</v>
      </c>
      <c r="D86" s="83" t="s">
        <v>4145</v>
      </c>
      <c r="E86" s="83" t="b">
        <v>0</v>
      </c>
      <c r="F86" s="83" t="b">
        <v>0</v>
      </c>
      <c r="G86" s="83" t="b">
        <v>0</v>
      </c>
    </row>
    <row r="87" spans="1:7" ht="15">
      <c r="A87" s="84" t="s">
        <v>3532</v>
      </c>
      <c r="B87" s="83">
        <v>8</v>
      </c>
      <c r="C87" s="110">
        <v>0.0031879968705212317</v>
      </c>
      <c r="D87" s="83" t="s">
        <v>4145</v>
      </c>
      <c r="E87" s="83" t="b">
        <v>0</v>
      </c>
      <c r="F87" s="83" t="b">
        <v>0</v>
      </c>
      <c r="G87" s="83" t="b">
        <v>0</v>
      </c>
    </row>
    <row r="88" spans="1:7" ht="15">
      <c r="A88" s="84" t="s">
        <v>3533</v>
      </c>
      <c r="B88" s="83">
        <v>8</v>
      </c>
      <c r="C88" s="110">
        <v>0.0031879968705212317</v>
      </c>
      <c r="D88" s="83" t="s">
        <v>4145</v>
      </c>
      <c r="E88" s="83" t="b">
        <v>1</v>
      </c>
      <c r="F88" s="83" t="b">
        <v>0</v>
      </c>
      <c r="G88" s="83" t="b">
        <v>0</v>
      </c>
    </row>
    <row r="89" spans="1:7" ht="15">
      <c r="A89" s="84" t="s">
        <v>3534</v>
      </c>
      <c r="B89" s="83">
        <v>8</v>
      </c>
      <c r="C89" s="110">
        <v>0.0031879968705212317</v>
      </c>
      <c r="D89" s="83" t="s">
        <v>4145</v>
      </c>
      <c r="E89" s="83" t="b">
        <v>1</v>
      </c>
      <c r="F89" s="83" t="b">
        <v>0</v>
      </c>
      <c r="G89" s="83" t="b">
        <v>0</v>
      </c>
    </row>
    <row r="90" spans="1:7" ht="15">
      <c r="A90" s="84" t="s">
        <v>3535</v>
      </c>
      <c r="B90" s="83">
        <v>8</v>
      </c>
      <c r="C90" s="110">
        <v>0.0032797744325037226</v>
      </c>
      <c r="D90" s="83" t="s">
        <v>4145</v>
      </c>
      <c r="E90" s="83" t="b">
        <v>0</v>
      </c>
      <c r="F90" s="83" t="b">
        <v>0</v>
      </c>
      <c r="G90" s="83" t="b">
        <v>0</v>
      </c>
    </row>
    <row r="91" spans="1:7" ht="15">
      <c r="A91" s="84" t="s">
        <v>3536</v>
      </c>
      <c r="B91" s="83">
        <v>8</v>
      </c>
      <c r="C91" s="110">
        <v>0.0031879968705212317</v>
      </c>
      <c r="D91" s="83" t="s">
        <v>4145</v>
      </c>
      <c r="E91" s="83" t="b">
        <v>0</v>
      </c>
      <c r="F91" s="83" t="b">
        <v>0</v>
      </c>
      <c r="G91" s="83" t="b">
        <v>0</v>
      </c>
    </row>
    <row r="92" spans="1:7" ht="15">
      <c r="A92" s="84" t="s">
        <v>3537</v>
      </c>
      <c r="B92" s="83">
        <v>8</v>
      </c>
      <c r="C92" s="110">
        <v>0.003385723852295</v>
      </c>
      <c r="D92" s="83" t="s">
        <v>4145</v>
      </c>
      <c r="E92" s="83" t="b">
        <v>0</v>
      </c>
      <c r="F92" s="83" t="b">
        <v>0</v>
      </c>
      <c r="G92" s="83" t="b">
        <v>0</v>
      </c>
    </row>
    <row r="93" spans="1:7" ht="15">
      <c r="A93" s="84" t="s">
        <v>3538</v>
      </c>
      <c r="B93" s="83">
        <v>8</v>
      </c>
      <c r="C93" s="110">
        <v>0.0031879968705212317</v>
      </c>
      <c r="D93" s="83" t="s">
        <v>4145</v>
      </c>
      <c r="E93" s="83" t="b">
        <v>0</v>
      </c>
      <c r="F93" s="83" t="b">
        <v>0</v>
      </c>
      <c r="G93" s="83" t="b">
        <v>0</v>
      </c>
    </row>
    <row r="94" spans="1:7" ht="15">
      <c r="A94" s="84" t="s">
        <v>3539</v>
      </c>
      <c r="B94" s="83">
        <v>8</v>
      </c>
      <c r="C94" s="110">
        <v>0.0031879968705212317</v>
      </c>
      <c r="D94" s="83" t="s">
        <v>4145</v>
      </c>
      <c r="E94" s="83" t="b">
        <v>0</v>
      </c>
      <c r="F94" s="83" t="b">
        <v>0</v>
      </c>
      <c r="G94" s="83" t="b">
        <v>0</v>
      </c>
    </row>
    <row r="95" spans="1:7" ht="15">
      <c r="A95" s="84" t="s">
        <v>3540</v>
      </c>
      <c r="B95" s="83">
        <v>8</v>
      </c>
      <c r="C95" s="110">
        <v>0.0031879968705212317</v>
      </c>
      <c r="D95" s="83" t="s">
        <v>4145</v>
      </c>
      <c r="E95" s="83" t="b">
        <v>0</v>
      </c>
      <c r="F95" s="83" t="b">
        <v>0</v>
      </c>
      <c r="G95" s="83" t="b">
        <v>0</v>
      </c>
    </row>
    <row r="96" spans="1:7" ht="15">
      <c r="A96" s="84" t="s">
        <v>3541</v>
      </c>
      <c r="B96" s="83">
        <v>8</v>
      </c>
      <c r="C96" s="110">
        <v>0.0031879968705212317</v>
      </c>
      <c r="D96" s="83" t="s">
        <v>4145</v>
      </c>
      <c r="E96" s="83" t="b">
        <v>0</v>
      </c>
      <c r="F96" s="83" t="b">
        <v>0</v>
      </c>
      <c r="G96" s="83" t="b">
        <v>0</v>
      </c>
    </row>
    <row r="97" spans="1:7" ht="15">
      <c r="A97" s="84" t="s">
        <v>3542</v>
      </c>
      <c r="B97" s="83">
        <v>8</v>
      </c>
      <c r="C97" s="110">
        <v>0.0031879968705212317</v>
      </c>
      <c r="D97" s="83" t="s">
        <v>4145</v>
      </c>
      <c r="E97" s="83" t="b">
        <v>1</v>
      </c>
      <c r="F97" s="83" t="b">
        <v>0</v>
      </c>
      <c r="G97" s="83" t="b">
        <v>0</v>
      </c>
    </row>
    <row r="98" spans="1:7" ht="15">
      <c r="A98" s="84" t="s">
        <v>3543</v>
      </c>
      <c r="B98" s="83">
        <v>8</v>
      </c>
      <c r="C98" s="110">
        <v>0.0031879968705212317</v>
      </c>
      <c r="D98" s="83" t="s">
        <v>4145</v>
      </c>
      <c r="E98" s="83" t="b">
        <v>0</v>
      </c>
      <c r="F98" s="83" t="b">
        <v>0</v>
      </c>
      <c r="G98" s="83" t="b">
        <v>0</v>
      </c>
    </row>
    <row r="99" spans="1:7" ht="15">
      <c r="A99" s="84" t="s">
        <v>3544</v>
      </c>
      <c r="B99" s="83">
        <v>8</v>
      </c>
      <c r="C99" s="110">
        <v>0.0031879968705212317</v>
      </c>
      <c r="D99" s="83" t="s">
        <v>4145</v>
      </c>
      <c r="E99" s="83" t="b">
        <v>0</v>
      </c>
      <c r="F99" s="83" t="b">
        <v>0</v>
      </c>
      <c r="G99" s="83" t="b">
        <v>0</v>
      </c>
    </row>
    <row r="100" spans="1:7" ht="15">
      <c r="A100" s="84" t="s">
        <v>3545</v>
      </c>
      <c r="B100" s="83">
        <v>8</v>
      </c>
      <c r="C100" s="110">
        <v>0.0031879968705212317</v>
      </c>
      <c r="D100" s="83" t="s">
        <v>4145</v>
      </c>
      <c r="E100" s="83" t="b">
        <v>1</v>
      </c>
      <c r="F100" s="83" t="b">
        <v>0</v>
      </c>
      <c r="G100" s="83" t="b">
        <v>0</v>
      </c>
    </row>
    <row r="101" spans="1:7" ht="15">
      <c r="A101" s="84" t="s">
        <v>3546</v>
      </c>
      <c r="B101" s="83">
        <v>8</v>
      </c>
      <c r="C101" s="110">
        <v>0.0032797744325037226</v>
      </c>
      <c r="D101" s="83" t="s">
        <v>4145</v>
      </c>
      <c r="E101" s="83" t="b">
        <v>0</v>
      </c>
      <c r="F101" s="83" t="b">
        <v>0</v>
      </c>
      <c r="G101" s="83" t="b">
        <v>0</v>
      </c>
    </row>
    <row r="102" spans="1:7" ht="15">
      <c r="A102" s="84" t="s">
        <v>3547</v>
      </c>
      <c r="B102" s="83">
        <v>8</v>
      </c>
      <c r="C102" s="110">
        <v>0.0031879968705212317</v>
      </c>
      <c r="D102" s="83" t="s">
        <v>4145</v>
      </c>
      <c r="E102" s="83" t="b">
        <v>1</v>
      </c>
      <c r="F102" s="83" t="b">
        <v>0</v>
      </c>
      <c r="G102" s="83" t="b">
        <v>0</v>
      </c>
    </row>
    <row r="103" spans="1:7" ht="15">
      <c r="A103" s="84" t="s">
        <v>3548</v>
      </c>
      <c r="B103" s="83">
        <v>8</v>
      </c>
      <c r="C103" s="110">
        <v>0.0031879968705212317</v>
      </c>
      <c r="D103" s="83" t="s">
        <v>4145</v>
      </c>
      <c r="E103" s="83" t="b">
        <v>0</v>
      </c>
      <c r="F103" s="83" t="b">
        <v>0</v>
      </c>
      <c r="G103" s="83" t="b">
        <v>0</v>
      </c>
    </row>
    <row r="104" spans="1:7" ht="15">
      <c r="A104" s="84" t="s">
        <v>3549</v>
      </c>
      <c r="B104" s="83">
        <v>8</v>
      </c>
      <c r="C104" s="110">
        <v>0.0031879968705212317</v>
      </c>
      <c r="D104" s="83" t="s">
        <v>4145</v>
      </c>
      <c r="E104" s="83" t="b">
        <v>0</v>
      </c>
      <c r="F104" s="83" t="b">
        <v>0</v>
      </c>
      <c r="G104" s="83" t="b">
        <v>0</v>
      </c>
    </row>
    <row r="105" spans="1:7" ht="15">
      <c r="A105" s="84" t="s">
        <v>3550</v>
      </c>
      <c r="B105" s="83">
        <v>8</v>
      </c>
      <c r="C105" s="110">
        <v>0.0032797744325037226</v>
      </c>
      <c r="D105" s="83" t="s">
        <v>4145</v>
      </c>
      <c r="E105" s="83" t="b">
        <v>0</v>
      </c>
      <c r="F105" s="83" t="b">
        <v>0</v>
      </c>
      <c r="G105" s="83" t="b">
        <v>0</v>
      </c>
    </row>
    <row r="106" spans="1:7" ht="15">
      <c r="A106" s="84" t="s">
        <v>3551</v>
      </c>
      <c r="B106" s="83">
        <v>8</v>
      </c>
      <c r="C106" s="110">
        <v>0.0031879968705212317</v>
      </c>
      <c r="D106" s="83" t="s">
        <v>4145</v>
      </c>
      <c r="E106" s="83" t="b">
        <v>0</v>
      </c>
      <c r="F106" s="83" t="b">
        <v>0</v>
      </c>
      <c r="G106" s="83" t="b">
        <v>0</v>
      </c>
    </row>
    <row r="107" spans="1:7" ht="15">
      <c r="A107" s="84" t="s">
        <v>3552</v>
      </c>
      <c r="B107" s="83">
        <v>8</v>
      </c>
      <c r="C107" s="110">
        <v>0.0031879968705212317</v>
      </c>
      <c r="D107" s="83" t="s">
        <v>4145</v>
      </c>
      <c r="E107" s="83" t="b">
        <v>0</v>
      </c>
      <c r="F107" s="83" t="b">
        <v>0</v>
      </c>
      <c r="G107" s="83" t="b">
        <v>0</v>
      </c>
    </row>
    <row r="108" spans="1:7" ht="15">
      <c r="A108" s="84" t="s">
        <v>3553</v>
      </c>
      <c r="B108" s="83">
        <v>8</v>
      </c>
      <c r="C108" s="110">
        <v>0.0031879968705212317</v>
      </c>
      <c r="D108" s="83" t="s">
        <v>4145</v>
      </c>
      <c r="E108" s="83" t="b">
        <v>0</v>
      </c>
      <c r="F108" s="83" t="b">
        <v>0</v>
      </c>
      <c r="G108" s="83" t="b">
        <v>0</v>
      </c>
    </row>
    <row r="109" spans="1:7" ht="15">
      <c r="A109" s="84" t="s">
        <v>3554</v>
      </c>
      <c r="B109" s="83">
        <v>7</v>
      </c>
      <c r="C109" s="110">
        <v>0.002962508370758125</v>
      </c>
      <c r="D109" s="83" t="s">
        <v>4145</v>
      </c>
      <c r="E109" s="83" t="b">
        <v>0</v>
      </c>
      <c r="F109" s="83" t="b">
        <v>0</v>
      </c>
      <c r="G109" s="83" t="b">
        <v>0</v>
      </c>
    </row>
    <row r="110" spans="1:7" ht="15">
      <c r="A110" s="84" t="s">
        <v>3555</v>
      </c>
      <c r="B110" s="83">
        <v>7</v>
      </c>
      <c r="C110" s="110">
        <v>0.002962508370758125</v>
      </c>
      <c r="D110" s="83" t="s">
        <v>4145</v>
      </c>
      <c r="E110" s="83" t="b">
        <v>0</v>
      </c>
      <c r="F110" s="83" t="b">
        <v>0</v>
      </c>
      <c r="G110" s="83" t="b">
        <v>0</v>
      </c>
    </row>
    <row r="111" spans="1:7" ht="15">
      <c r="A111" s="84" t="s">
        <v>3556</v>
      </c>
      <c r="B111" s="83">
        <v>7</v>
      </c>
      <c r="C111" s="110">
        <v>0.002962508370758125</v>
      </c>
      <c r="D111" s="83" t="s">
        <v>4145</v>
      </c>
      <c r="E111" s="83" t="b">
        <v>0</v>
      </c>
      <c r="F111" s="83" t="b">
        <v>0</v>
      </c>
      <c r="G111" s="83" t="b">
        <v>0</v>
      </c>
    </row>
    <row r="112" spans="1:7" ht="15">
      <c r="A112" s="84" t="s">
        <v>3557</v>
      </c>
      <c r="B112" s="83">
        <v>7</v>
      </c>
      <c r="C112" s="110">
        <v>0.002869802628440757</v>
      </c>
      <c r="D112" s="83" t="s">
        <v>4145</v>
      </c>
      <c r="E112" s="83" t="b">
        <v>0</v>
      </c>
      <c r="F112" s="83" t="b">
        <v>0</v>
      </c>
      <c r="G112" s="83" t="b">
        <v>0</v>
      </c>
    </row>
    <row r="113" spans="1:7" ht="15">
      <c r="A113" s="84" t="s">
        <v>3558</v>
      </c>
      <c r="B113" s="83">
        <v>7</v>
      </c>
      <c r="C113" s="110">
        <v>0.002869802628440757</v>
      </c>
      <c r="D113" s="83" t="s">
        <v>4145</v>
      </c>
      <c r="E113" s="83" t="b">
        <v>0</v>
      </c>
      <c r="F113" s="83" t="b">
        <v>0</v>
      </c>
      <c r="G113" s="83" t="b">
        <v>0</v>
      </c>
    </row>
    <row r="114" spans="1:7" ht="15">
      <c r="A114" s="84" t="s">
        <v>3559</v>
      </c>
      <c r="B114" s="83">
        <v>7</v>
      </c>
      <c r="C114" s="110">
        <v>0.002869802628440757</v>
      </c>
      <c r="D114" s="83" t="s">
        <v>4145</v>
      </c>
      <c r="E114" s="83" t="b">
        <v>0</v>
      </c>
      <c r="F114" s="83" t="b">
        <v>0</v>
      </c>
      <c r="G114" s="83" t="b">
        <v>0</v>
      </c>
    </row>
    <row r="115" spans="1:7" ht="15">
      <c r="A115" s="84" t="s">
        <v>3560</v>
      </c>
      <c r="B115" s="83">
        <v>7</v>
      </c>
      <c r="C115" s="110">
        <v>0.002869802628440757</v>
      </c>
      <c r="D115" s="83" t="s">
        <v>4145</v>
      </c>
      <c r="E115" s="83" t="b">
        <v>0</v>
      </c>
      <c r="F115" s="83" t="b">
        <v>0</v>
      </c>
      <c r="G115" s="83" t="b">
        <v>0</v>
      </c>
    </row>
    <row r="116" spans="1:7" ht="15">
      <c r="A116" s="84" t="s">
        <v>3561</v>
      </c>
      <c r="B116" s="83">
        <v>7</v>
      </c>
      <c r="C116" s="110">
        <v>0.002962508370758125</v>
      </c>
      <c r="D116" s="83" t="s">
        <v>4145</v>
      </c>
      <c r="E116" s="83" t="b">
        <v>0</v>
      </c>
      <c r="F116" s="83" t="b">
        <v>0</v>
      </c>
      <c r="G116" s="83" t="b">
        <v>0</v>
      </c>
    </row>
    <row r="117" spans="1:7" ht="15">
      <c r="A117" s="84" t="s">
        <v>3562</v>
      </c>
      <c r="B117" s="83">
        <v>7</v>
      </c>
      <c r="C117" s="110">
        <v>0.002962508370758125</v>
      </c>
      <c r="D117" s="83" t="s">
        <v>4145</v>
      </c>
      <c r="E117" s="83" t="b">
        <v>0</v>
      </c>
      <c r="F117" s="83" t="b">
        <v>0</v>
      </c>
      <c r="G117" s="83" t="b">
        <v>0</v>
      </c>
    </row>
    <row r="118" spans="1:7" ht="15">
      <c r="A118" s="84" t="s">
        <v>3563</v>
      </c>
      <c r="B118" s="83">
        <v>7</v>
      </c>
      <c r="C118" s="110">
        <v>0.002869802628440757</v>
      </c>
      <c r="D118" s="83" t="s">
        <v>4145</v>
      </c>
      <c r="E118" s="83" t="b">
        <v>0</v>
      </c>
      <c r="F118" s="83" t="b">
        <v>0</v>
      </c>
      <c r="G118" s="83" t="b">
        <v>0</v>
      </c>
    </row>
    <row r="119" spans="1:7" ht="15">
      <c r="A119" s="84" t="s">
        <v>3564</v>
      </c>
      <c r="B119" s="83">
        <v>7</v>
      </c>
      <c r="C119" s="110">
        <v>0.003206353833347594</v>
      </c>
      <c r="D119" s="83" t="s">
        <v>4145</v>
      </c>
      <c r="E119" s="83" t="b">
        <v>0</v>
      </c>
      <c r="F119" s="83" t="b">
        <v>0</v>
      </c>
      <c r="G119" s="83" t="b">
        <v>0</v>
      </c>
    </row>
    <row r="120" spans="1:7" ht="15">
      <c r="A120" s="84" t="s">
        <v>3565</v>
      </c>
      <c r="B120" s="83">
        <v>7</v>
      </c>
      <c r="C120" s="110">
        <v>0.002869802628440757</v>
      </c>
      <c r="D120" s="83" t="s">
        <v>4145</v>
      </c>
      <c r="E120" s="83" t="b">
        <v>0</v>
      </c>
      <c r="F120" s="83" t="b">
        <v>0</v>
      </c>
      <c r="G120" s="83" t="b">
        <v>0</v>
      </c>
    </row>
    <row r="121" spans="1:7" ht="15">
      <c r="A121" s="84" t="s">
        <v>3566</v>
      </c>
      <c r="B121" s="83">
        <v>7</v>
      </c>
      <c r="C121" s="110">
        <v>0.002869802628440757</v>
      </c>
      <c r="D121" s="83" t="s">
        <v>4145</v>
      </c>
      <c r="E121" s="83" t="b">
        <v>0</v>
      </c>
      <c r="F121" s="83" t="b">
        <v>0</v>
      </c>
      <c r="G121" s="83" t="b">
        <v>0</v>
      </c>
    </row>
    <row r="122" spans="1:7" ht="15">
      <c r="A122" s="84" t="s">
        <v>3567</v>
      </c>
      <c r="B122" s="83">
        <v>7</v>
      </c>
      <c r="C122" s="110">
        <v>0.002869802628440757</v>
      </c>
      <c r="D122" s="83" t="s">
        <v>4145</v>
      </c>
      <c r="E122" s="83" t="b">
        <v>0</v>
      </c>
      <c r="F122" s="83" t="b">
        <v>0</v>
      </c>
      <c r="G122" s="83" t="b">
        <v>0</v>
      </c>
    </row>
    <row r="123" spans="1:7" ht="15">
      <c r="A123" s="84" t="s">
        <v>3568</v>
      </c>
      <c r="B123" s="83">
        <v>7</v>
      </c>
      <c r="C123" s="110">
        <v>0.002962508370758125</v>
      </c>
      <c r="D123" s="83" t="s">
        <v>4145</v>
      </c>
      <c r="E123" s="83" t="b">
        <v>0</v>
      </c>
      <c r="F123" s="83" t="b">
        <v>0</v>
      </c>
      <c r="G123" s="83" t="b">
        <v>0</v>
      </c>
    </row>
    <row r="124" spans="1:7" ht="15">
      <c r="A124" s="84" t="s">
        <v>3569</v>
      </c>
      <c r="B124" s="83">
        <v>7</v>
      </c>
      <c r="C124" s="110">
        <v>0.002962508370758125</v>
      </c>
      <c r="D124" s="83" t="s">
        <v>4145</v>
      </c>
      <c r="E124" s="83" t="b">
        <v>0</v>
      </c>
      <c r="F124" s="83" t="b">
        <v>0</v>
      </c>
      <c r="G124" s="83" t="b">
        <v>0</v>
      </c>
    </row>
    <row r="125" spans="1:7" ht="15">
      <c r="A125" s="84" t="s">
        <v>3570</v>
      </c>
      <c r="B125" s="83">
        <v>7</v>
      </c>
      <c r="C125" s="110">
        <v>0.002962508370758125</v>
      </c>
      <c r="D125" s="83" t="s">
        <v>4145</v>
      </c>
      <c r="E125" s="83" t="b">
        <v>0</v>
      </c>
      <c r="F125" s="83" t="b">
        <v>0</v>
      </c>
      <c r="G125" s="83" t="b">
        <v>0</v>
      </c>
    </row>
    <row r="126" spans="1:7" ht="15">
      <c r="A126" s="84" t="s">
        <v>3571</v>
      </c>
      <c r="B126" s="83">
        <v>7</v>
      </c>
      <c r="C126" s="110">
        <v>0.002962508370758125</v>
      </c>
      <c r="D126" s="83" t="s">
        <v>4145</v>
      </c>
      <c r="E126" s="83" t="b">
        <v>0</v>
      </c>
      <c r="F126" s="83" t="b">
        <v>0</v>
      </c>
      <c r="G126" s="83" t="b">
        <v>0</v>
      </c>
    </row>
    <row r="127" spans="1:7" ht="15">
      <c r="A127" s="84" t="s">
        <v>3572</v>
      </c>
      <c r="B127" s="83">
        <v>6</v>
      </c>
      <c r="C127" s="110">
        <v>0.002633276564055226</v>
      </c>
      <c r="D127" s="83" t="s">
        <v>4145</v>
      </c>
      <c r="E127" s="83" t="b">
        <v>0</v>
      </c>
      <c r="F127" s="83" t="b">
        <v>0</v>
      </c>
      <c r="G127" s="83" t="b">
        <v>0</v>
      </c>
    </row>
    <row r="128" spans="1:7" ht="15">
      <c r="A128" s="84" t="s">
        <v>3573</v>
      </c>
      <c r="B128" s="83">
        <v>6</v>
      </c>
      <c r="C128" s="110">
        <v>0.00253929288922125</v>
      </c>
      <c r="D128" s="83" t="s">
        <v>4145</v>
      </c>
      <c r="E128" s="83" t="b">
        <v>0</v>
      </c>
      <c r="F128" s="83" t="b">
        <v>0</v>
      </c>
      <c r="G128" s="83" t="b">
        <v>0</v>
      </c>
    </row>
    <row r="129" spans="1:7" ht="15">
      <c r="A129" s="84" t="s">
        <v>3574</v>
      </c>
      <c r="B129" s="83">
        <v>6</v>
      </c>
      <c r="C129" s="110">
        <v>0.00253929288922125</v>
      </c>
      <c r="D129" s="83" t="s">
        <v>4145</v>
      </c>
      <c r="E129" s="83" t="b">
        <v>0</v>
      </c>
      <c r="F129" s="83" t="b">
        <v>0</v>
      </c>
      <c r="G129" s="83" t="b">
        <v>0</v>
      </c>
    </row>
    <row r="130" spans="1:7" ht="15">
      <c r="A130" s="84" t="s">
        <v>3575</v>
      </c>
      <c r="B130" s="83">
        <v>6</v>
      </c>
      <c r="C130" s="110">
        <v>0.002633276564055226</v>
      </c>
      <c r="D130" s="83" t="s">
        <v>4145</v>
      </c>
      <c r="E130" s="83" t="b">
        <v>0</v>
      </c>
      <c r="F130" s="83" t="b">
        <v>0</v>
      </c>
      <c r="G130" s="83" t="b">
        <v>0</v>
      </c>
    </row>
    <row r="131" spans="1:7" ht="15">
      <c r="A131" s="84" t="s">
        <v>3576</v>
      </c>
      <c r="B131" s="83">
        <v>6</v>
      </c>
      <c r="C131" s="110">
        <v>0.00253929288922125</v>
      </c>
      <c r="D131" s="83" t="s">
        <v>4145</v>
      </c>
      <c r="E131" s="83" t="b">
        <v>0</v>
      </c>
      <c r="F131" s="83" t="b">
        <v>0</v>
      </c>
      <c r="G131" s="83" t="b">
        <v>0</v>
      </c>
    </row>
    <row r="132" spans="1:7" ht="15">
      <c r="A132" s="84" t="s">
        <v>3577</v>
      </c>
      <c r="B132" s="83">
        <v>6</v>
      </c>
      <c r="C132" s="110">
        <v>0.00253929288922125</v>
      </c>
      <c r="D132" s="83" t="s">
        <v>4145</v>
      </c>
      <c r="E132" s="83" t="b">
        <v>0</v>
      </c>
      <c r="F132" s="83" t="b">
        <v>0</v>
      </c>
      <c r="G132" s="83" t="b">
        <v>0</v>
      </c>
    </row>
    <row r="133" spans="1:7" ht="15">
      <c r="A133" s="84" t="s">
        <v>3578</v>
      </c>
      <c r="B133" s="83">
        <v>6</v>
      </c>
      <c r="C133" s="110">
        <v>0.00253929288922125</v>
      </c>
      <c r="D133" s="83" t="s">
        <v>4145</v>
      </c>
      <c r="E133" s="83" t="b">
        <v>1</v>
      </c>
      <c r="F133" s="83" t="b">
        <v>0</v>
      </c>
      <c r="G133" s="83" t="b">
        <v>0</v>
      </c>
    </row>
    <row r="134" spans="1:7" ht="15">
      <c r="A134" s="84" t="s">
        <v>3579</v>
      </c>
      <c r="B134" s="83">
        <v>6</v>
      </c>
      <c r="C134" s="110">
        <v>0.00253929288922125</v>
      </c>
      <c r="D134" s="83" t="s">
        <v>4145</v>
      </c>
      <c r="E134" s="83" t="b">
        <v>0</v>
      </c>
      <c r="F134" s="83" t="b">
        <v>0</v>
      </c>
      <c r="G134" s="83" t="b">
        <v>0</v>
      </c>
    </row>
    <row r="135" spans="1:7" ht="15">
      <c r="A135" s="84" t="s">
        <v>3090</v>
      </c>
      <c r="B135" s="83">
        <v>6</v>
      </c>
      <c r="C135" s="110">
        <v>0.0034629145513976815</v>
      </c>
      <c r="D135" s="83" t="s">
        <v>4145</v>
      </c>
      <c r="E135" s="83" t="b">
        <v>0</v>
      </c>
      <c r="F135" s="83" t="b">
        <v>0</v>
      </c>
      <c r="G135" s="83" t="b">
        <v>0</v>
      </c>
    </row>
    <row r="136" spans="1:7" ht="15">
      <c r="A136" s="84" t="s">
        <v>3580</v>
      </c>
      <c r="B136" s="83">
        <v>6</v>
      </c>
      <c r="C136" s="110">
        <v>0.00253929288922125</v>
      </c>
      <c r="D136" s="83" t="s">
        <v>4145</v>
      </c>
      <c r="E136" s="83" t="b">
        <v>0</v>
      </c>
      <c r="F136" s="83" t="b">
        <v>0</v>
      </c>
      <c r="G136" s="83" t="b">
        <v>0</v>
      </c>
    </row>
    <row r="137" spans="1:7" ht="15">
      <c r="A137" s="84" t="s">
        <v>3581</v>
      </c>
      <c r="B137" s="83">
        <v>6</v>
      </c>
      <c r="C137" s="110">
        <v>0.00253929288922125</v>
      </c>
      <c r="D137" s="83" t="s">
        <v>4145</v>
      </c>
      <c r="E137" s="83" t="b">
        <v>0</v>
      </c>
      <c r="F137" s="83" t="b">
        <v>0</v>
      </c>
      <c r="G137" s="83" t="b">
        <v>0</v>
      </c>
    </row>
    <row r="138" spans="1:7" ht="15">
      <c r="A138" s="84" t="s">
        <v>3582</v>
      </c>
      <c r="B138" s="83">
        <v>6</v>
      </c>
      <c r="C138" s="110">
        <v>0.002896598522056836</v>
      </c>
      <c r="D138" s="83" t="s">
        <v>4145</v>
      </c>
      <c r="E138" s="83" t="b">
        <v>0</v>
      </c>
      <c r="F138" s="83" t="b">
        <v>0</v>
      </c>
      <c r="G138" s="83" t="b">
        <v>0</v>
      </c>
    </row>
    <row r="139" spans="1:7" ht="15">
      <c r="A139" s="84" t="s">
        <v>3583</v>
      </c>
      <c r="B139" s="83">
        <v>6</v>
      </c>
      <c r="C139" s="110">
        <v>0.00253929288922125</v>
      </c>
      <c r="D139" s="83" t="s">
        <v>4145</v>
      </c>
      <c r="E139" s="83" t="b">
        <v>0</v>
      </c>
      <c r="F139" s="83" t="b">
        <v>0</v>
      </c>
      <c r="G139" s="83" t="b">
        <v>0</v>
      </c>
    </row>
    <row r="140" spans="1:7" ht="15">
      <c r="A140" s="84" t="s">
        <v>3584</v>
      </c>
      <c r="B140" s="83">
        <v>6</v>
      </c>
      <c r="C140" s="110">
        <v>0.00253929288922125</v>
      </c>
      <c r="D140" s="83" t="s">
        <v>4145</v>
      </c>
      <c r="E140" s="83" t="b">
        <v>0</v>
      </c>
      <c r="F140" s="83" t="b">
        <v>0</v>
      </c>
      <c r="G140" s="83" t="b">
        <v>0</v>
      </c>
    </row>
    <row r="141" spans="1:7" ht="15">
      <c r="A141" s="84" t="s">
        <v>3585</v>
      </c>
      <c r="B141" s="83">
        <v>6</v>
      </c>
      <c r="C141" s="110">
        <v>0.002633276564055226</v>
      </c>
      <c r="D141" s="83" t="s">
        <v>4145</v>
      </c>
      <c r="E141" s="83" t="b">
        <v>0</v>
      </c>
      <c r="F141" s="83" t="b">
        <v>0</v>
      </c>
      <c r="G141" s="83" t="b">
        <v>0</v>
      </c>
    </row>
    <row r="142" spans="1:7" ht="15">
      <c r="A142" s="84" t="s">
        <v>3586</v>
      </c>
      <c r="B142" s="83">
        <v>6</v>
      </c>
      <c r="C142" s="110">
        <v>0.00253929288922125</v>
      </c>
      <c r="D142" s="83" t="s">
        <v>4145</v>
      </c>
      <c r="E142" s="83" t="b">
        <v>1</v>
      </c>
      <c r="F142" s="83" t="b">
        <v>0</v>
      </c>
      <c r="G142" s="83" t="b">
        <v>0</v>
      </c>
    </row>
    <row r="143" spans="1:7" ht="15">
      <c r="A143" s="84" t="s">
        <v>3587</v>
      </c>
      <c r="B143" s="83">
        <v>6</v>
      </c>
      <c r="C143" s="110">
        <v>0.002633276564055226</v>
      </c>
      <c r="D143" s="83" t="s">
        <v>4145</v>
      </c>
      <c r="E143" s="83" t="b">
        <v>0</v>
      </c>
      <c r="F143" s="83" t="b">
        <v>0</v>
      </c>
      <c r="G143" s="83" t="b">
        <v>0</v>
      </c>
    </row>
    <row r="144" spans="1:7" ht="15">
      <c r="A144" s="84" t="s">
        <v>3588</v>
      </c>
      <c r="B144" s="83">
        <v>6</v>
      </c>
      <c r="C144" s="110">
        <v>0.00253929288922125</v>
      </c>
      <c r="D144" s="83" t="s">
        <v>4145</v>
      </c>
      <c r="E144" s="83" t="b">
        <v>0</v>
      </c>
      <c r="F144" s="83" t="b">
        <v>0</v>
      </c>
      <c r="G144" s="83" t="b">
        <v>0</v>
      </c>
    </row>
    <row r="145" spans="1:7" ht="15">
      <c r="A145" s="84" t="s">
        <v>3589</v>
      </c>
      <c r="B145" s="83">
        <v>6</v>
      </c>
      <c r="C145" s="110">
        <v>0.002633276564055226</v>
      </c>
      <c r="D145" s="83" t="s">
        <v>4145</v>
      </c>
      <c r="E145" s="83" t="b">
        <v>1</v>
      </c>
      <c r="F145" s="83" t="b">
        <v>0</v>
      </c>
      <c r="G145" s="83" t="b">
        <v>0</v>
      </c>
    </row>
    <row r="146" spans="1:7" ht="15">
      <c r="A146" s="84" t="s">
        <v>3590</v>
      </c>
      <c r="B146" s="83">
        <v>6</v>
      </c>
      <c r="C146" s="110">
        <v>0.00253929288922125</v>
      </c>
      <c r="D146" s="83" t="s">
        <v>4145</v>
      </c>
      <c r="E146" s="83" t="b">
        <v>0</v>
      </c>
      <c r="F146" s="83" t="b">
        <v>0</v>
      </c>
      <c r="G146" s="83" t="b">
        <v>0</v>
      </c>
    </row>
    <row r="147" spans="1:7" ht="15">
      <c r="A147" s="84" t="s">
        <v>3591</v>
      </c>
      <c r="B147" s="83">
        <v>6</v>
      </c>
      <c r="C147" s="110">
        <v>0.00253929288922125</v>
      </c>
      <c r="D147" s="83" t="s">
        <v>4145</v>
      </c>
      <c r="E147" s="83" t="b">
        <v>0</v>
      </c>
      <c r="F147" s="83" t="b">
        <v>0</v>
      </c>
      <c r="G147" s="83" t="b">
        <v>0</v>
      </c>
    </row>
    <row r="148" spans="1:7" ht="15">
      <c r="A148" s="84" t="s">
        <v>3592</v>
      </c>
      <c r="B148" s="83">
        <v>6</v>
      </c>
      <c r="C148" s="110">
        <v>0.00253929288922125</v>
      </c>
      <c r="D148" s="83" t="s">
        <v>4145</v>
      </c>
      <c r="E148" s="83" t="b">
        <v>0</v>
      </c>
      <c r="F148" s="83" t="b">
        <v>0</v>
      </c>
      <c r="G148" s="83" t="b">
        <v>0</v>
      </c>
    </row>
    <row r="149" spans="1:7" ht="15">
      <c r="A149" s="84" t="s">
        <v>3593</v>
      </c>
      <c r="B149" s="83">
        <v>6</v>
      </c>
      <c r="C149" s="110">
        <v>0.00253929288922125</v>
      </c>
      <c r="D149" s="83" t="s">
        <v>4145</v>
      </c>
      <c r="E149" s="83" t="b">
        <v>0</v>
      </c>
      <c r="F149" s="83" t="b">
        <v>0</v>
      </c>
      <c r="G149" s="83" t="b">
        <v>0</v>
      </c>
    </row>
    <row r="150" spans="1:7" ht="15">
      <c r="A150" s="84" t="s">
        <v>3594</v>
      </c>
      <c r="B150" s="83">
        <v>6</v>
      </c>
      <c r="C150" s="110">
        <v>0.002633276564055226</v>
      </c>
      <c r="D150" s="83" t="s">
        <v>4145</v>
      </c>
      <c r="E150" s="83" t="b">
        <v>1</v>
      </c>
      <c r="F150" s="83" t="b">
        <v>0</v>
      </c>
      <c r="G150" s="83" t="b">
        <v>0</v>
      </c>
    </row>
    <row r="151" spans="1:7" ht="15">
      <c r="A151" s="84" t="s">
        <v>3595</v>
      </c>
      <c r="B151" s="83">
        <v>6</v>
      </c>
      <c r="C151" s="110">
        <v>0.002633276564055226</v>
      </c>
      <c r="D151" s="83" t="s">
        <v>4145</v>
      </c>
      <c r="E151" s="83" t="b">
        <v>0</v>
      </c>
      <c r="F151" s="83" t="b">
        <v>0</v>
      </c>
      <c r="G151" s="83" t="b">
        <v>0</v>
      </c>
    </row>
    <row r="152" spans="1:7" ht="15">
      <c r="A152" s="84" t="s">
        <v>3596</v>
      </c>
      <c r="B152" s="83">
        <v>6</v>
      </c>
      <c r="C152" s="110">
        <v>0.00253929288922125</v>
      </c>
      <c r="D152" s="83" t="s">
        <v>4145</v>
      </c>
      <c r="E152" s="83" t="b">
        <v>0</v>
      </c>
      <c r="F152" s="83" t="b">
        <v>0</v>
      </c>
      <c r="G152" s="83" t="b">
        <v>0</v>
      </c>
    </row>
    <row r="153" spans="1:7" ht="15">
      <c r="A153" s="84" t="s">
        <v>3597</v>
      </c>
      <c r="B153" s="83">
        <v>6</v>
      </c>
      <c r="C153" s="110">
        <v>0.00253929288922125</v>
      </c>
      <c r="D153" s="83" t="s">
        <v>4145</v>
      </c>
      <c r="E153" s="83" t="b">
        <v>0</v>
      </c>
      <c r="F153" s="83" t="b">
        <v>0</v>
      </c>
      <c r="G153" s="83" t="b">
        <v>0</v>
      </c>
    </row>
    <row r="154" spans="1:7" ht="15">
      <c r="A154" s="84" t="s">
        <v>3598</v>
      </c>
      <c r="B154" s="83">
        <v>5</v>
      </c>
      <c r="C154" s="110">
        <v>0.0021943971367126883</v>
      </c>
      <c r="D154" s="83" t="s">
        <v>4145</v>
      </c>
      <c r="E154" s="83" t="b">
        <v>0</v>
      </c>
      <c r="F154" s="83" t="b">
        <v>0</v>
      </c>
      <c r="G154" s="83" t="b">
        <v>0</v>
      </c>
    </row>
    <row r="155" spans="1:7" ht="15">
      <c r="A155" s="84" t="s">
        <v>3599</v>
      </c>
      <c r="B155" s="83">
        <v>5</v>
      </c>
      <c r="C155" s="110">
        <v>0.0021943971367126883</v>
      </c>
      <c r="D155" s="83" t="s">
        <v>4145</v>
      </c>
      <c r="E155" s="83" t="b">
        <v>0</v>
      </c>
      <c r="F155" s="83" t="b">
        <v>0</v>
      </c>
      <c r="G155" s="83" t="b">
        <v>0</v>
      </c>
    </row>
    <row r="156" spans="1:7" ht="15">
      <c r="A156" s="84" t="s">
        <v>3600</v>
      </c>
      <c r="B156" s="83">
        <v>5</v>
      </c>
      <c r="C156" s="110">
        <v>0.0022902527381054244</v>
      </c>
      <c r="D156" s="83" t="s">
        <v>4145</v>
      </c>
      <c r="E156" s="83" t="b">
        <v>1</v>
      </c>
      <c r="F156" s="83" t="b">
        <v>0</v>
      </c>
      <c r="G156" s="83" t="b">
        <v>0</v>
      </c>
    </row>
    <row r="157" spans="1:7" ht="15">
      <c r="A157" s="84" t="s">
        <v>3601</v>
      </c>
      <c r="B157" s="83">
        <v>5</v>
      </c>
      <c r="C157" s="110">
        <v>0.0021943971367126883</v>
      </c>
      <c r="D157" s="83" t="s">
        <v>4145</v>
      </c>
      <c r="E157" s="83" t="b">
        <v>0</v>
      </c>
      <c r="F157" s="83" t="b">
        <v>0</v>
      </c>
      <c r="G157" s="83" t="b">
        <v>0</v>
      </c>
    </row>
    <row r="158" spans="1:7" ht="15">
      <c r="A158" s="84" t="s">
        <v>3602</v>
      </c>
      <c r="B158" s="83">
        <v>5</v>
      </c>
      <c r="C158" s="110">
        <v>0.0021943971367126883</v>
      </c>
      <c r="D158" s="83" t="s">
        <v>4145</v>
      </c>
      <c r="E158" s="83" t="b">
        <v>0</v>
      </c>
      <c r="F158" s="83" t="b">
        <v>0</v>
      </c>
      <c r="G158" s="83" t="b">
        <v>0</v>
      </c>
    </row>
    <row r="159" spans="1:7" ht="15">
      <c r="A159" s="84" t="s">
        <v>3603</v>
      </c>
      <c r="B159" s="83">
        <v>5</v>
      </c>
      <c r="C159" s="110">
        <v>0.0022902527381054244</v>
      </c>
      <c r="D159" s="83" t="s">
        <v>4145</v>
      </c>
      <c r="E159" s="83" t="b">
        <v>0</v>
      </c>
      <c r="F159" s="83" t="b">
        <v>0</v>
      </c>
      <c r="G159" s="83" t="b">
        <v>0</v>
      </c>
    </row>
    <row r="160" spans="1:7" ht="15">
      <c r="A160" s="84" t="s">
        <v>3604</v>
      </c>
      <c r="B160" s="83">
        <v>5</v>
      </c>
      <c r="C160" s="110">
        <v>0.0021943971367126883</v>
      </c>
      <c r="D160" s="83" t="s">
        <v>4145</v>
      </c>
      <c r="E160" s="83" t="b">
        <v>0</v>
      </c>
      <c r="F160" s="83" t="b">
        <v>0</v>
      </c>
      <c r="G160" s="83" t="b">
        <v>0</v>
      </c>
    </row>
    <row r="161" spans="1:7" ht="15">
      <c r="A161" s="84" t="s">
        <v>3605</v>
      </c>
      <c r="B161" s="83">
        <v>5</v>
      </c>
      <c r="C161" s="110">
        <v>0.0021943971367126883</v>
      </c>
      <c r="D161" s="83" t="s">
        <v>4145</v>
      </c>
      <c r="E161" s="83" t="b">
        <v>0</v>
      </c>
      <c r="F161" s="83" t="b">
        <v>0</v>
      </c>
      <c r="G161" s="83" t="b">
        <v>0</v>
      </c>
    </row>
    <row r="162" spans="1:7" ht="15">
      <c r="A162" s="84" t="s">
        <v>3606</v>
      </c>
      <c r="B162" s="83">
        <v>5</v>
      </c>
      <c r="C162" s="110">
        <v>0.0021943971367126883</v>
      </c>
      <c r="D162" s="83" t="s">
        <v>4145</v>
      </c>
      <c r="E162" s="83" t="b">
        <v>0</v>
      </c>
      <c r="F162" s="83" t="b">
        <v>0</v>
      </c>
      <c r="G162" s="83" t="b">
        <v>0</v>
      </c>
    </row>
    <row r="163" spans="1:7" ht="15">
      <c r="A163" s="84" t="s">
        <v>3607</v>
      </c>
      <c r="B163" s="83">
        <v>5</v>
      </c>
      <c r="C163" s="110">
        <v>0.0021943971367126883</v>
      </c>
      <c r="D163" s="83" t="s">
        <v>4145</v>
      </c>
      <c r="E163" s="83" t="b">
        <v>0</v>
      </c>
      <c r="F163" s="83" t="b">
        <v>0</v>
      </c>
      <c r="G163" s="83" t="b">
        <v>0</v>
      </c>
    </row>
    <row r="164" spans="1:7" ht="15">
      <c r="A164" s="84" t="s">
        <v>3608</v>
      </c>
      <c r="B164" s="83">
        <v>5</v>
      </c>
      <c r="C164" s="110">
        <v>0.0021943971367126883</v>
      </c>
      <c r="D164" s="83" t="s">
        <v>4145</v>
      </c>
      <c r="E164" s="83" t="b">
        <v>0</v>
      </c>
      <c r="F164" s="83" t="b">
        <v>0</v>
      </c>
      <c r="G164" s="83" t="b">
        <v>0</v>
      </c>
    </row>
    <row r="165" spans="1:7" ht="15">
      <c r="A165" s="84" t="s">
        <v>3609</v>
      </c>
      <c r="B165" s="83">
        <v>5</v>
      </c>
      <c r="C165" s="110">
        <v>0.00241383210171403</v>
      </c>
      <c r="D165" s="83" t="s">
        <v>4145</v>
      </c>
      <c r="E165" s="83" t="b">
        <v>0</v>
      </c>
      <c r="F165" s="83" t="b">
        <v>0</v>
      </c>
      <c r="G165" s="83" t="b">
        <v>0</v>
      </c>
    </row>
    <row r="166" spans="1:7" ht="15">
      <c r="A166" s="84" t="s">
        <v>3610</v>
      </c>
      <c r="B166" s="83">
        <v>5</v>
      </c>
      <c r="C166" s="110">
        <v>0.0025880074321350793</v>
      </c>
      <c r="D166" s="83" t="s">
        <v>4145</v>
      </c>
      <c r="E166" s="83" t="b">
        <v>0</v>
      </c>
      <c r="F166" s="83" t="b">
        <v>0</v>
      </c>
      <c r="G166" s="83" t="b">
        <v>0</v>
      </c>
    </row>
    <row r="167" spans="1:7" ht="15">
      <c r="A167" s="84" t="s">
        <v>3611</v>
      </c>
      <c r="B167" s="83">
        <v>5</v>
      </c>
      <c r="C167" s="110">
        <v>0.0025880074321350793</v>
      </c>
      <c r="D167" s="83" t="s">
        <v>4145</v>
      </c>
      <c r="E167" s="83" t="b">
        <v>0</v>
      </c>
      <c r="F167" s="83" t="b">
        <v>0</v>
      </c>
      <c r="G167" s="83" t="b">
        <v>0</v>
      </c>
    </row>
    <row r="168" spans="1:7" ht="15">
      <c r="A168" s="84" t="s">
        <v>3612</v>
      </c>
      <c r="B168" s="83">
        <v>5</v>
      </c>
      <c r="C168" s="110">
        <v>0.0025880074321350793</v>
      </c>
      <c r="D168" s="83" t="s">
        <v>4145</v>
      </c>
      <c r="E168" s="83" t="b">
        <v>0</v>
      </c>
      <c r="F168" s="83" t="b">
        <v>0</v>
      </c>
      <c r="G168" s="83" t="b">
        <v>0</v>
      </c>
    </row>
    <row r="169" spans="1:7" ht="15">
      <c r="A169" s="84" t="s">
        <v>3613</v>
      </c>
      <c r="B169" s="83">
        <v>5</v>
      </c>
      <c r="C169" s="110">
        <v>0.0021943971367126883</v>
      </c>
      <c r="D169" s="83" t="s">
        <v>4145</v>
      </c>
      <c r="E169" s="83" t="b">
        <v>0</v>
      </c>
      <c r="F169" s="83" t="b">
        <v>0</v>
      </c>
      <c r="G169" s="83" t="b">
        <v>0</v>
      </c>
    </row>
    <row r="170" spans="1:7" ht="15">
      <c r="A170" s="84" t="s">
        <v>3614</v>
      </c>
      <c r="B170" s="83">
        <v>5</v>
      </c>
      <c r="C170" s="110">
        <v>0.0021943971367126883</v>
      </c>
      <c r="D170" s="83" t="s">
        <v>4145</v>
      </c>
      <c r="E170" s="83" t="b">
        <v>0</v>
      </c>
      <c r="F170" s="83" t="b">
        <v>0</v>
      </c>
      <c r="G170" s="83" t="b">
        <v>0</v>
      </c>
    </row>
    <row r="171" spans="1:7" ht="15">
      <c r="A171" s="84" t="s">
        <v>3615</v>
      </c>
      <c r="B171" s="83">
        <v>5</v>
      </c>
      <c r="C171" s="110">
        <v>0.0021943971367126883</v>
      </c>
      <c r="D171" s="83" t="s">
        <v>4145</v>
      </c>
      <c r="E171" s="83" t="b">
        <v>0</v>
      </c>
      <c r="F171" s="83" t="b">
        <v>0</v>
      </c>
      <c r="G171" s="83" t="b">
        <v>0</v>
      </c>
    </row>
    <row r="172" spans="1:7" ht="15">
      <c r="A172" s="84" t="s">
        <v>3616</v>
      </c>
      <c r="B172" s="83">
        <v>5</v>
      </c>
      <c r="C172" s="110">
        <v>0.0021943971367126883</v>
      </c>
      <c r="D172" s="83" t="s">
        <v>4145</v>
      </c>
      <c r="E172" s="83" t="b">
        <v>0</v>
      </c>
      <c r="F172" s="83" t="b">
        <v>0</v>
      </c>
      <c r="G172" s="83" t="b">
        <v>0</v>
      </c>
    </row>
    <row r="173" spans="1:7" ht="15">
      <c r="A173" s="84" t="s">
        <v>3617</v>
      </c>
      <c r="B173" s="83">
        <v>5</v>
      </c>
      <c r="C173" s="110">
        <v>0.0021943971367126883</v>
      </c>
      <c r="D173" s="83" t="s">
        <v>4145</v>
      </c>
      <c r="E173" s="83" t="b">
        <v>0</v>
      </c>
      <c r="F173" s="83" t="b">
        <v>0</v>
      </c>
      <c r="G173" s="83" t="b">
        <v>0</v>
      </c>
    </row>
    <row r="174" spans="1:7" ht="15">
      <c r="A174" s="84" t="s">
        <v>3618</v>
      </c>
      <c r="B174" s="83">
        <v>5</v>
      </c>
      <c r="C174" s="110">
        <v>0.0021943971367126883</v>
      </c>
      <c r="D174" s="83" t="s">
        <v>4145</v>
      </c>
      <c r="E174" s="83" t="b">
        <v>1</v>
      </c>
      <c r="F174" s="83" t="b">
        <v>0</v>
      </c>
      <c r="G174" s="83" t="b">
        <v>0</v>
      </c>
    </row>
    <row r="175" spans="1:7" ht="15">
      <c r="A175" s="84" t="s">
        <v>3619</v>
      </c>
      <c r="B175" s="83">
        <v>5</v>
      </c>
      <c r="C175" s="110">
        <v>0.0021943971367126883</v>
      </c>
      <c r="D175" s="83" t="s">
        <v>4145</v>
      </c>
      <c r="E175" s="83" t="b">
        <v>0</v>
      </c>
      <c r="F175" s="83" t="b">
        <v>0</v>
      </c>
      <c r="G175" s="83" t="b">
        <v>0</v>
      </c>
    </row>
    <row r="176" spans="1:7" ht="15">
      <c r="A176" s="84" t="s">
        <v>3620</v>
      </c>
      <c r="B176" s="83">
        <v>5</v>
      </c>
      <c r="C176" s="110">
        <v>0.0021943971367126883</v>
      </c>
      <c r="D176" s="83" t="s">
        <v>4145</v>
      </c>
      <c r="E176" s="83" t="b">
        <v>0</v>
      </c>
      <c r="F176" s="83" t="b">
        <v>0</v>
      </c>
      <c r="G176" s="83" t="b">
        <v>0</v>
      </c>
    </row>
    <row r="177" spans="1:7" ht="15">
      <c r="A177" s="84" t="s">
        <v>3621</v>
      </c>
      <c r="B177" s="83">
        <v>5</v>
      </c>
      <c r="C177" s="110">
        <v>0.0022902527381054244</v>
      </c>
      <c r="D177" s="83" t="s">
        <v>4145</v>
      </c>
      <c r="E177" s="83" t="b">
        <v>0</v>
      </c>
      <c r="F177" s="83" t="b">
        <v>0</v>
      </c>
      <c r="G177" s="83" t="b">
        <v>0</v>
      </c>
    </row>
    <row r="178" spans="1:7" ht="15">
      <c r="A178" s="84" t="s">
        <v>3622</v>
      </c>
      <c r="B178" s="83">
        <v>5</v>
      </c>
      <c r="C178" s="110">
        <v>0.0021943971367126883</v>
      </c>
      <c r="D178" s="83" t="s">
        <v>4145</v>
      </c>
      <c r="E178" s="83" t="b">
        <v>0</v>
      </c>
      <c r="F178" s="83" t="b">
        <v>0</v>
      </c>
      <c r="G178" s="83" t="b">
        <v>0</v>
      </c>
    </row>
    <row r="179" spans="1:7" ht="15">
      <c r="A179" s="84" t="s">
        <v>3623</v>
      </c>
      <c r="B179" s="83">
        <v>5</v>
      </c>
      <c r="C179" s="110">
        <v>0.0021943971367126883</v>
      </c>
      <c r="D179" s="83" t="s">
        <v>4145</v>
      </c>
      <c r="E179" s="83" t="b">
        <v>0</v>
      </c>
      <c r="F179" s="83" t="b">
        <v>0</v>
      </c>
      <c r="G179" s="83" t="b">
        <v>0</v>
      </c>
    </row>
    <row r="180" spans="1:7" ht="15">
      <c r="A180" s="84" t="s">
        <v>3624</v>
      </c>
      <c r="B180" s="83">
        <v>5</v>
      </c>
      <c r="C180" s="110">
        <v>0.0021943971367126883</v>
      </c>
      <c r="D180" s="83" t="s">
        <v>4145</v>
      </c>
      <c r="E180" s="83" t="b">
        <v>0</v>
      </c>
      <c r="F180" s="83" t="b">
        <v>0</v>
      </c>
      <c r="G180" s="83" t="b">
        <v>0</v>
      </c>
    </row>
    <row r="181" spans="1:7" ht="15">
      <c r="A181" s="84" t="s">
        <v>3625</v>
      </c>
      <c r="B181" s="83">
        <v>5</v>
      </c>
      <c r="C181" s="110">
        <v>0.0021943971367126883</v>
      </c>
      <c r="D181" s="83" t="s">
        <v>4145</v>
      </c>
      <c r="E181" s="83" t="b">
        <v>0</v>
      </c>
      <c r="F181" s="83" t="b">
        <v>0</v>
      </c>
      <c r="G181" s="83" t="b">
        <v>0</v>
      </c>
    </row>
    <row r="182" spans="1:7" ht="15">
      <c r="A182" s="84" t="s">
        <v>3626</v>
      </c>
      <c r="B182" s="83">
        <v>5</v>
      </c>
      <c r="C182" s="110">
        <v>0.0021943971367126883</v>
      </c>
      <c r="D182" s="83" t="s">
        <v>4145</v>
      </c>
      <c r="E182" s="83" t="b">
        <v>0</v>
      </c>
      <c r="F182" s="83" t="b">
        <v>0</v>
      </c>
      <c r="G182" s="83" t="b">
        <v>0</v>
      </c>
    </row>
    <row r="183" spans="1:7" ht="15">
      <c r="A183" s="84" t="s">
        <v>3627</v>
      </c>
      <c r="B183" s="83">
        <v>5</v>
      </c>
      <c r="C183" s="110">
        <v>0.0022902527381054244</v>
      </c>
      <c r="D183" s="83" t="s">
        <v>4145</v>
      </c>
      <c r="E183" s="83" t="b">
        <v>0</v>
      </c>
      <c r="F183" s="83" t="b">
        <v>0</v>
      </c>
      <c r="G183" s="83" t="b">
        <v>0</v>
      </c>
    </row>
    <row r="184" spans="1:7" ht="15">
      <c r="A184" s="84" t="s">
        <v>3628</v>
      </c>
      <c r="B184" s="83">
        <v>5</v>
      </c>
      <c r="C184" s="110">
        <v>0.0022902527381054244</v>
      </c>
      <c r="D184" s="83" t="s">
        <v>4145</v>
      </c>
      <c r="E184" s="83" t="b">
        <v>0</v>
      </c>
      <c r="F184" s="83" t="b">
        <v>0</v>
      </c>
      <c r="G184" s="83" t="b">
        <v>0</v>
      </c>
    </row>
    <row r="185" spans="1:7" ht="15">
      <c r="A185" s="84" t="s">
        <v>3629</v>
      </c>
      <c r="B185" s="83">
        <v>5</v>
      </c>
      <c r="C185" s="110">
        <v>0.0021943971367126883</v>
      </c>
      <c r="D185" s="83" t="s">
        <v>4145</v>
      </c>
      <c r="E185" s="83" t="b">
        <v>0</v>
      </c>
      <c r="F185" s="83" t="b">
        <v>0</v>
      </c>
      <c r="G185" s="83" t="b">
        <v>0</v>
      </c>
    </row>
    <row r="186" spans="1:7" ht="15">
      <c r="A186" s="84" t="s">
        <v>3630</v>
      </c>
      <c r="B186" s="83">
        <v>5</v>
      </c>
      <c r="C186" s="110">
        <v>0.0021943971367126883</v>
      </c>
      <c r="D186" s="83" t="s">
        <v>4145</v>
      </c>
      <c r="E186" s="83" t="b">
        <v>1</v>
      </c>
      <c r="F186" s="83" t="b">
        <v>0</v>
      </c>
      <c r="G186" s="83" t="b">
        <v>0</v>
      </c>
    </row>
    <row r="187" spans="1:7" ht="15">
      <c r="A187" s="84" t="s">
        <v>3631</v>
      </c>
      <c r="B187" s="83">
        <v>5</v>
      </c>
      <c r="C187" s="110">
        <v>0.0021943971367126883</v>
      </c>
      <c r="D187" s="83" t="s">
        <v>4145</v>
      </c>
      <c r="E187" s="83" t="b">
        <v>0</v>
      </c>
      <c r="F187" s="83" t="b">
        <v>0</v>
      </c>
      <c r="G187" s="83" t="b">
        <v>0</v>
      </c>
    </row>
    <row r="188" spans="1:7" ht="15">
      <c r="A188" s="84" t="s">
        <v>3632</v>
      </c>
      <c r="B188" s="83">
        <v>5</v>
      </c>
      <c r="C188" s="110">
        <v>0.00241383210171403</v>
      </c>
      <c r="D188" s="83" t="s">
        <v>4145</v>
      </c>
      <c r="E188" s="83" t="b">
        <v>0</v>
      </c>
      <c r="F188" s="83" t="b">
        <v>0</v>
      </c>
      <c r="G188" s="83" t="b">
        <v>0</v>
      </c>
    </row>
    <row r="189" spans="1:7" ht="15">
      <c r="A189" s="84" t="s">
        <v>3633</v>
      </c>
      <c r="B189" s="83">
        <v>5</v>
      </c>
      <c r="C189" s="110">
        <v>0.0022902527381054244</v>
      </c>
      <c r="D189" s="83" t="s">
        <v>4145</v>
      </c>
      <c r="E189" s="83" t="b">
        <v>0</v>
      </c>
      <c r="F189" s="83" t="b">
        <v>0</v>
      </c>
      <c r="G189" s="83" t="b">
        <v>0</v>
      </c>
    </row>
    <row r="190" spans="1:7" ht="15">
      <c r="A190" s="84" t="s">
        <v>3634</v>
      </c>
      <c r="B190" s="83">
        <v>5</v>
      </c>
      <c r="C190" s="110">
        <v>0.0021943971367126883</v>
      </c>
      <c r="D190" s="83" t="s">
        <v>4145</v>
      </c>
      <c r="E190" s="83" t="b">
        <v>0</v>
      </c>
      <c r="F190" s="83" t="b">
        <v>0</v>
      </c>
      <c r="G190" s="83" t="b">
        <v>0</v>
      </c>
    </row>
    <row r="191" spans="1:7" ht="15">
      <c r="A191" s="84" t="s">
        <v>3635</v>
      </c>
      <c r="B191" s="83">
        <v>5</v>
      </c>
      <c r="C191" s="110">
        <v>0.0021943971367126883</v>
      </c>
      <c r="D191" s="83" t="s">
        <v>4145</v>
      </c>
      <c r="E191" s="83" t="b">
        <v>0</v>
      </c>
      <c r="F191" s="83" t="b">
        <v>1</v>
      </c>
      <c r="G191" s="83" t="b">
        <v>0</v>
      </c>
    </row>
    <row r="192" spans="1:7" ht="15">
      <c r="A192" s="84" t="s">
        <v>3636</v>
      </c>
      <c r="B192" s="83">
        <v>5</v>
      </c>
      <c r="C192" s="110">
        <v>0.0021943971367126883</v>
      </c>
      <c r="D192" s="83" t="s">
        <v>4145</v>
      </c>
      <c r="E192" s="83" t="b">
        <v>0</v>
      </c>
      <c r="F192" s="83" t="b">
        <v>0</v>
      </c>
      <c r="G192" s="83" t="b">
        <v>0</v>
      </c>
    </row>
    <row r="193" spans="1:7" ht="15">
      <c r="A193" s="84" t="s">
        <v>3637</v>
      </c>
      <c r="B193" s="83">
        <v>5</v>
      </c>
      <c r="C193" s="110">
        <v>0.0021943971367126883</v>
      </c>
      <c r="D193" s="83" t="s">
        <v>4145</v>
      </c>
      <c r="E193" s="83" t="b">
        <v>1</v>
      </c>
      <c r="F193" s="83" t="b">
        <v>0</v>
      </c>
      <c r="G193" s="83" t="b">
        <v>0</v>
      </c>
    </row>
    <row r="194" spans="1:7" ht="15">
      <c r="A194" s="84" t="s">
        <v>3638</v>
      </c>
      <c r="B194" s="83">
        <v>5</v>
      </c>
      <c r="C194" s="110">
        <v>0.0021943971367126883</v>
      </c>
      <c r="D194" s="83" t="s">
        <v>4145</v>
      </c>
      <c r="E194" s="83" t="b">
        <v>0</v>
      </c>
      <c r="F194" s="83" t="b">
        <v>0</v>
      </c>
      <c r="G194" s="83" t="b">
        <v>0</v>
      </c>
    </row>
    <row r="195" spans="1:7" ht="15">
      <c r="A195" s="84" t="s">
        <v>3639</v>
      </c>
      <c r="B195" s="83">
        <v>5</v>
      </c>
      <c r="C195" s="110">
        <v>0.0021943971367126883</v>
      </c>
      <c r="D195" s="83" t="s">
        <v>4145</v>
      </c>
      <c r="E195" s="83" t="b">
        <v>0</v>
      </c>
      <c r="F195" s="83" t="b">
        <v>0</v>
      </c>
      <c r="G195" s="83" t="b">
        <v>0</v>
      </c>
    </row>
    <row r="196" spans="1:7" ht="15">
      <c r="A196" s="84" t="s">
        <v>3640</v>
      </c>
      <c r="B196" s="83">
        <v>5</v>
      </c>
      <c r="C196" s="110">
        <v>0.0021943971367126883</v>
      </c>
      <c r="D196" s="83" t="s">
        <v>4145</v>
      </c>
      <c r="E196" s="83" t="b">
        <v>0</v>
      </c>
      <c r="F196" s="83" t="b">
        <v>0</v>
      </c>
      <c r="G196" s="83" t="b">
        <v>0</v>
      </c>
    </row>
    <row r="197" spans="1:7" ht="15">
      <c r="A197" s="84" t="s">
        <v>3641</v>
      </c>
      <c r="B197" s="83">
        <v>5</v>
      </c>
      <c r="C197" s="110">
        <v>0.0022902527381054244</v>
      </c>
      <c r="D197" s="83" t="s">
        <v>4145</v>
      </c>
      <c r="E197" s="83" t="b">
        <v>0</v>
      </c>
      <c r="F197" s="83" t="b">
        <v>0</v>
      </c>
      <c r="G197" s="83" t="b">
        <v>0</v>
      </c>
    </row>
    <row r="198" spans="1:7" ht="15">
      <c r="A198" s="84" t="s">
        <v>3642</v>
      </c>
      <c r="B198" s="83">
        <v>5</v>
      </c>
      <c r="C198" s="110">
        <v>0.00241383210171403</v>
      </c>
      <c r="D198" s="83" t="s">
        <v>4145</v>
      </c>
      <c r="E198" s="83" t="b">
        <v>0</v>
      </c>
      <c r="F198" s="83" t="b">
        <v>0</v>
      </c>
      <c r="G198" s="83" t="b">
        <v>0</v>
      </c>
    </row>
    <row r="199" spans="1:7" ht="15">
      <c r="A199" s="84" t="s">
        <v>3643</v>
      </c>
      <c r="B199" s="83">
        <v>5</v>
      </c>
      <c r="C199" s="110">
        <v>0.0021943971367126883</v>
      </c>
      <c r="D199" s="83" t="s">
        <v>4145</v>
      </c>
      <c r="E199" s="83" t="b">
        <v>1</v>
      </c>
      <c r="F199" s="83" t="b">
        <v>0</v>
      </c>
      <c r="G199" s="83" t="b">
        <v>0</v>
      </c>
    </row>
    <row r="200" spans="1:7" ht="15">
      <c r="A200" s="84" t="s">
        <v>3644</v>
      </c>
      <c r="B200" s="83">
        <v>4</v>
      </c>
      <c r="C200" s="110">
        <v>0.0018322021904843395</v>
      </c>
      <c r="D200" s="83" t="s">
        <v>4145</v>
      </c>
      <c r="E200" s="83" t="b">
        <v>0</v>
      </c>
      <c r="F200" s="83" t="b">
        <v>0</v>
      </c>
      <c r="G200" s="83" t="b">
        <v>0</v>
      </c>
    </row>
    <row r="201" spans="1:7" ht="15">
      <c r="A201" s="84" t="s">
        <v>3645</v>
      </c>
      <c r="B201" s="83">
        <v>4</v>
      </c>
      <c r="C201" s="110">
        <v>0.0023086097009317875</v>
      </c>
      <c r="D201" s="83" t="s">
        <v>4145</v>
      </c>
      <c r="E201" s="83" t="b">
        <v>0</v>
      </c>
      <c r="F201" s="83" t="b">
        <v>0</v>
      </c>
      <c r="G201" s="83" t="b">
        <v>0</v>
      </c>
    </row>
    <row r="202" spans="1:7" ht="15">
      <c r="A202" s="84" t="s">
        <v>3646</v>
      </c>
      <c r="B202" s="83">
        <v>4</v>
      </c>
      <c r="C202" s="110">
        <v>0.001931065681371224</v>
      </c>
      <c r="D202" s="83" t="s">
        <v>4145</v>
      </c>
      <c r="E202" s="83" t="b">
        <v>0</v>
      </c>
      <c r="F202" s="83" t="b">
        <v>0</v>
      </c>
      <c r="G202" s="83" t="b">
        <v>0</v>
      </c>
    </row>
    <row r="203" spans="1:7" ht="15">
      <c r="A203" s="84" t="s">
        <v>3647</v>
      </c>
      <c r="B203" s="83">
        <v>4</v>
      </c>
      <c r="C203" s="110">
        <v>0.0018322021904843395</v>
      </c>
      <c r="D203" s="83" t="s">
        <v>4145</v>
      </c>
      <c r="E203" s="83" t="b">
        <v>0</v>
      </c>
      <c r="F203" s="83" t="b">
        <v>1</v>
      </c>
      <c r="G203" s="83" t="b">
        <v>0</v>
      </c>
    </row>
    <row r="204" spans="1:7" ht="15">
      <c r="A204" s="84" t="s">
        <v>3648</v>
      </c>
      <c r="B204" s="83">
        <v>4</v>
      </c>
      <c r="C204" s="110">
        <v>0.0018322021904843395</v>
      </c>
      <c r="D204" s="83" t="s">
        <v>4145</v>
      </c>
      <c r="E204" s="83" t="b">
        <v>0</v>
      </c>
      <c r="F204" s="83" t="b">
        <v>0</v>
      </c>
      <c r="G204" s="83" t="b">
        <v>0</v>
      </c>
    </row>
    <row r="205" spans="1:7" ht="15">
      <c r="A205" s="84" t="s">
        <v>3649</v>
      </c>
      <c r="B205" s="83">
        <v>4</v>
      </c>
      <c r="C205" s="110">
        <v>0.0018322021904843395</v>
      </c>
      <c r="D205" s="83" t="s">
        <v>4145</v>
      </c>
      <c r="E205" s="83" t="b">
        <v>0</v>
      </c>
      <c r="F205" s="83" t="b">
        <v>0</v>
      </c>
      <c r="G205" s="83" t="b">
        <v>0</v>
      </c>
    </row>
    <row r="206" spans="1:7" ht="15">
      <c r="A206" s="84" t="s">
        <v>3650</v>
      </c>
      <c r="B206" s="83">
        <v>4</v>
      </c>
      <c r="C206" s="110">
        <v>0.0018322021904843395</v>
      </c>
      <c r="D206" s="83" t="s">
        <v>4145</v>
      </c>
      <c r="E206" s="83" t="b">
        <v>0</v>
      </c>
      <c r="F206" s="83" t="b">
        <v>1</v>
      </c>
      <c r="G206" s="83" t="b">
        <v>0</v>
      </c>
    </row>
    <row r="207" spans="1:7" ht="15">
      <c r="A207" s="84" t="s">
        <v>3651</v>
      </c>
      <c r="B207" s="83">
        <v>4</v>
      </c>
      <c r="C207" s="110">
        <v>0.0018322021904843395</v>
      </c>
      <c r="D207" s="83" t="s">
        <v>4145</v>
      </c>
      <c r="E207" s="83" t="b">
        <v>0</v>
      </c>
      <c r="F207" s="83" t="b">
        <v>0</v>
      </c>
      <c r="G207" s="83" t="b">
        <v>0</v>
      </c>
    </row>
    <row r="208" spans="1:7" ht="15">
      <c r="A208" s="84" t="s">
        <v>3652</v>
      </c>
      <c r="B208" s="83">
        <v>4</v>
      </c>
      <c r="C208" s="110">
        <v>0.001931065681371224</v>
      </c>
      <c r="D208" s="83" t="s">
        <v>4145</v>
      </c>
      <c r="E208" s="83" t="b">
        <v>0</v>
      </c>
      <c r="F208" s="83" t="b">
        <v>0</v>
      </c>
      <c r="G208" s="83" t="b">
        <v>0</v>
      </c>
    </row>
    <row r="209" spans="1:7" ht="15">
      <c r="A209" s="84" t="s">
        <v>3653</v>
      </c>
      <c r="B209" s="83">
        <v>4</v>
      </c>
      <c r="C209" s="110">
        <v>0.0018322021904843395</v>
      </c>
      <c r="D209" s="83" t="s">
        <v>4145</v>
      </c>
      <c r="E209" s="83" t="b">
        <v>0</v>
      </c>
      <c r="F209" s="83" t="b">
        <v>0</v>
      </c>
      <c r="G209" s="83" t="b">
        <v>0</v>
      </c>
    </row>
    <row r="210" spans="1:7" ht="15">
      <c r="A210" s="84" t="s">
        <v>3654</v>
      </c>
      <c r="B210" s="83">
        <v>4</v>
      </c>
      <c r="C210" s="110">
        <v>0.0018322021904843395</v>
      </c>
      <c r="D210" s="83" t="s">
        <v>4145</v>
      </c>
      <c r="E210" s="83" t="b">
        <v>0</v>
      </c>
      <c r="F210" s="83" t="b">
        <v>0</v>
      </c>
      <c r="G210" s="83" t="b">
        <v>0</v>
      </c>
    </row>
    <row r="211" spans="1:7" ht="15">
      <c r="A211" s="84" t="s">
        <v>3655</v>
      </c>
      <c r="B211" s="83">
        <v>4</v>
      </c>
      <c r="C211" s="110">
        <v>0.0020704059457080635</v>
      </c>
      <c r="D211" s="83" t="s">
        <v>4145</v>
      </c>
      <c r="E211" s="83" t="b">
        <v>0</v>
      </c>
      <c r="F211" s="83" t="b">
        <v>0</v>
      </c>
      <c r="G211" s="83" t="b">
        <v>0</v>
      </c>
    </row>
    <row r="212" spans="1:7" ht="15">
      <c r="A212" s="84" t="s">
        <v>3656</v>
      </c>
      <c r="B212" s="83">
        <v>4</v>
      </c>
      <c r="C212" s="110">
        <v>0.0018322021904843395</v>
      </c>
      <c r="D212" s="83" t="s">
        <v>4145</v>
      </c>
      <c r="E212" s="83" t="b">
        <v>1</v>
      </c>
      <c r="F212" s="83" t="b">
        <v>0</v>
      </c>
      <c r="G212" s="83" t="b">
        <v>0</v>
      </c>
    </row>
    <row r="213" spans="1:7" ht="15">
      <c r="A213" s="84" t="s">
        <v>3657</v>
      </c>
      <c r="B213" s="83">
        <v>4</v>
      </c>
      <c r="C213" s="110">
        <v>0.001931065681371224</v>
      </c>
      <c r="D213" s="83" t="s">
        <v>4145</v>
      </c>
      <c r="E213" s="83" t="b">
        <v>0</v>
      </c>
      <c r="F213" s="83" t="b">
        <v>0</v>
      </c>
      <c r="G213" s="83" t="b">
        <v>0</v>
      </c>
    </row>
    <row r="214" spans="1:7" ht="15">
      <c r="A214" s="84" t="s">
        <v>3658</v>
      </c>
      <c r="B214" s="83">
        <v>4</v>
      </c>
      <c r="C214" s="110">
        <v>0.0018322021904843395</v>
      </c>
      <c r="D214" s="83" t="s">
        <v>4145</v>
      </c>
      <c r="E214" s="83" t="b">
        <v>0</v>
      </c>
      <c r="F214" s="83" t="b">
        <v>0</v>
      </c>
      <c r="G214" s="83" t="b">
        <v>0</v>
      </c>
    </row>
    <row r="215" spans="1:7" ht="15">
      <c r="A215" s="84" t="s">
        <v>3659</v>
      </c>
      <c r="B215" s="83">
        <v>4</v>
      </c>
      <c r="C215" s="110">
        <v>0.0018322021904843395</v>
      </c>
      <c r="D215" s="83" t="s">
        <v>4145</v>
      </c>
      <c r="E215" s="83" t="b">
        <v>0</v>
      </c>
      <c r="F215" s="83" t="b">
        <v>0</v>
      </c>
      <c r="G215" s="83" t="b">
        <v>0</v>
      </c>
    </row>
    <row r="216" spans="1:7" ht="15">
      <c r="A216" s="84" t="s">
        <v>3660</v>
      </c>
      <c r="B216" s="83">
        <v>4</v>
      </c>
      <c r="C216" s="110">
        <v>0.0018322021904843395</v>
      </c>
      <c r="D216" s="83" t="s">
        <v>4145</v>
      </c>
      <c r="E216" s="83" t="b">
        <v>0</v>
      </c>
      <c r="F216" s="83" t="b">
        <v>0</v>
      </c>
      <c r="G216" s="83" t="b">
        <v>0</v>
      </c>
    </row>
    <row r="217" spans="1:7" ht="15">
      <c r="A217" s="84" t="s">
        <v>3661</v>
      </c>
      <c r="B217" s="83">
        <v>4</v>
      </c>
      <c r="C217" s="110">
        <v>0.0018322021904843395</v>
      </c>
      <c r="D217" s="83" t="s">
        <v>4145</v>
      </c>
      <c r="E217" s="83" t="b">
        <v>0</v>
      </c>
      <c r="F217" s="83" t="b">
        <v>0</v>
      </c>
      <c r="G217" s="83" t="b">
        <v>0</v>
      </c>
    </row>
    <row r="218" spans="1:7" ht="15">
      <c r="A218" s="84" t="s">
        <v>3662</v>
      </c>
      <c r="B218" s="83">
        <v>4</v>
      </c>
      <c r="C218" s="110">
        <v>0.0023086097009317875</v>
      </c>
      <c r="D218" s="83" t="s">
        <v>4145</v>
      </c>
      <c r="E218" s="83" t="b">
        <v>0</v>
      </c>
      <c r="F218" s="83" t="b">
        <v>0</v>
      </c>
      <c r="G218" s="83" t="b">
        <v>0</v>
      </c>
    </row>
    <row r="219" spans="1:7" ht="15">
      <c r="A219" s="84" t="s">
        <v>3663</v>
      </c>
      <c r="B219" s="83">
        <v>4</v>
      </c>
      <c r="C219" s="110">
        <v>0.0020704059457080635</v>
      </c>
      <c r="D219" s="83" t="s">
        <v>4145</v>
      </c>
      <c r="E219" s="83" t="b">
        <v>0</v>
      </c>
      <c r="F219" s="83" t="b">
        <v>0</v>
      </c>
      <c r="G219" s="83" t="b">
        <v>0</v>
      </c>
    </row>
    <row r="220" spans="1:7" ht="15">
      <c r="A220" s="84" t="s">
        <v>3664</v>
      </c>
      <c r="B220" s="83">
        <v>4</v>
      </c>
      <c r="C220" s="110">
        <v>0.001931065681371224</v>
      </c>
      <c r="D220" s="83" t="s">
        <v>4145</v>
      </c>
      <c r="E220" s="83" t="b">
        <v>0</v>
      </c>
      <c r="F220" s="83" t="b">
        <v>0</v>
      </c>
      <c r="G220" s="83" t="b">
        <v>0</v>
      </c>
    </row>
    <row r="221" spans="1:7" ht="15">
      <c r="A221" s="84" t="s">
        <v>3665</v>
      </c>
      <c r="B221" s="83">
        <v>4</v>
      </c>
      <c r="C221" s="110">
        <v>0.0018322021904843395</v>
      </c>
      <c r="D221" s="83" t="s">
        <v>4145</v>
      </c>
      <c r="E221" s="83" t="b">
        <v>0</v>
      </c>
      <c r="F221" s="83" t="b">
        <v>0</v>
      </c>
      <c r="G221" s="83" t="b">
        <v>0</v>
      </c>
    </row>
    <row r="222" spans="1:7" ht="15">
      <c r="A222" s="84" t="s">
        <v>3666</v>
      </c>
      <c r="B222" s="83">
        <v>4</v>
      </c>
      <c r="C222" s="110">
        <v>0.0018322021904843395</v>
      </c>
      <c r="D222" s="83" t="s">
        <v>4145</v>
      </c>
      <c r="E222" s="83" t="b">
        <v>1</v>
      </c>
      <c r="F222" s="83" t="b">
        <v>0</v>
      </c>
      <c r="G222" s="83" t="b">
        <v>0</v>
      </c>
    </row>
    <row r="223" spans="1:7" ht="15">
      <c r="A223" s="84" t="s">
        <v>3667</v>
      </c>
      <c r="B223" s="83">
        <v>4</v>
      </c>
      <c r="C223" s="110">
        <v>0.0018322021904843395</v>
      </c>
      <c r="D223" s="83" t="s">
        <v>4145</v>
      </c>
      <c r="E223" s="83" t="b">
        <v>1</v>
      </c>
      <c r="F223" s="83" t="b">
        <v>0</v>
      </c>
      <c r="G223" s="83" t="b">
        <v>0</v>
      </c>
    </row>
    <row r="224" spans="1:7" ht="15">
      <c r="A224" s="84" t="s">
        <v>3668</v>
      </c>
      <c r="B224" s="83">
        <v>4</v>
      </c>
      <c r="C224" s="110">
        <v>0.001931065681371224</v>
      </c>
      <c r="D224" s="83" t="s">
        <v>4145</v>
      </c>
      <c r="E224" s="83" t="b">
        <v>0</v>
      </c>
      <c r="F224" s="83" t="b">
        <v>0</v>
      </c>
      <c r="G224" s="83" t="b">
        <v>0</v>
      </c>
    </row>
    <row r="225" spans="1:7" ht="15">
      <c r="A225" s="84" t="s">
        <v>3669</v>
      </c>
      <c r="B225" s="83">
        <v>4</v>
      </c>
      <c r="C225" s="110">
        <v>0.0018322021904843395</v>
      </c>
      <c r="D225" s="83" t="s">
        <v>4145</v>
      </c>
      <c r="E225" s="83" t="b">
        <v>0</v>
      </c>
      <c r="F225" s="83" t="b">
        <v>0</v>
      </c>
      <c r="G225" s="83" t="b">
        <v>0</v>
      </c>
    </row>
    <row r="226" spans="1:7" ht="15">
      <c r="A226" s="84" t="s">
        <v>3670</v>
      </c>
      <c r="B226" s="83">
        <v>4</v>
      </c>
      <c r="C226" s="110">
        <v>0.0018322021904843395</v>
      </c>
      <c r="D226" s="83" t="s">
        <v>4145</v>
      </c>
      <c r="E226" s="83" t="b">
        <v>1</v>
      </c>
      <c r="F226" s="83" t="b">
        <v>0</v>
      </c>
      <c r="G226" s="83" t="b">
        <v>0</v>
      </c>
    </row>
    <row r="227" spans="1:7" ht="15">
      <c r="A227" s="84" t="s">
        <v>3671</v>
      </c>
      <c r="B227" s="83">
        <v>4</v>
      </c>
      <c r="C227" s="110">
        <v>0.0018322021904843395</v>
      </c>
      <c r="D227" s="83" t="s">
        <v>4145</v>
      </c>
      <c r="E227" s="83" t="b">
        <v>0</v>
      </c>
      <c r="F227" s="83" t="b">
        <v>0</v>
      </c>
      <c r="G227" s="83" t="b">
        <v>0</v>
      </c>
    </row>
    <row r="228" spans="1:7" ht="15">
      <c r="A228" s="84" t="s">
        <v>3672</v>
      </c>
      <c r="B228" s="83">
        <v>4</v>
      </c>
      <c r="C228" s="110">
        <v>0.0018322021904843395</v>
      </c>
      <c r="D228" s="83" t="s">
        <v>4145</v>
      </c>
      <c r="E228" s="83" t="b">
        <v>0</v>
      </c>
      <c r="F228" s="83" t="b">
        <v>0</v>
      </c>
      <c r="G228" s="83" t="b">
        <v>0</v>
      </c>
    </row>
    <row r="229" spans="1:7" ht="15">
      <c r="A229" s="84" t="s">
        <v>3673</v>
      </c>
      <c r="B229" s="83">
        <v>4</v>
      </c>
      <c r="C229" s="110">
        <v>0.0018322021904843395</v>
      </c>
      <c r="D229" s="83" t="s">
        <v>4145</v>
      </c>
      <c r="E229" s="83" t="b">
        <v>0</v>
      </c>
      <c r="F229" s="83" t="b">
        <v>0</v>
      </c>
      <c r="G229" s="83" t="b">
        <v>0</v>
      </c>
    </row>
    <row r="230" spans="1:7" ht="15">
      <c r="A230" s="84" t="s">
        <v>3674</v>
      </c>
      <c r="B230" s="83">
        <v>4</v>
      </c>
      <c r="C230" s="110">
        <v>0.0018322021904843395</v>
      </c>
      <c r="D230" s="83" t="s">
        <v>4145</v>
      </c>
      <c r="E230" s="83" t="b">
        <v>0</v>
      </c>
      <c r="F230" s="83" t="b">
        <v>0</v>
      </c>
      <c r="G230" s="83" t="b">
        <v>0</v>
      </c>
    </row>
    <row r="231" spans="1:7" ht="15">
      <c r="A231" s="84" t="s">
        <v>3675</v>
      </c>
      <c r="B231" s="83">
        <v>4</v>
      </c>
      <c r="C231" s="110">
        <v>0.0018322021904843395</v>
      </c>
      <c r="D231" s="83" t="s">
        <v>4145</v>
      </c>
      <c r="E231" s="83" t="b">
        <v>0</v>
      </c>
      <c r="F231" s="83" t="b">
        <v>0</v>
      </c>
      <c r="G231" s="83" t="b">
        <v>0</v>
      </c>
    </row>
    <row r="232" spans="1:7" ht="15">
      <c r="A232" s="84" t="s">
        <v>3676</v>
      </c>
      <c r="B232" s="83">
        <v>4</v>
      </c>
      <c r="C232" s="110">
        <v>0.0018322021904843395</v>
      </c>
      <c r="D232" s="83" t="s">
        <v>4145</v>
      </c>
      <c r="E232" s="83" t="b">
        <v>0</v>
      </c>
      <c r="F232" s="83" t="b">
        <v>0</v>
      </c>
      <c r="G232" s="83" t="b">
        <v>0</v>
      </c>
    </row>
    <row r="233" spans="1:7" ht="15">
      <c r="A233" s="84" t="s">
        <v>3677</v>
      </c>
      <c r="B233" s="83">
        <v>4</v>
      </c>
      <c r="C233" s="110">
        <v>0.0018322021904843395</v>
      </c>
      <c r="D233" s="83" t="s">
        <v>4145</v>
      </c>
      <c r="E233" s="83" t="b">
        <v>1</v>
      </c>
      <c r="F233" s="83" t="b">
        <v>0</v>
      </c>
      <c r="G233" s="83" t="b">
        <v>0</v>
      </c>
    </row>
    <row r="234" spans="1:7" ht="15">
      <c r="A234" s="84" t="s">
        <v>3678</v>
      </c>
      <c r="B234" s="83">
        <v>4</v>
      </c>
      <c r="C234" s="110">
        <v>0.0018322021904843395</v>
      </c>
      <c r="D234" s="83" t="s">
        <v>4145</v>
      </c>
      <c r="E234" s="83" t="b">
        <v>0</v>
      </c>
      <c r="F234" s="83" t="b">
        <v>0</v>
      </c>
      <c r="G234" s="83" t="b">
        <v>0</v>
      </c>
    </row>
    <row r="235" spans="1:7" ht="15">
      <c r="A235" s="84" t="s">
        <v>3679</v>
      </c>
      <c r="B235" s="83">
        <v>4</v>
      </c>
      <c r="C235" s="110">
        <v>0.001931065681371224</v>
      </c>
      <c r="D235" s="83" t="s">
        <v>4145</v>
      </c>
      <c r="E235" s="83" t="b">
        <v>0</v>
      </c>
      <c r="F235" s="83" t="b">
        <v>0</v>
      </c>
      <c r="G235" s="83" t="b">
        <v>0</v>
      </c>
    </row>
    <row r="236" spans="1:7" ht="15">
      <c r="A236" s="84" t="s">
        <v>3680</v>
      </c>
      <c r="B236" s="83">
        <v>4</v>
      </c>
      <c r="C236" s="110">
        <v>0.0018322021904843395</v>
      </c>
      <c r="D236" s="83" t="s">
        <v>4145</v>
      </c>
      <c r="E236" s="83" t="b">
        <v>0</v>
      </c>
      <c r="F236" s="83" t="b">
        <v>0</v>
      </c>
      <c r="G236" s="83" t="b">
        <v>0</v>
      </c>
    </row>
    <row r="237" spans="1:7" ht="15">
      <c r="A237" s="84" t="s">
        <v>3681</v>
      </c>
      <c r="B237" s="83">
        <v>4</v>
      </c>
      <c r="C237" s="110">
        <v>0.0018322021904843395</v>
      </c>
      <c r="D237" s="83" t="s">
        <v>4145</v>
      </c>
      <c r="E237" s="83" t="b">
        <v>0</v>
      </c>
      <c r="F237" s="83" t="b">
        <v>0</v>
      </c>
      <c r="G237" s="83" t="b">
        <v>0</v>
      </c>
    </row>
    <row r="238" spans="1:7" ht="15">
      <c r="A238" s="84" t="s">
        <v>3682</v>
      </c>
      <c r="B238" s="83">
        <v>4</v>
      </c>
      <c r="C238" s="110">
        <v>0.0018322021904843395</v>
      </c>
      <c r="D238" s="83" t="s">
        <v>4145</v>
      </c>
      <c r="E238" s="83" t="b">
        <v>0</v>
      </c>
      <c r="F238" s="83" t="b">
        <v>0</v>
      </c>
      <c r="G238" s="83" t="b">
        <v>0</v>
      </c>
    </row>
    <row r="239" spans="1:7" ht="15">
      <c r="A239" s="84" t="s">
        <v>3683</v>
      </c>
      <c r="B239" s="83">
        <v>4</v>
      </c>
      <c r="C239" s="110">
        <v>0.0018322021904843395</v>
      </c>
      <c r="D239" s="83" t="s">
        <v>4145</v>
      </c>
      <c r="E239" s="83" t="b">
        <v>0</v>
      </c>
      <c r="F239" s="83" t="b">
        <v>0</v>
      </c>
      <c r="G239" s="83" t="b">
        <v>0</v>
      </c>
    </row>
    <row r="240" spans="1:7" ht="15">
      <c r="A240" s="84" t="s">
        <v>3684</v>
      </c>
      <c r="B240" s="83">
        <v>4</v>
      </c>
      <c r="C240" s="110">
        <v>0.0018322021904843395</v>
      </c>
      <c r="D240" s="83" t="s">
        <v>4145</v>
      </c>
      <c r="E240" s="83" t="b">
        <v>0</v>
      </c>
      <c r="F240" s="83" t="b">
        <v>0</v>
      </c>
      <c r="G240" s="83" t="b">
        <v>0</v>
      </c>
    </row>
    <row r="241" spans="1:7" ht="15">
      <c r="A241" s="84" t="s">
        <v>3685</v>
      </c>
      <c r="B241" s="83">
        <v>4</v>
      </c>
      <c r="C241" s="110">
        <v>0.0018322021904843395</v>
      </c>
      <c r="D241" s="83" t="s">
        <v>4145</v>
      </c>
      <c r="E241" s="83" t="b">
        <v>0</v>
      </c>
      <c r="F241" s="83" t="b">
        <v>0</v>
      </c>
      <c r="G241" s="83" t="b">
        <v>0</v>
      </c>
    </row>
    <row r="242" spans="1:7" ht="15">
      <c r="A242" s="84" t="s">
        <v>3686</v>
      </c>
      <c r="B242" s="83">
        <v>4</v>
      </c>
      <c r="C242" s="110">
        <v>0.001931065681371224</v>
      </c>
      <c r="D242" s="83" t="s">
        <v>4145</v>
      </c>
      <c r="E242" s="83" t="b">
        <v>0</v>
      </c>
      <c r="F242" s="83" t="b">
        <v>0</v>
      </c>
      <c r="G242" s="83" t="b">
        <v>0</v>
      </c>
    </row>
    <row r="243" spans="1:7" ht="15">
      <c r="A243" s="84" t="s">
        <v>3687</v>
      </c>
      <c r="B243" s="83">
        <v>4</v>
      </c>
      <c r="C243" s="110">
        <v>0.0018322021904843395</v>
      </c>
      <c r="D243" s="83" t="s">
        <v>4145</v>
      </c>
      <c r="E243" s="83" t="b">
        <v>0</v>
      </c>
      <c r="F243" s="83" t="b">
        <v>0</v>
      </c>
      <c r="G243" s="83" t="b">
        <v>0</v>
      </c>
    </row>
    <row r="244" spans="1:7" ht="15">
      <c r="A244" s="84" t="s">
        <v>3688</v>
      </c>
      <c r="B244" s="83">
        <v>4</v>
      </c>
      <c r="C244" s="110">
        <v>0.0018322021904843395</v>
      </c>
      <c r="D244" s="83" t="s">
        <v>4145</v>
      </c>
      <c r="E244" s="83" t="b">
        <v>0</v>
      </c>
      <c r="F244" s="83" t="b">
        <v>0</v>
      </c>
      <c r="G244" s="83" t="b">
        <v>0</v>
      </c>
    </row>
    <row r="245" spans="1:7" ht="15">
      <c r="A245" s="84" t="s">
        <v>3689</v>
      </c>
      <c r="B245" s="83">
        <v>4</v>
      </c>
      <c r="C245" s="110">
        <v>0.0018322021904843395</v>
      </c>
      <c r="D245" s="83" t="s">
        <v>4145</v>
      </c>
      <c r="E245" s="83" t="b">
        <v>0</v>
      </c>
      <c r="F245" s="83" t="b">
        <v>0</v>
      </c>
      <c r="G245" s="83" t="b">
        <v>0</v>
      </c>
    </row>
    <row r="246" spans="1:7" ht="15">
      <c r="A246" s="84" t="s">
        <v>3690</v>
      </c>
      <c r="B246" s="83">
        <v>4</v>
      </c>
      <c r="C246" s="110">
        <v>0.001931065681371224</v>
      </c>
      <c r="D246" s="83" t="s">
        <v>4145</v>
      </c>
      <c r="E246" s="83" t="b">
        <v>1</v>
      </c>
      <c r="F246" s="83" t="b">
        <v>0</v>
      </c>
      <c r="G246" s="83" t="b">
        <v>0</v>
      </c>
    </row>
    <row r="247" spans="1:7" ht="15">
      <c r="A247" s="84" t="s">
        <v>3691</v>
      </c>
      <c r="B247" s="83">
        <v>4</v>
      </c>
      <c r="C247" s="110">
        <v>0.0018322021904843395</v>
      </c>
      <c r="D247" s="83" t="s">
        <v>4145</v>
      </c>
      <c r="E247" s="83" t="b">
        <v>0</v>
      </c>
      <c r="F247" s="83" t="b">
        <v>0</v>
      </c>
      <c r="G247" s="83" t="b">
        <v>0</v>
      </c>
    </row>
    <row r="248" spans="1:7" ht="15">
      <c r="A248" s="84" t="s">
        <v>3692</v>
      </c>
      <c r="B248" s="83">
        <v>4</v>
      </c>
      <c r="C248" s="110">
        <v>0.0018322021904843395</v>
      </c>
      <c r="D248" s="83" t="s">
        <v>4145</v>
      </c>
      <c r="E248" s="83" t="b">
        <v>0</v>
      </c>
      <c r="F248" s="83" t="b">
        <v>0</v>
      </c>
      <c r="G248" s="83" t="b">
        <v>0</v>
      </c>
    </row>
    <row r="249" spans="1:7" ht="15">
      <c r="A249" s="84" t="s">
        <v>3693</v>
      </c>
      <c r="B249" s="83">
        <v>4</v>
      </c>
      <c r="C249" s="110">
        <v>0.0018322021904843395</v>
      </c>
      <c r="D249" s="83" t="s">
        <v>4145</v>
      </c>
      <c r="E249" s="83" t="b">
        <v>1</v>
      </c>
      <c r="F249" s="83" t="b">
        <v>0</v>
      </c>
      <c r="G249" s="83" t="b">
        <v>0</v>
      </c>
    </row>
    <row r="250" spans="1:7" ht="15">
      <c r="A250" s="84" t="s">
        <v>3694</v>
      </c>
      <c r="B250" s="83">
        <v>4</v>
      </c>
      <c r="C250" s="110">
        <v>0.0020704059457080635</v>
      </c>
      <c r="D250" s="83" t="s">
        <v>4145</v>
      </c>
      <c r="E250" s="83" t="b">
        <v>0</v>
      </c>
      <c r="F250" s="83" t="b">
        <v>0</v>
      </c>
      <c r="G250" s="83" t="b">
        <v>0</v>
      </c>
    </row>
    <row r="251" spans="1:7" ht="15">
      <c r="A251" s="84" t="s">
        <v>3695</v>
      </c>
      <c r="B251" s="83">
        <v>4</v>
      </c>
      <c r="C251" s="110">
        <v>0.0018322021904843395</v>
      </c>
      <c r="D251" s="83" t="s">
        <v>4145</v>
      </c>
      <c r="E251" s="83" t="b">
        <v>0</v>
      </c>
      <c r="F251" s="83" t="b">
        <v>0</v>
      </c>
      <c r="G251" s="83" t="b">
        <v>0</v>
      </c>
    </row>
    <row r="252" spans="1:7" ht="15">
      <c r="A252" s="84" t="s">
        <v>3696</v>
      </c>
      <c r="B252" s="83">
        <v>4</v>
      </c>
      <c r="C252" s="110">
        <v>0.0018322021904843395</v>
      </c>
      <c r="D252" s="83" t="s">
        <v>4145</v>
      </c>
      <c r="E252" s="83" t="b">
        <v>1</v>
      </c>
      <c r="F252" s="83" t="b">
        <v>0</v>
      </c>
      <c r="G252" s="83" t="b">
        <v>0</v>
      </c>
    </row>
    <row r="253" spans="1:7" ht="15">
      <c r="A253" s="84" t="s">
        <v>3697</v>
      </c>
      <c r="B253" s="83">
        <v>4</v>
      </c>
      <c r="C253" s="110">
        <v>0.0018322021904843395</v>
      </c>
      <c r="D253" s="83" t="s">
        <v>4145</v>
      </c>
      <c r="E253" s="83" t="b">
        <v>0</v>
      </c>
      <c r="F253" s="83" t="b">
        <v>0</v>
      </c>
      <c r="G253" s="83" t="b">
        <v>0</v>
      </c>
    </row>
    <row r="254" spans="1:7" ht="15">
      <c r="A254" s="84" t="s">
        <v>3698</v>
      </c>
      <c r="B254" s="83">
        <v>4</v>
      </c>
      <c r="C254" s="110">
        <v>0.0018322021904843395</v>
      </c>
      <c r="D254" s="83" t="s">
        <v>4145</v>
      </c>
      <c r="E254" s="83" t="b">
        <v>0</v>
      </c>
      <c r="F254" s="83" t="b">
        <v>0</v>
      </c>
      <c r="G254" s="83" t="b">
        <v>0</v>
      </c>
    </row>
    <row r="255" spans="1:7" ht="15">
      <c r="A255" s="84" t="s">
        <v>3699</v>
      </c>
      <c r="B255" s="83">
        <v>4</v>
      </c>
      <c r="C255" s="110">
        <v>0.0018322021904843395</v>
      </c>
      <c r="D255" s="83" t="s">
        <v>4145</v>
      </c>
      <c r="E255" s="83" t="b">
        <v>1</v>
      </c>
      <c r="F255" s="83" t="b">
        <v>0</v>
      </c>
      <c r="G255" s="83" t="b">
        <v>0</v>
      </c>
    </row>
    <row r="256" spans="1:7" ht="15">
      <c r="A256" s="84" t="s">
        <v>3700</v>
      </c>
      <c r="B256" s="83">
        <v>4</v>
      </c>
      <c r="C256" s="110">
        <v>0.0018322021904843395</v>
      </c>
      <c r="D256" s="83" t="s">
        <v>4145</v>
      </c>
      <c r="E256" s="83" t="b">
        <v>0</v>
      </c>
      <c r="F256" s="83" t="b">
        <v>0</v>
      </c>
      <c r="G256" s="83" t="b">
        <v>0</v>
      </c>
    </row>
    <row r="257" spans="1:7" ht="15">
      <c r="A257" s="84" t="s">
        <v>3701</v>
      </c>
      <c r="B257" s="83">
        <v>3</v>
      </c>
      <c r="C257" s="110">
        <v>0.0015528044592810477</v>
      </c>
      <c r="D257" s="83" t="s">
        <v>4145</v>
      </c>
      <c r="E257" s="83" t="b">
        <v>0</v>
      </c>
      <c r="F257" s="83" t="b">
        <v>0</v>
      </c>
      <c r="G257" s="83" t="b">
        <v>0</v>
      </c>
    </row>
    <row r="258" spans="1:7" ht="15">
      <c r="A258" s="84" t="s">
        <v>3702</v>
      </c>
      <c r="B258" s="83">
        <v>3</v>
      </c>
      <c r="C258" s="110">
        <v>0.0017314572756988408</v>
      </c>
      <c r="D258" s="83" t="s">
        <v>4145</v>
      </c>
      <c r="E258" s="83" t="b">
        <v>0</v>
      </c>
      <c r="F258" s="83" t="b">
        <v>0</v>
      </c>
      <c r="G258" s="83" t="b">
        <v>0</v>
      </c>
    </row>
    <row r="259" spans="1:7" ht="15">
      <c r="A259" s="84" t="s">
        <v>3703</v>
      </c>
      <c r="B259" s="83">
        <v>3</v>
      </c>
      <c r="C259" s="110">
        <v>0.001448299261028418</v>
      </c>
      <c r="D259" s="83" t="s">
        <v>4145</v>
      </c>
      <c r="E259" s="83" t="b">
        <v>1</v>
      </c>
      <c r="F259" s="83" t="b">
        <v>0</v>
      </c>
      <c r="G259" s="83" t="b">
        <v>0</v>
      </c>
    </row>
    <row r="260" spans="1:7" ht="15">
      <c r="A260" s="84" t="s">
        <v>3704</v>
      </c>
      <c r="B260" s="83">
        <v>3</v>
      </c>
      <c r="C260" s="110">
        <v>0.001448299261028418</v>
      </c>
      <c r="D260" s="83" t="s">
        <v>4145</v>
      </c>
      <c r="E260" s="83" t="b">
        <v>0</v>
      </c>
      <c r="F260" s="83" t="b">
        <v>0</v>
      </c>
      <c r="G260" s="83" t="b">
        <v>0</v>
      </c>
    </row>
    <row r="261" spans="1:7" ht="15">
      <c r="A261" s="84" t="s">
        <v>3705</v>
      </c>
      <c r="B261" s="83">
        <v>3</v>
      </c>
      <c r="C261" s="110">
        <v>0.001448299261028418</v>
      </c>
      <c r="D261" s="83" t="s">
        <v>4145</v>
      </c>
      <c r="E261" s="83" t="b">
        <v>0</v>
      </c>
      <c r="F261" s="83" t="b">
        <v>0</v>
      </c>
      <c r="G261" s="83" t="b">
        <v>0</v>
      </c>
    </row>
    <row r="262" spans="1:7" ht="15">
      <c r="A262" s="84" t="s">
        <v>3706</v>
      </c>
      <c r="B262" s="83">
        <v>3</v>
      </c>
      <c r="C262" s="110">
        <v>0.001448299261028418</v>
      </c>
      <c r="D262" s="83" t="s">
        <v>4145</v>
      </c>
      <c r="E262" s="83" t="b">
        <v>0</v>
      </c>
      <c r="F262" s="83" t="b">
        <v>0</v>
      </c>
      <c r="G262" s="83" t="b">
        <v>0</v>
      </c>
    </row>
    <row r="263" spans="1:7" ht="15">
      <c r="A263" s="84" t="s">
        <v>3707</v>
      </c>
      <c r="B263" s="83">
        <v>3</v>
      </c>
      <c r="C263" s="110">
        <v>0.001448299261028418</v>
      </c>
      <c r="D263" s="83" t="s">
        <v>4145</v>
      </c>
      <c r="E263" s="83" t="b">
        <v>0</v>
      </c>
      <c r="F263" s="83" t="b">
        <v>0</v>
      </c>
      <c r="G263" s="83" t="b">
        <v>0</v>
      </c>
    </row>
    <row r="264" spans="1:7" ht="15">
      <c r="A264" s="84" t="s">
        <v>3708</v>
      </c>
      <c r="B264" s="83">
        <v>3</v>
      </c>
      <c r="C264" s="110">
        <v>0.001448299261028418</v>
      </c>
      <c r="D264" s="83" t="s">
        <v>4145</v>
      </c>
      <c r="E264" s="83" t="b">
        <v>0</v>
      </c>
      <c r="F264" s="83" t="b">
        <v>0</v>
      </c>
      <c r="G264" s="83" t="b">
        <v>0</v>
      </c>
    </row>
    <row r="265" spans="1:7" ht="15">
      <c r="A265" s="84" t="s">
        <v>3709</v>
      </c>
      <c r="B265" s="83">
        <v>3</v>
      </c>
      <c r="C265" s="110">
        <v>0.001448299261028418</v>
      </c>
      <c r="D265" s="83" t="s">
        <v>4145</v>
      </c>
      <c r="E265" s="83" t="b">
        <v>0</v>
      </c>
      <c r="F265" s="83" t="b">
        <v>0</v>
      </c>
      <c r="G265" s="83" t="b">
        <v>0</v>
      </c>
    </row>
    <row r="266" spans="1:7" ht="15">
      <c r="A266" s="84" t="s">
        <v>3710</v>
      </c>
      <c r="B266" s="83">
        <v>3</v>
      </c>
      <c r="C266" s="110">
        <v>0.001448299261028418</v>
      </c>
      <c r="D266" s="83" t="s">
        <v>4145</v>
      </c>
      <c r="E266" s="83" t="b">
        <v>0</v>
      </c>
      <c r="F266" s="83" t="b">
        <v>0</v>
      </c>
      <c r="G266" s="83" t="b">
        <v>0</v>
      </c>
    </row>
    <row r="267" spans="1:7" ht="15">
      <c r="A267" s="84" t="s">
        <v>3711</v>
      </c>
      <c r="B267" s="83">
        <v>3</v>
      </c>
      <c r="C267" s="110">
        <v>0.001448299261028418</v>
      </c>
      <c r="D267" s="83" t="s">
        <v>4145</v>
      </c>
      <c r="E267" s="83" t="b">
        <v>0</v>
      </c>
      <c r="F267" s="83" t="b">
        <v>0</v>
      </c>
      <c r="G267" s="83" t="b">
        <v>0</v>
      </c>
    </row>
    <row r="268" spans="1:7" ht="15">
      <c r="A268" s="84" t="s">
        <v>3712</v>
      </c>
      <c r="B268" s="83">
        <v>3</v>
      </c>
      <c r="C268" s="110">
        <v>0.001448299261028418</v>
      </c>
      <c r="D268" s="83" t="s">
        <v>4145</v>
      </c>
      <c r="E268" s="83" t="b">
        <v>0</v>
      </c>
      <c r="F268" s="83" t="b">
        <v>0</v>
      </c>
      <c r="G268" s="83" t="b">
        <v>0</v>
      </c>
    </row>
    <row r="269" spans="1:7" ht="15">
      <c r="A269" s="84" t="s">
        <v>3713</v>
      </c>
      <c r="B269" s="83">
        <v>3</v>
      </c>
      <c r="C269" s="110">
        <v>0.0015528044592810477</v>
      </c>
      <c r="D269" s="83" t="s">
        <v>4145</v>
      </c>
      <c r="E269" s="83" t="b">
        <v>0</v>
      </c>
      <c r="F269" s="83" t="b">
        <v>0</v>
      </c>
      <c r="G269" s="83" t="b">
        <v>0</v>
      </c>
    </row>
    <row r="270" spans="1:7" ht="15">
      <c r="A270" s="84" t="s">
        <v>3714</v>
      </c>
      <c r="B270" s="83">
        <v>3</v>
      </c>
      <c r="C270" s="110">
        <v>0.001448299261028418</v>
      </c>
      <c r="D270" s="83" t="s">
        <v>4145</v>
      </c>
      <c r="E270" s="83" t="b">
        <v>1</v>
      </c>
      <c r="F270" s="83" t="b">
        <v>0</v>
      </c>
      <c r="G270" s="83" t="b">
        <v>0</v>
      </c>
    </row>
    <row r="271" spans="1:7" ht="15">
      <c r="A271" s="84" t="s">
        <v>3715</v>
      </c>
      <c r="B271" s="83">
        <v>3</v>
      </c>
      <c r="C271" s="110">
        <v>0.001448299261028418</v>
      </c>
      <c r="D271" s="83" t="s">
        <v>4145</v>
      </c>
      <c r="E271" s="83" t="b">
        <v>0</v>
      </c>
      <c r="F271" s="83" t="b">
        <v>1</v>
      </c>
      <c r="G271" s="83" t="b">
        <v>0</v>
      </c>
    </row>
    <row r="272" spans="1:7" ht="15">
      <c r="A272" s="84" t="s">
        <v>3716</v>
      </c>
      <c r="B272" s="83">
        <v>3</v>
      </c>
      <c r="C272" s="110">
        <v>0.001448299261028418</v>
      </c>
      <c r="D272" s="83" t="s">
        <v>4145</v>
      </c>
      <c r="E272" s="83" t="b">
        <v>0</v>
      </c>
      <c r="F272" s="83" t="b">
        <v>0</v>
      </c>
      <c r="G272" s="83" t="b">
        <v>0</v>
      </c>
    </row>
    <row r="273" spans="1:7" ht="15">
      <c r="A273" s="84" t="s">
        <v>3717</v>
      </c>
      <c r="B273" s="83">
        <v>3</v>
      </c>
      <c r="C273" s="110">
        <v>0.001448299261028418</v>
      </c>
      <c r="D273" s="83" t="s">
        <v>4145</v>
      </c>
      <c r="E273" s="83" t="b">
        <v>0</v>
      </c>
      <c r="F273" s="83" t="b">
        <v>0</v>
      </c>
      <c r="G273" s="83" t="b">
        <v>0</v>
      </c>
    </row>
    <row r="274" spans="1:7" ht="15">
      <c r="A274" s="84" t="s">
        <v>3718</v>
      </c>
      <c r="B274" s="83">
        <v>3</v>
      </c>
      <c r="C274" s="110">
        <v>0.001448299261028418</v>
      </c>
      <c r="D274" s="83" t="s">
        <v>4145</v>
      </c>
      <c r="E274" s="83" t="b">
        <v>0</v>
      </c>
      <c r="F274" s="83" t="b">
        <v>0</v>
      </c>
      <c r="G274" s="83" t="b">
        <v>0</v>
      </c>
    </row>
    <row r="275" spans="1:7" ht="15">
      <c r="A275" s="84" t="s">
        <v>3719</v>
      </c>
      <c r="B275" s="83">
        <v>3</v>
      </c>
      <c r="C275" s="110">
        <v>0.001448299261028418</v>
      </c>
      <c r="D275" s="83" t="s">
        <v>4145</v>
      </c>
      <c r="E275" s="83" t="b">
        <v>0</v>
      </c>
      <c r="F275" s="83" t="b">
        <v>0</v>
      </c>
      <c r="G275" s="83" t="b">
        <v>0</v>
      </c>
    </row>
    <row r="276" spans="1:7" ht="15">
      <c r="A276" s="84" t="s">
        <v>3720</v>
      </c>
      <c r="B276" s="83">
        <v>3</v>
      </c>
      <c r="C276" s="110">
        <v>0.001448299261028418</v>
      </c>
      <c r="D276" s="83" t="s">
        <v>4145</v>
      </c>
      <c r="E276" s="83" t="b">
        <v>0</v>
      </c>
      <c r="F276" s="83" t="b">
        <v>1</v>
      </c>
      <c r="G276" s="83" t="b">
        <v>0</v>
      </c>
    </row>
    <row r="277" spans="1:7" ht="15">
      <c r="A277" s="84" t="s">
        <v>3721</v>
      </c>
      <c r="B277" s="83">
        <v>3</v>
      </c>
      <c r="C277" s="110">
        <v>0.001448299261028418</v>
      </c>
      <c r="D277" s="83" t="s">
        <v>4145</v>
      </c>
      <c r="E277" s="83" t="b">
        <v>0</v>
      </c>
      <c r="F277" s="83" t="b">
        <v>0</v>
      </c>
      <c r="G277" s="83" t="b">
        <v>0</v>
      </c>
    </row>
    <row r="278" spans="1:7" ht="15">
      <c r="A278" s="84" t="s">
        <v>3722</v>
      </c>
      <c r="B278" s="83">
        <v>3</v>
      </c>
      <c r="C278" s="110">
        <v>0.001448299261028418</v>
      </c>
      <c r="D278" s="83" t="s">
        <v>4145</v>
      </c>
      <c r="E278" s="83" t="b">
        <v>0</v>
      </c>
      <c r="F278" s="83" t="b">
        <v>0</v>
      </c>
      <c r="G278" s="83" t="b">
        <v>0</v>
      </c>
    </row>
    <row r="279" spans="1:7" ht="15">
      <c r="A279" s="84" t="s">
        <v>3723</v>
      </c>
      <c r="B279" s="83">
        <v>3</v>
      </c>
      <c r="C279" s="110">
        <v>0.001448299261028418</v>
      </c>
      <c r="D279" s="83" t="s">
        <v>4145</v>
      </c>
      <c r="E279" s="83" t="b">
        <v>0</v>
      </c>
      <c r="F279" s="83" t="b">
        <v>0</v>
      </c>
      <c r="G279" s="83" t="b">
        <v>0</v>
      </c>
    </row>
    <row r="280" spans="1:7" ht="15">
      <c r="A280" s="84" t="s">
        <v>3724</v>
      </c>
      <c r="B280" s="83">
        <v>3</v>
      </c>
      <c r="C280" s="110">
        <v>0.001448299261028418</v>
      </c>
      <c r="D280" s="83" t="s">
        <v>4145</v>
      </c>
      <c r="E280" s="83" t="b">
        <v>1</v>
      </c>
      <c r="F280" s="83" t="b">
        <v>0</v>
      </c>
      <c r="G280" s="83" t="b">
        <v>0</v>
      </c>
    </row>
    <row r="281" spans="1:7" ht="15">
      <c r="A281" s="84" t="s">
        <v>3725</v>
      </c>
      <c r="B281" s="83">
        <v>3</v>
      </c>
      <c r="C281" s="110">
        <v>0.001448299261028418</v>
      </c>
      <c r="D281" s="83" t="s">
        <v>4145</v>
      </c>
      <c r="E281" s="83" t="b">
        <v>0</v>
      </c>
      <c r="F281" s="83" t="b">
        <v>0</v>
      </c>
      <c r="G281" s="83" t="b">
        <v>0</v>
      </c>
    </row>
    <row r="282" spans="1:7" ht="15">
      <c r="A282" s="84" t="s">
        <v>3726</v>
      </c>
      <c r="B282" s="83">
        <v>3</v>
      </c>
      <c r="C282" s="110">
        <v>0.001448299261028418</v>
      </c>
      <c r="D282" s="83" t="s">
        <v>4145</v>
      </c>
      <c r="E282" s="83" t="b">
        <v>0</v>
      </c>
      <c r="F282" s="83" t="b">
        <v>0</v>
      </c>
      <c r="G282" s="83" t="b">
        <v>0</v>
      </c>
    </row>
    <row r="283" spans="1:7" ht="15">
      <c r="A283" s="84" t="s">
        <v>3727</v>
      </c>
      <c r="B283" s="83">
        <v>3</v>
      </c>
      <c r="C283" s="110">
        <v>0.001448299261028418</v>
      </c>
      <c r="D283" s="83" t="s">
        <v>4145</v>
      </c>
      <c r="E283" s="83" t="b">
        <v>0</v>
      </c>
      <c r="F283" s="83" t="b">
        <v>0</v>
      </c>
      <c r="G283" s="83" t="b">
        <v>0</v>
      </c>
    </row>
    <row r="284" spans="1:7" ht="15">
      <c r="A284" s="84" t="s">
        <v>3728</v>
      </c>
      <c r="B284" s="83">
        <v>3</v>
      </c>
      <c r="C284" s="110">
        <v>0.001448299261028418</v>
      </c>
      <c r="D284" s="83" t="s">
        <v>4145</v>
      </c>
      <c r="E284" s="83" t="b">
        <v>0</v>
      </c>
      <c r="F284" s="83" t="b">
        <v>0</v>
      </c>
      <c r="G284" s="83" t="b">
        <v>0</v>
      </c>
    </row>
    <row r="285" spans="1:7" ht="15">
      <c r="A285" s="84" t="s">
        <v>3729</v>
      </c>
      <c r="B285" s="83">
        <v>3</v>
      </c>
      <c r="C285" s="110">
        <v>0.001448299261028418</v>
      </c>
      <c r="D285" s="83" t="s">
        <v>4145</v>
      </c>
      <c r="E285" s="83" t="b">
        <v>0</v>
      </c>
      <c r="F285" s="83" t="b">
        <v>0</v>
      </c>
      <c r="G285" s="83" t="b">
        <v>0</v>
      </c>
    </row>
    <row r="286" spans="1:7" ht="15">
      <c r="A286" s="84" t="s">
        <v>3730</v>
      </c>
      <c r="B286" s="83">
        <v>3</v>
      </c>
      <c r="C286" s="110">
        <v>0.0015528044592810477</v>
      </c>
      <c r="D286" s="83" t="s">
        <v>4145</v>
      </c>
      <c r="E286" s="83" t="b">
        <v>0</v>
      </c>
      <c r="F286" s="83" t="b">
        <v>0</v>
      </c>
      <c r="G286" s="83" t="b">
        <v>0</v>
      </c>
    </row>
    <row r="287" spans="1:7" ht="15">
      <c r="A287" s="84" t="s">
        <v>3731</v>
      </c>
      <c r="B287" s="83">
        <v>3</v>
      </c>
      <c r="C287" s="110">
        <v>0.001448299261028418</v>
      </c>
      <c r="D287" s="83" t="s">
        <v>4145</v>
      </c>
      <c r="E287" s="83" t="b">
        <v>0</v>
      </c>
      <c r="F287" s="83" t="b">
        <v>0</v>
      </c>
      <c r="G287" s="83" t="b">
        <v>0</v>
      </c>
    </row>
    <row r="288" spans="1:7" ht="15">
      <c r="A288" s="84" t="s">
        <v>3732</v>
      </c>
      <c r="B288" s="83">
        <v>3</v>
      </c>
      <c r="C288" s="110">
        <v>0.001448299261028418</v>
      </c>
      <c r="D288" s="83" t="s">
        <v>4145</v>
      </c>
      <c r="E288" s="83" t="b">
        <v>0</v>
      </c>
      <c r="F288" s="83" t="b">
        <v>0</v>
      </c>
      <c r="G288" s="83" t="b">
        <v>0</v>
      </c>
    </row>
    <row r="289" spans="1:7" ht="15">
      <c r="A289" s="84" t="s">
        <v>3733</v>
      </c>
      <c r="B289" s="83">
        <v>3</v>
      </c>
      <c r="C289" s="110">
        <v>0.001448299261028418</v>
      </c>
      <c r="D289" s="83" t="s">
        <v>4145</v>
      </c>
      <c r="E289" s="83" t="b">
        <v>0</v>
      </c>
      <c r="F289" s="83" t="b">
        <v>0</v>
      </c>
      <c r="G289" s="83" t="b">
        <v>0</v>
      </c>
    </row>
    <row r="290" spans="1:7" ht="15">
      <c r="A290" s="84" t="s">
        <v>3734</v>
      </c>
      <c r="B290" s="83">
        <v>3</v>
      </c>
      <c r="C290" s="110">
        <v>0.0017314572756988408</v>
      </c>
      <c r="D290" s="83" t="s">
        <v>4145</v>
      </c>
      <c r="E290" s="83" t="b">
        <v>0</v>
      </c>
      <c r="F290" s="83" t="b">
        <v>0</v>
      </c>
      <c r="G290" s="83" t="b">
        <v>0</v>
      </c>
    </row>
    <row r="291" spans="1:7" ht="15">
      <c r="A291" s="84" t="s">
        <v>3735</v>
      </c>
      <c r="B291" s="83">
        <v>3</v>
      </c>
      <c r="C291" s="110">
        <v>0.001448299261028418</v>
      </c>
      <c r="D291" s="83" t="s">
        <v>4145</v>
      </c>
      <c r="E291" s="83" t="b">
        <v>0</v>
      </c>
      <c r="F291" s="83" t="b">
        <v>0</v>
      </c>
      <c r="G291" s="83" t="b">
        <v>0</v>
      </c>
    </row>
    <row r="292" spans="1:7" ht="15">
      <c r="A292" s="84" t="s">
        <v>3736</v>
      </c>
      <c r="B292" s="83">
        <v>3</v>
      </c>
      <c r="C292" s="110">
        <v>0.001448299261028418</v>
      </c>
      <c r="D292" s="83" t="s">
        <v>4145</v>
      </c>
      <c r="E292" s="83" t="b">
        <v>0</v>
      </c>
      <c r="F292" s="83" t="b">
        <v>0</v>
      </c>
      <c r="G292" s="83" t="b">
        <v>0</v>
      </c>
    </row>
    <row r="293" spans="1:7" ht="15">
      <c r="A293" s="84" t="s">
        <v>3737</v>
      </c>
      <c r="B293" s="83">
        <v>3</v>
      </c>
      <c r="C293" s="110">
        <v>0.001448299261028418</v>
      </c>
      <c r="D293" s="83" t="s">
        <v>4145</v>
      </c>
      <c r="E293" s="83" t="b">
        <v>0</v>
      </c>
      <c r="F293" s="83" t="b">
        <v>0</v>
      </c>
      <c r="G293" s="83" t="b">
        <v>0</v>
      </c>
    </row>
    <row r="294" spans="1:7" ht="15">
      <c r="A294" s="84" t="s">
        <v>3738</v>
      </c>
      <c r="B294" s="83">
        <v>3</v>
      </c>
      <c r="C294" s="110">
        <v>0.001448299261028418</v>
      </c>
      <c r="D294" s="83" t="s">
        <v>4145</v>
      </c>
      <c r="E294" s="83" t="b">
        <v>0</v>
      </c>
      <c r="F294" s="83" t="b">
        <v>0</v>
      </c>
      <c r="G294" s="83" t="b">
        <v>0</v>
      </c>
    </row>
    <row r="295" spans="1:7" ht="15">
      <c r="A295" s="84" t="s">
        <v>3739</v>
      </c>
      <c r="B295" s="83">
        <v>3</v>
      </c>
      <c r="C295" s="110">
        <v>0.001448299261028418</v>
      </c>
      <c r="D295" s="83" t="s">
        <v>4145</v>
      </c>
      <c r="E295" s="83" t="b">
        <v>0</v>
      </c>
      <c r="F295" s="83" t="b">
        <v>0</v>
      </c>
      <c r="G295" s="83" t="b">
        <v>0</v>
      </c>
    </row>
    <row r="296" spans="1:7" ht="15">
      <c r="A296" s="84" t="s">
        <v>3740</v>
      </c>
      <c r="B296" s="83">
        <v>3</v>
      </c>
      <c r="C296" s="110">
        <v>0.001448299261028418</v>
      </c>
      <c r="D296" s="83" t="s">
        <v>4145</v>
      </c>
      <c r="E296" s="83" t="b">
        <v>0</v>
      </c>
      <c r="F296" s="83" t="b">
        <v>0</v>
      </c>
      <c r="G296" s="83" t="b">
        <v>0</v>
      </c>
    </row>
    <row r="297" spans="1:7" ht="15">
      <c r="A297" s="84" t="s">
        <v>3741</v>
      </c>
      <c r="B297" s="83">
        <v>3</v>
      </c>
      <c r="C297" s="110">
        <v>0.001448299261028418</v>
      </c>
      <c r="D297" s="83" t="s">
        <v>4145</v>
      </c>
      <c r="E297" s="83" t="b">
        <v>0</v>
      </c>
      <c r="F297" s="83" t="b">
        <v>0</v>
      </c>
      <c r="G297" s="83" t="b">
        <v>0</v>
      </c>
    </row>
    <row r="298" spans="1:7" ht="15">
      <c r="A298" s="84" t="s">
        <v>3742</v>
      </c>
      <c r="B298" s="83">
        <v>3</v>
      </c>
      <c r="C298" s="110">
        <v>0.001448299261028418</v>
      </c>
      <c r="D298" s="83" t="s">
        <v>4145</v>
      </c>
      <c r="E298" s="83" t="b">
        <v>0</v>
      </c>
      <c r="F298" s="83" t="b">
        <v>0</v>
      </c>
      <c r="G298" s="83" t="b">
        <v>0</v>
      </c>
    </row>
    <row r="299" spans="1:7" ht="15">
      <c r="A299" s="84" t="s">
        <v>3743</v>
      </c>
      <c r="B299" s="83">
        <v>3</v>
      </c>
      <c r="C299" s="110">
        <v>0.001448299261028418</v>
      </c>
      <c r="D299" s="83" t="s">
        <v>4145</v>
      </c>
      <c r="E299" s="83" t="b">
        <v>0</v>
      </c>
      <c r="F299" s="83" t="b">
        <v>0</v>
      </c>
      <c r="G299" s="83" t="b">
        <v>0</v>
      </c>
    </row>
    <row r="300" spans="1:7" ht="15">
      <c r="A300" s="84" t="s">
        <v>3744</v>
      </c>
      <c r="B300" s="83">
        <v>3</v>
      </c>
      <c r="C300" s="110">
        <v>0.001448299261028418</v>
      </c>
      <c r="D300" s="83" t="s">
        <v>4145</v>
      </c>
      <c r="E300" s="83" t="b">
        <v>0</v>
      </c>
      <c r="F300" s="83" t="b">
        <v>0</v>
      </c>
      <c r="G300" s="83" t="b">
        <v>0</v>
      </c>
    </row>
    <row r="301" spans="1:7" ht="15">
      <c r="A301" s="84" t="s">
        <v>3745</v>
      </c>
      <c r="B301" s="83">
        <v>3</v>
      </c>
      <c r="C301" s="110">
        <v>0.001448299261028418</v>
      </c>
      <c r="D301" s="83" t="s">
        <v>4145</v>
      </c>
      <c r="E301" s="83" t="b">
        <v>0</v>
      </c>
      <c r="F301" s="83" t="b">
        <v>0</v>
      </c>
      <c r="G301" s="83" t="b">
        <v>0</v>
      </c>
    </row>
    <row r="302" spans="1:7" ht="15">
      <c r="A302" s="84" t="s">
        <v>3746</v>
      </c>
      <c r="B302" s="83">
        <v>3</v>
      </c>
      <c r="C302" s="110">
        <v>0.001448299261028418</v>
      </c>
      <c r="D302" s="83" t="s">
        <v>4145</v>
      </c>
      <c r="E302" s="83" t="b">
        <v>0</v>
      </c>
      <c r="F302" s="83" t="b">
        <v>0</v>
      </c>
      <c r="G302" s="83" t="b">
        <v>0</v>
      </c>
    </row>
    <row r="303" spans="1:7" ht="15">
      <c r="A303" s="84" t="s">
        <v>3747</v>
      </c>
      <c r="B303" s="83">
        <v>3</v>
      </c>
      <c r="C303" s="110">
        <v>0.001448299261028418</v>
      </c>
      <c r="D303" s="83" t="s">
        <v>4145</v>
      </c>
      <c r="E303" s="83" t="b">
        <v>0</v>
      </c>
      <c r="F303" s="83" t="b">
        <v>0</v>
      </c>
      <c r="G303" s="83" t="b">
        <v>0</v>
      </c>
    </row>
    <row r="304" spans="1:7" ht="15">
      <c r="A304" s="84" t="s">
        <v>3748</v>
      </c>
      <c r="B304" s="83">
        <v>3</v>
      </c>
      <c r="C304" s="110">
        <v>0.001448299261028418</v>
      </c>
      <c r="D304" s="83" t="s">
        <v>4145</v>
      </c>
      <c r="E304" s="83" t="b">
        <v>0</v>
      </c>
      <c r="F304" s="83" t="b">
        <v>0</v>
      </c>
      <c r="G304" s="83" t="b">
        <v>0</v>
      </c>
    </row>
    <row r="305" spans="1:7" ht="15">
      <c r="A305" s="84" t="s">
        <v>3749</v>
      </c>
      <c r="B305" s="83">
        <v>3</v>
      </c>
      <c r="C305" s="110">
        <v>0.001448299261028418</v>
      </c>
      <c r="D305" s="83" t="s">
        <v>4145</v>
      </c>
      <c r="E305" s="83" t="b">
        <v>0</v>
      </c>
      <c r="F305" s="83" t="b">
        <v>0</v>
      </c>
      <c r="G305" s="83" t="b">
        <v>0</v>
      </c>
    </row>
    <row r="306" spans="1:7" ht="15">
      <c r="A306" s="84" t="s">
        <v>3750</v>
      </c>
      <c r="B306" s="83">
        <v>3</v>
      </c>
      <c r="C306" s="110">
        <v>0.001448299261028418</v>
      </c>
      <c r="D306" s="83" t="s">
        <v>4145</v>
      </c>
      <c r="E306" s="83" t="b">
        <v>0</v>
      </c>
      <c r="F306" s="83" t="b">
        <v>0</v>
      </c>
      <c r="G306" s="83" t="b">
        <v>0</v>
      </c>
    </row>
    <row r="307" spans="1:7" ht="15">
      <c r="A307" s="84" t="s">
        <v>3751</v>
      </c>
      <c r="B307" s="83">
        <v>3</v>
      </c>
      <c r="C307" s="110">
        <v>0.001448299261028418</v>
      </c>
      <c r="D307" s="83" t="s">
        <v>4145</v>
      </c>
      <c r="E307" s="83" t="b">
        <v>1</v>
      </c>
      <c r="F307" s="83" t="b">
        <v>0</v>
      </c>
      <c r="G307" s="83" t="b">
        <v>0</v>
      </c>
    </row>
    <row r="308" spans="1:7" ht="15">
      <c r="A308" s="84" t="s">
        <v>3752</v>
      </c>
      <c r="B308" s="83">
        <v>3</v>
      </c>
      <c r="C308" s="110">
        <v>0.001448299261028418</v>
      </c>
      <c r="D308" s="83" t="s">
        <v>4145</v>
      </c>
      <c r="E308" s="83" t="b">
        <v>0</v>
      </c>
      <c r="F308" s="83" t="b">
        <v>0</v>
      </c>
      <c r="G308" s="83" t="b">
        <v>0</v>
      </c>
    </row>
    <row r="309" spans="1:7" ht="15">
      <c r="A309" s="84" t="s">
        <v>3753</v>
      </c>
      <c r="B309" s="83">
        <v>3</v>
      </c>
      <c r="C309" s="110">
        <v>0.001448299261028418</v>
      </c>
      <c r="D309" s="83" t="s">
        <v>4145</v>
      </c>
      <c r="E309" s="83" t="b">
        <v>0</v>
      </c>
      <c r="F309" s="83" t="b">
        <v>0</v>
      </c>
      <c r="G309" s="83" t="b">
        <v>0</v>
      </c>
    </row>
    <row r="310" spans="1:7" ht="15">
      <c r="A310" s="84" t="s">
        <v>3754</v>
      </c>
      <c r="B310" s="83">
        <v>3</v>
      </c>
      <c r="C310" s="110">
        <v>0.001448299261028418</v>
      </c>
      <c r="D310" s="83" t="s">
        <v>4145</v>
      </c>
      <c r="E310" s="83" t="b">
        <v>0</v>
      </c>
      <c r="F310" s="83" t="b">
        <v>0</v>
      </c>
      <c r="G310" s="83" t="b">
        <v>0</v>
      </c>
    </row>
    <row r="311" spans="1:7" ht="15">
      <c r="A311" s="84" t="s">
        <v>3755</v>
      </c>
      <c r="B311" s="83">
        <v>3</v>
      </c>
      <c r="C311" s="110">
        <v>0.001448299261028418</v>
      </c>
      <c r="D311" s="83" t="s">
        <v>4145</v>
      </c>
      <c r="E311" s="83" t="b">
        <v>0</v>
      </c>
      <c r="F311" s="83" t="b">
        <v>0</v>
      </c>
      <c r="G311" s="83" t="b">
        <v>0</v>
      </c>
    </row>
    <row r="312" spans="1:7" ht="15">
      <c r="A312" s="84" t="s">
        <v>3756</v>
      </c>
      <c r="B312" s="83">
        <v>3</v>
      </c>
      <c r="C312" s="110">
        <v>0.001448299261028418</v>
      </c>
      <c r="D312" s="83" t="s">
        <v>4145</v>
      </c>
      <c r="E312" s="83" t="b">
        <v>0</v>
      </c>
      <c r="F312" s="83" t="b">
        <v>0</v>
      </c>
      <c r="G312" s="83" t="b">
        <v>0</v>
      </c>
    </row>
    <row r="313" spans="1:7" ht="15">
      <c r="A313" s="84" t="s">
        <v>3757</v>
      </c>
      <c r="B313" s="83">
        <v>3</v>
      </c>
      <c r="C313" s="110">
        <v>0.001448299261028418</v>
      </c>
      <c r="D313" s="83" t="s">
        <v>4145</v>
      </c>
      <c r="E313" s="83" t="b">
        <v>1</v>
      </c>
      <c r="F313" s="83" t="b">
        <v>0</v>
      </c>
      <c r="G313" s="83" t="b">
        <v>0</v>
      </c>
    </row>
    <row r="314" spans="1:7" ht="15">
      <c r="A314" s="84" t="s">
        <v>3758</v>
      </c>
      <c r="B314" s="83">
        <v>3</v>
      </c>
      <c r="C314" s="110">
        <v>0.001448299261028418</v>
      </c>
      <c r="D314" s="83" t="s">
        <v>4145</v>
      </c>
      <c r="E314" s="83" t="b">
        <v>0</v>
      </c>
      <c r="F314" s="83" t="b">
        <v>0</v>
      </c>
      <c r="G314" s="83" t="b">
        <v>0</v>
      </c>
    </row>
    <row r="315" spans="1:7" ht="15">
      <c r="A315" s="84" t="s">
        <v>3759</v>
      </c>
      <c r="B315" s="83">
        <v>3</v>
      </c>
      <c r="C315" s="110">
        <v>0.001448299261028418</v>
      </c>
      <c r="D315" s="83" t="s">
        <v>4145</v>
      </c>
      <c r="E315" s="83" t="b">
        <v>0</v>
      </c>
      <c r="F315" s="83" t="b">
        <v>1</v>
      </c>
      <c r="G315" s="83" t="b">
        <v>0</v>
      </c>
    </row>
    <row r="316" spans="1:7" ht="15">
      <c r="A316" s="84" t="s">
        <v>3760</v>
      </c>
      <c r="B316" s="83">
        <v>3</v>
      </c>
      <c r="C316" s="110">
        <v>0.001448299261028418</v>
      </c>
      <c r="D316" s="83" t="s">
        <v>4145</v>
      </c>
      <c r="E316" s="83" t="b">
        <v>0</v>
      </c>
      <c r="F316" s="83" t="b">
        <v>0</v>
      </c>
      <c r="G316" s="83" t="b">
        <v>0</v>
      </c>
    </row>
    <row r="317" spans="1:7" ht="15">
      <c r="A317" s="84" t="s">
        <v>3761</v>
      </c>
      <c r="B317" s="83">
        <v>3</v>
      </c>
      <c r="C317" s="110">
        <v>0.001448299261028418</v>
      </c>
      <c r="D317" s="83" t="s">
        <v>4145</v>
      </c>
      <c r="E317" s="83" t="b">
        <v>0</v>
      </c>
      <c r="F317" s="83" t="b">
        <v>1</v>
      </c>
      <c r="G317" s="83" t="b">
        <v>0</v>
      </c>
    </row>
    <row r="318" spans="1:7" ht="15">
      <c r="A318" s="84" t="s">
        <v>3762</v>
      </c>
      <c r="B318" s="83">
        <v>3</v>
      </c>
      <c r="C318" s="110">
        <v>0.001448299261028418</v>
      </c>
      <c r="D318" s="83" t="s">
        <v>4145</v>
      </c>
      <c r="E318" s="83" t="b">
        <v>0</v>
      </c>
      <c r="F318" s="83" t="b">
        <v>0</v>
      </c>
      <c r="G318" s="83" t="b">
        <v>0</v>
      </c>
    </row>
    <row r="319" spans="1:7" ht="15">
      <c r="A319" s="84" t="s">
        <v>3763</v>
      </c>
      <c r="B319" s="83">
        <v>3</v>
      </c>
      <c r="C319" s="110">
        <v>0.001448299261028418</v>
      </c>
      <c r="D319" s="83" t="s">
        <v>4145</v>
      </c>
      <c r="E319" s="83" t="b">
        <v>0</v>
      </c>
      <c r="F319" s="83" t="b">
        <v>0</v>
      </c>
      <c r="G319" s="83" t="b">
        <v>0</v>
      </c>
    </row>
    <row r="320" spans="1:7" ht="15">
      <c r="A320" s="84" t="s">
        <v>3764</v>
      </c>
      <c r="B320" s="83">
        <v>3</v>
      </c>
      <c r="C320" s="110">
        <v>0.001448299261028418</v>
      </c>
      <c r="D320" s="83" t="s">
        <v>4145</v>
      </c>
      <c r="E320" s="83" t="b">
        <v>0</v>
      </c>
      <c r="F320" s="83" t="b">
        <v>1</v>
      </c>
      <c r="G320" s="83" t="b">
        <v>0</v>
      </c>
    </row>
    <row r="321" spans="1:7" ht="15">
      <c r="A321" s="84" t="s">
        <v>3765</v>
      </c>
      <c r="B321" s="83">
        <v>3</v>
      </c>
      <c r="C321" s="110">
        <v>0.001448299261028418</v>
      </c>
      <c r="D321" s="83" t="s">
        <v>4145</v>
      </c>
      <c r="E321" s="83" t="b">
        <v>0</v>
      </c>
      <c r="F321" s="83" t="b">
        <v>0</v>
      </c>
      <c r="G321" s="83" t="b">
        <v>0</v>
      </c>
    </row>
    <row r="322" spans="1:7" ht="15">
      <c r="A322" s="84" t="s">
        <v>3766</v>
      </c>
      <c r="B322" s="83">
        <v>3</v>
      </c>
      <c r="C322" s="110">
        <v>0.001448299261028418</v>
      </c>
      <c r="D322" s="83" t="s">
        <v>4145</v>
      </c>
      <c r="E322" s="83" t="b">
        <v>0</v>
      </c>
      <c r="F322" s="83" t="b">
        <v>0</v>
      </c>
      <c r="G322" s="83" t="b">
        <v>0</v>
      </c>
    </row>
    <row r="323" spans="1:7" ht="15">
      <c r="A323" s="84" t="s">
        <v>3767</v>
      </c>
      <c r="B323" s="83">
        <v>3</v>
      </c>
      <c r="C323" s="110">
        <v>0.001448299261028418</v>
      </c>
      <c r="D323" s="83" t="s">
        <v>4145</v>
      </c>
      <c r="E323" s="83" t="b">
        <v>0</v>
      </c>
      <c r="F323" s="83" t="b">
        <v>0</v>
      </c>
      <c r="G323" s="83" t="b">
        <v>0</v>
      </c>
    </row>
    <row r="324" spans="1:7" ht="15">
      <c r="A324" s="84" t="s">
        <v>3768</v>
      </c>
      <c r="B324" s="83">
        <v>3</v>
      </c>
      <c r="C324" s="110">
        <v>0.001448299261028418</v>
      </c>
      <c r="D324" s="83" t="s">
        <v>4145</v>
      </c>
      <c r="E324" s="83" t="b">
        <v>0</v>
      </c>
      <c r="F324" s="83" t="b">
        <v>0</v>
      </c>
      <c r="G324" s="83" t="b">
        <v>0</v>
      </c>
    </row>
    <row r="325" spans="1:7" ht="15">
      <c r="A325" s="84" t="s">
        <v>3769</v>
      </c>
      <c r="B325" s="83">
        <v>3</v>
      </c>
      <c r="C325" s="110">
        <v>0.001448299261028418</v>
      </c>
      <c r="D325" s="83" t="s">
        <v>4145</v>
      </c>
      <c r="E325" s="83" t="b">
        <v>0</v>
      </c>
      <c r="F325" s="83" t="b">
        <v>0</v>
      </c>
      <c r="G325" s="83" t="b">
        <v>0</v>
      </c>
    </row>
    <row r="326" spans="1:7" ht="15">
      <c r="A326" s="84" t="s">
        <v>3770</v>
      </c>
      <c r="B326" s="83">
        <v>3</v>
      </c>
      <c r="C326" s="110">
        <v>0.001448299261028418</v>
      </c>
      <c r="D326" s="83" t="s">
        <v>4145</v>
      </c>
      <c r="E326" s="83" t="b">
        <v>0</v>
      </c>
      <c r="F326" s="83" t="b">
        <v>0</v>
      </c>
      <c r="G326" s="83" t="b">
        <v>0</v>
      </c>
    </row>
    <row r="327" spans="1:7" ht="15">
      <c r="A327" s="84" t="s">
        <v>3771</v>
      </c>
      <c r="B327" s="83">
        <v>3</v>
      </c>
      <c r="C327" s="110">
        <v>0.001448299261028418</v>
      </c>
      <c r="D327" s="83" t="s">
        <v>4145</v>
      </c>
      <c r="E327" s="83" t="b">
        <v>0</v>
      </c>
      <c r="F327" s="83" t="b">
        <v>1</v>
      </c>
      <c r="G327" s="83" t="b">
        <v>0</v>
      </c>
    </row>
    <row r="328" spans="1:7" ht="15">
      <c r="A328" s="84" t="s">
        <v>3772</v>
      </c>
      <c r="B328" s="83">
        <v>3</v>
      </c>
      <c r="C328" s="110">
        <v>0.001448299261028418</v>
      </c>
      <c r="D328" s="83" t="s">
        <v>4145</v>
      </c>
      <c r="E328" s="83" t="b">
        <v>0</v>
      </c>
      <c r="F328" s="83" t="b">
        <v>0</v>
      </c>
      <c r="G328" s="83" t="b">
        <v>0</v>
      </c>
    </row>
    <row r="329" spans="1:7" ht="15">
      <c r="A329" s="84" t="s">
        <v>3773</v>
      </c>
      <c r="B329" s="83">
        <v>3</v>
      </c>
      <c r="C329" s="110">
        <v>0.0017314572756988408</v>
      </c>
      <c r="D329" s="83" t="s">
        <v>4145</v>
      </c>
      <c r="E329" s="83" t="b">
        <v>0</v>
      </c>
      <c r="F329" s="83" t="b">
        <v>0</v>
      </c>
      <c r="G329" s="83" t="b">
        <v>0</v>
      </c>
    </row>
    <row r="330" spans="1:7" ht="15">
      <c r="A330" s="84" t="s">
        <v>3774</v>
      </c>
      <c r="B330" s="83">
        <v>3</v>
      </c>
      <c r="C330" s="110">
        <v>0.001448299261028418</v>
      </c>
      <c r="D330" s="83" t="s">
        <v>4145</v>
      </c>
      <c r="E330" s="83" t="b">
        <v>0</v>
      </c>
      <c r="F330" s="83" t="b">
        <v>0</v>
      </c>
      <c r="G330" s="83" t="b">
        <v>0</v>
      </c>
    </row>
    <row r="331" spans="1:7" ht="15">
      <c r="A331" s="84" t="s">
        <v>3775</v>
      </c>
      <c r="B331" s="83">
        <v>3</v>
      </c>
      <c r="C331" s="110">
        <v>0.001448299261028418</v>
      </c>
      <c r="D331" s="83" t="s">
        <v>4145</v>
      </c>
      <c r="E331" s="83" t="b">
        <v>0</v>
      </c>
      <c r="F331" s="83" t="b">
        <v>0</v>
      </c>
      <c r="G331" s="83" t="b">
        <v>0</v>
      </c>
    </row>
    <row r="332" spans="1:7" ht="15">
      <c r="A332" s="84" t="s">
        <v>3776</v>
      </c>
      <c r="B332" s="83">
        <v>3</v>
      </c>
      <c r="C332" s="110">
        <v>0.001448299261028418</v>
      </c>
      <c r="D332" s="83" t="s">
        <v>4145</v>
      </c>
      <c r="E332" s="83" t="b">
        <v>0</v>
      </c>
      <c r="F332" s="83" t="b">
        <v>1</v>
      </c>
      <c r="G332" s="83" t="b">
        <v>0</v>
      </c>
    </row>
    <row r="333" spans="1:7" ht="15">
      <c r="A333" s="84" t="s">
        <v>3777</v>
      </c>
      <c r="B333" s="83">
        <v>3</v>
      </c>
      <c r="C333" s="110">
        <v>0.001448299261028418</v>
      </c>
      <c r="D333" s="83" t="s">
        <v>4145</v>
      </c>
      <c r="E333" s="83" t="b">
        <v>0</v>
      </c>
      <c r="F333" s="83" t="b">
        <v>0</v>
      </c>
      <c r="G333" s="83" t="b">
        <v>0</v>
      </c>
    </row>
    <row r="334" spans="1:7" ht="15">
      <c r="A334" s="84" t="s">
        <v>3778</v>
      </c>
      <c r="B334" s="83">
        <v>3</v>
      </c>
      <c r="C334" s="110">
        <v>0.001448299261028418</v>
      </c>
      <c r="D334" s="83" t="s">
        <v>4145</v>
      </c>
      <c r="E334" s="83" t="b">
        <v>0</v>
      </c>
      <c r="F334" s="83" t="b">
        <v>0</v>
      </c>
      <c r="G334" s="83" t="b">
        <v>0</v>
      </c>
    </row>
    <row r="335" spans="1:7" ht="15">
      <c r="A335" s="84" t="s">
        <v>3779</v>
      </c>
      <c r="B335" s="83">
        <v>3</v>
      </c>
      <c r="C335" s="110">
        <v>0.001448299261028418</v>
      </c>
      <c r="D335" s="83" t="s">
        <v>4145</v>
      </c>
      <c r="E335" s="83" t="b">
        <v>0</v>
      </c>
      <c r="F335" s="83" t="b">
        <v>0</v>
      </c>
      <c r="G335" s="83" t="b">
        <v>0</v>
      </c>
    </row>
    <row r="336" spans="1:7" ht="15">
      <c r="A336" s="84" t="s">
        <v>3780</v>
      </c>
      <c r="B336" s="83">
        <v>3</v>
      </c>
      <c r="C336" s="110">
        <v>0.001448299261028418</v>
      </c>
      <c r="D336" s="83" t="s">
        <v>4145</v>
      </c>
      <c r="E336" s="83" t="b">
        <v>0</v>
      </c>
      <c r="F336" s="83" t="b">
        <v>0</v>
      </c>
      <c r="G336" s="83" t="b">
        <v>0</v>
      </c>
    </row>
    <row r="337" spans="1:7" ht="15">
      <c r="A337" s="84" t="s">
        <v>3781</v>
      </c>
      <c r="B337" s="83">
        <v>3</v>
      </c>
      <c r="C337" s="110">
        <v>0.001448299261028418</v>
      </c>
      <c r="D337" s="83" t="s">
        <v>4145</v>
      </c>
      <c r="E337" s="83" t="b">
        <v>0</v>
      </c>
      <c r="F337" s="83" t="b">
        <v>0</v>
      </c>
      <c r="G337" s="83" t="b">
        <v>0</v>
      </c>
    </row>
    <row r="338" spans="1:7" ht="15">
      <c r="A338" s="84" t="s">
        <v>3782</v>
      </c>
      <c r="B338" s="83">
        <v>3</v>
      </c>
      <c r="C338" s="110">
        <v>0.001448299261028418</v>
      </c>
      <c r="D338" s="83" t="s">
        <v>4145</v>
      </c>
      <c r="E338" s="83" t="b">
        <v>0</v>
      </c>
      <c r="F338" s="83" t="b">
        <v>0</v>
      </c>
      <c r="G338" s="83" t="b">
        <v>0</v>
      </c>
    </row>
    <row r="339" spans="1:7" ht="15">
      <c r="A339" s="84" t="s">
        <v>3783</v>
      </c>
      <c r="B339" s="83">
        <v>3</v>
      </c>
      <c r="C339" s="110">
        <v>0.001448299261028418</v>
      </c>
      <c r="D339" s="83" t="s">
        <v>4145</v>
      </c>
      <c r="E339" s="83" t="b">
        <v>0</v>
      </c>
      <c r="F339" s="83" t="b">
        <v>0</v>
      </c>
      <c r="G339" s="83" t="b">
        <v>0</v>
      </c>
    </row>
    <row r="340" spans="1:7" ht="15">
      <c r="A340" s="84" t="s">
        <v>3784</v>
      </c>
      <c r="B340" s="83">
        <v>3</v>
      </c>
      <c r="C340" s="110">
        <v>0.0015528044592810477</v>
      </c>
      <c r="D340" s="83" t="s">
        <v>4145</v>
      </c>
      <c r="E340" s="83" t="b">
        <v>0</v>
      </c>
      <c r="F340" s="83" t="b">
        <v>0</v>
      </c>
      <c r="G340" s="83" t="b">
        <v>0</v>
      </c>
    </row>
    <row r="341" spans="1:7" ht="15">
      <c r="A341" s="84" t="s">
        <v>3785</v>
      </c>
      <c r="B341" s="83">
        <v>3</v>
      </c>
      <c r="C341" s="110">
        <v>0.001448299261028418</v>
      </c>
      <c r="D341" s="83" t="s">
        <v>4145</v>
      </c>
      <c r="E341" s="83" t="b">
        <v>0</v>
      </c>
      <c r="F341" s="83" t="b">
        <v>0</v>
      </c>
      <c r="G341" s="83" t="b">
        <v>0</v>
      </c>
    </row>
    <row r="342" spans="1:7" ht="15">
      <c r="A342" s="84" t="s">
        <v>3786</v>
      </c>
      <c r="B342" s="83">
        <v>3</v>
      </c>
      <c r="C342" s="110">
        <v>0.001448299261028418</v>
      </c>
      <c r="D342" s="83" t="s">
        <v>4145</v>
      </c>
      <c r="E342" s="83" t="b">
        <v>0</v>
      </c>
      <c r="F342" s="83" t="b">
        <v>0</v>
      </c>
      <c r="G342" s="83" t="b">
        <v>0</v>
      </c>
    </row>
    <row r="343" spans="1:7" ht="15">
      <c r="A343" s="84" t="s">
        <v>3787</v>
      </c>
      <c r="B343" s="83">
        <v>3</v>
      </c>
      <c r="C343" s="110">
        <v>0.001448299261028418</v>
      </c>
      <c r="D343" s="83" t="s">
        <v>4145</v>
      </c>
      <c r="E343" s="83" t="b">
        <v>0</v>
      </c>
      <c r="F343" s="83" t="b">
        <v>0</v>
      </c>
      <c r="G343" s="83" t="b">
        <v>0</v>
      </c>
    </row>
    <row r="344" spans="1:7" ht="15">
      <c r="A344" s="84" t="s">
        <v>3788</v>
      </c>
      <c r="B344" s="83">
        <v>3</v>
      </c>
      <c r="C344" s="110">
        <v>0.001448299261028418</v>
      </c>
      <c r="D344" s="83" t="s">
        <v>4145</v>
      </c>
      <c r="E344" s="83" t="b">
        <v>0</v>
      </c>
      <c r="F344" s="83" t="b">
        <v>0</v>
      </c>
      <c r="G344" s="83" t="b">
        <v>0</v>
      </c>
    </row>
    <row r="345" spans="1:7" ht="15">
      <c r="A345" s="84" t="s">
        <v>3789</v>
      </c>
      <c r="B345" s="83">
        <v>3</v>
      </c>
      <c r="C345" s="110">
        <v>0.001448299261028418</v>
      </c>
      <c r="D345" s="83" t="s">
        <v>4145</v>
      </c>
      <c r="E345" s="83" t="b">
        <v>0</v>
      </c>
      <c r="F345" s="83" t="b">
        <v>0</v>
      </c>
      <c r="G345" s="83" t="b">
        <v>0</v>
      </c>
    </row>
    <row r="346" spans="1:7" ht="15">
      <c r="A346" s="84" t="s">
        <v>3790</v>
      </c>
      <c r="B346" s="83">
        <v>3</v>
      </c>
      <c r="C346" s="110">
        <v>0.001448299261028418</v>
      </c>
      <c r="D346" s="83" t="s">
        <v>4145</v>
      </c>
      <c r="E346" s="83" t="b">
        <v>0</v>
      </c>
      <c r="F346" s="83" t="b">
        <v>0</v>
      </c>
      <c r="G346" s="83" t="b">
        <v>0</v>
      </c>
    </row>
    <row r="347" spans="1:7" ht="15">
      <c r="A347" s="84" t="s">
        <v>3791</v>
      </c>
      <c r="B347" s="83">
        <v>3</v>
      </c>
      <c r="C347" s="110">
        <v>0.001448299261028418</v>
      </c>
      <c r="D347" s="83" t="s">
        <v>4145</v>
      </c>
      <c r="E347" s="83" t="b">
        <v>0</v>
      </c>
      <c r="F347" s="83" t="b">
        <v>0</v>
      </c>
      <c r="G347" s="83" t="b">
        <v>0</v>
      </c>
    </row>
    <row r="348" spans="1:7" ht="15">
      <c r="A348" s="84" t="s">
        <v>3792</v>
      </c>
      <c r="B348" s="83">
        <v>3</v>
      </c>
      <c r="C348" s="110">
        <v>0.001448299261028418</v>
      </c>
      <c r="D348" s="83" t="s">
        <v>4145</v>
      </c>
      <c r="E348" s="83" t="b">
        <v>0</v>
      </c>
      <c r="F348" s="83" t="b">
        <v>0</v>
      </c>
      <c r="G348" s="83" t="b">
        <v>0</v>
      </c>
    </row>
    <row r="349" spans="1:7" ht="15">
      <c r="A349" s="84" t="s">
        <v>3793</v>
      </c>
      <c r="B349" s="83">
        <v>3</v>
      </c>
      <c r="C349" s="110">
        <v>0.001448299261028418</v>
      </c>
      <c r="D349" s="83" t="s">
        <v>4145</v>
      </c>
      <c r="E349" s="83" t="b">
        <v>0</v>
      </c>
      <c r="F349" s="83" t="b">
        <v>0</v>
      </c>
      <c r="G349" s="83" t="b">
        <v>0</v>
      </c>
    </row>
    <row r="350" spans="1:7" ht="15">
      <c r="A350" s="84" t="s">
        <v>3794</v>
      </c>
      <c r="B350" s="83">
        <v>3</v>
      </c>
      <c r="C350" s="110">
        <v>0.001448299261028418</v>
      </c>
      <c r="D350" s="83" t="s">
        <v>4145</v>
      </c>
      <c r="E350" s="83" t="b">
        <v>0</v>
      </c>
      <c r="F350" s="83" t="b">
        <v>0</v>
      </c>
      <c r="G350" s="83" t="b">
        <v>0</v>
      </c>
    </row>
    <row r="351" spans="1:7" ht="15">
      <c r="A351" s="84" t="s">
        <v>3795</v>
      </c>
      <c r="B351" s="83">
        <v>3</v>
      </c>
      <c r="C351" s="110">
        <v>0.001448299261028418</v>
      </c>
      <c r="D351" s="83" t="s">
        <v>4145</v>
      </c>
      <c r="E351" s="83" t="b">
        <v>0</v>
      </c>
      <c r="F351" s="83" t="b">
        <v>0</v>
      </c>
      <c r="G351" s="83" t="b">
        <v>0</v>
      </c>
    </row>
    <row r="352" spans="1:7" ht="15">
      <c r="A352" s="84" t="s">
        <v>3796</v>
      </c>
      <c r="B352" s="83">
        <v>3</v>
      </c>
      <c r="C352" s="110">
        <v>0.001448299261028418</v>
      </c>
      <c r="D352" s="83" t="s">
        <v>4145</v>
      </c>
      <c r="E352" s="83" t="b">
        <v>0</v>
      </c>
      <c r="F352" s="83" t="b">
        <v>0</v>
      </c>
      <c r="G352" s="83" t="b">
        <v>0</v>
      </c>
    </row>
    <row r="353" spans="1:7" ht="15">
      <c r="A353" s="84" t="s">
        <v>3797</v>
      </c>
      <c r="B353" s="83">
        <v>3</v>
      </c>
      <c r="C353" s="110">
        <v>0.001448299261028418</v>
      </c>
      <c r="D353" s="83" t="s">
        <v>4145</v>
      </c>
      <c r="E353" s="83" t="b">
        <v>1</v>
      </c>
      <c r="F353" s="83" t="b">
        <v>0</v>
      </c>
      <c r="G353" s="83" t="b">
        <v>0</v>
      </c>
    </row>
    <row r="354" spans="1:7" ht="15">
      <c r="A354" s="84" t="s">
        <v>3798</v>
      </c>
      <c r="B354" s="83">
        <v>3</v>
      </c>
      <c r="C354" s="110">
        <v>0.001448299261028418</v>
      </c>
      <c r="D354" s="83" t="s">
        <v>4145</v>
      </c>
      <c r="E354" s="83" t="b">
        <v>0</v>
      </c>
      <c r="F354" s="83" t="b">
        <v>0</v>
      </c>
      <c r="G354" s="83" t="b">
        <v>0</v>
      </c>
    </row>
    <row r="355" spans="1:7" ht="15">
      <c r="A355" s="84" t="s">
        <v>3799</v>
      </c>
      <c r="B355" s="83">
        <v>3</v>
      </c>
      <c r="C355" s="110">
        <v>0.001448299261028418</v>
      </c>
      <c r="D355" s="83" t="s">
        <v>4145</v>
      </c>
      <c r="E355" s="83" t="b">
        <v>0</v>
      </c>
      <c r="F355" s="83" t="b">
        <v>0</v>
      </c>
      <c r="G355" s="83" t="b">
        <v>0</v>
      </c>
    </row>
    <row r="356" spans="1:7" ht="15">
      <c r="A356" s="84" t="s">
        <v>3800</v>
      </c>
      <c r="B356" s="83">
        <v>3</v>
      </c>
      <c r="C356" s="110">
        <v>0.001448299261028418</v>
      </c>
      <c r="D356" s="83" t="s">
        <v>4145</v>
      </c>
      <c r="E356" s="83" t="b">
        <v>0</v>
      </c>
      <c r="F356" s="83" t="b">
        <v>0</v>
      </c>
      <c r="G356" s="83" t="b">
        <v>0</v>
      </c>
    </row>
    <row r="357" spans="1:7" ht="15">
      <c r="A357" s="84" t="s">
        <v>3801</v>
      </c>
      <c r="B357" s="83">
        <v>3</v>
      </c>
      <c r="C357" s="110">
        <v>0.001448299261028418</v>
      </c>
      <c r="D357" s="83" t="s">
        <v>4145</v>
      </c>
      <c r="E357" s="83" t="b">
        <v>0</v>
      </c>
      <c r="F357" s="83" t="b">
        <v>0</v>
      </c>
      <c r="G357" s="83" t="b">
        <v>0</v>
      </c>
    </row>
    <row r="358" spans="1:7" ht="15">
      <c r="A358" s="84" t="s">
        <v>3802</v>
      </c>
      <c r="B358" s="83">
        <v>3</v>
      </c>
      <c r="C358" s="110">
        <v>0.001448299261028418</v>
      </c>
      <c r="D358" s="83" t="s">
        <v>4145</v>
      </c>
      <c r="E358" s="83" t="b">
        <v>0</v>
      </c>
      <c r="F358" s="83" t="b">
        <v>0</v>
      </c>
      <c r="G358" s="83" t="b">
        <v>0</v>
      </c>
    </row>
    <row r="359" spans="1:7" ht="15">
      <c r="A359" s="84" t="s">
        <v>3803</v>
      </c>
      <c r="B359" s="83">
        <v>3</v>
      </c>
      <c r="C359" s="110">
        <v>0.001448299261028418</v>
      </c>
      <c r="D359" s="83" t="s">
        <v>4145</v>
      </c>
      <c r="E359" s="83" t="b">
        <v>1</v>
      </c>
      <c r="F359" s="83" t="b">
        <v>0</v>
      </c>
      <c r="G359" s="83" t="b">
        <v>0</v>
      </c>
    </row>
    <row r="360" spans="1:7" ht="15">
      <c r="A360" s="84" t="s">
        <v>3804</v>
      </c>
      <c r="B360" s="83">
        <v>3</v>
      </c>
      <c r="C360" s="110">
        <v>0.001448299261028418</v>
      </c>
      <c r="D360" s="83" t="s">
        <v>4145</v>
      </c>
      <c r="E360" s="83" t="b">
        <v>0</v>
      </c>
      <c r="F360" s="83" t="b">
        <v>0</v>
      </c>
      <c r="G360" s="83" t="b">
        <v>0</v>
      </c>
    </row>
    <row r="361" spans="1:7" ht="15">
      <c r="A361" s="84" t="s">
        <v>3805</v>
      </c>
      <c r="B361" s="83">
        <v>3</v>
      </c>
      <c r="C361" s="110">
        <v>0.001448299261028418</v>
      </c>
      <c r="D361" s="83" t="s">
        <v>4145</v>
      </c>
      <c r="E361" s="83" t="b">
        <v>0</v>
      </c>
      <c r="F361" s="83" t="b">
        <v>0</v>
      </c>
      <c r="G361" s="83" t="b">
        <v>0</v>
      </c>
    </row>
    <row r="362" spans="1:7" ht="15">
      <c r="A362" s="84" t="s">
        <v>3806</v>
      </c>
      <c r="B362" s="83">
        <v>3</v>
      </c>
      <c r="C362" s="110">
        <v>0.001448299261028418</v>
      </c>
      <c r="D362" s="83" t="s">
        <v>4145</v>
      </c>
      <c r="E362" s="83" t="b">
        <v>0</v>
      </c>
      <c r="F362" s="83" t="b">
        <v>0</v>
      </c>
      <c r="G362" s="83" t="b">
        <v>0</v>
      </c>
    </row>
    <row r="363" spans="1:7" ht="15">
      <c r="A363" s="84" t="s">
        <v>3807</v>
      </c>
      <c r="B363" s="83">
        <v>3</v>
      </c>
      <c r="C363" s="110">
        <v>0.001448299261028418</v>
      </c>
      <c r="D363" s="83" t="s">
        <v>4145</v>
      </c>
      <c r="E363" s="83" t="b">
        <v>1</v>
      </c>
      <c r="F363" s="83" t="b">
        <v>0</v>
      </c>
      <c r="G363" s="83" t="b">
        <v>0</v>
      </c>
    </row>
    <row r="364" spans="1:7" ht="15">
      <c r="A364" s="84" t="s">
        <v>3808</v>
      </c>
      <c r="B364" s="83">
        <v>3</v>
      </c>
      <c r="C364" s="110">
        <v>0.001448299261028418</v>
      </c>
      <c r="D364" s="83" t="s">
        <v>4145</v>
      </c>
      <c r="E364" s="83" t="b">
        <v>0</v>
      </c>
      <c r="F364" s="83" t="b">
        <v>0</v>
      </c>
      <c r="G364" s="83" t="b">
        <v>0</v>
      </c>
    </row>
    <row r="365" spans="1:7" ht="15">
      <c r="A365" s="84" t="s">
        <v>3809</v>
      </c>
      <c r="B365" s="83">
        <v>3</v>
      </c>
      <c r="C365" s="110">
        <v>0.001448299261028418</v>
      </c>
      <c r="D365" s="83" t="s">
        <v>4145</v>
      </c>
      <c r="E365" s="83" t="b">
        <v>0</v>
      </c>
      <c r="F365" s="83" t="b">
        <v>0</v>
      </c>
      <c r="G365" s="83" t="b">
        <v>0</v>
      </c>
    </row>
    <row r="366" spans="1:7" ht="15">
      <c r="A366" s="84" t="s">
        <v>3810</v>
      </c>
      <c r="B366" s="83">
        <v>3</v>
      </c>
      <c r="C366" s="110">
        <v>0.001448299261028418</v>
      </c>
      <c r="D366" s="83" t="s">
        <v>4145</v>
      </c>
      <c r="E366" s="83" t="b">
        <v>1</v>
      </c>
      <c r="F366" s="83" t="b">
        <v>0</v>
      </c>
      <c r="G366" s="83" t="b">
        <v>0</v>
      </c>
    </row>
    <row r="367" spans="1:7" ht="15">
      <c r="A367" s="84" t="s">
        <v>3811</v>
      </c>
      <c r="B367" s="83">
        <v>3</v>
      </c>
      <c r="C367" s="110">
        <v>0.001448299261028418</v>
      </c>
      <c r="D367" s="83" t="s">
        <v>4145</v>
      </c>
      <c r="E367" s="83" t="b">
        <v>0</v>
      </c>
      <c r="F367" s="83" t="b">
        <v>0</v>
      </c>
      <c r="G367" s="83" t="b">
        <v>0</v>
      </c>
    </row>
    <row r="368" spans="1:7" ht="15">
      <c r="A368" s="84" t="s">
        <v>3812</v>
      </c>
      <c r="B368" s="83">
        <v>3</v>
      </c>
      <c r="C368" s="110">
        <v>0.001448299261028418</v>
      </c>
      <c r="D368" s="83" t="s">
        <v>4145</v>
      </c>
      <c r="E368" s="83" t="b">
        <v>0</v>
      </c>
      <c r="F368" s="83" t="b">
        <v>0</v>
      </c>
      <c r="G368" s="83" t="b">
        <v>0</v>
      </c>
    </row>
    <row r="369" spans="1:7" ht="15">
      <c r="A369" s="84" t="s">
        <v>3813</v>
      </c>
      <c r="B369" s="83">
        <v>3</v>
      </c>
      <c r="C369" s="110">
        <v>0.001448299261028418</v>
      </c>
      <c r="D369" s="83" t="s">
        <v>4145</v>
      </c>
      <c r="E369" s="83" t="b">
        <v>1</v>
      </c>
      <c r="F369" s="83" t="b">
        <v>0</v>
      </c>
      <c r="G369" s="83" t="b">
        <v>0</v>
      </c>
    </row>
    <row r="370" spans="1:7" ht="15">
      <c r="A370" s="84" t="s">
        <v>3814</v>
      </c>
      <c r="B370" s="83">
        <v>3</v>
      </c>
      <c r="C370" s="110">
        <v>0.0015528044592810477</v>
      </c>
      <c r="D370" s="83" t="s">
        <v>4145</v>
      </c>
      <c r="E370" s="83" t="b">
        <v>0</v>
      </c>
      <c r="F370" s="83" t="b">
        <v>0</v>
      </c>
      <c r="G370" s="83" t="b">
        <v>0</v>
      </c>
    </row>
    <row r="371" spans="1:7" ht="15">
      <c r="A371" s="84" t="s">
        <v>3815</v>
      </c>
      <c r="B371" s="83">
        <v>3</v>
      </c>
      <c r="C371" s="110">
        <v>0.001448299261028418</v>
      </c>
      <c r="D371" s="83" t="s">
        <v>4145</v>
      </c>
      <c r="E371" s="83" t="b">
        <v>0</v>
      </c>
      <c r="F371" s="83" t="b">
        <v>0</v>
      </c>
      <c r="G371" s="83" t="b">
        <v>0</v>
      </c>
    </row>
    <row r="372" spans="1:7" ht="15">
      <c r="A372" s="84" t="s">
        <v>3816</v>
      </c>
      <c r="B372" s="83">
        <v>3</v>
      </c>
      <c r="C372" s="110">
        <v>0.001448299261028418</v>
      </c>
      <c r="D372" s="83" t="s">
        <v>4145</v>
      </c>
      <c r="E372" s="83" t="b">
        <v>0</v>
      </c>
      <c r="F372" s="83" t="b">
        <v>0</v>
      </c>
      <c r="G372" s="83" t="b">
        <v>0</v>
      </c>
    </row>
    <row r="373" spans="1:7" ht="15">
      <c r="A373" s="84" t="s">
        <v>3817</v>
      </c>
      <c r="B373" s="83">
        <v>3</v>
      </c>
      <c r="C373" s="110">
        <v>0.001448299261028418</v>
      </c>
      <c r="D373" s="83" t="s">
        <v>4145</v>
      </c>
      <c r="E373" s="83" t="b">
        <v>0</v>
      </c>
      <c r="F373" s="83" t="b">
        <v>0</v>
      </c>
      <c r="G373" s="83" t="b">
        <v>0</v>
      </c>
    </row>
    <row r="374" spans="1:7" ht="15">
      <c r="A374" s="84" t="s">
        <v>3818</v>
      </c>
      <c r="B374" s="83">
        <v>3</v>
      </c>
      <c r="C374" s="110">
        <v>0.001448299261028418</v>
      </c>
      <c r="D374" s="83" t="s">
        <v>4145</v>
      </c>
      <c r="E374" s="83" t="b">
        <v>0</v>
      </c>
      <c r="F374" s="83" t="b">
        <v>0</v>
      </c>
      <c r="G374" s="83" t="b">
        <v>0</v>
      </c>
    </row>
    <row r="375" spans="1:7" ht="15">
      <c r="A375" s="84" t="s">
        <v>3819</v>
      </c>
      <c r="B375" s="83">
        <v>3</v>
      </c>
      <c r="C375" s="110">
        <v>0.001448299261028418</v>
      </c>
      <c r="D375" s="83" t="s">
        <v>4145</v>
      </c>
      <c r="E375" s="83" t="b">
        <v>0</v>
      </c>
      <c r="F375" s="83" t="b">
        <v>0</v>
      </c>
      <c r="G375" s="83" t="b">
        <v>0</v>
      </c>
    </row>
    <row r="376" spans="1:7" ht="15">
      <c r="A376" s="84" t="s">
        <v>3820</v>
      </c>
      <c r="B376" s="83">
        <v>3</v>
      </c>
      <c r="C376" s="110">
        <v>0.001448299261028418</v>
      </c>
      <c r="D376" s="83" t="s">
        <v>4145</v>
      </c>
      <c r="E376" s="83" t="b">
        <v>1</v>
      </c>
      <c r="F376" s="83" t="b">
        <v>0</v>
      </c>
      <c r="G376" s="83" t="b">
        <v>0</v>
      </c>
    </row>
    <row r="377" spans="1:7" ht="15">
      <c r="A377" s="84" t="s">
        <v>3821</v>
      </c>
      <c r="B377" s="83">
        <v>3</v>
      </c>
      <c r="C377" s="110">
        <v>0.001448299261028418</v>
      </c>
      <c r="D377" s="83" t="s">
        <v>4145</v>
      </c>
      <c r="E377" s="83" t="b">
        <v>1</v>
      </c>
      <c r="F377" s="83" t="b">
        <v>0</v>
      </c>
      <c r="G377" s="83" t="b">
        <v>0</v>
      </c>
    </row>
    <row r="378" spans="1:7" ht="15">
      <c r="A378" s="84" t="s">
        <v>3822</v>
      </c>
      <c r="B378" s="83">
        <v>3</v>
      </c>
      <c r="C378" s="110">
        <v>0.001448299261028418</v>
      </c>
      <c r="D378" s="83" t="s">
        <v>4145</v>
      </c>
      <c r="E378" s="83" t="b">
        <v>0</v>
      </c>
      <c r="F378" s="83" t="b">
        <v>0</v>
      </c>
      <c r="G378" s="83" t="b">
        <v>0</v>
      </c>
    </row>
    <row r="379" spans="1:7" ht="15">
      <c r="A379" s="84" t="s">
        <v>3823</v>
      </c>
      <c r="B379" s="83">
        <v>3</v>
      </c>
      <c r="C379" s="110">
        <v>0.001448299261028418</v>
      </c>
      <c r="D379" s="83" t="s">
        <v>4145</v>
      </c>
      <c r="E379" s="83" t="b">
        <v>0</v>
      </c>
      <c r="F379" s="83" t="b">
        <v>0</v>
      </c>
      <c r="G379" s="83" t="b">
        <v>0</v>
      </c>
    </row>
    <row r="380" spans="1:7" ht="15">
      <c r="A380" s="84" t="s">
        <v>3824</v>
      </c>
      <c r="B380" s="83">
        <v>3</v>
      </c>
      <c r="C380" s="110">
        <v>0.001448299261028418</v>
      </c>
      <c r="D380" s="83" t="s">
        <v>4145</v>
      </c>
      <c r="E380" s="83" t="b">
        <v>0</v>
      </c>
      <c r="F380" s="83" t="b">
        <v>0</v>
      </c>
      <c r="G380" s="83" t="b">
        <v>0</v>
      </c>
    </row>
    <row r="381" spans="1:7" ht="15">
      <c r="A381" s="84" t="s">
        <v>3825</v>
      </c>
      <c r="B381" s="83">
        <v>3</v>
      </c>
      <c r="C381" s="110">
        <v>0.001448299261028418</v>
      </c>
      <c r="D381" s="83" t="s">
        <v>4145</v>
      </c>
      <c r="E381" s="83" t="b">
        <v>0</v>
      </c>
      <c r="F381" s="83" t="b">
        <v>0</v>
      </c>
      <c r="G381" s="83" t="b">
        <v>0</v>
      </c>
    </row>
    <row r="382" spans="1:7" ht="15">
      <c r="A382" s="84" t="s">
        <v>3826</v>
      </c>
      <c r="B382" s="83">
        <v>3</v>
      </c>
      <c r="C382" s="110">
        <v>0.001448299261028418</v>
      </c>
      <c r="D382" s="83" t="s">
        <v>4145</v>
      </c>
      <c r="E382" s="83" t="b">
        <v>0</v>
      </c>
      <c r="F382" s="83" t="b">
        <v>0</v>
      </c>
      <c r="G382" s="83" t="b">
        <v>0</v>
      </c>
    </row>
    <row r="383" spans="1:7" ht="15">
      <c r="A383" s="84" t="s">
        <v>3827</v>
      </c>
      <c r="B383" s="83">
        <v>3</v>
      </c>
      <c r="C383" s="110">
        <v>0.001448299261028418</v>
      </c>
      <c r="D383" s="83" t="s">
        <v>4145</v>
      </c>
      <c r="E383" s="83" t="b">
        <v>0</v>
      </c>
      <c r="F383" s="83" t="b">
        <v>0</v>
      </c>
      <c r="G383" s="83" t="b">
        <v>0</v>
      </c>
    </row>
    <row r="384" spans="1:7" ht="15">
      <c r="A384" s="84" t="s">
        <v>3828</v>
      </c>
      <c r="B384" s="83">
        <v>3</v>
      </c>
      <c r="C384" s="110">
        <v>0.001448299261028418</v>
      </c>
      <c r="D384" s="83" t="s">
        <v>4145</v>
      </c>
      <c r="E384" s="83" t="b">
        <v>0</v>
      </c>
      <c r="F384" s="83" t="b">
        <v>0</v>
      </c>
      <c r="G384" s="83" t="b">
        <v>0</v>
      </c>
    </row>
    <row r="385" spans="1:7" ht="15">
      <c r="A385" s="84" t="s">
        <v>3829</v>
      </c>
      <c r="B385" s="83">
        <v>3</v>
      </c>
      <c r="C385" s="110">
        <v>0.001448299261028418</v>
      </c>
      <c r="D385" s="83" t="s">
        <v>4145</v>
      </c>
      <c r="E385" s="83" t="b">
        <v>0</v>
      </c>
      <c r="F385" s="83" t="b">
        <v>0</v>
      </c>
      <c r="G385" s="83" t="b">
        <v>0</v>
      </c>
    </row>
    <row r="386" spans="1:7" ht="15">
      <c r="A386" s="84" t="s">
        <v>3830</v>
      </c>
      <c r="B386" s="83">
        <v>3</v>
      </c>
      <c r="C386" s="110">
        <v>0.001448299261028418</v>
      </c>
      <c r="D386" s="83" t="s">
        <v>4145</v>
      </c>
      <c r="E386" s="83" t="b">
        <v>0</v>
      </c>
      <c r="F386" s="83" t="b">
        <v>0</v>
      </c>
      <c r="G386" s="83" t="b">
        <v>0</v>
      </c>
    </row>
    <row r="387" spans="1:7" ht="15">
      <c r="A387" s="84" t="s">
        <v>3831</v>
      </c>
      <c r="B387" s="83">
        <v>3</v>
      </c>
      <c r="C387" s="110">
        <v>0.0015528044592810477</v>
      </c>
      <c r="D387" s="83" t="s">
        <v>4145</v>
      </c>
      <c r="E387" s="83" t="b">
        <v>0</v>
      </c>
      <c r="F387" s="83" t="b">
        <v>0</v>
      </c>
      <c r="G387" s="83" t="b">
        <v>0</v>
      </c>
    </row>
    <row r="388" spans="1:7" ht="15">
      <c r="A388" s="84" t="s">
        <v>3832</v>
      </c>
      <c r="B388" s="83">
        <v>3</v>
      </c>
      <c r="C388" s="110">
        <v>0.001448299261028418</v>
      </c>
      <c r="D388" s="83" t="s">
        <v>4145</v>
      </c>
      <c r="E388" s="83" t="b">
        <v>0</v>
      </c>
      <c r="F388" s="83" t="b">
        <v>0</v>
      </c>
      <c r="G388" s="83" t="b">
        <v>0</v>
      </c>
    </row>
    <row r="389" spans="1:7" ht="15">
      <c r="A389" s="84" t="s">
        <v>3833</v>
      </c>
      <c r="B389" s="83">
        <v>3</v>
      </c>
      <c r="C389" s="110">
        <v>0.001448299261028418</v>
      </c>
      <c r="D389" s="83" t="s">
        <v>4145</v>
      </c>
      <c r="E389" s="83" t="b">
        <v>0</v>
      </c>
      <c r="F389" s="83" t="b">
        <v>0</v>
      </c>
      <c r="G389" s="83" t="b">
        <v>0</v>
      </c>
    </row>
    <row r="390" spans="1:7" ht="15">
      <c r="A390" s="84" t="s">
        <v>3834</v>
      </c>
      <c r="B390" s="83">
        <v>3</v>
      </c>
      <c r="C390" s="110">
        <v>0.001448299261028418</v>
      </c>
      <c r="D390" s="83" t="s">
        <v>4145</v>
      </c>
      <c r="E390" s="83" t="b">
        <v>0</v>
      </c>
      <c r="F390" s="83" t="b">
        <v>0</v>
      </c>
      <c r="G390" s="83" t="b">
        <v>0</v>
      </c>
    </row>
    <row r="391" spans="1:7" ht="15">
      <c r="A391" s="84" t="s">
        <v>3835</v>
      </c>
      <c r="B391" s="83">
        <v>3</v>
      </c>
      <c r="C391" s="110">
        <v>0.001448299261028418</v>
      </c>
      <c r="D391" s="83" t="s">
        <v>4145</v>
      </c>
      <c r="E391" s="83" t="b">
        <v>0</v>
      </c>
      <c r="F391" s="83" t="b">
        <v>0</v>
      </c>
      <c r="G391" s="83" t="b">
        <v>0</v>
      </c>
    </row>
    <row r="392" spans="1:7" ht="15">
      <c r="A392" s="84" t="s">
        <v>3836</v>
      </c>
      <c r="B392" s="83">
        <v>3</v>
      </c>
      <c r="C392" s="110">
        <v>0.0015528044592810477</v>
      </c>
      <c r="D392" s="83" t="s">
        <v>4145</v>
      </c>
      <c r="E392" s="83" t="b">
        <v>0</v>
      </c>
      <c r="F392" s="83" t="b">
        <v>0</v>
      </c>
      <c r="G392" s="83" t="b">
        <v>0</v>
      </c>
    </row>
    <row r="393" spans="1:7" ht="15">
      <c r="A393" s="84" t="s">
        <v>3837</v>
      </c>
      <c r="B393" s="83">
        <v>3</v>
      </c>
      <c r="C393" s="110">
        <v>0.001448299261028418</v>
      </c>
      <c r="D393" s="83" t="s">
        <v>4145</v>
      </c>
      <c r="E393" s="83" t="b">
        <v>0</v>
      </c>
      <c r="F393" s="83" t="b">
        <v>0</v>
      </c>
      <c r="G393" s="83" t="b">
        <v>0</v>
      </c>
    </row>
    <row r="394" spans="1:7" ht="15">
      <c r="A394" s="84" t="s">
        <v>3838</v>
      </c>
      <c r="B394" s="83">
        <v>3</v>
      </c>
      <c r="C394" s="110">
        <v>0.001448299261028418</v>
      </c>
      <c r="D394" s="83" t="s">
        <v>4145</v>
      </c>
      <c r="E394" s="83" t="b">
        <v>0</v>
      </c>
      <c r="F394" s="83" t="b">
        <v>0</v>
      </c>
      <c r="G394" s="83" t="b">
        <v>0</v>
      </c>
    </row>
    <row r="395" spans="1:7" ht="15">
      <c r="A395" s="84" t="s">
        <v>3839</v>
      </c>
      <c r="B395" s="83">
        <v>3</v>
      </c>
      <c r="C395" s="110">
        <v>0.0015528044592810477</v>
      </c>
      <c r="D395" s="83" t="s">
        <v>4145</v>
      </c>
      <c r="E395" s="83" t="b">
        <v>0</v>
      </c>
      <c r="F395" s="83" t="b">
        <v>0</v>
      </c>
      <c r="G395" s="83" t="b">
        <v>0</v>
      </c>
    </row>
    <row r="396" spans="1:7" ht="15">
      <c r="A396" s="84" t="s">
        <v>3840</v>
      </c>
      <c r="B396" s="83">
        <v>3</v>
      </c>
      <c r="C396" s="110">
        <v>0.0015528044592810477</v>
      </c>
      <c r="D396" s="83" t="s">
        <v>4145</v>
      </c>
      <c r="E396" s="83" t="b">
        <v>0</v>
      </c>
      <c r="F396" s="83" t="b">
        <v>0</v>
      </c>
      <c r="G396" s="83" t="b">
        <v>0</v>
      </c>
    </row>
    <row r="397" spans="1:7" ht="15">
      <c r="A397" s="84" t="s">
        <v>3841</v>
      </c>
      <c r="B397" s="83">
        <v>3</v>
      </c>
      <c r="C397" s="110">
        <v>0.001448299261028418</v>
      </c>
      <c r="D397" s="83" t="s">
        <v>4145</v>
      </c>
      <c r="E397" s="83" t="b">
        <v>0</v>
      </c>
      <c r="F397" s="83" t="b">
        <v>0</v>
      </c>
      <c r="G397" s="83" t="b">
        <v>0</v>
      </c>
    </row>
    <row r="398" spans="1:7" ht="15">
      <c r="A398" s="84" t="s">
        <v>3842</v>
      </c>
      <c r="B398" s="83">
        <v>3</v>
      </c>
      <c r="C398" s="110">
        <v>0.001448299261028418</v>
      </c>
      <c r="D398" s="83" t="s">
        <v>4145</v>
      </c>
      <c r="E398" s="83" t="b">
        <v>0</v>
      </c>
      <c r="F398" s="83" t="b">
        <v>0</v>
      </c>
      <c r="G398" s="83" t="b">
        <v>0</v>
      </c>
    </row>
    <row r="399" spans="1:7" ht="15">
      <c r="A399" s="84" t="s">
        <v>3843</v>
      </c>
      <c r="B399" s="83">
        <v>3</v>
      </c>
      <c r="C399" s="110">
        <v>0.0015528044592810477</v>
      </c>
      <c r="D399" s="83" t="s">
        <v>4145</v>
      </c>
      <c r="E399" s="83" t="b">
        <v>0</v>
      </c>
      <c r="F399" s="83" t="b">
        <v>0</v>
      </c>
      <c r="G399" s="83" t="b">
        <v>0</v>
      </c>
    </row>
    <row r="400" spans="1:7" ht="15">
      <c r="A400" s="84" t="s">
        <v>3844</v>
      </c>
      <c r="B400" s="83">
        <v>3</v>
      </c>
      <c r="C400" s="110">
        <v>0.0017314572756988408</v>
      </c>
      <c r="D400" s="83" t="s">
        <v>4145</v>
      </c>
      <c r="E400" s="83" t="b">
        <v>0</v>
      </c>
      <c r="F400" s="83" t="b">
        <v>0</v>
      </c>
      <c r="G400" s="83" t="b">
        <v>0</v>
      </c>
    </row>
    <row r="401" spans="1:7" ht="15">
      <c r="A401" s="84" t="s">
        <v>3845</v>
      </c>
      <c r="B401" s="83">
        <v>3</v>
      </c>
      <c r="C401" s="110">
        <v>0.001448299261028418</v>
      </c>
      <c r="D401" s="83" t="s">
        <v>4145</v>
      </c>
      <c r="E401" s="83" t="b">
        <v>0</v>
      </c>
      <c r="F401" s="83" t="b">
        <v>0</v>
      </c>
      <c r="G401" s="83" t="b">
        <v>0</v>
      </c>
    </row>
    <row r="402" spans="1:7" ht="15">
      <c r="A402" s="84" t="s">
        <v>3846</v>
      </c>
      <c r="B402" s="83">
        <v>3</v>
      </c>
      <c r="C402" s="110">
        <v>0.001448299261028418</v>
      </c>
      <c r="D402" s="83" t="s">
        <v>4145</v>
      </c>
      <c r="E402" s="83" t="b">
        <v>1</v>
      </c>
      <c r="F402" s="83" t="b">
        <v>0</v>
      </c>
      <c r="G402" s="83" t="b">
        <v>0</v>
      </c>
    </row>
    <row r="403" spans="1:7" ht="15">
      <c r="A403" s="84" t="s">
        <v>3847</v>
      </c>
      <c r="B403" s="83">
        <v>3</v>
      </c>
      <c r="C403" s="110">
        <v>0.001448299261028418</v>
      </c>
      <c r="D403" s="83" t="s">
        <v>4145</v>
      </c>
      <c r="E403" s="83" t="b">
        <v>0</v>
      </c>
      <c r="F403" s="83" t="b">
        <v>0</v>
      </c>
      <c r="G403" s="83" t="b">
        <v>0</v>
      </c>
    </row>
    <row r="404" spans="1:7" ht="15">
      <c r="A404" s="84" t="s">
        <v>3848</v>
      </c>
      <c r="B404" s="83">
        <v>2</v>
      </c>
      <c r="C404" s="110">
        <v>0.0011543048504658938</v>
      </c>
      <c r="D404" s="83" t="s">
        <v>4145</v>
      </c>
      <c r="E404" s="83" t="b">
        <v>0</v>
      </c>
      <c r="F404" s="83" t="b">
        <v>0</v>
      </c>
      <c r="G404" s="83" t="b">
        <v>0</v>
      </c>
    </row>
    <row r="405" spans="1:7" ht="15">
      <c r="A405" s="84" t="s">
        <v>3849</v>
      </c>
      <c r="B405" s="83">
        <v>2</v>
      </c>
      <c r="C405" s="110">
        <v>0.0010352029728540317</v>
      </c>
      <c r="D405" s="83" t="s">
        <v>4145</v>
      </c>
      <c r="E405" s="83" t="b">
        <v>0</v>
      </c>
      <c r="F405" s="83" t="b">
        <v>0</v>
      </c>
      <c r="G405" s="83" t="b">
        <v>0</v>
      </c>
    </row>
    <row r="406" spans="1:7" ht="15">
      <c r="A406" s="84" t="s">
        <v>3850</v>
      </c>
      <c r="B406" s="83">
        <v>2</v>
      </c>
      <c r="C406" s="110">
        <v>0.0010352029728540317</v>
      </c>
      <c r="D406" s="83" t="s">
        <v>4145</v>
      </c>
      <c r="E406" s="83" t="b">
        <v>1</v>
      </c>
      <c r="F406" s="83" t="b">
        <v>0</v>
      </c>
      <c r="G406" s="83" t="b">
        <v>0</v>
      </c>
    </row>
    <row r="407" spans="1:7" ht="15">
      <c r="A407" s="84" t="s">
        <v>3851</v>
      </c>
      <c r="B407" s="83">
        <v>2</v>
      </c>
      <c r="C407" s="110">
        <v>0.0010352029728540317</v>
      </c>
      <c r="D407" s="83" t="s">
        <v>4145</v>
      </c>
      <c r="E407" s="83" t="b">
        <v>0</v>
      </c>
      <c r="F407" s="83" t="b">
        <v>0</v>
      </c>
      <c r="G407" s="83" t="b">
        <v>0</v>
      </c>
    </row>
    <row r="408" spans="1:7" ht="15">
      <c r="A408" s="84" t="s">
        <v>3852</v>
      </c>
      <c r="B408" s="83">
        <v>2</v>
      </c>
      <c r="C408" s="110">
        <v>0.0010352029728540317</v>
      </c>
      <c r="D408" s="83" t="s">
        <v>4145</v>
      </c>
      <c r="E408" s="83" t="b">
        <v>0</v>
      </c>
      <c r="F408" s="83" t="b">
        <v>0</v>
      </c>
      <c r="G408" s="83" t="b">
        <v>0</v>
      </c>
    </row>
    <row r="409" spans="1:7" ht="15">
      <c r="A409" s="84" t="s">
        <v>3853</v>
      </c>
      <c r="B409" s="83">
        <v>2</v>
      </c>
      <c r="C409" s="110">
        <v>0.0010352029728540317</v>
      </c>
      <c r="D409" s="83" t="s">
        <v>4145</v>
      </c>
      <c r="E409" s="83" t="b">
        <v>0</v>
      </c>
      <c r="F409" s="83" t="b">
        <v>0</v>
      </c>
      <c r="G409" s="83" t="b">
        <v>0</v>
      </c>
    </row>
    <row r="410" spans="1:7" ht="15">
      <c r="A410" s="84" t="s">
        <v>3854</v>
      </c>
      <c r="B410" s="83">
        <v>2</v>
      </c>
      <c r="C410" s="110">
        <v>0.0010352029728540317</v>
      </c>
      <c r="D410" s="83" t="s">
        <v>4145</v>
      </c>
      <c r="E410" s="83" t="b">
        <v>0</v>
      </c>
      <c r="F410" s="83" t="b">
        <v>0</v>
      </c>
      <c r="G410" s="83" t="b">
        <v>0</v>
      </c>
    </row>
    <row r="411" spans="1:7" ht="15">
      <c r="A411" s="84" t="s">
        <v>3855</v>
      </c>
      <c r="B411" s="83">
        <v>2</v>
      </c>
      <c r="C411" s="110">
        <v>0.0010352029728540317</v>
      </c>
      <c r="D411" s="83" t="s">
        <v>4145</v>
      </c>
      <c r="E411" s="83" t="b">
        <v>0</v>
      </c>
      <c r="F411" s="83" t="b">
        <v>0</v>
      </c>
      <c r="G411" s="83" t="b">
        <v>0</v>
      </c>
    </row>
    <row r="412" spans="1:7" ht="15">
      <c r="A412" s="84" t="s">
        <v>3856</v>
      </c>
      <c r="B412" s="83">
        <v>2</v>
      </c>
      <c r="C412" s="110">
        <v>0.0010352029728540317</v>
      </c>
      <c r="D412" s="83" t="s">
        <v>4145</v>
      </c>
      <c r="E412" s="83" t="b">
        <v>0</v>
      </c>
      <c r="F412" s="83" t="b">
        <v>0</v>
      </c>
      <c r="G412" s="83" t="b">
        <v>0</v>
      </c>
    </row>
    <row r="413" spans="1:7" ht="15">
      <c r="A413" s="84" t="s">
        <v>3857</v>
      </c>
      <c r="B413" s="83">
        <v>2</v>
      </c>
      <c r="C413" s="110">
        <v>0.0010352029728540317</v>
      </c>
      <c r="D413" s="83" t="s">
        <v>4145</v>
      </c>
      <c r="E413" s="83" t="b">
        <v>0</v>
      </c>
      <c r="F413" s="83" t="b">
        <v>0</v>
      </c>
      <c r="G413" s="83" t="b">
        <v>0</v>
      </c>
    </row>
    <row r="414" spans="1:7" ht="15">
      <c r="A414" s="84" t="s">
        <v>3858</v>
      </c>
      <c r="B414" s="83">
        <v>2</v>
      </c>
      <c r="C414" s="110">
        <v>0.0010352029728540317</v>
      </c>
      <c r="D414" s="83" t="s">
        <v>4145</v>
      </c>
      <c r="E414" s="83" t="b">
        <v>0</v>
      </c>
      <c r="F414" s="83" t="b">
        <v>0</v>
      </c>
      <c r="G414" s="83" t="b">
        <v>0</v>
      </c>
    </row>
    <row r="415" spans="1:7" ht="15">
      <c r="A415" s="84" t="s">
        <v>3859</v>
      </c>
      <c r="B415" s="83">
        <v>2</v>
      </c>
      <c r="C415" s="110">
        <v>0.0010352029728540317</v>
      </c>
      <c r="D415" s="83" t="s">
        <v>4145</v>
      </c>
      <c r="E415" s="83" t="b">
        <v>0</v>
      </c>
      <c r="F415" s="83" t="b">
        <v>0</v>
      </c>
      <c r="G415" s="83" t="b">
        <v>0</v>
      </c>
    </row>
    <row r="416" spans="1:7" ht="15">
      <c r="A416" s="84" t="s">
        <v>3860</v>
      </c>
      <c r="B416" s="83">
        <v>2</v>
      </c>
      <c r="C416" s="110">
        <v>0.0010352029728540317</v>
      </c>
      <c r="D416" s="83" t="s">
        <v>4145</v>
      </c>
      <c r="E416" s="83" t="b">
        <v>0</v>
      </c>
      <c r="F416" s="83" t="b">
        <v>0</v>
      </c>
      <c r="G416" s="83" t="b">
        <v>0</v>
      </c>
    </row>
    <row r="417" spans="1:7" ht="15">
      <c r="A417" s="84" t="s">
        <v>3861</v>
      </c>
      <c r="B417" s="83">
        <v>2</v>
      </c>
      <c r="C417" s="110">
        <v>0.0011543048504658938</v>
      </c>
      <c r="D417" s="83" t="s">
        <v>4145</v>
      </c>
      <c r="E417" s="83" t="b">
        <v>0</v>
      </c>
      <c r="F417" s="83" t="b">
        <v>0</v>
      </c>
      <c r="G417" s="83" t="b">
        <v>0</v>
      </c>
    </row>
    <row r="418" spans="1:7" ht="15">
      <c r="A418" s="84" t="s">
        <v>3862</v>
      </c>
      <c r="B418" s="83">
        <v>2</v>
      </c>
      <c r="C418" s="110">
        <v>0.0011543048504658938</v>
      </c>
      <c r="D418" s="83" t="s">
        <v>4145</v>
      </c>
      <c r="E418" s="83" t="b">
        <v>0</v>
      </c>
      <c r="F418" s="83" t="b">
        <v>0</v>
      </c>
      <c r="G418" s="83" t="b">
        <v>0</v>
      </c>
    </row>
    <row r="419" spans="1:7" ht="15">
      <c r="A419" s="84" t="s">
        <v>3863</v>
      </c>
      <c r="B419" s="83">
        <v>2</v>
      </c>
      <c r="C419" s="110">
        <v>0.0010352029728540317</v>
      </c>
      <c r="D419" s="83" t="s">
        <v>4145</v>
      </c>
      <c r="E419" s="83" t="b">
        <v>0</v>
      </c>
      <c r="F419" s="83" t="b">
        <v>0</v>
      </c>
      <c r="G419" s="83" t="b">
        <v>0</v>
      </c>
    </row>
    <row r="420" spans="1:7" ht="15">
      <c r="A420" s="84" t="s">
        <v>3864</v>
      </c>
      <c r="B420" s="83">
        <v>2</v>
      </c>
      <c r="C420" s="110">
        <v>0.0010352029728540317</v>
      </c>
      <c r="D420" s="83" t="s">
        <v>4145</v>
      </c>
      <c r="E420" s="83" t="b">
        <v>1</v>
      </c>
      <c r="F420" s="83" t="b">
        <v>0</v>
      </c>
      <c r="G420" s="83" t="b">
        <v>0</v>
      </c>
    </row>
    <row r="421" spans="1:7" ht="15">
      <c r="A421" s="84" t="s">
        <v>3865</v>
      </c>
      <c r="B421" s="83">
        <v>2</v>
      </c>
      <c r="C421" s="110">
        <v>0.0010352029728540317</v>
      </c>
      <c r="D421" s="83" t="s">
        <v>4145</v>
      </c>
      <c r="E421" s="83" t="b">
        <v>1</v>
      </c>
      <c r="F421" s="83" t="b">
        <v>0</v>
      </c>
      <c r="G421" s="83" t="b">
        <v>0</v>
      </c>
    </row>
    <row r="422" spans="1:7" ht="15">
      <c r="A422" s="84" t="s">
        <v>3866</v>
      </c>
      <c r="B422" s="83">
        <v>2</v>
      </c>
      <c r="C422" s="110">
        <v>0.0010352029728540317</v>
      </c>
      <c r="D422" s="83" t="s">
        <v>4145</v>
      </c>
      <c r="E422" s="83" t="b">
        <v>0</v>
      </c>
      <c r="F422" s="83" t="b">
        <v>0</v>
      </c>
      <c r="G422" s="83" t="b">
        <v>0</v>
      </c>
    </row>
    <row r="423" spans="1:7" ht="15">
      <c r="A423" s="84" t="s">
        <v>3867</v>
      </c>
      <c r="B423" s="83">
        <v>2</v>
      </c>
      <c r="C423" s="110">
        <v>0.0010352029728540317</v>
      </c>
      <c r="D423" s="83" t="s">
        <v>4145</v>
      </c>
      <c r="E423" s="83" t="b">
        <v>0</v>
      </c>
      <c r="F423" s="83" t="b">
        <v>0</v>
      </c>
      <c r="G423" s="83" t="b">
        <v>0</v>
      </c>
    </row>
    <row r="424" spans="1:7" ht="15">
      <c r="A424" s="84" t="s">
        <v>3868</v>
      </c>
      <c r="B424" s="83">
        <v>2</v>
      </c>
      <c r="C424" s="110">
        <v>0.0010352029728540317</v>
      </c>
      <c r="D424" s="83" t="s">
        <v>4145</v>
      </c>
      <c r="E424" s="83" t="b">
        <v>0</v>
      </c>
      <c r="F424" s="83" t="b">
        <v>0</v>
      </c>
      <c r="G424" s="83" t="b">
        <v>0</v>
      </c>
    </row>
    <row r="425" spans="1:7" ht="15">
      <c r="A425" s="84" t="s">
        <v>3869</v>
      </c>
      <c r="B425" s="83">
        <v>2</v>
      </c>
      <c r="C425" s="110">
        <v>0.0010352029728540317</v>
      </c>
      <c r="D425" s="83" t="s">
        <v>4145</v>
      </c>
      <c r="E425" s="83" t="b">
        <v>1</v>
      </c>
      <c r="F425" s="83" t="b">
        <v>0</v>
      </c>
      <c r="G425" s="83" t="b">
        <v>0</v>
      </c>
    </row>
    <row r="426" spans="1:7" ht="15">
      <c r="A426" s="84" t="s">
        <v>3870</v>
      </c>
      <c r="B426" s="83">
        <v>2</v>
      </c>
      <c r="C426" s="110">
        <v>0.0010352029728540317</v>
      </c>
      <c r="D426" s="83" t="s">
        <v>4145</v>
      </c>
      <c r="E426" s="83" t="b">
        <v>0</v>
      </c>
      <c r="F426" s="83" t="b">
        <v>0</v>
      </c>
      <c r="G426" s="83" t="b">
        <v>0</v>
      </c>
    </row>
    <row r="427" spans="1:7" ht="15">
      <c r="A427" s="84" t="s">
        <v>3871</v>
      </c>
      <c r="B427" s="83">
        <v>2</v>
      </c>
      <c r="C427" s="110">
        <v>0.0010352029728540317</v>
      </c>
      <c r="D427" s="83" t="s">
        <v>4145</v>
      </c>
      <c r="E427" s="83" t="b">
        <v>0</v>
      </c>
      <c r="F427" s="83" t="b">
        <v>0</v>
      </c>
      <c r="G427" s="83" t="b">
        <v>0</v>
      </c>
    </row>
    <row r="428" spans="1:7" ht="15">
      <c r="A428" s="84" t="s">
        <v>3872</v>
      </c>
      <c r="B428" s="83">
        <v>2</v>
      </c>
      <c r="C428" s="110">
        <v>0.0010352029728540317</v>
      </c>
      <c r="D428" s="83" t="s">
        <v>4145</v>
      </c>
      <c r="E428" s="83" t="b">
        <v>1</v>
      </c>
      <c r="F428" s="83" t="b">
        <v>0</v>
      </c>
      <c r="G428" s="83" t="b">
        <v>0</v>
      </c>
    </row>
    <row r="429" spans="1:7" ht="15">
      <c r="A429" s="84" t="s">
        <v>3873</v>
      </c>
      <c r="B429" s="83">
        <v>2</v>
      </c>
      <c r="C429" s="110">
        <v>0.0010352029728540317</v>
      </c>
      <c r="D429" s="83" t="s">
        <v>4145</v>
      </c>
      <c r="E429" s="83" t="b">
        <v>0</v>
      </c>
      <c r="F429" s="83" t="b">
        <v>0</v>
      </c>
      <c r="G429" s="83" t="b">
        <v>0</v>
      </c>
    </row>
    <row r="430" spans="1:7" ht="15">
      <c r="A430" s="84" t="s">
        <v>3874</v>
      </c>
      <c r="B430" s="83">
        <v>2</v>
      </c>
      <c r="C430" s="110">
        <v>0.0010352029728540317</v>
      </c>
      <c r="D430" s="83" t="s">
        <v>4145</v>
      </c>
      <c r="E430" s="83" t="b">
        <v>0</v>
      </c>
      <c r="F430" s="83" t="b">
        <v>0</v>
      </c>
      <c r="G430" s="83" t="b">
        <v>0</v>
      </c>
    </row>
    <row r="431" spans="1:7" ht="15">
      <c r="A431" s="84" t="s">
        <v>3875</v>
      </c>
      <c r="B431" s="83">
        <v>2</v>
      </c>
      <c r="C431" s="110">
        <v>0.0010352029728540317</v>
      </c>
      <c r="D431" s="83" t="s">
        <v>4145</v>
      </c>
      <c r="E431" s="83" t="b">
        <v>0</v>
      </c>
      <c r="F431" s="83" t="b">
        <v>0</v>
      </c>
      <c r="G431" s="83" t="b">
        <v>0</v>
      </c>
    </row>
    <row r="432" spans="1:7" ht="15">
      <c r="A432" s="84" t="s">
        <v>3876</v>
      </c>
      <c r="B432" s="83">
        <v>2</v>
      </c>
      <c r="C432" s="110">
        <v>0.0010352029728540317</v>
      </c>
      <c r="D432" s="83" t="s">
        <v>4145</v>
      </c>
      <c r="E432" s="83" t="b">
        <v>0</v>
      </c>
      <c r="F432" s="83" t="b">
        <v>0</v>
      </c>
      <c r="G432" s="83" t="b">
        <v>0</v>
      </c>
    </row>
    <row r="433" spans="1:7" ht="15">
      <c r="A433" s="84" t="s">
        <v>3877</v>
      </c>
      <c r="B433" s="83">
        <v>2</v>
      </c>
      <c r="C433" s="110">
        <v>0.0010352029728540317</v>
      </c>
      <c r="D433" s="83" t="s">
        <v>4145</v>
      </c>
      <c r="E433" s="83" t="b">
        <v>1</v>
      </c>
      <c r="F433" s="83" t="b">
        <v>0</v>
      </c>
      <c r="G433" s="83" t="b">
        <v>0</v>
      </c>
    </row>
    <row r="434" spans="1:7" ht="15">
      <c r="A434" s="84" t="s">
        <v>3878</v>
      </c>
      <c r="B434" s="83">
        <v>2</v>
      </c>
      <c r="C434" s="110">
        <v>0.0010352029728540317</v>
      </c>
      <c r="D434" s="83" t="s">
        <v>4145</v>
      </c>
      <c r="E434" s="83" t="b">
        <v>0</v>
      </c>
      <c r="F434" s="83" t="b">
        <v>0</v>
      </c>
      <c r="G434" s="83" t="b">
        <v>0</v>
      </c>
    </row>
    <row r="435" spans="1:7" ht="15">
      <c r="A435" s="84" t="s">
        <v>3879</v>
      </c>
      <c r="B435" s="83">
        <v>2</v>
      </c>
      <c r="C435" s="110">
        <v>0.0010352029728540317</v>
      </c>
      <c r="D435" s="83" t="s">
        <v>4145</v>
      </c>
      <c r="E435" s="83" t="b">
        <v>0</v>
      </c>
      <c r="F435" s="83" t="b">
        <v>0</v>
      </c>
      <c r="G435" s="83" t="b">
        <v>0</v>
      </c>
    </row>
    <row r="436" spans="1:7" ht="15">
      <c r="A436" s="84" t="s">
        <v>3880</v>
      </c>
      <c r="B436" s="83">
        <v>2</v>
      </c>
      <c r="C436" s="110">
        <v>0.0010352029728540317</v>
      </c>
      <c r="D436" s="83" t="s">
        <v>4145</v>
      </c>
      <c r="E436" s="83" t="b">
        <v>0</v>
      </c>
      <c r="F436" s="83" t="b">
        <v>0</v>
      </c>
      <c r="G436" s="83" t="b">
        <v>0</v>
      </c>
    </row>
    <row r="437" spans="1:7" ht="15">
      <c r="A437" s="84" t="s">
        <v>3881</v>
      </c>
      <c r="B437" s="83">
        <v>2</v>
      </c>
      <c r="C437" s="110">
        <v>0.0010352029728540317</v>
      </c>
      <c r="D437" s="83" t="s">
        <v>4145</v>
      </c>
      <c r="E437" s="83" t="b">
        <v>1</v>
      </c>
      <c r="F437" s="83" t="b">
        <v>0</v>
      </c>
      <c r="G437" s="83" t="b">
        <v>0</v>
      </c>
    </row>
    <row r="438" spans="1:7" ht="15">
      <c r="A438" s="84" t="s">
        <v>3882</v>
      </c>
      <c r="B438" s="83">
        <v>2</v>
      </c>
      <c r="C438" s="110">
        <v>0.0010352029728540317</v>
      </c>
      <c r="D438" s="83" t="s">
        <v>4145</v>
      </c>
      <c r="E438" s="83" t="b">
        <v>0</v>
      </c>
      <c r="F438" s="83" t="b">
        <v>0</v>
      </c>
      <c r="G438" s="83" t="b">
        <v>0</v>
      </c>
    </row>
    <row r="439" spans="1:7" ht="15">
      <c r="A439" s="84" t="s">
        <v>3883</v>
      </c>
      <c r="B439" s="83">
        <v>2</v>
      </c>
      <c r="C439" s="110">
        <v>0.0010352029728540317</v>
      </c>
      <c r="D439" s="83" t="s">
        <v>4145</v>
      </c>
      <c r="E439" s="83" t="b">
        <v>0</v>
      </c>
      <c r="F439" s="83" t="b">
        <v>0</v>
      </c>
      <c r="G439" s="83" t="b">
        <v>0</v>
      </c>
    </row>
    <row r="440" spans="1:7" ht="15">
      <c r="A440" s="84" t="s">
        <v>3884</v>
      </c>
      <c r="B440" s="83">
        <v>2</v>
      </c>
      <c r="C440" s="110">
        <v>0.0010352029728540317</v>
      </c>
      <c r="D440" s="83" t="s">
        <v>4145</v>
      </c>
      <c r="E440" s="83" t="b">
        <v>0</v>
      </c>
      <c r="F440" s="83" t="b">
        <v>0</v>
      </c>
      <c r="G440" s="83" t="b">
        <v>0</v>
      </c>
    </row>
    <row r="441" spans="1:7" ht="15">
      <c r="A441" s="84" t="s">
        <v>3885</v>
      </c>
      <c r="B441" s="83">
        <v>2</v>
      </c>
      <c r="C441" s="110">
        <v>0.0010352029728540317</v>
      </c>
      <c r="D441" s="83" t="s">
        <v>4145</v>
      </c>
      <c r="E441" s="83" t="b">
        <v>0</v>
      </c>
      <c r="F441" s="83" t="b">
        <v>0</v>
      </c>
      <c r="G441" s="83" t="b">
        <v>0</v>
      </c>
    </row>
    <row r="442" spans="1:7" ht="15">
      <c r="A442" s="84" t="s">
        <v>3886</v>
      </c>
      <c r="B442" s="83">
        <v>2</v>
      </c>
      <c r="C442" s="110">
        <v>0.0010352029728540317</v>
      </c>
      <c r="D442" s="83" t="s">
        <v>4145</v>
      </c>
      <c r="E442" s="83" t="b">
        <v>0</v>
      </c>
      <c r="F442" s="83" t="b">
        <v>0</v>
      </c>
      <c r="G442" s="83" t="b">
        <v>0</v>
      </c>
    </row>
    <row r="443" spans="1:7" ht="15">
      <c r="A443" s="84" t="s">
        <v>3887</v>
      </c>
      <c r="B443" s="83">
        <v>2</v>
      </c>
      <c r="C443" s="110">
        <v>0.0010352029728540317</v>
      </c>
      <c r="D443" s="83" t="s">
        <v>4145</v>
      </c>
      <c r="E443" s="83" t="b">
        <v>0</v>
      </c>
      <c r="F443" s="83" t="b">
        <v>0</v>
      </c>
      <c r="G443" s="83" t="b">
        <v>0</v>
      </c>
    </row>
    <row r="444" spans="1:7" ht="15">
      <c r="A444" s="84" t="s">
        <v>3888</v>
      </c>
      <c r="B444" s="83">
        <v>2</v>
      </c>
      <c r="C444" s="110">
        <v>0.0011543048504658938</v>
      </c>
      <c r="D444" s="83" t="s">
        <v>4145</v>
      </c>
      <c r="E444" s="83" t="b">
        <v>0</v>
      </c>
      <c r="F444" s="83" t="b">
        <v>0</v>
      </c>
      <c r="G444" s="83" t="b">
        <v>0</v>
      </c>
    </row>
    <row r="445" spans="1:7" ht="15">
      <c r="A445" s="84" t="s">
        <v>3889</v>
      </c>
      <c r="B445" s="83">
        <v>2</v>
      </c>
      <c r="C445" s="110">
        <v>0.0010352029728540317</v>
      </c>
      <c r="D445" s="83" t="s">
        <v>4145</v>
      </c>
      <c r="E445" s="83" t="b">
        <v>0</v>
      </c>
      <c r="F445" s="83" t="b">
        <v>0</v>
      </c>
      <c r="G445" s="83" t="b">
        <v>0</v>
      </c>
    </row>
    <row r="446" spans="1:7" ht="15">
      <c r="A446" s="84" t="s">
        <v>3890</v>
      </c>
      <c r="B446" s="83">
        <v>2</v>
      </c>
      <c r="C446" s="110">
        <v>0.0011543048504658938</v>
      </c>
      <c r="D446" s="83" t="s">
        <v>4145</v>
      </c>
      <c r="E446" s="83" t="b">
        <v>0</v>
      </c>
      <c r="F446" s="83" t="b">
        <v>0</v>
      </c>
      <c r="G446" s="83" t="b">
        <v>0</v>
      </c>
    </row>
    <row r="447" spans="1:7" ht="15">
      <c r="A447" s="84" t="s">
        <v>3891</v>
      </c>
      <c r="B447" s="83">
        <v>2</v>
      </c>
      <c r="C447" s="110">
        <v>0.0011543048504658938</v>
      </c>
      <c r="D447" s="83" t="s">
        <v>4145</v>
      </c>
      <c r="E447" s="83" t="b">
        <v>0</v>
      </c>
      <c r="F447" s="83" t="b">
        <v>0</v>
      </c>
      <c r="G447" s="83" t="b">
        <v>0</v>
      </c>
    </row>
    <row r="448" spans="1:7" ht="15">
      <c r="A448" s="84" t="s">
        <v>3892</v>
      </c>
      <c r="B448" s="83">
        <v>2</v>
      </c>
      <c r="C448" s="110">
        <v>0.0011543048504658938</v>
      </c>
      <c r="D448" s="83" t="s">
        <v>4145</v>
      </c>
      <c r="E448" s="83" t="b">
        <v>0</v>
      </c>
      <c r="F448" s="83" t="b">
        <v>0</v>
      </c>
      <c r="G448" s="83" t="b">
        <v>0</v>
      </c>
    </row>
    <row r="449" spans="1:7" ht="15">
      <c r="A449" s="84" t="s">
        <v>3893</v>
      </c>
      <c r="B449" s="83">
        <v>2</v>
      </c>
      <c r="C449" s="110">
        <v>0.0011543048504658938</v>
      </c>
      <c r="D449" s="83" t="s">
        <v>4145</v>
      </c>
      <c r="E449" s="83" t="b">
        <v>0</v>
      </c>
      <c r="F449" s="83" t="b">
        <v>0</v>
      </c>
      <c r="G449" s="83" t="b">
        <v>0</v>
      </c>
    </row>
    <row r="450" spans="1:7" ht="15">
      <c r="A450" s="84" t="s">
        <v>3894</v>
      </c>
      <c r="B450" s="83">
        <v>2</v>
      </c>
      <c r="C450" s="110">
        <v>0.0011543048504658938</v>
      </c>
      <c r="D450" s="83" t="s">
        <v>4145</v>
      </c>
      <c r="E450" s="83" t="b">
        <v>0</v>
      </c>
      <c r="F450" s="83" t="b">
        <v>0</v>
      </c>
      <c r="G450" s="83" t="b">
        <v>0</v>
      </c>
    </row>
    <row r="451" spans="1:7" ht="15">
      <c r="A451" s="84" t="s">
        <v>3895</v>
      </c>
      <c r="B451" s="83">
        <v>2</v>
      </c>
      <c r="C451" s="110">
        <v>0.0010352029728540317</v>
      </c>
      <c r="D451" s="83" t="s">
        <v>4145</v>
      </c>
      <c r="E451" s="83" t="b">
        <v>0</v>
      </c>
      <c r="F451" s="83" t="b">
        <v>0</v>
      </c>
      <c r="G451" s="83" t="b">
        <v>0</v>
      </c>
    </row>
    <row r="452" spans="1:7" ht="15">
      <c r="A452" s="84" t="s">
        <v>3896</v>
      </c>
      <c r="B452" s="83">
        <v>2</v>
      </c>
      <c r="C452" s="110">
        <v>0.0011543048504658938</v>
      </c>
      <c r="D452" s="83" t="s">
        <v>4145</v>
      </c>
      <c r="E452" s="83" t="b">
        <v>0</v>
      </c>
      <c r="F452" s="83" t="b">
        <v>0</v>
      </c>
      <c r="G452" s="83" t="b">
        <v>0</v>
      </c>
    </row>
    <row r="453" spans="1:7" ht="15">
      <c r="A453" s="84" t="s">
        <v>3897</v>
      </c>
      <c r="B453" s="83">
        <v>2</v>
      </c>
      <c r="C453" s="110">
        <v>0.0011543048504658938</v>
      </c>
      <c r="D453" s="83" t="s">
        <v>4145</v>
      </c>
      <c r="E453" s="83" t="b">
        <v>0</v>
      </c>
      <c r="F453" s="83" t="b">
        <v>0</v>
      </c>
      <c r="G453" s="83" t="b">
        <v>0</v>
      </c>
    </row>
    <row r="454" spans="1:7" ht="15">
      <c r="A454" s="84" t="s">
        <v>3898</v>
      </c>
      <c r="B454" s="83">
        <v>2</v>
      </c>
      <c r="C454" s="110">
        <v>0.0011543048504658938</v>
      </c>
      <c r="D454" s="83" t="s">
        <v>4145</v>
      </c>
      <c r="E454" s="83" t="b">
        <v>0</v>
      </c>
      <c r="F454" s="83" t="b">
        <v>0</v>
      </c>
      <c r="G454" s="83" t="b">
        <v>0</v>
      </c>
    </row>
    <row r="455" spans="1:7" ht="15">
      <c r="A455" s="84" t="s">
        <v>3899</v>
      </c>
      <c r="B455" s="83">
        <v>2</v>
      </c>
      <c r="C455" s="110">
        <v>0.0010352029728540317</v>
      </c>
      <c r="D455" s="83" t="s">
        <v>4145</v>
      </c>
      <c r="E455" s="83" t="b">
        <v>0</v>
      </c>
      <c r="F455" s="83" t="b">
        <v>0</v>
      </c>
      <c r="G455" s="83" t="b">
        <v>0</v>
      </c>
    </row>
    <row r="456" spans="1:7" ht="15">
      <c r="A456" s="84" t="s">
        <v>3900</v>
      </c>
      <c r="B456" s="83">
        <v>2</v>
      </c>
      <c r="C456" s="110">
        <v>0.0011543048504658938</v>
      </c>
      <c r="D456" s="83" t="s">
        <v>4145</v>
      </c>
      <c r="E456" s="83" t="b">
        <v>0</v>
      </c>
      <c r="F456" s="83" t="b">
        <v>0</v>
      </c>
      <c r="G456" s="83" t="b">
        <v>0</v>
      </c>
    </row>
    <row r="457" spans="1:7" ht="15">
      <c r="A457" s="84" t="s">
        <v>3901</v>
      </c>
      <c r="B457" s="83">
        <v>2</v>
      </c>
      <c r="C457" s="110">
        <v>0.0011543048504658938</v>
      </c>
      <c r="D457" s="83" t="s">
        <v>4145</v>
      </c>
      <c r="E457" s="83" t="b">
        <v>0</v>
      </c>
      <c r="F457" s="83" t="b">
        <v>0</v>
      </c>
      <c r="G457" s="83" t="b">
        <v>0</v>
      </c>
    </row>
    <row r="458" spans="1:7" ht="15">
      <c r="A458" s="84" t="s">
        <v>3902</v>
      </c>
      <c r="B458" s="83">
        <v>2</v>
      </c>
      <c r="C458" s="110">
        <v>0.0011543048504658938</v>
      </c>
      <c r="D458" s="83" t="s">
        <v>4145</v>
      </c>
      <c r="E458" s="83" t="b">
        <v>0</v>
      </c>
      <c r="F458" s="83" t="b">
        <v>0</v>
      </c>
      <c r="G458" s="83" t="b">
        <v>0</v>
      </c>
    </row>
    <row r="459" spans="1:7" ht="15">
      <c r="A459" s="84" t="s">
        <v>3903</v>
      </c>
      <c r="B459" s="83">
        <v>2</v>
      </c>
      <c r="C459" s="110">
        <v>0.0011543048504658938</v>
      </c>
      <c r="D459" s="83" t="s">
        <v>4145</v>
      </c>
      <c r="E459" s="83" t="b">
        <v>0</v>
      </c>
      <c r="F459" s="83" t="b">
        <v>0</v>
      </c>
      <c r="G459" s="83" t="b">
        <v>0</v>
      </c>
    </row>
    <row r="460" spans="1:7" ht="15">
      <c r="A460" s="84" t="s">
        <v>3904</v>
      </c>
      <c r="B460" s="83">
        <v>2</v>
      </c>
      <c r="C460" s="110">
        <v>0.0011543048504658938</v>
      </c>
      <c r="D460" s="83" t="s">
        <v>4145</v>
      </c>
      <c r="E460" s="83" t="b">
        <v>0</v>
      </c>
      <c r="F460" s="83" t="b">
        <v>0</v>
      </c>
      <c r="G460" s="83" t="b">
        <v>0</v>
      </c>
    </row>
    <row r="461" spans="1:7" ht="15">
      <c r="A461" s="84" t="s">
        <v>3905</v>
      </c>
      <c r="B461" s="83">
        <v>2</v>
      </c>
      <c r="C461" s="110">
        <v>0.0010352029728540317</v>
      </c>
      <c r="D461" s="83" t="s">
        <v>4145</v>
      </c>
      <c r="E461" s="83" t="b">
        <v>0</v>
      </c>
      <c r="F461" s="83" t="b">
        <v>0</v>
      </c>
      <c r="G461" s="83" t="b">
        <v>0</v>
      </c>
    </row>
    <row r="462" spans="1:7" ht="15">
      <c r="A462" s="84" t="s">
        <v>3906</v>
      </c>
      <c r="B462" s="83">
        <v>2</v>
      </c>
      <c r="C462" s="110">
        <v>0.0010352029728540317</v>
      </c>
      <c r="D462" s="83" t="s">
        <v>4145</v>
      </c>
      <c r="E462" s="83" t="b">
        <v>0</v>
      </c>
      <c r="F462" s="83" t="b">
        <v>0</v>
      </c>
      <c r="G462" s="83" t="b">
        <v>0</v>
      </c>
    </row>
    <row r="463" spans="1:7" ht="15">
      <c r="A463" s="84" t="s">
        <v>3907</v>
      </c>
      <c r="B463" s="83">
        <v>2</v>
      </c>
      <c r="C463" s="110">
        <v>0.0010352029728540317</v>
      </c>
      <c r="D463" s="83" t="s">
        <v>4145</v>
      </c>
      <c r="E463" s="83" t="b">
        <v>0</v>
      </c>
      <c r="F463" s="83" t="b">
        <v>0</v>
      </c>
      <c r="G463" s="83" t="b">
        <v>0</v>
      </c>
    </row>
    <row r="464" spans="1:7" ht="15">
      <c r="A464" s="84" t="s">
        <v>3908</v>
      </c>
      <c r="B464" s="83">
        <v>2</v>
      </c>
      <c r="C464" s="110">
        <v>0.0010352029728540317</v>
      </c>
      <c r="D464" s="83" t="s">
        <v>4145</v>
      </c>
      <c r="E464" s="83" t="b">
        <v>0</v>
      </c>
      <c r="F464" s="83" t="b">
        <v>0</v>
      </c>
      <c r="G464" s="83" t="b">
        <v>0</v>
      </c>
    </row>
    <row r="465" spans="1:7" ht="15">
      <c r="A465" s="84" t="s">
        <v>3909</v>
      </c>
      <c r="B465" s="83">
        <v>2</v>
      </c>
      <c r="C465" s="110">
        <v>0.0010352029728540317</v>
      </c>
      <c r="D465" s="83" t="s">
        <v>4145</v>
      </c>
      <c r="E465" s="83" t="b">
        <v>0</v>
      </c>
      <c r="F465" s="83" t="b">
        <v>0</v>
      </c>
      <c r="G465" s="83" t="b">
        <v>0</v>
      </c>
    </row>
    <row r="466" spans="1:7" ht="15">
      <c r="A466" s="84" t="s">
        <v>3910</v>
      </c>
      <c r="B466" s="83">
        <v>2</v>
      </c>
      <c r="C466" s="110">
        <v>0.0010352029728540317</v>
      </c>
      <c r="D466" s="83" t="s">
        <v>4145</v>
      </c>
      <c r="E466" s="83" t="b">
        <v>0</v>
      </c>
      <c r="F466" s="83" t="b">
        <v>0</v>
      </c>
      <c r="G466" s="83" t="b">
        <v>0</v>
      </c>
    </row>
    <row r="467" spans="1:7" ht="15">
      <c r="A467" s="84" t="s">
        <v>3911</v>
      </c>
      <c r="B467" s="83">
        <v>2</v>
      </c>
      <c r="C467" s="110">
        <v>0.0010352029728540317</v>
      </c>
      <c r="D467" s="83" t="s">
        <v>4145</v>
      </c>
      <c r="E467" s="83" t="b">
        <v>0</v>
      </c>
      <c r="F467" s="83" t="b">
        <v>0</v>
      </c>
      <c r="G467" s="83" t="b">
        <v>0</v>
      </c>
    </row>
    <row r="468" spans="1:7" ht="15">
      <c r="A468" s="84" t="s">
        <v>3912</v>
      </c>
      <c r="B468" s="83">
        <v>2</v>
      </c>
      <c r="C468" s="110">
        <v>0.0010352029728540317</v>
      </c>
      <c r="D468" s="83" t="s">
        <v>4145</v>
      </c>
      <c r="E468" s="83" t="b">
        <v>0</v>
      </c>
      <c r="F468" s="83" t="b">
        <v>0</v>
      </c>
      <c r="G468" s="83" t="b">
        <v>0</v>
      </c>
    </row>
    <row r="469" spans="1:7" ht="15">
      <c r="A469" s="84" t="s">
        <v>3913</v>
      </c>
      <c r="B469" s="83">
        <v>2</v>
      </c>
      <c r="C469" s="110">
        <v>0.0010352029728540317</v>
      </c>
      <c r="D469" s="83" t="s">
        <v>4145</v>
      </c>
      <c r="E469" s="83" t="b">
        <v>0</v>
      </c>
      <c r="F469" s="83" t="b">
        <v>0</v>
      </c>
      <c r="G469" s="83" t="b">
        <v>0</v>
      </c>
    </row>
    <row r="470" spans="1:7" ht="15">
      <c r="A470" s="84" t="s">
        <v>3914</v>
      </c>
      <c r="B470" s="83">
        <v>2</v>
      </c>
      <c r="C470" s="110">
        <v>0.0010352029728540317</v>
      </c>
      <c r="D470" s="83" t="s">
        <v>4145</v>
      </c>
      <c r="E470" s="83" t="b">
        <v>0</v>
      </c>
      <c r="F470" s="83" t="b">
        <v>0</v>
      </c>
      <c r="G470" s="83" t="b">
        <v>0</v>
      </c>
    </row>
    <row r="471" spans="1:7" ht="15">
      <c r="A471" s="84" t="s">
        <v>3915</v>
      </c>
      <c r="B471" s="83">
        <v>2</v>
      </c>
      <c r="C471" s="110">
        <v>0.0010352029728540317</v>
      </c>
      <c r="D471" s="83" t="s">
        <v>4145</v>
      </c>
      <c r="E471" s="83" t="b">
        <v>1</v>
      </c>
      <c r="F471" s="83" t="b">
        <v>0</v>
      </c>
      <c r="G471" s="83" t="b">
        <v>0</v>
      </c>
    </row>
    <row r="472" spans="1:7" ht="15">
      <c r="A472" s="84" t="s">
        <v>3916</v>
      </c>
      <c r="B472" s="83">
        <v>2</v>
      </c>
      <c r="C472" s="110">
        <v>0.0010352029728540317</v>
      </c>
      <c r="D472" s="83" t="s">
        <v>4145</v>
      </c>
      <c r="E472" s="83" t="b">
        <v>0</v>
      </c>
      <c r="F472" s="83" t="b">
        <v>0</v>
      </c>
      <c r="G472" s="83" t="b">
        <v>0</v>
      </c>
    </row>
    <row r="473" spans="1:7" ht="15">
      <c r="A473" s="84" t="s">
        <v>3917</v>
      </c>
      <c r="B473" s="83">
        <v>2</v>
      </c>
      <c r="C473" s="110">
        <v>0.0010352029728540317</v>
      </c>
      <c r="D473" s="83" t="s">
        <v>4145</v>
      </c>
      <c r="E473" s="83" t="b">
        <v>0</v>
      </c>
      <c r="F473" s="83" t="b">
        <v>0</v>
      </c>
      <c r="G473" s="83" t="b">
        <v>0</v>
      </c>
    </row>
    <row r="474" spans="1:7" ht="15">
      <c r="A474" s="84" t="s">
        <v>3918</v>
      </c>
      <c r="B474" s="83">
        <v>2</v>
      </c>
      <c r="C474" s="110">
        <v>0.0010352029728540317</v>
      </c>
      <c r="D474" s="83" t="s">
        <v>4145</v>
      </c>
      <c r="E474" s="83" t="b">
        <v>0</v>
      </c>
      <c r="F474" s="83" t="b">
        <v>0</v>
      </c>
      <c r="G474" s="83" t="b">
        <v>0</v>
      </c>
    </row>
    <row r="475" spans="1:7" ht="15">
      <c r="A475" s="84" t="s">
        <v>3919</v>
      </c>
      <c r="B475" s="83">
        <v>2</v>
      </c>
      <c r="C475" s="110">
        <v>0.0010352029728540317</v>
      </c>
      <c r="D475" s="83" t="s">
        <v>4145</v>
      </c>
      <c r="E475" s="83" t="b">
        <v>0</v>
      </c>
      <c r="F475" s="83" t="b">
        <v>0</v>
      </c>
      <c r="G475" s="83" t="b">
        <v>0</v>
      </c>
    </row>
    <row r="476" spans="1:7" ht="15">
      <c r="A476" s="84" t="s">
        <v>3920</v>
      </c>
      <c r="B476" s="83">
        <v>2</v>
      </c>
      <c r="C476" s="110">
        <v>0.0010352029728540317</v>
      </c>
      <c r="D476" s="83" t="s">
        <v>4145</v>
      </c>
      <c r="E476" s="83" t="b">
        <v>0</v>
      </c>
      <c r="F476" s="83" t="b">
        <v>0</v>
      </c>
      <c r="G476" s="83" t="b">
        <v>0</v>
      </c>
    </row>
    <row r="477" spans="1:7" ht="15">
      <c r="A477" s="84" t="s">
        <v>3921</v>
      </c>
      <c r="B477" s="83">
        <v>2</v>
      </c>
      <c r="C477" s="110">
        <v>0.0010352029728540317</v>
      </c>
      <c r="D477" s="83" t="s">
        <v>4145</v>
      </c>
      <c r="E477" s="83" t="b">
        <v>0</v>
      </c>
      <c r="F477" s="83" t="b">
        <v>0</v>
      </c>
      <c r="G477" s="83" t="b">
        <v>0</v>
      </c>
    </row>
    <row r="478" spans="1:7" ht="15">
      <c r="A478" s="84" t="s">
        <v>3922</v>
      </c>
      <c r="B478" s="83">
        <v>2</v>
      </c>
      <c r="C478" s="110">
        <v>0.0010352029728540317</v>
      </c>
      <c r="D478" s="83" t="s">
        <v>4145</v>
      </c>
      <c r="E478" s="83" t="b">
        <v>0</v>
      </c>
      <c r="F478" s="83" t="b">
        <v>0</v>
      </c>
      <c r="G478" s="83" t="b">
        <v>0</v>
      </c>
    </row>
    <row r="479" spans="1:7" ht="15">
      <c r="A479" s="84" t="s">
        <v>3923</v>
      </c>
      <c r="B479" s="83">
        <v>2</v>
      </c>
      <c r="C479" s="110">
        <v>0.0010352029728540317</v>
      </c>
      <c r="D479" s="83" t="s">
        <v>4145</v>
      </c>
      <c r="E479" s="83" t="b">
        <v>0</v>
      </c>
      <c r="F479" s="83" t="b">
        <v>0</v>
      </c>
      <c r="G479" s="83" t="b">
        <v>0</v>
      </c>
    </row>
    <row r="480" spans="1:7" ht="15">
      <c r="A480" s="84" t="s">
        <v>3924</v>
      </c>
      <c r="B480" s="83">
        <v>2</v>
      </c>
      <c r="C480" s="110">
        <v>0.0010352029728540317</v>
      </c>
      <c r="D480" s="83" t="s">
        <v>4145</v>
      </c>
      <c r="E480" s="83" t="b">
        <v>0</v>
      </c>
      <c r="F480" s="83" t="b">
        <v>0</v>
      </c>
      <c r="G480" s="83" t="b">
        <v>0</v>
      </c>
    </row>
    <row r="481" spans="1:7" ht="15">
      <c r="A481" s="84" t="s">
        <v>3925</v>
      </c>
      <c r="B481" s="83">
        <v>2</v>
      </c>
      <c r="C481" s="110">
        <v>0.0010352029728540317</v>
      </c>
      <c r="D481" s="83" t="s">
        <v>4145</v>
      </c>
      <c r="E481" s="83" t="b">
        <v>1</v>
      </c>
      <c r="F481" s="83" t="b">
        <v>0</v>
      </c>
      <c r="G481" s="83" t="b">
        <v>0</v>
      </c>
    </row>
    <row r="482" spans="1:7" ht="15">
      <c r="A482" s="84" t="s">
        <v>3926</v>
      </c>
      <c r="B482" s="83">
        <v>2</v>
      </c>
      <c r="C482" s="110">
        <v>0.0010352029728540317</v>
      </c>
      <c r="D482" s="83" t="s">
        <v>4145</v>
      </c>
      <c r="E482" s="83" t="b">
        <v>1</v>
      </c>
      <c r="F482" s="83" t="b">
        <v>0</v>
      </c>
      <c r="G482" s="83" t="b">
        <v>0</v>
      </c>
    </row>
    <row r="483" spans="1:7" ht="15">
      <c r="A483" s="84" t="s">
        <v>3927</v>
      </c>
      <c r="B483" s="83">
        <v>2</v>
      </c>
      <c r="C483" s="110">
        <v>0.0010352029728540317</v>
      </c>
      <c r="D483" s="83" t="s">
        <v>4145</v>
      </c>
      <c r="E483" s="83" t="b">
        <v>0</v>
      </c>
      <c r="F483" s="83" t="b">
        <v>0</v>
      </c>
      <c r="G483" s="83" t="b">
        <v>0</v>
      </c>
    </row>
    <row r="484" spans="1:7" ht="15">
      <c r="A484" s="84" t="s">
        <v>3928</v>
      </c>
      <c r="B484" s="83">
        <v>2</v>
      </c>
      <c r="C484" s="110">
        <v>0.0010352029728540317</v>
      </c>
      <c r="D484" s="83" t="s">
        <v>4145</v>
      </c>
      <c r="E484" s="83" t="b">
        <v>0</v>
      </c>
      <c r="F484" s="83" t="b">
        <v>0</v>
      </c>
      <c r="G484" s="83" t="b">
        <v>0</v>
      </c>
    </row>
    <row r="485" spans="1:7" ht="15">
      <c r="A485" s="84" t="s">
        <v>3929</v>
      </c>
      <c r="B485" s="83">
        <v>2</v>
      </c>
      <c r="C485" s="110">
        <v>0.0010352029728540317</v>
      </c>
      <c r="D485" s="83" t="s">
        <v>4145</v>
      </c>
      <c r="E485" s="83" t="b">
        <v>0</v>
      </c>
      <c r="F485" s="83" t="b">
        <v>0</v>
      </c>
      <c r="G485" s="83" t="b">
        <v>0</v>
      </c>
    </row>
    <row r="486" spans="1:7" ht="15">
      <c r="A486" s="84" t="s">
        <v>3930</v>
      </c>
      <c r="B486" s="83">
        <v>2</v>
      </c>
      <c r="C486" s="110">
        <v>0.0010352029728540317</v>
      </c>
      <c r="D486" s="83" t="s">
        <v>4145</v>
      </c>
      <c r="E486" s="83" t="b">
        <v>0</v>
      </c>
      <c r="F486" s="83" t="b">
        <v>0</v>
      </c>
      <c r="G486" s="83" t="b">
        <v>0</v>
      </c>
    </row>
    <row r="487" spans="1:7" ht="15">
      <c r="A487" s="84" t="s">
        <v>3931</v>
      </c>
      <c r="B487" s="83">
        <v>2</v>
      </c>
      <c r="C487" s="110">
        <v>0.0010352029728540317</v>
      </c>
      <c r="D487" s="83" t="s">
        <v>4145</v>
      </c>
      <c r="E487" s="83" t="b">
        <v>0</v>
      </c>
      <c r="F487" s="83" t="b">
        <v>0</v>
      </c>
      <c r="G487" s="83" t="b">
        <v>0</v>
      </c>
    </row>
    <row r="488" spans="1:7" ht="15">
      <c r="A488" s="84" t="s">
        <v>3932</v>
      </c>
      <c r="B488" s="83">
        <v>2</v>
      </c>
      <c r="C488" s="110">
        <v>0.0010352029728540317</v>
      </c>
      <c r="D488" s="83" t="s">
        <v>4145</v>
      </c>
      <c r="E488" s="83" t="b">
        <v>0</v>
      </c>
      <c r="F488" s="83" t="b">
        <v>0</v>
      </c>
      <c r="G488" s="83" t="b">
        <v>0</v>
      </c>
    </row>
    <row r="489" spans="1:7" ht="15">
      <c r="A489" s="84" t="s">
        <v>3933</v>
      </c>
      <c r="B489" s="83">
        <v>2</v>
      </c>
      <c r="C489" s="110">
        <v>0.0010352029728540317</v>
      </c>
      <c r="D489" s="83" t="s">
        <v>4145</v>
      </c>
      <c r="E489" s="83" t="b">
        <v>0</v>
      </c>
      <c r="F489" s="83" t="b">
        <v>0</v>
      </c>
      <c r="G489" s="83" t="b">
        <v>0</v>
      </c>
    </row>
    <row r="490" spans="1:7" ht="15">
      <c r="A490" s="84" t="s">
        <v>3934</v>
      </c>
      <c r="B490" s="83">
        <v>2</v>
      </c>
      <c r="C490" s="110">
        <v>0.0010352029728540317</v>
      </c>
      <c r="D490" s="83" t="s">
        <v>4145</v>
      </c>
      <c r="E490" s="83" t="b">
        <v>0</v>
      </c>
      <c r="F490" s="83" t="b">
        <v>0</v>
      </c>
      <c r="G490" s="83" t="b">
        <v>0</v>
      </c>
    </row>
    <row r="491" spans="1:7" ht="15">
      <c r="A491" s="84" t="s">
        <v>3935</v>
      </c>
      <c r="B491" s="83">
        <v>2</v>
      </c>
      <c r="C491" s="110">
        <v>0.0010352029728540317</v>
      </c>
      <c r="D491" s="83" t="s">
        <v>4145</v>
      </c>
      <c r="E491" s="83" t="b">
        <v>0</v>
      </c>
      <c r="F491" s="83" t="b">
        <v>0</v>
      </c>
      <c r="G491" s="83" t="b">
        <v>0</v>
      </c>
    </row>
    <row r="492" spans="1:7" ht="15">
      <c r="A492" s="84" t="s">
        <v>3936</v>
      </c>
      <c r="B492" s="83">
        <v>2</v>
      </c>
      <c r="C492" s="110">
        <v>0.0010352029728540317</v>
      </c>
      <c r="D492" s="83" t="s">
        <v>4145</v>
      </c>
      <c r="E492" s="83" t="b">
        <v>0</v>
      </c>
      <c r="F492" s="83" t="b">
        <v>0</v>
      </c>
      <c r="G492" s="83" t="b">
        <v>0</v>
      </c>
    </row>
    <row r="493" spans="1:7" ht="15">
      <c r="A493" s="84" t="s">
        <v>3937</v>
      </c>
      <c r="B493" s="83">
        <v>2</v>
      </c>
      <c r="C493" s="110">
        <v>0.0010352029728540317</v>
      </c>
      <c r="D493" s="83" t="s">
        <v>4145</v>
      </c>
      <c r="E493" s="83" t="b">
        <v>0</v>
      </c>
      <c r="F493" s="83" t="b">
        <v>0</v>
      </c>
      <c r="G493" s="83" t="b">
        <v>0</v>
      </c>
    </row>
    <row r="494" spans="1:7" ht="15">
      <c r="A494" s="84" t="s">
        <v>3938</v>
      </c>
      <c r="B494" s="83">
        <v>2</v>
      </c>
      <c r="C494" s="110">
        <v>0.0010352029728540317</v>
      </c>
      <c r="D494" s="83" t="s">
        <v>4145</v>
      </c>
      <c r="E494" s="83" t="b">
        <v>1</v>
      </c>
      <c r="F494" s="83" t="b">
        <v>0</v>
      </c>
      <c r="G494" s="83" t="b">
        <v>0</v>
      </c>
    </row>
    <row r="495" spans="1:7" ht="15">
      <c r="A495" s="84" t="s">
        <v>3939</v>
      </c>
      <c r="B495" s="83">
        <v>2</v>
      </c>
      <c r="C495" s="110">
        <v>0.0010352029728540317</v>
      </c>
      <c r="D495" s="83" t="s">
        <v>4145</v>
      </c>
      <c r="E495" s="83" t="b">
        <v>0</v>
      </c>
      <c r="F495" s="83" t="b">
        <v>0</v>
      </c>
      <c r="G495" s="83" t="b">
        <v>0</v>
      </c>
    </row>
    <row r="496" spans="1:7" ht="15">
      <c r="A496" s="84" t="s">
        <v>3940</v>
      </c>
      <c r="B496" s="83">
        <v>2</v>
      </c>
      <c r="C496" s="110">
        <v>0.0010352029728540317</v>
      </c>
      <c r="D496" s="83" t="s">
        <v>4145</v>
      </c>
      <c r="E496" s="83" t="b">
        <v>0</v>
      </c>
      <c r="F496" s="83" t="b">
        <v>0</v>
      </c>
      <c r="G496" s="83" t="b">
        <v>0</v>
      </c>
    </row>
    <row r="497" spans="1:7" ht="15">
      <c r="A497" s="84" t="s">
        <v>3941</v>
      </c>
      <c r="B497" s="83">
        <v>2</v>
      </c>
      <c r="C497" s="110">
        <v>0.0010352029728540317</v>
      </c>
      <c r="D497" s="83" t="s">
        <v>4145</v>
      </c>
      <c r="E497" s="83" t="b">
        <v>0</v>
      </c>
      <c r="F497" s="83" t="b">
        <v>0</v>
      </c>
      <c r="G497" s="83" t="b">
        <v>0</v>
      </c>
    </row>
    <row r="498" spans="1:7" ht="15">
      <c r="A498" s="84" t="s">
        <v>3942</v>
      </c>
      <c r="B498" s="83">
        <v>2</v>
      </c>
      <c r="C498" s="110">
        <v>0.0010352029728540317</v>
      </c>
      <c r="D498" s="83" t="s">
        <v>4145</v>
      </c>
      <c r="E498" s="83" t="b">
        <v>0</v>
      </c>
      <c r="F498" s="83" t="b">
        <v>0</v>
      </c>
      <c r="G498" s="83" t="b">
        <v>0</v>
      </c>
    </row>
    <row r="499" spans="1:7" ht="15">
      <c r="A499" s="84" t="s">
        <v>3943</v>
      </c>
      <c r="B499" s="83">
        <v>2</v>
      </c>
      <c r="C499" s="110">
        <v>0.0011543048504658938</v>
      </c>
      <c r="D499" s="83" t="s">
        <v>4145</v>
      </c>
      <c r="E499" s="83" t="b">
        <v>0</v>
      </c>
      <c r="F499" s="83" t="b">
        <v>0</v>
      </c>
      <c r="G499" s="83" t="b">
        <v>0</v>
      </c>
    </row>
    <row r="500" spans="1:7" ht="15">
      <c r="A500" s="84" t="s">
        <v>3944</v>
      </c>
      <c r="B500" s="83">
        <v>2</v>
      </c>
      <c r="C500" s="110">
        <v>0.0011543048504658938</v>
      </c>
      <c r="D500" s="83" t="s">
        <v>4145</v>
      </c>
      <c r="E500" s="83" t="b">
        <v>0</v>
      </c>
      <c r="F500" s="83" t="b">
        <v>0</v>
      </c>
      <c r="G500" s="83" t="b">
        <v>0</v>
      </c>
    </row>
    <row r="501" spans="1:7" ht="15">
      <c r="A501" s="84" t="s">
        <v>3945</v>
      </c>
      <c r="B501" s="83">
        <v>2</v>
      </c>
      <c r="C501" s="110">
        <v>0.0010352029728540317</v>
      </c>
      <c r="D501" s="83" t="s">
        <v>4145</v>
      </c>
      <c r="E501" s="83" t="b">
        <v>0</v>
      </c>
      <c r="F501" s="83" t="b">
        <v>0</v>
      </c>
      <c r="G501" s="83" t="b">
        <v>0</v>
      </c>
    </row>
    <row r="502" spans="1:7" ht="15">
      <c r="A502" s="84" t="s">
        <v>3946</v>
      </c>
      <c r="B502" s="83">
        <v>2</v>
      </c>
      <c r="C502" s="110">
        <v>0.0010352029728540317</v>
      </c>
      <c r="D502" s="83" t="s">
        <v>4145</v>
      </c>
      <c r="E502" s="83" t="b">
        <v>0</v>
      </c>
      <c r="F502" s="83" t="b">
        <v>0</v>
      </c>
      <c r="G502" s="83" t="b">
        <v>0</v>
      </c>
    </row>
    <row r="503" spans="1:7" ht="15">
      <c r="A503" s="84" t="s">
        <v>3947</v>
      </c>
      <c r="B503" s="83">
        <v>2</v>
      </c>
      <c r="C503" s="110">
        <v>0.0010352029728540317</v>
      </c>
      <c r="D503" s="83" t="s">
        <v>4145</v>
      </c>
      <c r="E503" s="83" t="b">
        <v>0</v>
      </c>
      <c r="F503" s="83" t="b">
        <v>0</v>
      </c>
      <c r="G503" s="83" t="b">
        <v>0</v>
      </c>
    </row>
    <row r="504" spans="1:7" ht="15">
      <c r="A504" s="84" t="s">
        <v>3948</v>
      </c>
      <c r="B504" s="83">
        <v>2</v>
      </c>
      <c r="C504" s="110">
        <v>0.0010352029728540317</v>
      </c>
      <c r="D504" s="83" t="s">
        <v>4145</v>
      </c>
      <c r="E504" s="83" t="b">
        <v>0</v>
      </c>
      <c r="F504" s="83" t="b">
        <v>0</v>
      </c>
      <c r="G504" s="83" t="b">
        <v>0</v>
      </c>
    </row>
    <row r="505" spans="1:7" ht="15">
      <c r="A505" s="84" t="s">
        <v>3949</v>
      </c>
      <c r="B505" s="83">
        <v>2</v>
      </c>
      <c r="C505" s="110">
        <v>0.0010352029728540317</v>
      </c>
      <c r="D505" s="83" t="s">
        <v>4145</v>
      </c>
      <c r="E505" s="83" t="b">
        <v>0</v>
      </c>
      <c r="F505" s="83" t="b">
        <v>0</v>
      </c>
      <c r="G505" s="83" t="b">
        <v>0</v>
      </c>
    </row>
    <row r="506" spans="1:7" ht="15">
      <c r="A506" s="84" t="s">
        <v>3950</v>
      </c>
      <c r="B506" s="83">
        <v>2</v>
      </c>
      <c r="C506" s="110">
        <v>0.0010352029728540317</v>
      </c>
      <c r="D506" s="83" t="s">
        <v>4145</v>
      </c>
      <c r="E506" s="83" t="b">
        <v>0</v>
      </c>
      <c r="F506" s="83" t="b">
        <v>0</v>
      </c>
      <c r="G506" s="83" t="b">
        <v>0</v>
      </c>
    </row>
    <row r="507" spans="1:7" ht="15">
      <c r="A507" s="84" t="s">
        <v>3951</v>
      </c>
      <c r="B507" s="83">
        <v>2</v>
      </c>
      <c r="C507" s="110">
        <v>0.0010352029728540317</v>
      </c>
      <c r="D507" s="83" t="s">
        <v>4145</v>
      </c>
      <c r="E507" s="83" t="b">
        <v>0</v>
      </c>
      <c r="F507" s="83" t="b">
        <v>0</v>
      </c>
      <c r="G507" s="83" t="b">
        <v>0</v>
      </c>
    </row>
    <row r="508" spans="1:7" ht="15">
      <c r="A508" s="84" t="s">
        <v>3952</v>
      </c>
      <c r="B508" s="83">
        <v>2</v>
      </c>
      <c r="C508" s="110">
        <v>0.0010352029728540317</v>
      </c>
      <c r="D508" s="83" t="s">
        <v>4145</v>
      </c>
      <c r="E508" s="83" t="b">
        <v>0</v>
      </c>
      <c r="F508" s="83" t="b">
        <v>0</v>
      </c>
      <c r="G508" s="83" t="b">
        <v>0</v>
      </c>
    </row>
    <row r="509" spans="1:7" ht="15">
      <c r="A509" s="84" t="s">
        <v>3953</v>
      </c>
      <c r="B509" s="83">
        <v>2</v>
      </c>
      <c r="C509" s="110">
        <v>0.0010352029728540317</v>
      </c>
      <c r="D509" s="83" t="s">
        <v>4145</v>
      </c>
      <c r="E509" s="83" t="b">
        <v>0</v>
      </c>
      <c r="F509" s="83" t="b">
        <v>0</v>
      </c>
      <c r="G509" s="83" t="b">
        <v>0</v>
      </c>
    </row>
    <row r="510" spans="1:7" ht="15">
      <c r="A510" s="84" t="s">
        <v>3954</v>
      </c>
      <c r="B510" s="83">
        <v>2</v>
      </c>
      <c r="C510" s="110">
        <v>0.0010352029728540317</v>
      </c>
      <c r="D510" s="83" t="s">
        <v>4145</v>
      </c>
      <c r="E510" s="83" t="b">
        <v>0</v>
      </c>
      <c r="F510" s="83" t="b">
        <v>0</v>
      </c>
      <c r="G510" s="83" t="b">
        <v>0</v>
      </c>
    </row>
    <row r="511" spans="1:7" ht="15">
      <c r="A511" s="84" t="s">
        <v>3955</v>
      </c>
      <c r="B511" s="83">
        <v>2</v>
      </c>
      <c r="C511" s="110">
        <v>0.0010352029728540317</v>
      </c>
      <c r="D511" s="83" t="s">
        <v>4145</v>
      </c>
      <c r="E511" s="83" t="b">
        <v>0</v>
      </c>
      <c r="F511" s="83" t="b">
        <v>0</v>
      </c>
      <c r="G511" s="83" t="b">
        <v>0</v>
      </c>
    </row>
    <row r="512" spans="1:7" ht="15">
      <c r="A512" s="84" t="s">
        <v>3956</v>
      </c>
      <c r="B512" s="83">
        <v>2</v>
      </c>
      <c r="C512" s="110">
        <v>0.0010352029728540317</v>
      </c>
      <c r="D512" s="83" t="s">
        <v>4145</v>
      </c>
      <c r="E512" s="83" t="b">
        <v>0</v>
      </c>
      <c r="F512" s="83" t="b">
        <v>0</v>
      </c>
      <c r="G512" s="83" t="b">
        <v>0</v>
      </c>
    </row>
    <row r="513" spans="1:7" ht="15">
      <c r="A513" s="84" t="s">
        <v>3957</v>
      </c>
      <c r="B513" s="83">
        <v>2</v>
      </c>
      <c r="C513" s="110">
        <v>0.0010352029728540317</v>
      </c>
      <c r="D513" s="83" t="s">
        <v>4145</v>
      </c>
      <c r="E513" s="83" t="b">
        <v>0</v>
      </c>
      <c r="F513" s="83" t="b">
        <v>0</v>
      </c>
      <c r="G513" s="83" t="b">
        <v>0</v>
      </c>
    </row>
    <row r="514" spans="1:7" ht="15">
      <c r="A514" s="84" t="s">
        <v>3958</v>
      </c>
      <c r="B514" s="83">
        <v>2</v>
      </c>
      <c r="C514" s="110">
        <v>0.0010352029728540317</v>
      </c>
      <c r="D514" s="83" t="s">
        <v>4145</v>
      </c>
      <c r="E514" s="83" t="b">
        <v>0</v>
      </c>
      <c r="F514" s="83" t="b">
        <v>0</v>
      </c>
      <c r="G514" s="83" t="b">
        <v>0</v>
      </c>
    </row>
    <row r="515" spans="1:7" ht="15">
      <c r="A515" s="84" t="s">
        <v>3959</v>
      </c>
      <c r="B515" s="83">
        <v>2</v>
      </c>
      <c r="C515" s="110">
        <v>0.0010352029728540317</v>
      </c>
      <c r="D515" s="83" t="s">
        <v>4145</v>
      </c>
      <c r="E515" s="83" t="b">
        <v>0</v>
      </c>
      <c r="F515" s="83" t="b">
        <v>0</v>
      </c>
      <c r="G515" s="83" t="b">
        <v>0</v>
      </c>
    </row>
    <row r="516" spans="1:7" ht="15">
      <c r="A516" s="84" t="s">
        <v>3960</v>
      </c>
      <c r="B516" s="83">
        <v>2</v>
      </c>
      <c r="C516" s="110">
        <v>0.0010352029728540317</v>
      </c>
      <c r="D516" s="83" t="s">
        <v>4145</v>
      </c>
      <c r="E516" s="83" t="b">
        <v>0</v>
      </c>
      <c r="F516" s="83" t="b">
        <v>0</v>
      </c>
      <c r="G516" s="83" t="b">
        <v>0</v>
      </c>
    </row>
    <row r="517" spans="1:7" ht="15">
      <c r="A517" s="84" t="s">
        <v>3961</v>
      </c>
      <c r="B517" s="83">
        <v>2</v>
      </c>
      <c r="C517" s="110">
        <v>0.0010352029728540317</v>
      </c>
      <c r="D517" s="83" t="s">
        <v>4145</v>
      </c>
      <c r="E517" s="83" t="b">
        <v>0</v>
      </c>
      <c r="F517" s="83" t="b">
        <v>0</v>
      </c>
      <c r="G517" s="83" t="b">
        <v>0</v>
      </c>
    </row>
    <row r="518" spans="1:7" ht="15">
      <c r="A518" s="84" t="s">
        <v>3962</v>
      </c>
      <c r="B518" s="83">
        <v>2</v>
      </c>
      <c r="C518" s="110">
        <v>0.0010352029728540317</v>
      </c>
      <c r="D518" s="83" t="s">
        <v>4145</v>
      </c>
      <c r="E518" s="83" t="b">
        <v>0</v>
      </c>
      <c r="F518" s="83" t="b">
        <v>0</v>
      </c>
      <c r="G518" s="83" t="b">
        <v>0</v>
      </c>
    </row>
    <row r="519" spans="1:7" ht="15">
      <c r="A519" s="84" t="s">
        <v>3963</v>
      </c>
      <c r="B519" s="83">
        <v>2</v>
      </c>
      <c r="C519" s="110">
        <v>0.0010352029728540317</v>
      </c>
      <c r="D519" s="83" t="s">
        <v>4145</v>
      </c>
      <c r="E519" s="83" t="b">
        <v>0</v>
      </c>
      <c r="F519" s="83" t="b">
        <v>0</v>
      </c>
      <c r="G519" s="83" t="b">
        <v>0</v>
      </c>
    </row>
    <row r="520" spans="1:7" ht="15">
      <c r="A520" s="84" t="s">
        <v>3964</v>
      </c>
      <c r="B520" s="83">
        <v>2</v>
      </c>
      <c r="C520" s="110">
        <v>0.0010352029728540317</v>
      </c>
      <c r="D520" s="83" t="s">
        <v>4145</v>
      </c>
      <c r="E520" s="83" t="b">
        <v>0</v>
      </c>
      <c r="F520" s="83" t="b">
        <v>0</v>
      </c>
      <c r="G520" s="83" t="b">
        <v>0</v>
      </c>
    </row>
    <row r="521" spans="1:7" ht="15">
      <c r="A521" s="84" t="s">
        <v>3965</v>
      </c>
      <c r="B521" s="83">
        <v>2</v>
      </c>
      <c r="C521" s="110">
        <v>0.0010352029728540317</v>
      </c>
      <c r="D521" s="83" t="s">
        <v>4145</v>
      </c>
      <c r="E521" s="83" t="b">
        <v>0</v>
      </c>
      <c r="F521" s="83" t="b">
        <v>0</v>
      </c>
      <c r="G521" s="83" t="b">
        <v>0</v>
      </c>
    </row>
    <row r="522" spans="1:7" ht="15">
      <c r="A522" s="84" t="s">
        <v>3966</v>
      </c>
      <c r="B522" s="83">
        <v>2</v>
      </c>
      <c r="C522" s="110">
        <v>0.0011543048504658938</v>
      </c>
      <c r="D522" s="83" t="s">
        <v>4145</v>
      </c>
      <c r="E522" s="83" t="b">
        <v>0</v>
      </c>
      <c r="F522" s="83" t="b">
        <v>0</v>
      </c>
      <c r="G522" s="83" t="b">
        <v>0</v>
      </c>
    </row>
    <row r="523" spans="1:7" ht="15">
      <c r="A523" s="84" t="s">
        <v>3967</v>
      </c>
      <c r="B523" s="83">
        <v>2</v>
      </c>
      <c r="C523" s="110">
        <v>0.0010352029728540317</v>
      </c>
      <c r="D523" s="83" t="s">
        <v>4145</v>
      </c>
      <c r="E523" s="83" t="b">
        <v>0</v>
      </c>
      <c r="F523" s="83" t="b">
        <v>0</v>
      </c>
      <c r="G523" s="83" t="b">
        <v>0</v>
      </c>
    </row>
    <row r="524" spans="1:7" ht="15">
      <c r="A524" s="84" t="s">
        <v>3968</v>
      </c>
      <c r="B524" s="83">
        <v>2</v>
      </c>
      <c r="C524" s="110">
        <v>0.0010352029728540317</v>
      </c>
      <c r="D524" s="83" t="s">
        <v>4145</v>
      </c>
      <c r="E524" s="83" t="b">
        <v>0</v>
      </c>
      <c r="F524" s="83" t="b">
        <v>0</v>
      </c>
      <c r="G524" s="83" t="b">
        <v>0</v>
      </c>
    </row>
    <row r="525" spans="1:7" ht="15">
      <c r="A525" s="84" t="s">
        <v>3969</v>
      </c>
      <c r="B525" s="83">
        <v>2</v>
      </c>
      <c r="C525" s="110">
        <v>0.0011543048504658938</v>
      </c>
      <c r="D525" s="83" t="s">
        <v>4145</v>
      </c>
      <c r="E525" s="83" t="b">
        <v>0</v>
      </c>
      <c r="F525" s="83" t="b">
        <v>0</v>
      </c>
      <c r="G525" s="83" t="b">
        <v>0</v>
      </c>
    </row>
    <row r="526" spans="1:7" ht="15">
      <c r="A526" s="84" t="s">
        <v>3970</v>
      </c>
      <c r="B526" s="83">
        <v>2</v>
      </c>
      <c r="C526" s="110">
        <v>0.0010352029728540317</v>
      </c>
      <c r="D526" s="83" t="s">
        <v>4145</v>
      </c>
      <c r="E526" s="83" t="b">
        <v>0</v>
      </c>
      <c r="F526" s="83" t="b">
        <v>0</v>
      </c>
      <c r="G526" s="83" t="b">
        <v>0</v>
      </c>
    </row>
    <row r="527" spans="1:7" ht="15">
      <c r="A527" s="84" t="s">
        <v>3971</v>
      </c>
      <c r="B527" s="83">
        <v>2</v>
      </c>
      <c r="C527" s="110">
        <v>0.0010352029728540317</v>
      </c>
      <c r="D527" s="83" t="s">
        <v>4145</v>
      </c>
      <c r="E527" s="83" t="b">
        <v>0</v>
      </c>
      <c r="F527" s="83" t="b">
        <v>0</v>
      </c>
      <c r="G527" s="83" t="b">
        <v>0</v>
      </c>
    </row>
    <row r="528" spans="1:7" ht="15">
      <c r="A528" s="84" t="s">
        <v>3972</v>
      </c>
      <c r="B528" s="83">
        <v>2</v>
      </c>
      <c r="C528" s="110">
        <v>0.0010352029728540317</v>
      </c>
      <c r="D528" s="83" t="s">
        <v>4145</v>
      </c>
      <c r="E528" s="83" t="b">
        <v>0</v>
      </c>
      <c r="F528" s="83" t="b">
        <v>0</v>
      </c>
      <c r="G528" s="83" t="b">
        <v>0</v>
      </c>
    </row>
    <row r="529" spans="1:7" ht="15">
      <c r="A529" s="84" t="s">
        <v>3973</v>
      </c>
      <c r="B529" s="83">
        <v>2</v>
      </c>
      <c r="C529" s="110">
        <v>0.0010352029728540317</v>
      </c>
      <c r="D529" s="83" t="s">
        <v>4145</v>
      </c>
      <c r="E529" s="83" t="b">
        <v>0</v>
      </c>
      <c r="F529" s="83" t="b">
        <v>0</v>
      </c>
      <c r="G529" s="83" t="b">
        <v>0</v>
      </c>
    </row>
    <row r="530" spans="1:7" ht="15">
      <c r="A530" s="84" t="s">
        <v>3974</v>
      </c>
      <c r="B530" s="83">
        <v>2</v>
      </c>
      <c r="C530" s="110">
        <v>0.0010352029728540317</v>
      </c>
      <c r="D530" s="83" t="s">
        <v>4145</v>
      </c>
      <c r="E530" s="83" t="b">
        <v>0</v>
      </c>
      <c r="F530" s="83" t="b">
        <v>0</v>
      </c>
      <c r="G530" s="83" t="b">
        <v>0</v>
      </c>
    </row>
    <row r="531" spans="1:7" ht="15">
      <c r="A531" s="84" t="s">
        <v>3975</v>
      </c>
      <c r="B531" s="83">
        <v>2</v>
      </c>
      <c r="C531" s="110">
        <v>0.0010352029728540317</v>
      </c>
      <c r="D531" s="83" t="s">
        <v>4145</v>
      </c>
      <c r="E531" s="83" t="b">
        <v>0</v>
      </c>
      <c r="F531" s="83" t="b">
        <v>0</v>
      </c>
      <c r="G531" s="83" t="b">
        <v>0</v>
      </c>
    </row>
    <row r="532" spans="1:7" ht="15">
      <c r="A532" s="84" t="s">
        <v>3976</v>
      </c>
      <c r="B532" s="83">
        <v>2</v>
      </c>
      <c r="C532" s="110">
        <v>0.0010352029728540317</v>
      </c>
      <c r="D532" s="83" t="s">
        <v>4145</v>
      </c>
      <c r="E532" s="83" t="b">
        <v>0</v>
      </c>
      <c r="F532" s="83" t="b">
        <v>0</v>
      </c>
      <c r="G532" s="83" t="b">
        <v>0</v>
      </c>
    </row>
    <row r="533" spans="1:7" ht="15">
      <c r="A533" s="84" t="s">
        <v>3977</v>
      </c>
      <c r="B533" s="83">
        <v>2</v>
      </c>
      <c r="C533" s="110">
        <v>0.0010352029728540317</v>
      </c>
      <c r="D533" s="83" t="s">
        <v>4145</v>
      </c>
      <c r="E533" s="83" t="b">
        <v>0</v>
      </c>
      <c r="F533" s="83" t="b">
        <v>0</v>
      </c>
      <c r="G533" s="83" t="b">
        <v>0</v>
      </c>
    </row>
    <row r="534" spans="1:7" ht="15">
      <c r="A534" s="84" t="s">
        <v>3978</v>
      </c>
      <c r="B534" s="83">
        <v>2</v>
      </c>
      <c r="C534" s="110">
        <v>0.0010352029728540317</v>
      </c>
      <c r="D534" s="83" t="s">
        <v>4145</v>
      </c>
      <c r="E534" s="83" t="b">
        <v>0</v>
      </c>
      <c r="F534" s="83" t="b">
        <v>1</v>
      </c>
      <c r="G534" s="83" t="b">
        <v>0</v>
      </c>
    </row>
    <row r="535" spans="1:7" ht="15">
      <c r="A535" s="84" t="s">
        <v>3979</v>
      </c>
      <c r="B535" s="83">
        <v>2</v>
      </c>
      <c r="C535" s="110">
        <v>0.0010352029728540317</v>
      </c>
      <c r="D535" s="83" t="s">
        <v>4145</v>
      </c>
      <c r="E535" s="83" t="b">
        <v>0</v>
      </c>
      <c r="F535" s="83" t="b">
        <v>0</v>
      </c>
      <c r="G535" s="83" t="b">
        <v>0</v>
      </c>
    </row>
    <row r="536" spans="1:7" ht="15">
      <c r="A536" s="84" t="s">
        <v>3980</v>
      </c>
      <c r="B536" s="83">
        <v>2</v>
      </c>
      <c r="C536" s="110">
        <v>0.0010352029728540317</v>
      </c>
      <c r="D536" s="83" t="s">
        <v>4145</v>
      </c>
      <c r="E536" s="83" t="b">
        <v>0</v>
      </c>
      <c r="F536" s="83" t="b">
        <v>0</v>
      </c>
      <c r="G536" s="83" t="b">
        <v>0</v>
      </c>
    </row>
    <row r="537" spans="1:7" ht="15">
      <c r="A537" s="84" t="s">
        <v>3981</v>
      </c>
      <c r="B537" s="83">
        <v>2</v>
      </c>
      <c r="C537" s="110">
        <v>0.0010352029728540317</v>
      </c>
      <c r="D537" s="83" t="s">
        <v>4145</v>
      </c>
      <c r="E537" s="83" t="b">
        <v>0</v>
      </c>
      <c r="F537" s="83" t="b">
        <v>0</v>
      </c>
      <c r="G537" s="83" t="b">
        <v>0</v>
      </c>
    </row>
    <row r="538" spans="1:7" ht="15">
      <c r="A538" s="84" t="s">
        <v>3982</v>
      </c>
      <c r="B538" s="83">
        <v>2</v>
      </c>
      <c r="C538" s="110">
        <v>0.0011543048504658938</v>
      </c>
      <c r="D538" s="83" t="s">
        <v>4145</v>
      </c>
      <c r="E538" s="83" t="b">
        <v>0</v>
      </c>
      <c r="F538" s="83" t="b">
        <v>0</v>
      </c>
      <c r="G538" s="83" t="b">
        <v>0</v>
      </c>
    </row>
    <row r="539" spans="1:7" ht="15">
      <c r="A539" s="84" t="s">
        <v>3983</v>
      </c>
      <c r="B539" s="83">
        <v>2</v>
      </c>
      <c r="C539" s="110">
        <v>0.0011543048504658938</v>
      </c>
      <c r="D539" s="83" t="s">
        <v>4145</v>
      </c>
      <c r="E539" s="83" t="b">
        <v>0</v>
      </c>
      <c r="F539" s="83" t="b">
        <v>0</v>
      </c>
      <c r="G539" s="83" t="b">
        <v>0</v>
      </c>
    </row>
    <row r="540" spans="1:7" ht="15">
      <c r="A540" s="84" t="s">
        <v>3984</v>
      </c>
      <c r="B540" s="83">
        <v>2</v>
      </c>
      <c r="C540" s="110">
        <v>0.0010352029728540317</v>
      </c>
      <c r="D540" s="83" t="s">
        <v>4145</v>
      </c>
      <c r="E540" s="83" t="b">
        <v>0</v>
      </c>
      <c r="F540" s="83" t="b">
        <v>0</v>
      </c>
      <c r="G540" s="83" t="b">
        <v>0</v>
      </c>
    </row>
    <row r="541" spans="1:7" ht="15">
      <c r="A541" s="84" t="s">
        <v>3985</v>
      </c>
      <c r="B541" s="83">
        <v>2</v>
      </c>
      <c r="C541" s="110">
        <v>0.0010352029728540317</v>
      </c>
      <c r="D541" s="83" t="s">
        <v>4145</v>
      </c>
      <c r="E541" s="83" t="b">
        <v>0</v>
      </c>
      <c r="F541" s="83" t="b">
        <v>0</v>
      </c>
      <c r="G541" s="83" t="b">
        <v>0</v>
      </c>
    </row>
    <row r="542" spans="1:7" ht="15">
      <c r="A542" s="84" t="s">
        <v>3986</v>
      </c>
      <c r="B542" s="83">
        <v>2</v>
      </c>
      <c r="C542" s="110">
        <v>0.0010352029728540317</v>
      </c>
      <c r="D542" s="83" t="s">
        <v>4145</v>
      </c>
      <c r="E542" s="83" t="b">
        <v>0</v>
      </c>
      <c r="F542" s="83" t="b">
        <v>1</v>
      </c>
      <c r="G542" s="83" t="b">
        <v>0</v>
      </c>
    </row>
    <row r="543" spans="1:7" ht="15">
      <c r="A543" s="84" t="s">
        <v>3987</v>
      </c>
      <c r="B543" s="83">
        <v>2</v>
      </c>
      <c r="C543" s="110">
        <v>0.0010352029728540317</v>
      </c>
      <c r="D543" s="83" t="s">
        <v>4145</v>
      </c>
      <c r="E543" s="83" t="b">
        <v>0</v>
      </c>
      <c r="F543" s="83" t="b">
        <v>0</v>
      </c>
      <c r="G543" s="83" t="b">
        <v>0</v>
      </c>
    </row>
    <row r="544" spans="1:7" ht="15">
      <c r="A544" s="84" t="s">
        <v>3988</v>
      </c>
      <c r="B544" s="83">
        <v>2</v>
      </c>
      <c r="C544" s="110">
        <v>0.0010352029728540317</v>
      </c>
      <c r="D544" s="83" t="s">
        <v>4145</v>
      </c>
      <c r="E544" s="83" t="b">
        <v>0</v>
      </c>
      <c r="F544" s="83" t="b">
        <v>0</v>
      </c>
      <c r="G544" s="83" t="b">
        <v>0</v>
      </c>
    </row>
    <row r="545" spans="1:7" ht="15">
      <c r="A545" s="84" t="s">
        <v>3989</v>
      </c>
      <c r="B545" s="83">
        <v>2</v>
      </c>
      <c r="C545" s="110">
        <v>0.0011543048504658938</v>
      </c>
      <c r="D545" s="83" t="s">
        <v>4145</v>
      </c>
      <c r="E545" s="83" t="b">
        <v>0</v>
      </c>
      <c r="F545" s="83" t="b">
        <v>0</v>
      </c>
      <c r="G545" s="83" t="b">
        <v>0</v>
      </c>
    </row>
    <row r="546" spans="1:7" ht="15">
      <c r="A546" s="84" t="s">
        <v>3990</v>
      </c>
      <c r="B546" s="83">
        <v>2</v>
      </c>
      <c r="C546" s="110">
        <v>0.0010352029728540317</v>
      </c>
      <c r="D546" s="83" t="s">
        <v>4145</v>
      </c>
      <c r="E546" s="83" t="b">
        <v>0</v>
      </c>
      <c r="F546" s="83" t="b">
        <v>0</v>
      </c>
      <c r="G546" s="83" t="b">
        <v>0</v>
      </c>
    </row>
    <row r="547" spans="1:7" ht="15">
      <c r="A547" s="84" t="s">
        <v>3991</v>
      </c>
      <c r="B547" s="83">
        <v>2</v>
      </c>
      <c r="C547" s="110">
        <v>0.0010352029728540317</v>
      </c>
      <c r="D547" s="83" t="s">
        <v>4145</v>
      </c>
      <c r="E547" s="83" t="b">
        <v>0</v>
      </c>
      <c r="F547" s="83" t="b">
        <v>0</v>
      </c>
      <c r="G547" s="83" t="b">
        <v>0</v>
      </c>
    </row>
    <row r="548" spans="1:7" ht="15">
      <c r="A548" s="84" t="s">
        <v>3992</v>
      </c>
      <c r="B548" s="83">
        <v>2</v>
      </c>
      <c r="C548" s="110">
        <v>0.0010352029728540317</v>
      </c>
      <c r="D548" s="83" t="s">
        <v>4145</v>
      </c>
      <c r="E548" s="83" t="b">
        <v>0</v>
      </c>
      <c r="F548" s="83" t="b">
        <v>0</v>
      </c>
      <c r="G548" s="83" t="b">
        <v>0</v>
      </c>
    </row>
    <row r="549" spans="1:7" ht="15">
      <c r="A549" s="84" t="s">
        <v>3993</v>
      </c>
      <c r="B549" s="83">
        <v>2</v>
      </c>
      <c r="C549" s="110">
        <v>0.0010352029728540317</v>
      </c>
      <c r="D549" s="83" t="s">
        <v>4145</v>
      </c>
      <c r="E549" s="83" t="b">
        <v>0</v>
      </c>
      <c r="F549" s="83" t="b">
        <v>0</v>
      </c>
      <c r="G549" s="83" t="b">
        <v>0</v>
      </c>
    </row>
    <row r="550" spans="1:7" ht="15">
      <c r="A550" s="84" t="s">
        <v>3994</v>
      </c>
      <c r="B550" s="83">
        <v>2</v>
      </c>
      <c r="C550" s="110">
        <v>0.0010352029728540317</v>
      </c>
      <c r="D550" s="83" t="s">
        <v>4145</v>
      </c>
      <c r="E550" s="83" t="b">
        <v>0</v>
      </c>
      <c r="F550" s="83" t="b">
        <v>0</v>
      </c>
      <c r="G550" s="83" t="b">
        <v>0</v>
      </c>
    </row>
    <row r="551" spans="1:7" ht="15">
      <c r="A551" s="84" t="s">
        <v>3995</v>
      </c>
      <c r="B551" s="83">
        <v>2</v>
      </c>
      <c r="C551" s="110">
        <v>0.0010352029728540317</v>
      </c>
      <c r="D551" s="83" t="s">
        <v>4145</v>
      </c>
      <c r="E551" s="83" t="b">
        <v>0</v>
      </c>
      <c r="F551" s="83" t="b">
        <v>0</v>
      </c>
      <c r="G551" s="83" t="b">
        <v>0</v>
      </c>
    </row>
    <row r="552" spans="1:7" ht="15">
      <c r="A552" s="84" t="s">
        <v>3996</v>
      </c>
      <c r="B552" s="83">
        <v>2</v>
      </c>
      <c r="C552" s="110">
        <v>0.0010352029728540317</v>
      </c>
      <c r="D552" s="83" t="s">
        <v>4145</v>
      </c>
      <c r="E552" s="83" t="b">
        <v>0</v>
      </c>
      <c r="F552" s="83" t="b">
        <v>0</v>
      </c>
      <c r="G552" s="83" t="b">
        <v>0</v>
      </c>
    </row>
    <row r="553" spans="1:7" ht="15">
      <c r="A553" s="84" t="s">
        <v>3997</v>
      </c>
      <c r="B553" s="83">
        <v>2</v>
      </c>
      <c r="C553" s="110">
        <v>0.0010352029728540317</v>
      </c>
      <c r="D553" s="83" t="s">
        <v>4145</v>
      </c>
      <c r="E553" s="83" t="b">
        <v>0</v>
      </c>
      <c r="F553" s="83" t="b">
        <v>0</v>
      </c>
      <c r="G553" s="83" t="b">
        <v>0</v>
      </c>
    </row>
    <row r="554" spans="1:7" ht="15">
      <c r="A554" s="84" t="s">
        <v>3998</v>
      </c>
      <c r="B554" s="83">
        <v>2</v>
      </c>
      <c r="C554" s="110">
        <v>0.0010352029728540317</v>
      </c>
      <c r="D554" s="83" t="s">
        <v>4145</v>
      </c>
      <c r="E554" s="83" t="b">
        <v>0</v>
      </c>
      <c r="F554" s="83" t="b">
        <v>0</v>
      </c>
      <c r="G554" s="83" t="b">
        <v>0</v>
      </c>
    </row>
    <row r="555" spans="1:7" ht="15">
      <c r="A555" s="84" t="s">
        <v>3999</v>
      </c>
      <c r="B555" s="83">
        <v>2</v>
      </c>
      <c r="C555" s="110">
        <v>0.0010352029728540317</v>
      </c>
      <c r="D555" s="83" t="s">
        <v>4145</v>
      </c>
      <c r="E555" s="83" t="b">
        <v>0</v>
      </c>
      <c r="F555" s="83" t="b">
        <v>0</v>
      </c>
      <c r="G555" s="83" t="b">
        <v>0</v>
      </c>
    </row>
    <row r="556" spans="1:7" ht="15">
      <c r="A556" s="84" t="s">
        <v>4000</v>
      </c>
      <c r="B556" s="83">
        <v>2</v>
      </c>
      <c r="C556" s="110">
        <v>0.0010352029728540317</v>
      </c>
      <c r="D556" s="83" t="s">
        <v>4145</v>
      </c>
      <c r="E556" s="83" t="b">
        <v>0</v>
      </c>
      <c r="F556" s="83" t="b">
        <v>1</v>
      </c>
      <c r="G556" s="83" t="b">
        <v>0</v>
      </c>
    </row>
    <row r="557" spans="1:7" ht="15">
      <c r="A557" s="84" t="s">
        <v>4001</v>
      </c>
      <c r="B557" s="83">
        <v>2</v>
      </c>
      <c r="C557" s="110">
        <v>0.0010352029728540317</v>
      </c>
      <c r="D557" s="83" t="s">
        <v>4145</v>
      </c>
      <c r="E557" s="83" t="b">
        <v>0</v>
      </c>
      <c r="F557" s="83" t="b">
        <v>0</v>
      </c>
      <c r="G557" s="83" t="b">
        <v>0</v>
      </c>
    </row>
    <row r="558" spans="1:7" ht="15">
      <c r="A558" s="84" t="s">
        <v>4002</v>
      </c>
      <c r="B558" s="83">
        <v>2</v>
      </c>
      <c r="C558" s="110">
        <v>0.0010352029728540317</v>
      </c>
      <c r="D558" s="83" t="s">
        <v>4145</v>
      </c>
      <c r="E558" s="83" t="b">
        <v>0</v>
      </c>
      <c r="F558" s="83" t="b">
        <v>1</v>
      </c>
      <c r="G558" s="83" t="b">
        <v>0</v>
      </c>
    </row>
    <row r="559" spans="1:7" ht="15">
      <c r="A559" s="84" t="s">
        <v>4003</v>
      </c>
      <c r="B559" s="83">
        <v>2</v>
      </c>
      <c r="C559" s="110">
        <v>0.0010352029728540317</v>
      </c>
      <c r="D559" s="83" t="s">
        <v>4145</v>
      </c>
      <c r="E559" s="83" t="b">
        <v>0</v>
      </c>
      <c r="F559" s="83" t="b">
        <v>0</v>
      </c>
      <c r="G559" s="83" t="b">
        <v>0</v>
      </c>
    </row>
    <row r="560" spans="1:7" ht="15">
      <c r="A560" s="84" t="s">
        <v>4004</v>
      </c>
      <c r="B560" s="83">
        <v>2</v>
      </c>
      <c r="C560" s="110">
        <v>0.0010352029728540317</v>
      </c>
      <c r="D560" s="83" t="s">
        <v>4145</v>
      </c>
      <c r="E560" s="83" t="b">
        <v>1</v>
      </c>
      <c r="F560" s="83" t="b">
        <v>0</v>
      </c>
      <c r="G560" s="83" t="b">
        <v>0</v>
      </c>
    </row>
    <row r="561" spans="1:7" ht="15">
      <c r="A561" s="84" t="s">
        <v>4005</v>
      </c>
      <c r="B561" s="83">
        <v>2</v>
      </c>
      <c r="C561" s="110">
        <v>0.0011543048504658938</v>
      </c>
      <c r="D561" s="83" t="s">
        <v>4145</v>
      </c>
      <c r="E561" s="83" t="b">
        <v>0</v>
      </c>
      <c r="F561" s="83" t="b">
        <v>0</v>
      </c>
      <c r="G561" s="83" t="b">
        <v>0</v>
      </c>
    </row>
    <row r="562" spans="1:7" ht="15">
      <c r="A562" s="84" t="s">
        <v>4006</v>
      </c>
      <c r="B562" s="83">
        <v>2</v>
      </c>
      <c r="C562" s="110">
        <v>0.0010352029728540317</v>
      </c>
      <c r="D562" s="83" t="s">
        <v>4145</v>
      </c>
      <c r="E562" s="83" t="b">
        <v>0</v>
      </c>
      <c r="F562" s="83" t="b">
        <v>0</v>
      </c>
      <c r="G562" s="83" t="b">
        <v>0</v>
      </c>
    </row>
    <row r="563" spans="1:7" ht="15">
      <c r="A563" s="84" t="s">
        <v>4007</v>
      </c>
      <c r="B563" s="83">
        <v>2</v>
      </c>
      <c r="C563" s="110">
        <v>0.0010352029728540317</v>
      </c>
      <c r="D563" s="83" t="s">
        <v>4145</v>
      </c>
      <c r="E563" s="83" t="b">
        <v>0</v>
      </c>
      <c r="F563" s="83" t="b">
        <v>1</v>
      </c>
      <c r="G563" s="83" t="b">
        <v>0</v>
      </c>
    </row>
    <row r="564" spans="1:7" ht="15">
      <c r="A564" s="84" t="s">
        <v>4008</v>
      </c>
      <c r="B564" s="83">
        <v>2</v>
      </c>
      <c r="C564" s="110">
        <v>0.0010352029728540317</v>
      </c>
      <c r="D564" s="83" t="s">
        <v>4145</v>
      </c>
      <c r="E564" s="83" t="b">
        <v>0</v>
      </c>
      <c r="F564" s="83" t="b">
        <v>0</v>
      </c>
      <c r="G564" s="83" t="b">
        <v>0</v>
      </c>
    </row>
    <row r="565" spans="1:7" ht="15">
      <c r="A565" s="84" t="s">
        <v>4009</v>
      </c>
      <c r="B565" s="83">
        <v>2</v>
      </c>
      <c r="C565" s="110">
        <v>0.0010352029728540317</v>
      </c>
      <c r="D565" s="83" t="s">
        <v>4145</v>
      </c>
      <c r="E565" s="83" t="b">
        <v>0</v>
      </c>
      <c r="F565" s="83" t="b">
        <v>0</v>
      </c>
      <c r="G565" s="83" t="b">
        <v>0</v>
      </c>
    </row>
    <row r="566" spans="1:7" ht="15">
      <c r="A566" s="84" t="s">
        <v>4010</v>
      </c>
      <c r="B566" s="83">
        <v>2</v>
      </c>
      <c r="C566" s="110">
        <v>0.0010352029728540317</v>
      </c>
      <c r="D566" s="83" t="s">
        <v>4145</v>
      </c>
      <c r="E566" s="83" t="b">
        <v>0</v>
      </c>
      <c r="F566" s="83" t="b">
        <v>0</v>
      </c>
      <c r="G566" s="83" t="b">
        <v>0</v>
      </c>
    </row>
    <row r="567" spans="1:7" ht="15">
      <c r="A567" s="84" t="s">
        <v>4011</v>
      </c>
      <c r="B567" s="83">
        <v>2</v>
      </c>
      <c r="C567" s="110">
        <v>0.0010352029728540317</v>
      </c>
      <c r="D567" s="83" t="s">
        <v>4145</v>
      </c>
      <c r="E567" s="83" t="b">
        <v>0</v>
      </c>
      <c r="F567" s="83" t="b">
        <v>0</v>
      </c>
      <c r="G567" s="83" t="b">
        <v>0</v>
      </c>
    </row>
    <row r="568" spans="1:7" ht="15">
      <c r="A568" s="84" t="s">
        <v>4012</v>
      </c>
      <c r="B568" s="83">
        <v>2</v>
      </c>
      <c r="C568" s="110">
        <v>0.0010352029728540317</v>
      </c>
      <c r="D568" s="83" t="s">
        <v>4145</v>
      </c>
      <c r="E568" s="83" t="b">
        <v>0</v>
      </c>
      <c r="F568" s="83" t="b">
        <v>0</v>
      </c>
      <c r="G568" s="83" t="b">
        <v>0</v>
      </c>
    </row>
    <row r="569" spans="1:7" ht="15">
      <c r="A569" s="84" t="s">
        <v>4013</v>
      </c>
      <c r="B569" s="83">
        <v>2</v>
      </c>
      <c r="C569" s="110">
        <v>0.0010352029728540317</v>
      </c>
      <c r="D569" s="83" t="s">
        <v>4145</v>
      </c>
      <c r="E569" s="83" t="b">
        <v>0</v>
      </c>
      <c r="F569" s="83" t="b">
        <v>0</v>
      </c>
      <c r="G569" s="83" t="b">
        <v>0</v>
      </c>
    </row>
    <row r="570" spans="1:7" ht="15">
      <c r="A570" s="84" t="s">
        <v>4014</v>
      </c>
      <c r="B570" s="83">
        <v>2</v>
      </c>
      <c r="C570" s="110">
        <v>0.0010352029728540317</v>
      </c>
      <c r="D570" s="83" t="s">
        <v>4145</v>
      </c>
      <c r="E570" s="83" t="b">
        <v>0</v>
      </c>
      <c r="F570" s="83" t="b">
        <v>0</v>
      </c>
      <c r="G570" s="83" t="b">
        <v>0</v>
      </c>
    </row>
    <row r="571" spans="1:7" ht="15">
      <c r="A571" s="84" t="s">
        <v>4015</v>
      </c>
      <c r="B571" s="83">
        <v>2</v>
      </c>
      <c r="C571" s="110">
        <v>0.0010352029728540317</v>
      </c>
      <c r="D571" s="83" t="s">
        <v>4145</v>
      </c>
      <c r="E571" s="83" t="b">
        <v>0</v>
      </c>
      <c r="F571" s="83" t="b">
        <v>0</v>
      </c>
      <c r="G571" s="83" t="b">
        <v>0</v>
      </c>
    </row>
    <row r="572" spans="1:7" ht="15">
      <c r="A572" s="84" t="s">
        <v>4016</v>
      </c>
      <c r="B572" s="83">
        <v>2</v>
      </c>
      <c r="C572" s="110">
        <v>0.0010352029728540317</v>
      </c>
      <c r="D572" s="83" t="s">
        <v>4145</v>
      </c>
      <c r="E572" s="83" t="b">
        <v>0</v>
      </c>
      <c r="F572" s="83" t="b">
        <v>0</v>
      </c>
      <c r="G572" s="83" t="b">
        <v>0</v>
      </c>
    </row>
    <row r="573" spans="1:7" ht="15">
      <c r="A573" s="84" t="s">
        <v>4017</v>
      </c>
      <c r="B573" s="83">
        <v>2</v>
      </c>
      <c r="C573" s="110">
        <v>0.0010352029728540317</v>
      </c>
      <c r="D573" s="83" t="s">
        <v>4145</v>
      </c>
      <c r="E573" s="83" t="b">
        <v>0</v>
      </c>
      <c r="F573" s="83" t="b">
        <v>0</v>
      </c>
      <c r="G573" s="83" t="b">
        <v>0</v>
      </c>
    </row>
    <row r="574" spans="1:7" ht="15">
      <c r="A574" s="84" t="s">
        <v>4018</v>
      </c>
      <c r="B574" s="83">
        <v>2</v>
      </c>
      <c r="C574" s="110">
        <v>0.0010352029728540317</v>
      </c>
      <c r="D574" s="83" t="s">
        <v>4145</v>
      </c>
      <c r="E574" s="83" t="b">
        <v>0</v>
      </c>
      <c r="F574" s="83" t="b">
        <v>0</v>
      </c>
      <c r="G574" s="83" t="b">
        <v>0</v>
      </c>
    </row>
    <row r="575" spans="1:7" ht="15">
      <c r="A575" s="84" t="s">
        <v>4019</v>
      </c>
      <c r="B575" s="83">
        <v>2</v>
      </c>
      <c r="C575" s="110">
        <v>0.0010352029728540317</v>
      </c>
      <c r="D575" s="83" t="s">
        <v>4145</v>
      </c>
      <c r="E575" s="83" t="b">
        <v>0</v>
      </c>
      <c r="F575" s="83" t="b">
        <v>0</v>
      </c>
      <c r="G575" s="83" t="b">
        <v>0</v>
      </c>
    </row>
    <row r="576" spans="1:7" ht="15">
      <c r="A576" s="84" t="s">
        <v>4020</v>
      </c>
      <c r="B576" s="83">
        <v>2</v>
      </c>
      <c r="C576" s="110">
        <v>0.0010352029728540317</v>
      </c>
      <c r="D576" s="83" t="s">
        <v>4145</v>
      </c>
      <c r="E576" s="83" t="b">
        <v>0</v>
      </c>
      <c r="F576" s="83" t="b">
        <v>1</v>
      </c>
      <c r="G576" s="83" t="b">
        <v>0</v>
      </c>
    </row>
    <row r="577" spans="1:7" ht="15">
      <c r="A577" s="84" t="s">
        <v>4021</v>
      </c>
      <c r="B577" s="83">
        <v>2</v>
      </c>
      <c r="C577" s="110">
        <v>0.0010352029728540317</v>
      </c>
      <c r="D577" s="83" t="s">
        <v>4145</v>
      </c>
      <c r="E577" s="83" t="b">
        <v>0</v>
      </c>
      <c r="F577" s="83" t="b">
        <v>0</v>
      </c>
      <c r="G577" s="83" t="b">
        <v>0</v>
      </c>
    </row>
    <row r="578" spans="1:7" ht="15">
      <c r="A578" s="84" t="s">
        <v>4022</v>
      </c>
      <c r="B578" s="83">
        <v>2</v>
      </c>
      <c r="C578" s="110">
        <v>0.0010352029728540317</v>
      </c>
      <c r="D578" s="83" t="s">
        <v>4145</v>
      </c>
      <c r="E578" s="83" t="b">
        <v>1</v>
      </c>
      <c r="F578" s="83" t="b">
        <v>0</v>
      </c>
      <c r="G578" s="83" t="b">
        <v>0</v>
      </c>
    </row>
    <row r="579" spans="1:7" ht="15">
      <c r="A579" s="84" t="s">
        <v>4023</v>
      </c>
      <c r="B579" s="83">
        <v>2</v>
      </c>
      <c r="C579" s="110">
        <v>0.0010352029728540317</v>
      </c>
      <c r="D579" s="83" t="s">
        <v>4145</v>
      </c>
      <c r="E579" s="83" t="b">
        <v>0</v>
      </c>
      <c r="F579" s="83" t="b">
        <v>0</v>
      </c>
      <c r="G579" s="83" t="b">
        <v>0</v>
      </c>
    </row>
    <row r="580" spans="1:7" ht="15">
      <c r="A580" s="84" t="s">
        <v>4024</v>
      </c>
      <c r="B580" s="83">
        <v>2</v>
      </c>
      <c r="C580" s="110">
        <v>0.0010352029728540317</v>
      </c>
      <c r="D580" s="83" t="s">
        <v>4145</v>
      </c>
      <c r="E580" s="83" t="b">
        <v>0</v>
      </c>
      <c r="F580" s="83" t="b">
        <v>0</v>
      </c>
      <c r="G580" s="83" t="b">
        <v>0</v>
      </c>
    </row>
    <row r="581" spans="1:7" ht="15">
      <c r="A581" s="84" t="s">
        <v>4025</v>
      </c>
      <c r="B581" s="83">
        <v>2</v>
      </c>
      <c r="C581" s="110">
        <v>0.0010352029728540317</v>
      </c>
      <c r="D581" s="83" t="s">
        <v>4145</v>
      </c>
      <c r="E581" s="83" t="b">
        <v>0</v>
      </c>
      <c r="F581" s="83" t="b">
        <v>0</v>
      </c>
      <c r="G581" s="83" t="b">
        <v>0</v>
      </c>
    </row>
    <row r="582" spans="1:7" ht="15">
      <c r="A582" s="84" t="s">
        <v>4026</v>
      </c>
      <c r="B582" s="83">
        <v>2</v>
      </c>
      <c r="C582" s="110">
        <v>0.0010352029728540317</v>
      </c>
      <c r="D582" s="83" t="s">
        <v>4145</v>
      </c>
      <c r="E582" s="83" t="b">
        <v>0</v>
      </c>
      <c r="F582" s="83" t="b">
        <v>1</v>
      </c>
      <c r="G582" s="83" t="b">
        <v>0</v>
      </c>
    </row>
    <row r="583" spans="1:7" ht="15">
      <c r="A583" s="84" t="s">
        <v>4027</v>
      </c>
      <c r="B583" s="83">
        <v>2</v>
      </c>
      <c r="C583" s="110">
        <v>0.0010352029728540317</v>
      </c>
      <c r="D583" s="83" t="s">
        <v>4145</v>
      </c>
      <c r="E583" s="83" t="b">
        <v>0</v>
      </c>
      <c r="F583" s="83" t="b">
        <v>0</v>
      </c>
      <c r="G583" s="83" t="b">
        <v>0</v>
      </c>
    </row>
    <row r="584" spans="1:7" ht="15">
      <c r="A584" s="84" t="s">
        <v>4028</v>
      </c>
      <c r="B584" s="83">
        <v>2</v>
      </c>
      <c r="C584" s="110">
        <v>0.0010352029728540317</v>
      </c>
      <c r="D584" s="83" t="s">
        <v>4145</v>
      </c>
      <c r="E584" s="83" t="b">
        <v>0</v>
      </c>
      <c r="F584" s="83" t="b">
        <v>0</v>
      </c>
      <c r="G584" s="83" t="b">
        <v>0</v>
      </c>
    </row>
    <row r="585" spans="1:7" ht="15">
      <c r="A585" s="84" t="s">
        <v>4029</v>
      </c>
      <c r="B585" s="83">
        <v>2</v>
      </c>
      <c r="C585" s="110">
        <v>0.0010352029728540317</v>
      </c>
      <c r="D585" s="83" t="s">
        <v>4145</v>
      </c>
      <c r="E585" s="83" t="b">
        <v>0</v>
      </c>
      <c r="F585" s="83" t="b">
        <v>0</v>
      </c>
      <c r="G585" s="83" t="b">
        <v>0</v>
      </c>
    </row>
    <row r="586" spans="1:7" ht="15">
      <c r="A586" s="84" t="s">
        <v>4030</v>
      </c>
      <c r="B586" s="83">
        <v>2</v>
      </c>
      <c r="C586" s="110">
        <v>0.0011543048504658938</v>
      </c>
      <c r="D586" s="83" t="s">
        <v>4145</v>
      </c>
      <c r="E586" s="83" t="b">
        <v>0</v>
      </c>
      <c r="F586" s="83" t="b">
        <v>0</v>
      </c>
      <c r="G586" s="83" t="b">
        <v>0</v>
      </c>
    </row>
    <row r="587" spans="1:7" ht="15">
      <c r="A587" s="84" t="s">
        <v>4031</v>
      </c>
      <c r="B587" s="83">
        <v>2</v>
      </c>
      <c r="C587" s="110">
        <v>0.0010352029728540317</v>
      </c>
      <c r="D587" s="83" t="s">
        <v>4145</v>
      </c>
      <c r="E587" s="83" t="b">
        <v>1</v>
      </c>
      <c r="F587" s="83" t="b">
        <v>0</v>
      </c>
      <c r="G587" s="83" t="b">
        <v>0</v>
      </c>
    </row>
    <row r="588" spans="1:7" ht="15">
      <c r="A588" s="84" t="s">
        <v>4032</v>
      </c>
      <c r="B588" s="83">
        <v>2</v>
      </c>
      <c r="C588" s="110">
        <v>0.0011543048504658938</v>
      </c>
      <c r="D588" s="83" t="s">
        <v>4145</v>
      </c>
      <c r="E588" s="83" t="b">
        <v>0</v>
      </c>
      <c r="F588" s="83" t="b">
        <v>0</v>
      </c>
      <c r="G588" s="83" t="b">
        <v>0</v>
      </c>
    </row>
    <row r="589" spans="1:7" ht="15">
      <c r="A589" s="84" t="s">
        <v>4033</v>
      </c>
      <c r="B589" s="83">
        <v>2</v>
      </c>
      <c r="C589" s="110">
        <v>0.0010352029728540317</v>
      </c>
      <c r="D589" s="83" t="s">
        <v>4145</v>
      </c>
      <c r="E589" s="83" t="b">
        <v>0</v>
      </c>
      <c r="F589" s="83" t="b">
        <v>1</v>
      </c>
      <c r="G589" s="83" t="b">
        <v>0</v>
      </c>
    </row>
    <row r="590" spans="1:7" ht="15">
      <c r="A590" s="84" t="s">
        <v>4034</v>
      </c>
      <c r="B590" s="83">
        <v>2</v>
      </c>
      <c r="C590" s="110">
        <v>0.0010352029728540317</v>
      </c>
      <c r="D590" s="83" t="s">
        <v>4145</v>
      </c>
      <c r="E590" s="83" t="b">
        <v>0</v>
      </c>
      <c r="F590" s="83" t="b">
        <v>0</v>
      </c>
      <c r="G590" s="83" t="b">
        <v>0</v>
      </c>
    </row>
    <row r="591" spans="1:7" ht="15">
      <c r="A591" s="84" t="s">
        <v>4035</v>
      </c>
      <c r="B591" s="83">
        <v>2</v>
      </c>
      <c r="C591" s="110">
        <v>0.0010352029728540317</v>
      </c>
      <c r="D591" s="83" t="s">
        <v>4145</v>
      </c>
      <c r="E591" s="83" t="b">
        <v>0</v>
      </c>
      <c r="F591" s="83" t="b">
        <v>0</v>
      </c>
      <c r="G591" s="83" t="b">
        <v>0</v>
      </c>
    </row>
    <row r="592" spans="1:7" ht="15">
      <c r="A592" s="84" t="s">
        <v>4036</v>
      </c>
      <c r="B592" s="83">
        <v>2</v>
      </c>
      <c r="C592" s="110">
        <v>0.0010352029728540317</v>
      </c>
      <c r="D592" s="83" t="s">
        <v>4145</v>
      </c>
      <c r="E592" s="83" t="b">
        <v>1</v>
      </c>
      <c r="F592" s="83" t="b">
        <v>0</v>
      </c>
      <c r="G592" s="83" t="b">
        <v>0</v>
      </c>
    </row>
    <row r="593" spans="1:7" ht="15">
      <c r="A593" s="84" t="s">
        <v>4037</v>
      </c>
      <c r="B593" s="83">
        <v>2</v>
      </c>
      <c r="C593" s="110">
        <v>0.0010352029728540317</v>
      </c>
      <c r="D593" s="83" t="s">
        <v>4145</v>
      </c>
      <c r="E593" s="83" t="b">
        <v>0</v>
      </c>
      <c r="F593" s="83" t="b">
        <v>0</v>
      </c>
      <c r="G593" s="83" t="b">
        <v>0</v>
      </c>
    </row>
    <row r="594" spans="1:7" ht="15">
      <c r="A594" s="84" t="s">
        <v>4038</v>
      </c>
      <c r="B594" s="83">
        <v>2</v>
      </c>
      <c r="C594" s="110">
        <v>0.0010352029728540317</v>
      </c>
      <c r="D594" s="83" t="s">
        <v>4145</v>
      </c>
      <c r="E594" s="83" t="b">
        <v>0</v>
      </c>
      <c r="F594" s="83" t="b">
        <v>0</v>
      </c>
      <c r="G594" s="83" t="b">
        <v>0</v>
      </c>
    </row>
    <row r="595" spans="1:7" ht="15">
      <c r="A595" s="84" t="s">
        <v>4039</v>
      </c>
      <c r="B595" s="83">
        <v>2</v>
      </c>
      <c r="C595" s="110">
        <v>0.0010352029728540317</v>
      </c>
      <c r="D595" s="83" t="s">
        <v>4145</v>
      </c>
      <c r="E595" s="83" t="b">
        <v>0</v>
      </c>
      <c r="F595" s="83" t="b">
        <v>0</v>
      </c>
      <c r="G595" s="83" t="b">
        <v>0</v>
      </c>
    </row>
    <row r="596" spans="1:7" ht="15">
      <c r="A596" s="84" t="s">
        <v>4040</v>
      </c>
      <c r="B596" s="83">
        <v>2</v>
      </c>
      <c r="C596" s="110">
        <v>0.0010352029728540317</v>
      </c>
      <c r="D596" s="83" t="s">
        <v>4145</v>
      </c>
      <c r="E596" s="83" t="b">
        <v>0</v>
      </c>
      <c r="F596" s="83" t="b">
        <v>0</v>
      </c>
      <c r="G596" s="83" t="b">
        <v>0</v>
      </c>
    </row>
    <row r="597" spans="1:7" ht="15">
      <c r="A597" s="84" t="s">
        <v>4041</v>
      </c>
      <c r="B597" s="83">
        <v>2</v>
      </c>
      <c r="C597" s="110">
        <v>0.0010352029728540317</v>
      </c>
      <c r="D597" s="83" t="s">
        <v>4145</v>
      </c>
      <c r="E597" s="83" t="b">
        <v>0</v>
      </c>
      <c r="F597" s="83" t="b">
        <v>0</v>
      </c>
      <c r="G597" s="83" t="b">
        <v>0</v>
      </c>
    </row>
    <row r="598" spans="1:7" ht="15">
      <c r="A598" s="84" t="s">
        <v>4042</v>
      </c>
      <c r="B598" s="83">
        <v>2</v>
      </c>
      <c r="C598" s="110">
        <v>0.0010352029728540317</v>
      </c>
      <c r="D598" s="83" t="s">
        <v>4145</v>
      </c>
      <c r="E598" s="83" t="b">
        <v>0</v>
      </c>
      <c r="F598" s="83" t="b">
        <v>0</v>
      </c>
      <c r="G598" s="83" t="b">
        <v>0</v>
      </c>
    </row>
    <row r="599" spans="1:7" ht="15">
      <c r="A599" s="84" t="s">
        <v>4043</v>
      </c>
      <c r="B599" s="83">
        <v>2</v>
      </c>
      <c r="C599" s="110">
        <v>0.0011543048504658938</v>
      </c>
      <c r="D599" s="83" t="s">
        <v>4145</v>
      </c>
      <c r="E599" s="83" t="b">
        <v>0</v>
      </c>
      <c r="F599" s="83" t="b">
        <v>0</v>
      </c>
      <c r="G599" s="83" t="b">
        <v>0</v>
      </c>
    </row>
    <row r="600" spans="1:7" ht="15">
      <c r="A600" s="84" t="s">
        <v>4044</v>
      </c>
      <c r="B600" s="83">
        <v>2</v>
      </c>
      <c r="C600" s="110">
        <v>0.0010352029728540317</v>
      </c>
      <c r="D600" s="83" t="s">
        <v>4145</v>
      </c>
      <c r="E600" s="83" t="b">
        <v>0</v>
      </c>
      <c r="F600" s="83" t="b">
        <v>0</v>
      </c>
      <c r="G600" s="83" t="b">
        <v>0</v>
      </c>
    </row>
    <row r="601" spans="1:7" ht="15">
      <c r="A601" s="84" t="s">
        <v>4045</v>
      </c>
      <c r="B601" s="83">
        <v>2</v>
      </c>
      <c r="C601" s="110">
        <v>0.0010352029728540317</v>
      </c>
      <c r="D601" s="83" t="s">
        <v>4145</v>
      </c>
      <c r="E601" s="83" t="b">
        <v>0</v>
      </c>
      <c r="F601" s="83" t="b">
        <v>0</v>
      </c>
      <c r="G601" s="83" t="b">
        <v>0</v>
      </c>
    </row>
    <row r="602" spans="1:7" ht="15">
      <c r="A602" s="84" t="s">
        <v>4046</v>
      </c>
      <c r="B602" s="83">
        <v>2</v>
      </c>
      <c r="C602" s="110">
        <v>0.0010352029728540317</v>
      </c>
      <c r="D602" s="83" t="s">
        <v>4145</v>
      </c>
      <c r="E602" s="83" t="b">
        <v>0</v>
      </c>
      <c r="F602" s="83" t="b">
        <v>1</v>
      </c>
      <c r="G602" s="83" t="b">
        <v>0</v>
      </c>
    </row>
    <row r="603" spans="1:7" ht="15">
      <c r="A603" s="84" t="s">
        <v>4047</v>
      </c>
      <c r="B603" s="83">
        <v>2</v>
      </c>
      <c r="C603" s="110">
        <v>0.0010352029728540317</v>
      </c>
      <c r="D603" s="83" t="s">
        <v>4145</v>
      </c>
      <c r="E603" s="83" t="b">
        <v>0</v>
      </c>
      <c r="F603" s="83" t="b">
        <v>1</v>
      </c>
      <c r="G603" s="83" t="b">
        <v>0</v>
      </c>
    </row>
    <row r="604" spans="1:7" ht="15">
      <c r="A604" s="84" t="s">
        <v>4048</v>
      </c>
      <c r="B604" s="83">
        <v>2</v>
      </c>
      <c r="C604" s="110">
        <v>0.0010352029728540317</v>
      </c>
      <c r="D604" s="83" t="s">
        <v>4145</v>
      </c>
      <c r="E604" s="83" t="b">
        <v>0</v>
      </c>
      <c r="F604" s="83" t="b">
        <v>0</v>
      </c>
      <c r="G604" s="83" t="b">
        <v>0</v>
      </c>
    </row>
    <row r="605" spans="1:7" ht="15">
      <c r="A605" s="84" t="s">
        <v>4049</v>
      </c>
      <c r="B605" s="83">
        <v>2</v>
      </c>
      <c r="C605" s="110">
        <v>0.0010352029728540317</v>
      </c>
      <c r="D605" s="83" t="s">
        <v>4145</v>
      </c>
      <c r="E605" s="83" t="b">
        <v>0</v>
      </c>
      <c r="F605" s="83" t="b">
        <v>0</v>
      </c>
      <c r="G605" s="83" t="b">
        <v>0</v>
      </c>
    </row>
    <row r="606" spans="1:7" ht="15">
      <c r="A606" s="84" t="s">
        <v>4050</v>
      </c>
      <c r="B606" s="83">
        <v>2</v>
      </c>
      <c r="C606" s="110">
        <v>0.0010352029728540317</v>
      </c>
      <c r="D606" s="83" t="s">
        <v>4145</v>
      </c>
      <c r="E606" s="83" t="b">
        <v>0</v>
      </c>
      <c r="F606" s="83" t="b">
        <v>0</v>
      </c>
      <c r="G606" s="83" t="b">
        <v>0</v>
      </c>
    </row>
    <row r="607" spans="1:7" ht="15">
      <c r="A607" s="84" t="s">
        <v>4051</v>
      </c>
      <c r="B607" s="83">
        <v>2</v>
      </c>
      <c r="C607" s="110">
        <v>0.0010352029728540317</v>
      </c>
      <c r="D607" s="83" t="s">
        <v>4145</v>
      </c>
      <c r="E607" s="83" t="b">
        <v>1</v>
      </c>
      <c r="F607" s="83" t="b">
        <v>0</v>
      </c>
      <c r="G607" s="83" t="b">
        <v>0</v>
      </c>
    </row>
    <row r="608" spans="1:7" ht="15">
      <c r="A608" s="84" t="s">
        <v>4052</v>
      </c>
      <c r="B608" s="83">
        <v>2</v>
      </c>
      <c r="C608" s="110">
        <v>0.0010352029728540317</v>
      </c>
      <c r="D608" s="83" t="s">
        <v>4145</v>
      </c>
      <c r="E608" s="83" t="b">
        <v>0</v>
      </c>
      <c r="F608" s="83" t="b">
        <v>0</v>
      </c>
      <c r="G608" s="83" t="b">
        <v>0</v>
      </c>
    </row>
    <row r="609" spans="1:7" ht="15">
      <c r="A609" s="84" t="s">
        <v>4053</v>
      </c>
      <c r="B609" s="83">
        <v>2</v>
      </c>
      <c r="C609" s="110">
        <v>0.0010352029728540317</v>
      </c>
      <c r="D609" s="83" t="s">
        <v>4145</v>
      </c>
      <c r="E609" s="83" t="b">
        <v>0</v>
      </c>
      <c r="F609" s="83" t="b">
        <v>0</v>
      </c>
      <c r="G609" s="83" t="b">
        <v>0</v>
      </c>
    </row>
    <row r="610" spans="1:7" ht="15">
      <c r="A610" s="84" t="s">
        <v>4054</v>
      </c>
      <c r="B610" s="83">
        <v>2</v>
      </c>
      <c r="C610" s="110">
        <v>0.0010352029728540317</v>
      </c>
      <c r="D610" s="83" t="s">
        <v>4145</v>
      </c>
      <c r="E610" s="83" t="b">
        <v>0</v>
      </c>
      <c r="F610" s="83" t="b">
        <v>0</v>
      </c>
      <c r="G610" s="83" t="b">
        <v>0</v>
      </c>
    </row>
    <row r="611" spans="1:7" ht="15">
      <c r="A611" s="84" t="s">
        <v>4055</v>
      </c>
      <c r="B611" s="83">
        <v>2</v>
      </c>
      <c r="C611" s="110">
        <v>0.0010352029728540317</v>
      </c>
      <c r="D611" s="83" t="s">
        <v>4145</v>
      </c>
      <c r="E611" s="83" t="b">
        <v>0</v>
      </c>
      <c r="F611" s="83" t="b">
        <v>0</v>
      </c>
      <c r="G611" s="83" t="b">
        <v>0</v>
      </c>
    </row>
    <row r="612" spans="1:7" ht="15">
      <c r="A612" s="84" t="s">
        <v>4056</v>
      </c>
      <c r="B612" s="83">
        <v>2</v>
      </c>
      <c r="C612" s="110">
        <v>0.0010352029728540317</v>
      </c>
      <c r="D612" s="83" t="s">
        <v>4145</v>
      </c>
      <c r="E612" s="83" t="b">
        <v>0</v>
      </c>
      <c r="F612" s="83" t="b">
        <v>0</v>
      </c>
      <c r="G612" s="83" t="b">
        <v>0</v>
      </c>
    </row>
    <row r="613" spans="1:7" ht="15">
      <c r="A613" s="84" t="s">
        <v>4057</v>
      </c>
      <c r="B613" s="83">
        <v>2</v>
      </c>
      <c r="C613" s="110">
        <v>0.0010352029728540317</v>
      </c>
      <c r="D613" s="83" t="s">
        <v>4145</v>
      </c>
      <c r="E613" s="83" t="b">
        <v>0</v>
      </c>
      <c r="F613" s="83" t="b">
        <v>0</v>
      </c>
      <c r="G613" s="83" t="b">
        <v>0</v>
      </c>
    </row>
    <row r="614" spans="1:7" ht="15">
      <c r="A614" s="84" t="s">
        <v>4058</v>
      </c>
      <c r="B614" s="83">
        <v>2</v>
      </c>
      <c r="C614" s="110">
        <v>0.0010352029728540317</v>
      </c>
      <c r="D614" s="83" t="s">
        <v>4145</v>
      </c>
      <c r="E614" s="83" t="b">
        <v>1</v>
      </c>
      <c r="F614" s="83" t="b">
        <v>0</v>
      </c>
      <c r="G614" s="83" t="b">
        <v>0</v>
      </c>
    </row>
    <row r="615" spans="1:7" ht="15">
      <c r="A615" s="84" t="s">
        <v>4059</v>
      </c>
      <c r="B615" s="83">
        <v>2</v>
      </c>
      <c r="C615" s="110">
        <v>0.0010352029728540317</v>
      </c>
      <c r="D615" s="83" t="s">
        <v>4145</v>
      </c>
      <c r="E615" s="83" t="b">
        <v>0</v>
      </c>
      <c r="F615" s="83" t="b">
        <v>0</v>
      </c>
      <c r="G615" s="83" t="b">
        <v>0</v>
      </c>
    </row>
    <row r="616" spans="1:7" ht="15">
      <c r="A616" s="84" t="s">
        <v>4060</v>
      </c>
      <c r="B616" s="83">
        <v>2</v>
      </c>
      <c r="C616" s="110">
        <v>0.0010352029728540317</v>
      </c>
      <c r="D616" s="83" t="s">
        <v>4145</v>
      </c>
      <c r="E616" s="83" t="b">
        <v>0</v>
      </c>
      <c r="F616" s="83" t="b">
        <v>0</v>
      </c>
      <c r="G616" s="83" t="b">
        <v>0</v>
      </c>
    </row>
    <row r="617" spans="1:7" ht="15">
      <c r="A617" s="84" t="s">
        <v>4061</v>
      </c>
      <c r="B617" s="83">
        <v>2</v>
      </c>
      <c r="C617" s="110">
        <v>0.0010352029728540317</v>
      </c>
      <c r="D617" s="83" t="s">
        <v>4145</v>
      </c>
      <c r="E617" s="83" t="b">
        <v>0</v>
      </c>
      <c r="F617" s="83" t="b">
        <v>0</v>
      </c>
      <c r="G617" s="83" t="b">
        <v>0</v>
      </c>
    </row>
    <row r="618" spans="1:7" ht="15">
      <c r="A618" s="84" t="s">
        <v>4062</v>
      </c>
      <c r="B618" s="83">
        <v>2</v>
      </c>
      <c r="C618" s="110">
        <v>0.0010352029728540317</v>
      </c>
      <c r="D618" s="83" t="s">
        <v>4145</v>
      </c>
      <c r="E618" s="83" t="b">
        <v>0</v>
      </c>
      <c r="F618" s="83" t="b">
        <v>0</v>
      </c>
      <c r="G618" s="83" t="b">
        <v>0</v>
      </c>
    </row>
    <row r="619" spans="1:7" ht="15">
      <c r="A619" s="84" t="s">
        <v>4063</v>
      </c>
      <c r="B619" s="83">
        <v>2</v>
      </c>
      <c r="C619" s="110">
        <v>0.0010352029728540317</v>
      </c>
      <c r="D619" s="83" t="s">
        <v>4145</v>
      </c>
      <c r="E619" s="83" t="b">
        <v>0</v>
      </c>
      <c r="F619" s="83" t="b">
        <v>0</v>
      </c>
      <c r="G619" s="83" t="b">
        <v>0</v>
      </c>
    </row>
    <row r="620" spans="1:7" ht="15">
      <c r="A620" s="84" t="s">
        <v>4064</v>
      </c>
      <c r="B620" s="83">
        <v>2</v>
      </c>
      <c r="C620" s="110">
        <v>0.0010352029728540317</v>
      </c>
      <c r="D620" s="83" t="s">
        <v>4145</v>
      </c>
      <c r="E620" s="83" t="b">
        <v>0</v>
      </c>
      <c r="F620" s="83" t="b">
        <v>0</v>
      </c>
      <c r="G620" s="83" t="b">
        <v>0</v>
      </c>
    </row>
    <row r="621" spans="1:7" ht="15">
      <c r="A621" s="84" t="s">
        <v>4065</v>
      </c>
      <c r="B621" s="83">
        <v>2</v>
      </c>
      <c r="C621" s="110">
        <v>0.0010352029728540317</v>
      </c>
      <c r="D621" s="83" t="s">
        <v>4145</v>
      </c>
      <c r="E621" s="83" t="b">
        <v>0</v>
      </c>
      <c r="F621" s="83" t="b">
        <v>0</v>
      </c>
      <c r="G621" s="83" t="b">
        <v>0</v>
      </c>
    </row>
    <row r="622" spans="1:7" ht="15">
      <c r="A622" s="84" t="s">
        <v>4066</v>
      </c>
      <c r="B622" s="83">
        <v>2</v>
      </c>
      <c r="C622" s="110">
        <v>0.0010352029728540317</v>
      </c>
      <c r="D622" s="83" t="s">
        <v>4145</v>
      </c>
      <c r="E622" s="83" t="b">
        <v>1</v>
      </c>
      <c r="F622" s="83" t="b">
        <v>0</v>
      </c>
      <c r="G622" s="83" t="b">
        <v>0</v>
      </c>
    </row>
    <row r="623" spans="1:7" ht="15">
      <c r="A623" s="84" t="s">
        <v>4067</v>
      </c>
      <c r="B623" s="83">
        <v>2</v>
      </c>
      <c r="C623" s="110">
        <v>0.0010352029728540317</v>
      </c>
      <c r="D623" s="83" t="s">
        <v>4145</v>
      </c>
      <c r="E623" s="83" t="b">
        <v>0</v>
      </c>
      <c r="F623" s="83" t="b">
        <v>0</v>
      </c>
      <c r="G623" s="83" t="b">
        <v>0</v>
      </c>
    </row>
    <row r="624" spans="1:7" ht="15">
      <c r="A624" s="84" t="s">
        <v>4068</v>
      </c>
      <c r="B624" s="83">
        <v>2</v>
      </c>
      <c r="C624" s="110">
        <v>0.0010352029728540317</v>
      </c>
      <c r="D624" s="83" t="s">
        <v>4145</v>
      </c>
      <c r="E624" s="83" t="b">
        <v>0</v>
      </c>
      <c r="F624" s="83" t="b">
        <v>0</v>
      </c>
      <c r="G624" s="83" t="b">
        <v>0</v>
      </c>
    </row>
    <row r="625" spans="1:7" ht="15">
      <c r="A625" s="84" t="s">
        <v>4069</v>
      </c>
      <c r="B625" s="83">
        <v>2</v>
      </c>
      <c r="C625" s="110">
        <v>0.0010352029728540317</v>
      </c>
      <c r="D625" s="83" t="s">
        <v>4145</v>
      </c>
      <c r="E625" s="83" t="b">
        <v>0</v>
      </c>
      <c r="F625" s="83" t="b">
        <v>0</v>
      </c>
      <c r="G625" s="83" t="b">
        <v>0</v>
      </c>
    </row>
    <row r="626" spans="1:7" ht="15">
      <c r="A626" s="84" t="s">
        <v>4070</v>
      </c>
      <c r="B626" s="83">
        <v>2</v>
      </c>
      <c r="C626" s="110">
        <v>0.0010352029728540317</v>
      </c>
      <c r="D626" s="83" t="s">
        <v>4145</v>
      </c>
      <c r="E626" s="83" t="b">
        <v>0</v>
      </c>
      <c r="F626" s="83" t="b">
        <v>0</v>
      </c>
      <c r="G626" s="83" t="b">
        <v>0</v>
      </c>
    </row>
    <row r="627" spans="1:7" ht="15">
      <c r="A627" s="84" t="s">
        <v>4071</v>
      </c>
      <c r="B627" s="83">
        <v>2</v>
      </c>
      <c r="C627" s="110">
        <v>0.0010352029728540317</v>
      </c>
      <c r="D627" s="83" t="s">
        <v>4145</v>
      </c>
      <c r="E627" s="83" t="b">
        <v>0</v>
      </c>
      <c r="F627" s="83" t="b">
        <v>0</v>
      </c>
      <c r="G627" s="83" t="b">
        <v>0</v>
      </c>
    </row>
    <row r="628" spans="1:7" ht="15">
      <c r="A628" s="84" t="s">
        <v>4072</v>
      </c>
      <c r="B628" s="83">
        <v>2</v>
      </c>
      <c r="C628" s="110">
        <v>0.0010352029728540317</v>
      </c>
      <c r="D628" s="83" t="s">
        <v>4145</v>
      </c>
      <c r="E628" s="83" t="b">
        <v>1</v>
      </c>
      <c r="F628" s="83" t="b">
        <v>0</v>
      </c>
      <c r="G628" s="83" t="b">
        <v>0</v>
      </c>
    </row>
    <row r="629" spans="1:7" ht="15">
      <c r="A629" s="84" t="s">
        <v>4073</v>
      </c>
      <c r="B629" s="83">
        <v>2</v>
      </c>
      <c r="C629" s="110">
        <v>0.0010352029728540317</v>
      </c>
      <c r="D629" s="83" t="s">
        <v>4145</v>
      </c>
      <c r="E629" s="83" t="b">
        <v>0</v>
      </c>
      <c r="F629" s="83" t="b">
        <v>0</v>
      </c>
      <c r="G629" s="83" t="b">
        <v>0</v>
      </c>
    </row>
    <row r="630" spans="1:7" ht="15">
      <c r="A630" s="84" t="s">
        <v>4074</v>
      </c>
      <c r="B630" s="83">
        <v>2</v>
      </c>
      <c r="C630" s="110">
        <v>0.0010352029728540317</v>
      </c>
      <c r="D630" s="83" t="s">
        <v>4145</v>
      </c>
      <c r="E630" s="83" t="b">
        <v>0</v>
      </c>
      <c r="F630" s="83" t="b">
        <v>0</v>
      </c>
      <c r="G630" s="83" t="b">
        <v>0</v>
      </c>
    </row>
    <row r="631" spans="1:7" ht="15">
      <c r="A631" s="84" t="s">
        <v>4075</v>
      </c>
      <c r="B631" s="83">
        <v>2</v>
      </c>
      <c r="C631" s="110">
        <v>0.0010352029728540317</v>
      </c>
      <c r="D631" s="83" t="s">
        <v>4145</v>
      </c>
      <c r="E631" s="83" t="b">
        <v>0</v>
      </c>
      <c r="F631" s="83" t="b">
        <v>0</v>
      </c>
      <c r="G631" s="83" t="b">
        <v>0</v>
      </c>
    </row>
    <row r="632" spans="1:7" ht="15">
      <c r="A632" s="84" t="s">
        <v>4076</v>
      </c>
      <c r="B632" s="83">
        <v>2</v>
      </c>
      <c r="C632" s="110">
        <v>0.0010352029728540317</v>
      </c>
      <c r="D632" s="83" t="s">
        <v>4145</v>
      </c>
      <c r="E632" s="83" t="b">
        <v>1</v>
      </c>
      <c r="F632" s="83" t="b">
        <v>0</v>
      </c>
      <c r="G632" s="83" t="b">
        <v>0</v>
      </c>
    </row>
    <row r="633" spans="1:7" ht="15">
      <c r="A633" s="84" t="s">
        <v>4077</v>
      </c>
      <c r="B633" s="83">
        <v>2</v>
      </c>
      <c r="C633" s="110">
        <v>0.0010352029728540317</v>
      </c>
      <c r="D633" s="83" t="s">
        <v>4145</v>
      </c>
      <c r="E633" s="83" t="b">
        <v>1</v>
      </c>
      <c r="F633" s="83" t="b">
        <v>0</v>
      </c>
      <c r="G633" s="83" t="b">
        <v>0</v>
      </c>
    </row>
    <row r="634" spans="1:7" ht="15">
      <c r="A634" s="84" t="s">
        <v>4078</v>
      </c>
      <c r="B634" s="83">
        <v>2</v>
      </c>
      <c r="C634" s="110">
        <v>0.0010352029728540317</v>
      </c>
      <c r="D634" s="83" t="s">
        <v>4145</v>
      </c>
      <c r="E634" s="83" t="b">
        <v>0</v>
      </c>
      <c r="F634" s="83" t="b">
        <v>0</v>
      </c>
      <c r="G634" s="83" t="b">
        <v>0</v>
      </c>
    </row>
    <row r="635" spans="1:7" ht="15">
      <c r="A635" s="84" t="s">
        <v>4079</v>
      </c>
      <c r="B635" s="83">
        <v>2</v>
      </c>
      <c r="C635" s="110">
        <v>0.0010352029728540317</v>
      </c>
      <c r="D635" s="83" t="s">
        <v>4145</v>
      </c>
      <c r="E635" s="83" t="b">
        <v>1</v>
      </c>
      <c r="F635" s="83" t="b">
        <v>0</v>
      </c>
      <c r="G635" s="83" t="b">
        <v>0</v>
      </c>
    </row>
    <row r="636" spans="1:7" ht="15">
      <c r="A636" s="84" t="s">
        <v>4080</v>
      </c>
      <c r="B636" s="83">
        <v>2</v>
      </c>
      <c r="C636" s="110">
        <v>0.0010352029728540317</v>
      </c>
      <c r="D636" s="83" t="s">
        <v>4145</v>
      </c>
      <c r="E636" s="83" t="b">
        <v>0</v>
      </c>
      <c r="F636" s="83" t="b">
        <v>0</v>
      </c>
      <c r="G636" s="83" t="b">
        <v>0</v>
      </c>
    </row>
    <row r="637" spans="1:7" ht="15">
      <c r="A637" s="84" t="s">
        <v>4081</v>
      </c>
      <c r="B637" s="83">
        <v>2</v>
      </c>
      <c r="C637" s="110">
        <v>0.0010352029728540317</v>
      </c>
      <c r="D637" s="83" t="s">
        <v>4145</v>
      </c>
      <c r="E637" s="83" t="b">
        <v>1</v>
      </c>
      <c r="F637" s="83" t="b">
        <v>0</v>
      </c>
      <c r="G637" s="83" t="b">
        <v>0</v>
      </c>
    </row>
    <row r="638" spans="1:7" ht="15">
      <c r="A638" s="84" t="s">
        <v>4082</v>
      </c>
      <c r="B638" s="83">
        <v>2</v>
      </c>
      <c r="C638" s="110">
        <v>0.0010352029728540317</v>
      </c>
      <c r="D638" s="83" t="s">
        <v>4145</v>
      </c>
      <c r="E638" s="83" t="b">
        <v>0</v>
      </c>
      <c r="F638" s="83" t="b">
        <v>1</v>
      </c>
      <c r="G638" s="83" t="b">
        <v>0</v>
      </c>
    </row>
    <row r="639" spans="1:7" ht="15">
      <c r="A639" s="84" t="s">
        <v>4083</v>
      </c>
      <c r="B639" s="83">
        <v>2</v>
      </c>
      <c r="C639" s="110">
        <v>0.0010352029728540317</v>
      </c>
      <c r="D639" s="83" t="s">
        <v>4145</v>
      </c>
      <c r="E639" s="83" t="b">
        <v>0</v>
      </c>
      <c r="F639" s="83" t="b">
        <v>0</v>
      </c>
      <c r="G639" s="83" t="b">
        <v>0</v>
      </c>
    </row>
    <row r="640" spans="1:7" ht="15">
      <c r="A640" s="84" t="s">
        <v>4084</v>
      </c>
      <c r="B640" s="83">
        <v>2</v>
      </c>
      <c r="C640" s="110">
        <v>0.0010352029728540317</v>
      </c>
      <c r="D640" s="83" t="s">
        <v>4145</v>
      </c>
      <c r="E640" s="83" t="b">
        <v>0</v>
      </c>
      <c r="F640" s="83" t="b">
        <v>0</v>
      </c>
      <c r="G640" s="83" t="b">
        <v>0</v>
      </c>
    </row>
    <row r="641" spans="1:7" ht="15">
      <c r="A641" s="84" t="s">
        <v>4085</v>
      </c>
      <c r="B641" s="83">
        <v>2</v>
      </c>
      <c r="C641" s="110">
        <v>0.0010352029728540317</v>
      </c>
      <c r="D641" s="83" t="s">
        <v>4145</v>
      </c>
      <c r="E641" s="83" t="b">
        <v>0</v>
      </c>
      <c r="F641" s="83" t="b">
        <v>0</v>
      </c>
      <c r="G641" s="83" t="b">
        <v>0</v>
      </c>
    </row>
    <row r="642" spans="1:7" ht="15">
      <c r="A642" s="84" t="s">
        <v>4086</v>
      </c>
      <c r="B642" s="83">
        <v>2</v>
      </c>
      <c r="C642" s="110">
        <v>0.0010352029728540317</v>
      </c>
      <c r="D642" s="83" t="s">
        <v>4145</v>
      </c>
      <c r="E642" s="83" t="b">
        <v>0</v>
      </c>
      <c r="F642" s="83" t="b">
        <v>1</v>
      </c>
      <c r="G642" s="83" t="b">
        <v>0</v>
      </c>
    </row>
    <row r="643" spans="1:7" ht="15">
      <c r="A643" s="84" t="s">
        <v>4087</v>
      </c>
      <c r="B643" s="83">
        <v>2</v>
      </c>
      <c r="C643" s="110">
        <v>0.0010352029728540317</v>
      </c>
      <c r="D643" s="83" t="s">
        <v>4145</v>
      </c>
      <c r="E643" s="83" t="b">
        <v>0</v>
      </c>
      <c r="F643" s="83" t="b">
        <v>0</v>
      </c>
      <c r="G643" s="83" t="b">
        <v>0</v>
      </c>
    </row>
    <row r="644" spans="1:7" ht="15">
      <c r="A644" s="84" t="s">
        <v>4088</v>
      </c>
      <c r="B644" s="83">
        <v>2</v>
      </c>
      <c r="C644" s="110">
        <v>0.0010352029728540317</v>
      </c>
      <c r="D644" s="83" t="s">
        <v>4145</v>
      </c>
      <c r="E644" s="83" t="b">
        <v>0</v>
      </c>
      <c r="F644" s="83" t="b">
        <v>0</v>
      </c>
      <c r="G644" s="83" t="b">
        <v>0</v>
      </c>
    </row>
    <row r="645" spans="1:7" ht="15">
      <c r="A645" s="84" t="s">
        <v>4089</v>
      </c>
      <c r="B645" s="83">
        <v>2</v>
      </c>
      <c r="C645" s="110">
        <v>0.0010352029728540317</v>
      </c>
      <c r="D645" s="83" t="s">
        <v>4145</v>
      </c>
      <c r="E645" s="83" t="b">
        <v>0</v>
      </c>
      <c r="F645" s="83" t="b">
        <v>0</v>
      </c>
      <c r="G645" s="83" t="b">
        <v>0</v>
      </c>
    </row>
    <row r="646" spans="1:7" ht="15">
      <c r="A646" s="84" t="s">
        <v>4090</v>
      </c>
      <c r="B646" s="83">
        <v>2</v>
      </c>
      <c r="C646" s="110">
        <v>0.0010352029728540317</v>
      </c>
      <c r="D646" s="83" t="s">
        <v>4145</v>
      </c>
      <c r="E646" s="83" t="b">
        <v>0</v>
      </c>
      <c r="F646" s="83" t="b">
        <v>0</v>
      </c>
      <c r="G646" s="83" t="b">
        <v>0</v>
      </c>
    </row>
    <row r="647" spans="1:7" ht="15">
      <c r="A647" s="84" t="s">
        <v>4091</v>
      </c>
      <c r="B647" s="83">
        <v>2</v>
      </c>
      <c r="C647" s="110">
        <v>0.0010352029728540317</v>
      </c>
      <c r="D647" s="83" t="s">
        <v>4145</v>
      </c>
      <c r="E647" s="83" t="b">
        <v>0</v>
      </c>
      <c r="F647" s="83" t="b">
        <v>0</v>
      </c>
      <c r="G647" s="83" t="b">
        <v>0</v>
      </c>
    </row>
    <row r="648" spans="1:7" ht="15">
      <c r="A648" s="84" t="s">
        <v>4092</v>
      </c>
      <c r="B648" s="83">
        <v>2</v>
      </c>
      <c r="C648" s="110">
        <v>0.0010352029728540317</v>
      </c>
      <c r="D648" s="83" t="s">
        <v>4145</v>
      </c>
      <c r="E648" s="83" t="b">
        <v>0</v>
      </c>
      <c r="F648" s="83" t="b">
        <v>0</v>
      </c>
      <c r="G648" s="83" t="b">
        <v>0</v>
      </c>
    </row>
    <row r="649" spans="1:7" ht="15">
      <c r="A649" s="84" t="s">
        <v>4093</v>
      </c>
      <c r="B649" s="83">
        <v>2</v>
      </c>
      <c r="C649" s="110">
        <v>0.0010352029728540317</v>
      </c>
      <c r="D649" s="83" t="s">
        <v>4145</v>
      </c>
      <c r="E649" s="83" t="b">
        <v>0</v>
      </c>
      <c r="F649" s="83" t="b">
        <v>0</v>
      </c>
      <c r="G649" s="83" t="b">
        <v>0</v>
      </c>
    </row>
    <row r="650" spans="1:7" ht="15">
      <c r="A650" s="84" t="s">
        <v>4094</v>
      </c>
      <c r="B650" s="83">
        <v>2</v>
      </c>
      <c r="C650" s="110">
        <v>0.0010352029728540317</v>
      </c>
      <c r="D650" s="83" t="s">
        <v>4145</v>
      </c>
      <c r="E650" s="83" t="b">
        <v>1</v>
      </c>
      <c r="F650" s="83" t="b">
        <v>0</v>
      </c>
      <c r="G650" s="83" t="b">
        <v>0</v>
      </c>
    </row>
    <row r="651" spans="1:7" ht="15">
      <c r="A651" s="84" t="s">
        <v>4095</v>
      </c>
      <c r="B651" s="83">
        <v>2</v>
      </c>
      <c r="C651" s="110">
        <v>0.0010352029728540317</v>
      </c>
      <c r="D651" s="83" t="s">
        <v>4145</v>
      </c>
      <c r="E651" s="83" t="b">
        <v>0</v>
      </c>
      <c r="F651" s="83" t="b">
        <v>0</v>
      </c>
      <c r="G651" s="83" t="b">
        <v>0</v>
      </c>
    </row>
    <row r="652" spans="1:7" ht="15">
      <c r="A652" s="84" t="s">
        <v>4096</v>
      </c>
      <c r="B652" s="83">
        <v>2</v>
      </c>
      <c r="C652" s="110">
        <v>0.0010352029728540317</v>
      </c>
      <c r="D652" s="83" t="s">
        <v>4145</v>
      </c>
      <c r="E652" s="83" t="b">
        <v>0</v>
      </c>
      <c r="F652" s="83" t="b">
        <v>0</v>
      </c>
      <c r="G652" s="83" t="b">
        <v>0</v>
      </c>
    </row>
    <row r="653" spans="1:7" ht="15">
      <c r="A653" s="84" t="s">
        <v>4097</v>
      </c>
      <c r="B653" s="83">
        <v>2</v>
      </c>
      <c r="C653" s="110">
        <v>0.0010352029728540317</v>
      </c>
      <c r="D653" s="83" t="s">
        <v>4145</v>
      </c>
      <c r="E653" s="83" t="b">
        <v>0</v>
      </c>
      <c r="F653" s="83" t="b">
        <v>0</v>
      </c>
      <c r="G653" s="83" t="b">
        <v>0</v>
      </c>
    </row>
    <row r="654" spans="1:7" ht="15">
      <c r="A654" s="84" t="s">
        <v>4098</v>
      </c>
      <c r="B654" s="83">
        <v>2</v>
      </c>
      <c r="C654" s="110">
        <v>0.0010352029728540317</v>
      </c>
      <c r="D654" s="83" t="s">
        <v>4145</v>
      </c>
      <c r="E654" s="83" t="b">
        <v>1</v>
      </c>
      <c r="F654" s="83" t="b">
        <v>0</v>
      </c>
      <c r="G654" s="83" t="b">
        <v>0</v>
      </c>
    </row>
    <row r="655" spans="1:7" ht="15">
      <c r="A655" s="84" t="s">
        <v>4099</v>
      </c>
      <c r="B655" s="83">
        <v>2</v>
      </c>
      <c r="C655" s="110">
        <v>0.0010352029728540317</v>
      </c>
      <c r="D655" s="83" t="s">
        <v>4145</v>
      </c>
      <c r="E655" s="83" t="b">
        <v>0</v>
      </c>
      <c r="F655" s="83" t="b">
        <v>0</v>
      </c>
      <c r="G655" s="83" t="b">
        <v>0</v>
      </c>
    </row>
    <row r="656" spans="1:7" ht="15">
      <c r="A656" s="84" t="s">
        <v>4100</v>
      </c>
      <c r="B656" s="83">
        <v>2</v>
      </c>
      <c r="C656" s="110">
        <v>0.0010352029728540317</v>
      </c>
      <c r="D656" s="83" t="s">
        <v>4145</v>
      </c>
      <c r="E656" s="83" t="b">
        <v>0</v>
      </c>
      <c r="F656" s="83" t="b">
        <v>0</v>
      </c>
      <c r="G656" s="83" t="b">
        <v>0</v>
      </c>
    </row>
    <row r="657" spans="1:7" ht="15">
      <c r="A657" s="84" t="s">
        <v>4101</v>
      </c>
      <c r="B657" s="83">
        <v>2</v>
      </c>
      <c r="C657" s="110">
        <v>0.0010352029728540317</v>
      </c>
      <c r="D657" s="83" t="s">
        <v>4145</v>
      </c>
      <c r="E657" s="83" t="b">
        <v>0</v>
      </c>
      <c r="F657" s="83" t="b">
        <v>0</v>
      </c>
      <c r="G657" s="83" t="b">
        <v>0</v>
      </c>
    </row>
    <row r="658" spans="1:7" ht="15">
      <c r="A658" s="84" t="s">
        <v>4102</v>
      </c>
      <c r="B658" s="83">
        <v>2</v>
      </c>
      <c r="C658" s="110">
        <v>0.0010352029728540317</v>
      </c>
      <c r="D658" s="83" t="s">
        <v>4145</v>
      </c>
      <c r="E658" s="83" t="b">
        <v>0</v>
      </c>
      <c r="F658" s="83" t="b">
        <v>0</v>
      </c>
      <c r="G658" s="83" t="b">
        <v>0</v>
      </c>
    </row>
    <row r="659" spans="1:7" ht="15">
      <c r="A659" s="84" t="s">
        <v>4103</v>
      </c>
      <c r="B659" s="83">
        <v>2</v>
      </c>
      <c r="C659" s="110">
        <v>0.0010352029728540317</v>
      </c>
      <c r="D659" s="83" t="s">
        <v>4145</v>
      </c>
      <c r="E659" s="83" t="b">
        <v>0</v>
      </c>
      <c r="F659" s="83" t="b">
        <v>0</v>
      </c>
      <c r="G659" s="83" t="b">
        <v>0</v>
      </c>
    </row>
    <row r="660" spans="1:7" ht="15">
      <c r="A660" s="84" t="s">
        <v>4104</v>
      </c>
      <c r="B660" s="83">
        <v>2</v>
      </c>
      <c r="C660" s="110">
        <v>0.0010352029728540317</v>
      </c>
      <c r="D660" s="83" t="s">
        <v>4145</v>
      </c>
      <c r="E660" s="83" t="b">
        <v>0</v>
      </c>
      <c r="F660" s="83" t="b">
        <v>0</v>
      </c>
      <c r="G660" s="83" t="b">
        <v>0</v>
      </c>
    </row>
    <row r="661" spans="1:7" ht="15">
      <c r="A661" s="84" t="s">
        <v>4105</v>
      </c>
      <c r="B661" s="83">
        <v>2</v>
      </c>
      <c r="C661" s="110">
        <v>0.0010352029728540317</v>
      </c>
      <c r="D661" s="83" t="s">
        <v>4145</v>
      </c>
      <c r="E661" s="83" t="b">
        <v>0</v>
      </c>
      <c r="F661" s="83" t="b">
        <v>0</v>
      </c>
      <c r="G661" s="83" t="b">
        <v>0</v>
      </c>
    </row>
    <row r="662" spans="1:7" ht="15">
      <c r="A662" s="84" t="s">
        <v>4106</v>
      </c>
      <c r="B662" s="83">
        <v>2</v>
      </c>
      <c r="C662" s="110">
        <v>0.0010352029728540317</v>
      </c>
      <c r="D662" s="83" t="s">
        <v>4145</v>
      </c>
      <c r="E662" s="83" t="b">
        <v>1</v>
      </c>
      <c r="F662" s="83" t="b">
        <v>0</v>
      </c>
      <c r="G662" s="83" t="b">
        <v>0</v>
      </c>
    </row>
    <row r="663" spans="1:7" ht="15">
      <c r="A663" s="84" t="s">
        <v>4107</v>
      </c>
      <c r="B663" s="83">
        <v>2</v>
      </c>
      <c r="C663" s="110">
        <v>0.0010352029728540317</v>
      </c>
      <c r="D663" s="83" t="s">
        <v>4145</v>
      </c>
      <c r="E663" s="83" t="b">
        <v>1</v>
      </c>
      <c r="F663" s="83" t="b">
        <v>0</v>
      </c>
      <c r="G663" s="83" t="b">
        <v>0</v>
      </c>
    </row>
    <row r="664" spans="1:7" ht="15">
      <c r="A664" s="84" t="s">
        <v>4108</v>
      </c>
      <c r="B664" s="83">
        <v>2</v>
      </c>
      <c r="C664" s="110">
        <v>0.0010352029728540317</v>
      </c>
      <c r="D664" s="83" t="s">
        <v>4145</v>
      </c>
      <c r="E664" s="83" t="b">
        <v>0</v>
      </c>
      <c r="F664" s="83" t="b">
        <v>0</v>
      </c>
      <c r="G664" s="83" t="b">
        <v>0</v>
      </c>
    </row>
    <row r="665" spans="1:7" ht="15">
      <c r="A665" s="84" t="s">
        <v>4109</v>
      </c>
      <c r="B665" s="83">
        <v>2</v>
      </c>
      <c r="C665" s="110">
        <v>0.0010352029728540317</v>
      </c>
      <c r="D665" s="83" t="s">
        <v>4145</v>
      </c>
      <c r="E665" s="83" t="b">
        <v>0</v>
      </c>
      <c r="F665" s="83" t="b">
        <v>0</v>
      </c>
      <c r="G665" s="83" t="b">
        <v>0</v>
      </c>
    </row>
    <row r="666" spans="1:7" ht="15">
      <c r="A666" s="84" t="s">
        <v>4110</v>
      </c>
      <c r="B666" s="83">
        <v>2</v>
      </c>
      <c r="C666" s="110">
        <v>0.0010352029728540317</v>
      </c>
      <c r="D666" s="83" t="s">
        <v>4145</v>
      </c>
      <c r="E666" s="83" t="b">
        <v>0</v>
      </c>
      <c r="F666" s="83" t="b">
        <v>0</v>
      </c>
      <c r="G666" s="83" t="b">
        <v>0</v>
      </c>
    </row>
    <row r="667" spans="1:7" ht="15">
      <c r="A667" s="84" t="s">
        <v>4111</v>
      </c>
      <c r="B667" s="83">
        <v>2</v>
      </c>
      <c r="C667" s="110">
        <v>0.0010352029728540317</v>
      </c>
      <c r="D667" s="83" t="s">
        <v>4145</v>
      </c>
      <c r="E667" s="83" t="b">
        <v>1</v>
      </c>
      <c r="F667" s="83" t="b">
        <v>0</v>
      </c>
      <c r="G667" s="83" t="b">
        <v>0</v>
      </c>
    </row>
    <row r="668" spans="1:7" ht="15">
      <c r="A668" s="84" t="s">
        <v>4112</v>
      </c>
      <c r="B668" s="83">
        <v>2</v>
      </c>
      <c r="C668" s="110">
        <v>0.0010352029728540317</v>
      </c>
      <c r="D668" s="83" t="s">
        <v>4145</v>
      </c>
      <c r="E668" s="83" t="b">
        <v>0</v>
      </c>
      <c r="F668" s="83" t="b">
        <v>0</v>
      </c>
      <c r="G668" s="83" t="b">
        <v>0</v>
      </c>
    </row>
    <row r="669" spans="1:7" ht="15">
      <c r="A669" s="84" t="s">
        <v>4113</v>
      </c>
      <c r="B669" s="83">
        <v>2</v>
      </c>
      <c r="C669" s="110">
        <v>0.0010352029728540317</v>
      </c>
      <c r="D669" s="83" t="s">
        <v>4145</v>
      </c>
      <c r="E669" s="83" t="b">
        <v>0</v>
      </c>
      <c r="F669" s="83" t="b">
        <v>0</v>
      </c>
      <c r="G669" s="83" t="b">
        <v>0</v>
      </c>
    </row>
    <row r="670" spans="1:7" ht="15">
      <c r="A670" s="84" t="s">
        <v>4114</v>
      </c>
      <c r="B670" s="83">
        <v>2</v>
      </c>
      <c r="C670" s="110">
        <v>0.0010352029728540317</v>
      </c>
      <c r="D670" s="83" t="s">
        <v>4145</v>
      </c>
      <c r="E670" s="83" t="b">
        <v>0</v>
      </c>
      <c r="F670" s="83" t="b">
        <v>0</v>
      </c>
      <c r="G670" s="83" t="b">
        <v>0</v>
      </c>
    </row>
    <row r="671" spans="1:7" ht="15">
      <c r="A671" s="84" t="s">
        <v>4115</v>
      </c>
      <c r="B671" s="83">
        <v>2</v>
      </c>
      <c r="C671" s="110">
        <v>0.0010352029728540317</v>
      </c>
      <c r="D671" s="83" t="s">
        <v>4145</v>
      </c>
      <c r="E671" s="83" t="b">
        <v>0</v>
      </c>
      <c r="F671" s="83" t="b">
        <v>0</v>
      </c>
      <c r="G671" s="83" t="b">
        <v>0</v>
      </c>
    </row>
    <row r="672" spans="1:7" ht="15">
      <c r="A672" s="84" t="s">
        <v>4116</v>
      </c>
      <c r="B672" s="83">
        <v>2</v>
      </c>
      <c r="C672" s="110">
        <v>0.0011543048504658938</v>
      </c>
      <c r="D672" s="83" t="s">
        <v>4145</v>
      </c>
      <c r="E672" s="83" t="b">
        <v>0</v>
      </c>
      <c r="F672" s="83" t="b">
        <v>0</v>
      </c>
      <c r="G672" s="83" t="b">
        <v>0</v>
      </c>
    </row>
    <row r="673" spans="1:7" ht="15">
      <c r="A673" s="84" t="s">
        <v>4117</v>
      </c>
      <c r="B673" s="83">
        <v>2</v>
      </c>
      <c r="C673" s="110">
        <v>0.0010352029728540317</v>
      </c>
      <c r="D673" s="83" t="s">
        <v>4145</v>
      </c>
      <c r="E673" s="83" t="b">
        <v>0</v>
      </c>
      <c r="F673" s="83" t="b">
        <v>1</v>
      </c>
      <c r="G673" s="83" t="b">
        <v>0</v>
      </c>
    </row>
    <row r="674" spans="1:7" ht="15">
      <c r="A674" s="84" t="s">
        <v>4118</v>
      </c>
      <c r="B674" s="83">
        <v>2</v>
      </c>
      <c r="C674" s="110">
        <v>0.0011543048504658938</v>
      </c>
      <c r="D674" s="83" t="s">
        <v>4145</v>
      </c>
      <c r="E674" s="83" t="b">
        <v>0</v>
      </c>
      <c r="F674" s="83" t="b">
        <v>0</v>
      </c>
      <c r="G674" s="83" t="b">
        <v>0</v>
      </c>
    </row>
    <row r="675" spans="1:7" ht="15">
      <c r="A675" s="84" t="s">
        <v>4119</v>
      </c>
      <c r="B675" s="83">
        <v>2</v>
      </c>
      <c r="C675" s="110">
        <v>0.0011543048504658938</v>
      </c>
      <c r="D675" s="83" t="s">
        <v>4145</v>
      </c>
      <c r="E675" s="83" t="b">
        <v>0</v>
      </c>
      <c r="F675" s="83" t="b">
        <v>0</v>
      </c>
      <c r="G675" s="83" t="b">
        <v>0</v>
      </c>
    </row>
    <row r="676" spans="1:7" ht="15">
      <c r="A676" s="84" t="s">
        <v>4120</v>
      </c>
      <c r="B676" s="83">
        <v>2</v>
      </c>
      <c r="C676" s="110">
        <v>0.0011543048504658938</v>
      </c>
      <c r="D676" s="83" t="s">
        <v>4145</v>
      </c>
      <c r="E676" s="83" t="b">
        <v>0</v>
      </c>
      <c r="F676" s="83" t="b">
        <v>0</v>
      </c>
      <c r="G676" s="83" t="b">
        <v>0</v>
      </c>
    </row>
    <row r="677" spans="1:7" ht="15">
      <c r="A677" s="84" t="s">
        <v>4121</v>
      </c>
      <c r="B677" s="83">
        <v>2</v>
      </c>
      <c r="C677" s="110">
        <v>0.0010352029728540317</v>
      </c>
      <c r="D677" s="83" t="s">
        <v>4145</v>
      </c>
      <c r="E677" s="83" t="b">
        <v>1</v>
      </c>
      <c r="F677" s="83" t="b">
        <v>0</v>
      </c>
      <c r="G677" s="83" t="b">
        <v>0</v>
      </c>
    </row>
    <row r="678" spans="1:7" ht="15">
      <c r="A678" s="84" t="s">
        <v>4122</v>
      </c>
      <c r="B678" s="83">
        <v>2</v>
      </c>
      <c r="C678" s="110">
        <v>0.0010352029728540317</v>
      </c>
      <c r="D678" s="83" t="s">
        <v>4145</v>
      </c>
      <c r="E678" s="83" t="b">
        <v>0</v>
      </c>
      <c r="F678" s="83" t="b">
        <v>0</v>
      </c>
      <c r="G678" s="83" t="b">
        <v>0</v>
      </c>
    </row>
    <row r="679" spans="1:7" ht="15">
      <c r="A679" s="84" t="s">
        <v>4123</v>
      </c>
      <c r="B679" s="83">
        <v>2</v>
      </c>
      <c r="C679" s="110">
        <v>0.0010352029728540317</v>
      </c>
      <c r="D679" s="83" t="s">
        <v>4145</v>
      </c>
      <c r="E679" s="83" t="b">
        <v>0</v>
      </c>
      <c r="F679" s="83" t="b">
        <v>0</v>
      </c>
      <c r="G679" s="83" t="b">
        <v>0</v>
      </c>
    </row>
    <row r="680" spans="1:7" ht="15">
      <c r="A680" s="84" t="s">
        <v>4124</v>
      </c>
      <c r="B680" s="83">
        <v>2</v>
      </c>
      <c r="C680" s="110">
        <v>0.0011543048504658938</v>
      </c>
      <c r="D680" s="83" t="s">
        <v>4145</v>
      </c>
      <c r="E680" s="83" t="b">
        <v>0</v>
      </c>
      <c r="F680" s="83" t="b">
        <v>0</v>
      </c>
      <c r="G680" s="83" t="b">
        <v>0</v>
      </c>
    </row>
    <row r="681" spans="1:7" ht="15">
      <c r="A681" s="84" t="s">
        <v>4125</v>
      </c>
      <c r="B681" s="83">
        <v>2</v>
      </c>
      <c r="C681" s="110">
        <v>0.0010352029728540317</v>
      </c>
      <c r="D681" s="83" t="s">
        <v>4145</v>
      </c>
      <c r="E681" s="83" t="b">
        <v>0</v>
      </c>
      <c r="F681" s="83" t="b">
        <v>0</v>
      </c>
      <c r="G681" s="83" t="b">
        <v>0</v>
      </c>
    </row>
    <row r="682" spans="1:7" ht="15">
      <c r="A682" s="84" t="s">
        <v>4126</v>
      </c>
      <c r="B682" s="83">
        <v>2</v>
      </c>
      <c r="C682" s="110">
        <v>0.0010352029728540317</v>
      </c>
      <c r="D682" s="83" t="s">
        <v>4145</v>
      </c>
      <c r="E682" s="83" t="b">
        <v>0</v>
      </c>
      <c r="F682" s="83" t="b">
        <v>0</v>
      </c>
      <c r="G682" s="83" t="b">
        <v>0</v>
      </c>
    </row>
    <row r="683" spans="1:7" ht="15">
      <c r="A683" s="84" t="s">
        <v>4127</v>
      </c>
      <c r="B683" s="83">
        <v>2</v>
      </c>
      <c r="C683" s="110">
        <v>0.0010352029728540317</v>
      </c>
      <c r="D683" s="83" t="s">
        <v>4145</v>
      </c>
      <c r="E683" s="83" t="b">
        <v>1</v>
      </c>
      <c r="F683" s="83" t="b">
        <v>0</v>
      </c>
      <c r="G683" s="83" t="b">
        <v>0</v>
      </c>
    </row>
    <row r="684" spans="1:7" ht="15">
      <c r="A684" s="84" t="s">
        <v>4128</v>
      </c>
      <c r="B684" s="83">
        <v>2</v>
      </c>
      <c r="C684" s="110">
        <v>0.0011543048504658938</v>
      </c>
      <c r="D684" s="83" t="s">
        <v>4145</v>
      </c>
      <c r="E684" s="83" t="b">
        <v>0</v>
      </c>
      <c r="F684" s="83" t="b">
        <v>0</v>
      </c>
      <c r="G684" s="83" t="b">
        <v>0</v>
      </c>
    </row>
    <row r="685" spans="1:7" ht="15">
      <c r="A685" s="84" t="s">
        <v>4129</v>
      </c>
      <c r="B685" s="83">
        <v>2</v>
      </c>
      <c r="C685" s="110">
        <v>0.0010352029728540317</v>
      </c>
      <c r="D685" s="83" t="s">
        <v>4145</v>
      </c>
      <c r="E685" s="83" t="b">
        <v>0</v>
      </c>
      <c r="F685" s="83" t="b">
        <v>0</v>
      </c>
      <c r="G685" s="83" t="b">
        <v>0</v>
      </c>
    </row>
    <row r="686" spans="1:7" ht="15">
      <c r="A686" s="84" t="s">
        <v>4130</v>
      </c>
      <c r="B686" s="83">
        <v>2</v>
      </c>
      <c r="C686" s="110">
        <v>0.0010352029728540317</v>
      </c>
      <c r="D686" s="83" t="s">
        <v>4145</v>
      </c>
      <c r="E686" s="83" t="b">
        <v>0</v>
      </c>
      <c r="F686" s="83" t="b">
        <v>0</v>
      </c>
      <c r="G686" s="83" t="b">
        <v>0</v>
      </c>
    </row>
    <row r="687" spans="1:7" ht="15">
      <c r="A687" s="84" t="s">
        <v>4131</v>
      </c>
      <c r="B687" s="83">
        <v>2</v>
      </c>
      <c r="C687" s="110">
        <v>0.0010352029728540317</v>
      </c>
      <c r="D687" s="83" t="s">
        <v>4145</v>
      </c>
      <c r="E687" s="83" t="b">
        <v>0</v>
      </c>
      <c r="F687" s="83" t="b">
        <v>0</v>
      </c>
      <c r="G687" s="83" t="b">
        <v>0</v>
      </c>
    </row>
    <row r="688" spans="1:7" ht="15">
      <c r="A688" s="84" t="s">
        <v>4132</v>
      </c>
      <c r="B688" s="83">
        <v>2</v>
      </c>
      <c r="C688" s="110">
        <v>0.0010352029728540317</v>
      </c>
      <c r="D688" s="83" t="s">
        <v>4145</v>
      </c>
      <c r="E688" s="83" t="b">
        <v>0</v>
      </c>
      <c r="F688" s="83" t="b">
        <v>1</v>
      </c>
      <c r="G688" s="83" t="b">
        <v>0</v>
      </c>
    </row>
    <row r="689" spans="1:7" ht="15">
      <c r="A689" s="84" t="s">
        <v>4133</v>
      </c>
      <c r="B689" s="83">
        <v>2</v>
      </c>
      <c r="C689" s="110">
        <v>0.0010352029728540317</v>
      </c>
      <c r="D689" s="83" t="s">
        <v>4145</v>
      </c>
      <c r="E689" s="83" t="b">
        <v>0</v>
      </c>
      <c r="F689" s="83" t="b">
        <v>1</v>
      </c>
      <c r="G689" s="83" t="b">
        <v>0</v>
      </c>
    </row>
    <row r="690" spans="1:7" ht="15">
      <c r="A690" s="84" t="s">
        <v>4134</v>
      </c>
      <c r="B690" s="83">
        <v>2</v>
      </c>
      <c r="C690" s="110">
        <v>0.0010352029728540317</v>
      </c>
      <c r="D690" s="83" t="s">
        <v>4145</v>
      </c>
      <c r="E690" s="83" t="b">
        <v>0</v>
      </c>
      <c r="F690" s="83" t="b">
        <v>0</v>
      </c>
      <c r="G690" s="83" t="b">
        <v>0</v>
      </c>
    </row>
    <row r="691" spans="1:7" ht="15">
      <c r="A691" s="84" t="s">
        <v>4135</v>
      </c>
      <c r="B691" s="83">
        <v>2</v>
      </c>
      <c r="C691" s="110">
        <v>0.0010352029728540317</v>
      </c>
      <c r="D691" s="83" t="s">
        <v>4145</v>
      </c>
      <c r="E691" s="83" t="b">
        <v>0</v>
      </c>
      <c r="F691" s="83" t="b">
        <v>1</v>
      </c>
      <c r="G691" s="83" t="b">
        <v>0</v>
      </c>
    </row>
    <row r="692" spans="1:7" ht="15">
      <c r="A692" s="84" t="s">
        <v>4136</v>
      </c>
      <c r="B692" s="83">
        <v>2</v>
      </c>
      <c r="C692" s="110">
        <v>0.0011543048504658938</v>
      </c>
      <c r="D692" s="83" t="s">
        <v>4145</v>
      </c>
      <c r="E692" s="83" t="b">
        <v>0</v>
      </c>
      <c r="F692" s="83" t="b">
        <v>0</v>
      </c>
      <c r="G692" s="83" t="b">
        <v>0</v>
      </c>
    </row>
    <row r="693" spans="1:7" ht="15">
      <c r="A693" s="84" t="s">
        <v>4137</v>
      </c>
      <c r="B693" s="83">
        <v>2</v>
      </c>
      <c r="C693" s="110">
        <v>0.0010352029728540317</v>
      </c>
      <c r="D693" s="83" t="s">
        <v>4145</v>
      </c>
      <c r="E693" s="83" t="b">
        <v>0</v>
      </c>
      <c r="F693" s="83" t="b">
        <v>0</v>
      </c>
      <c r="G693" s="83" t="b">
        <v>0</v>
      </c>
    </row>
    <row r="694" spans="1:7" ht="15">
      <c r="A694" s="84" t="s">
        <v>4138</v>
      </c>
      <c r="B694" s="83">
        <v>2</v>
      </c>
      <c r="C694" s="110">
        <v>0.0010352029728540317</v>
      </c>
      <c r="D694" s="83" t="s">
        <v>4145</v>
      </c>
      <c r="E694" s="83" t="b">
        <v>0</v>
      </c>
      <c r="F694" s="83" t="b">
        <v>0</v>
      </c>
      <c r="G694" s="83" t="b">
        <v>0</v>
      </c>
    </row>
    <row r="695" spans="1:7" ht="15">
      <c r="A695" s="84" t="s">
        <v>4139</v>
      </c>
      <c r="B695" s="83">
        <v>2</v>
      </c>
      <c r="C695" s="110">
        <v>0.0010352029728540317</v>
      </c>
      <c r="D695" s="83" t="s">
        <v>4145</v>
      </c>
      <c r="E695" s="83" t="b">
        <v>0</v>
      </c>
      <c r="F695" s="83" t="b">
        <v>0</v>
      </c>
      <c r="G695" s="83" t="b">
        <v>0</v>
      </c>
    </row>
    <row r="696" spans="1:7" ht="15">
      <c r="A696" s="84" t="s">
        <v>3100</v>
      </c>
      <c r="B696" s="83">
        <v>2</v>
      </c>
      <c r="C696" s="110">
        <v>0.0011543048504658938</v>
      </c>
      <c r="D696" s="83" t="s">
        <v>4145</v>
      </c>
      <c r="E696" s="83" t="b">
        <v>0</v>
      </c>
      <c r="F696" s="83" t="b">
        <v>0</v>
      </c>
      <c r="G696" s="83" t="b">
        <v>0</v>
      </c>
    </row>
    <row r="697" spans="1:7" ht="15">
      <c r="A697" s="84" t="s">
        <v>3456</v>
      </c>
      <c r="B697" s="83">
        <v>72</v>
      </c>
      <c r="C697" s="110">
        <v>0.022135107304763604</v>
      </c>
      <c r="D697" s="83" t="s">
        <v>3414</v>
      </c>
      <c r="E697" s="83" t="b">
        <v>1</v>
      </c>
      <c r="F697" s="83" t="b">
        <v>0</v>
      </c>
      <c r="G697" s="83" t="b">
        <v>0</v>
      </c>
    </row>
    <row r="698" spans="1:7" ht="15">
      <c r="A698" s="84" t="s">
        <v>3457</v>
      </c>
      <c r="B698" s="83">
        <v>34</v>
      </c>
      <c r="C698" s="110">
        <v>0.014680289664909685</v>
      </c>
      <c r="D698" s="83" t="s">
        <v>3414</v>
      </c>
      <c r="E698" s="83" t="b">
        <v>1</v>
      </c>
      <c r="F698" s="83" t="b">
        <v>0</v>
      </c>
      <c r="G698" s="83" t="b">
        <v>0</v>
      </c>
    </row>
    <row r="699" spans="1:7" ht="15">
      <c r="A699" s="84" t="s">
        <v>3460</v>
      </c>
      <c r="B699" s="83">
        <v>32</v>
      </c>
      <c r="C699" s="110">
        <v>0.013628517666049363</v>
      </c>
      <c r="D699" s="83" t="s">
        <v>3414</v>
      </c>
      <c r="E699" s="83" t="b">
        <v>1</v>
      </c>
      <c r="F699" s="83" t="b">
        <v>0</v>
      </c>
      <c r="G699" s="83" t="b">
        <v>0</v>
      </c>
    </row>
    <row r="700" spans="1:7" ht="15">
      <c r="A700" s="84" t="s">
        <v>3463</v>
      </c>
      <c r="B700" s="83">
        <v>31</v>
      </c>
      <c r="C700" s="110">
        <v>0.013573495788446209</v>
      </c>
      <c r="D700" s="83" t="s">
        <v>3414</v>
      </c>
      <c r="E700" s="83" t="b">
        <v>1</v>
      </c>
      <c r="F700" s="83" t="b">
        <v>0</v>
      </c>
      <c r="G700" s="83" t="b">
        <v>0</v>
      </c>
    </row>
    <row r="701" spans="1:7" ht="15">
      <c r="A701" s="84" t="s">
        <v>3459</v>
      </c>
      <c r="B701" s="83">
        <v>29</v>
      </c>
      <c r="C701" s="110">
        <v>0.012697786382740002</v>
      </c>
      <c r="D701" s="83" t="s">
        <v>3414</v>
      </c>
      <c r="E701" s="83" t="b">
        <v>0</v>
      </c>
      <c r="F701" s="83" t="b">
        <v>0</v>
      </c>
      <c r="G701" s="83" t="b">
        <v>0</v>
      </c>
    </row>
    <row r="702" spans="1:7" ht="15">
      <c r="A702" s="84" t="s">
        <v>3462</v>
      </c>
      <c r="B702" s="83">
        <v>27</v>
      </c>
      <c r="C702" s="110">
        <v>0.01216818367301858</v>
      </c>
      <c r="D702" s="83" t="s">
        <v>3414</v>
      </c>
      <c r="E702" s="83" t="b">
        <v>0</v>
      </c>
      <c r="F702" s="83" t="b">
        <v>0</v>
      </c>
      <c r="G702" s="83" t="b">
        <v>0</v>
      </c>
    </row>
    <row r="703" spans="1:7" ht="15">
      <c r="A703" s="84" t="s">
        <v>3461</v>
      </c>
      <c r="B703" s="83">
        <v>26</v>
      </c>
      <c r="C703" s="110">
        <v>0.01189353284755186</v>
      </c>
      <c r="D703" s="83" t="s">
        <v>3414</v>
      </c>
      <c r="E703" s="83" t="b">
        <v>1</v>
      </c>
      <c r="F703" s="83" t="b">
        <v>0</v>
      </c>
      <c r="G703" s="83" t="b">
        <v>0</v>
      </c>
    </row>
    <row r="704" spans="1:7" ht="15">
      <c r="A704" s="84" t="s">
        <v>3470</v>
      </c>
      <c r="B704" s="83">
        <v>24</v>
      </c>
      <c r="C704" s="110">
        <v>0.011898140656975472</v>
      </c>
      <c r="D704" s="83" t="s">
        <v>3414</v>
      </c>
      <c r="E704" s="83" t="b">
        <v>0</v>
      </c>
      <c r="F704" s="83" t="b">
        <v>0</v>
      </c>
      <c r="G704" s="83" t="b">
        <v>0</v>
      </c>
    </row>
    <row r="705" spans="1:7" ht="15">
      <c r="A705" s="84" t="s">
        <v>1152</v>
      </c>
      <c r="B705" s="83">
        <v>23</v>
      </c>
      <c r="C705" s="110">
        <v>0.01102704549452322</v>
      </c>
      <c r="D705" s="83" t="s">
        <v>3414</v>
      </c>
      <c r="E705" s="83" t="b">
        <v>1</v>
      </c>
      <c r="F705" s="83" t="b">
        <v>0</v>
      </c>
      <c r="G705" s="83" t="b">
        <v>0</v>
      </c>
    </row>
    <row r="706" spans="1:7" ht="15">
      <c r="A706" s="84" t="s">
        <v>3465</v>
      </c>
      <c r="B706" s="83">
        <v>22</v>
      </c>
      <c r="C706" s="110">
        <v>0.010723037653469847</v>
      </c>
      <c r="D706" s="83" t="s">
        <v>3414</v>
      </c>
      <c r="E706" s="83" t="b">
        <v>1</v>
      </c>
      <c r="F706" s="83" t="b">
        <v>0</v>
      </c>
      <c r="G706" s="83" t="b">
        <v>0</v>
      </c>
    </row>
    <row r="707" spans="1:7" ht="15">
      <c r="A707" s="84" t="s">
        <v>3471</v>
      </c>
      <c r="B707" s="83">
        <v>22</v>
      </c>
      <c r="C707" s="110">
        <v>0.011099179360814313</v>
      </c>
      <c r="D707" s="83" t="s">
        <v>3414</v>
      </c>
      <c r="E707" s="83" t="b">
        <v>1</v>
      </c>
      <c r="F707" s="83" t="b">
        <v>0</v>
      </c>
      <c r="G707" s="83" t="b">
        <v>0</v>
      </c>
    </row>
    <row r="708" spans="1:7" ht="15">
      <c r="A708" s="84" t="s">
        <v>3477</v>
      </c>
      <c r="B708" s="83">
        <v>18</v>
      </c>
      <c r="C708" s="110">
        <v>0.009421351140542853</v>
      </c>
      <c r="D708" s="83" t="s">
        <v>3414</v>
      </c>
      <c r="E708" s="83" t="b">
        <v>0</v>
      </c>
      <c r="F708" s="83" t="b">
        <v>0</v>
      </c>
      <c r="G708" s="83" t="b">
        <v>0</v>
      </c>
    </row>
    <row r="709" spans="1:7" ht="15">
      <c r="A709" s="84" t="s">
        <v>3482</v>
      </c>
      <c r="B709" s="83">
        <v>18</v>
      </c>
      <c r="C709" s="110">
        <v>0.009801667292567994</v>
      </c>
      <c r="D709" s="83" t="s">
        <v>3414</v>
      </c>
      <c r="E709" s="83" t="b">
        <v>0</v>
      </c>
      <c r="F709" s="83" t="b">
        <v>0</v>
      </c>
      <c r="G709" s="83" t="b">
        <v>0</v>
      </c>
    </row>
    <row r="710" spans="1:7" ht="15">
      <c r="A710" s="84" t="s">
        <v>3464</v>
      </c>
      <c r="B710" s="83">
        <v>17</v>
      </c>
      <c r="C710" s="110">
        <v>0.00907225126236133</v>
      </c>
      <c r="D710" s="83" t="s">
        <v>3414</v>
      </c>
      <c r="E710" s="83" t="b">
        <v>1</v>
      </c>
      <c r="F710" s="83" t="b">
        <v>0</v>
      </c>
      <c r="G710" s="83" t="b">
        <v>0</v>
      </c>
    </row>
    <row r="711" spans="1:7" ht="15">
      <c r="A711" s="84" t="s">
        <v>3476</v>
      </c>
      <c r="B711" s="83">
        <v>17</v>
      </c>
      <c r="C711" s="110">
        <v>0.00907225126236133</v>
      </c>
      <c r="D711" s="83" t="s">
        <v>3414</v>
      </c>
      <c r="E711" s="83" t="b">
        <v>0</v>
      </c>
      <c r="F711" s="83" t="b">
        <v>0</v>
      </c>
      <c r="G711" s="83" t="b">
        <v>0</v>
      </c>
    </row>
    <row r="712" spans="1:7" ht="15">
      <c r="A712" s="84" t="s">
        <v>3481</v>
      </c>
      <c r="B712" s="83">
        <v>16</v>
      </c>
      <c r="C712" s="110">
        <v>0.008712593148949328</v>
      </c>
      <c r="D712" s="83" t="s">
        <v>3414</v>
      </c>
      <c r="E712" s="83" t="b">
        <v>0</v>
      </c>
      <c r="F712" s="83" t="b">
        <v>0</v>
      </c>
      <c r="G712" s="83" t="b">
        <v>0</v>
      </c>
    </row>
    <row r="713" spans="1:7" ht="15">
      <c r="A713" s="84" t="s">
        <v>3487</v>
      </c>
      <c r="B713" s="83">
        <v>15</v>
      </c>
      <c r="C713" s="110">
        <v>0.00834171607466319</v>
      </c>
      <c r="D713" s="83" t="s">
        <v>3414</v>
      </c>
      <c r="E713" s="83" t="b">
        <v>0</v>
      </c>
      <c r="F713" s="83" t="b">
        <v>0</v>
      </c>
      <c r="G713" s="83" t="b">
        <v>0</v>
      </c>
    </row>
    <row r="714" spans="1:7" ht="15">
      <c r="A714" s="84" t="s">
        <v>3467</v>
      </c>
      <c r="B714" s="83">
        <v>14</v>
      </c>
      <c r="C714" s="110">
        <v>0.008564527747572626</v>
      </c>
      <c r="D714" s="83" t="s">
        <v>3414</v>
      </c>
      <c r="E714" s="83" t="b">
        <v>0</v>
      </c>
      <c r="F714" s="83" t="b">
        <v>0</v>
      </c>
      <c r="G714" s="83" t="b">
        <v>0</v>
      </c>
    </row>
    <row r="715" spans="1:7" ht="15">
      <c r="A715" s="84" t="s">
        <v>3499</v>
      </c>
      <c r="B715" s="83">
        <v>14</v>
      </c>
      <c r="C715" s="110">
        <v>0.007958871032463092</v>
      </c>
      <c r="D715" s="83" t="s">
        <v>3414</v>
      </c>
      <c r="E715" s="83" t="b">
        <v>0</v>
      </c>
      <c r="F715" s="83" t="b">
        <v>0</v>
      </c>
      <c r="G715" s="83" t="b">
        <v>0</v>
      </c>
    </row>
    <row r="716" spans="1:7" ht="15">
      <c r="A716" s="84" t="s">
        <v>3473</v>
      </c>
      <c r="B716" s="83">
        <v>13</v>
      </c>
      <c r="C716" s="110">
        <v>0.008175041319943064</v>
      </c>
      <c r="D716" s="83" t="s">
        <v>3414</v>
      </c>
      <c r="E716" s="83" t="b">
        <v>0</v>
      </c>
      <c r="F716" s="83" t="b">
        <v>0</v>
      </c>
      <c r="G716" s="83" t="b">
        <v>0</v>
      </c>
    </row>
    <row r="717" spans="1:7" ht="15">
      <c r="A717" s="84" t="s">
        <v>3478</v>
      </c>
      <c r="B717" s="83">
        <v>13</v>
      </c>
      <c r="C717" s="110">
        <v>0.007563201757783263</v>
      </c>
      <c r="D717" s="83" t="s">
        <v>3414</v>
      </c>
      <c r="E717" s="83" t="b">
        <v>0</v>
      </c>
      <c r="F717" s="83" t="b">
        <v>0</v>
      </c>
      <c r="G717" s="83" t="b">
        <v>0</v>
      </c>
    </row>
    <row r="718" spans="1:7" ht="15">
      <c r="A718" s="84" t="s">
        <v>3492</v>
      </c>
      <c r="B718" s="83">
        <v>13</v>
      </c>
      <c r="C718" s="110">
        <v>0.007952775765603153</v>
      </c>
      <c r="D718" s="83" t="s">
        <v>3414</v>
      </c>
      <c r="E718" s="83" t="b">
        <v>0</v>
      </c>
      <c r="F718" s="83" t="b">
        <v>0</v>
      </c>
      <c r="G718" s="83" t="b">
        <v>0</v>
      </c>
    </row>
    <row r="719" spans="1:7" ht="15">
      <c r="A719" s="84" t="s">
        <v>3469</v>
      </c>
      <c r="B719" s="83">
        <v>13</v>
      </c>
      <c r="C719" s="110">
        <v>0.007563201757783263</v>
      </c>
      <c r="D719" s="83" t="s">
        <v>3414</v>
      </c>
      <c r="E719" s="83" t="b">
        <v>1</v>
      </c>
      <c r="F719" s="83" t="b">
        <v>0</v>
      </c>
      <c r="G719" s="83" t="b">
        <v>0</v>
      </c>
    </row>
    <row r="720" spans="1:7" ht="15">
      <c r="A720" s="84" t="s">
        <v>3468</v>
      </c>
      <c r="B720" s="83">
        <v>13</v>
      </c>
      <c r="C720" s="110">
        <v>0.008695417267528663</v>
      </c>
      <c r="D720" s="83" t="s">
        <v>3414</v>
      </c>
      <c r="E720" s="83" t="b">
        <v>0</v>
      </c>
      <c r="F720" s="83" t="b">
        <v>0</v>
      </c>
      <c r="G720" s="83" t="b">
        <v>0</v>
      </c>
    </row>
    <row r="721" spans="1:7" ht="15">
      <c r="A721" s="84" t="s">
        <v>3485</v>
      </c>
      <c r="B721" s="83">
        <v>13</v>
      </c>
      <c r="C721" s="110">
        <v>0.007563201757783263</v>
      </c>
      <c r="D721" s="83" t="s">
        <v>3414</v>
      </c>
      <c r="E721" s="83" t="b">
        <v>0</v>
      </c>
      <c r="F721" s="83" t="b">
        <v>0</v>
      </c>
      <c r="G721" s="83" t="b">
        <v>0</v>
      </c>
    </row>
    <row r="722" spans="1:7" ht="15">
      <c r="A722" s="84" t="s">
        <v>3493</v>
      </c>
      <c r="B722" s="83">
        <v>13</v>
      </c>
      <c r="C722" s="110">
        <v>0.007749863212293696</v>
      </c>
      <c r="D722" s="83" t="s">
        <v>3414</v>
      </c>
      <c r="E722" s="83" t="b">
        <v>0</v>
      </c>
      <c r="F722" s="83" t="b">
        <v>0</v>
      </c>
      <c r="G722" s="83" t="b">
        <v>0</v>
      </c>
    </row>
    <row r="723" spans="1:7" ht="15">
      <c r="A723" s="84" t="s">
        <v>3483</v>
      </c>
      <c r="B723" s="83">
        <v>12</v>
      </c>
      <c r="C723" s="110">
        <v>0.007341023783633679</v>
      </c>
      <c r="D723" s="83" t="s">
        <v>3414</v>
      </c>
      <c r="E723" s="83" t="b">
        <v>0</v>
      </c>
      <c r="F723" s="83" t="b">
        <v>0</v>
      </c>
      <c r="G723" s="83" t="b">
        <v>0</v>
      </c>
    </row>
    <row r="724" spans="1:7" ht="15">
      <c r="A724" s="84" t="s">
        <v>3516</v>
      </c>
      <c r="B724" s="83">
        <v>11</v>
      </c>
      <c r="C724" s="110">
        <v>0.006729271801664206</v>
      </c>
      <c r="D724" s="83" t="s">
        <v>3414</v>
      </c>
      <c r="E724" s="83" t="b">
        <v>1</v>
      </c>
      <c r="F724" s="83" t="b">
        <v>0</v>
      </c>
      <c r="G724" s="83" t="b">
        <v>0</v>
      </c>
    </row>
    <row r="725" spans="1:7" ht="15">
      <c r="A725" s="84" t="s">
        <v>3496</v>
      </c>
      <c r="B725" s="83">
        <v>10</v>
      </c>
      <c r="C725" s="110">
        <v>0.0062884933230331255</v>
      </c>
      <c r="D725" s="83" t="s">
        <v>3414</v>
      </c>
      <c r="E725" s="83" t="b">
        <v>0</v>
      </c>
      <c r="F725" s="83" t="b">
        <v>0</v>
      </c>
      <c r="G725" s="83" t="b">
        <v>0</v>
      </c>
    </row>
    <row r="726" spans="1:7" ht="15">
      <c r="A726" s="84" t="s">
        <v>3502</v>
      </c>
      <c r="B726" s="83">
        <v>10</v>
      </c>
      <c r="C726" s="110">
        <v>0.0062884933230331255</v>
      </c>
      <c r="D726" s="83" t="s">
        <v>3414</v>
      </c>
      <c r="E726" s="83" t="b">
        <v>0</v>
      </c>
      <c r="F726" s="83" t="b">
        <v>0</v>
      </c>
      <c r="G726" s="83" t="b">
        <v>0</v>
      </c>
    </row>
    <row r="727" spans="1:7" ht="15">
      <c r="A727" s="84" t="s">
        <v>3510</v>
      </c>
      <c r="B727" s="83">
        <v>10</v>
      </c>
      <c r="C727" s="110">
        <v>0.006477495762358509</v>
      </c>
      <c r="D727" s="83" t="s">
        <v>3414</v>
      </c>
      <c r="E727" s="83" t="b">
        <v>0</v>
      </c>
      <c r="F727" s="83" t="b">
        <v>0</v>
      </c>
      <c r="G727" s="83" t="b">
        <v>0</v>
      </c>
    </row>
    <row r="728" spans="1:7" ht="15">
      <c r="A728" s="84" t="s">
        <v>3500</v>
      </c>
      <c r="B728" s="83">
        <v>9</v>
      </c>
      <c r="C728" s="110">
        <v>0.006235487708148933</v>
      </c>
      <c r="D728" s="83" t="s">
        <v>3414</v>
      </c>
      <c r="E728" s="83" t="b">
        <v>0</v>
      </c>
      <c r="F728" s="83" t="b">
        <v>0</v>
      </c>
      <c r="G728" s="83" t="b">
        <v>0</v>
      </c>
    </row>
    <row r="729" spans="1:7" ht="15">
      <c r="A729" s="84" t="s">
        <v>3489</v>
      </c>
      <c r="B729" s="83">
        <v>9</v>
      </c>
      <c r="C729" s="110">
        <v>0.0058297461861226575</v>
      </c>
      <c r="D729" s="83" t="s">
        <v>3414</v>
      </c>
      <c r="E729" s="83" t="b">
        <v>1</v>
      </c>
      <c r="F729" s="83" t="b">
        <v>0</v>
      </c>
      <c r="G729" s="83" t="b">
        <v>0</v>
      </c>
    </row>
    <row r="730" spans="1:7" ht="15">
      <c r="A730" s="84" t="s">
        <v>3550</v>
      </c>
      <c r="B730" s="83">
        <v>8</v>
      </c>
      <c r="C730" s="110">
        <v>0.0055426557405768295</v>
      </c>
      <c r="D730" s="83" t="s">
        <v>3414</v>
      </c>
      <c r="E730" s="83" t="b">
        <v>0</v>
      </c>
      <c r="F730" s="83" t="b">
        <v>0</v>
      </c>
      <c r="G730" s="83" t="b">
        <v>0</v>
      </c>
    </row>
    <row r="731" spans="1:7" ht="15">
      <c r="A731" s="84" t="s">
        <v>3498</v>
      </c>
      <c r="B731" s="83">
        <v>8</v>
      </c>
      <c r="C731" s="110">
        <v>0.0055426557405768295</v>
      </c>
      <c r="D731" s="83" t="s">
        <v>3414</v>
      </c>
      <c r="E731" s="83" t="b">
        <v>0</v>
      </c>
      <c r="F731" s="83" t="b">
        <v>0</v>
      </c>
      <c r="G731" s="83" t="b">
        <v>0</v>
      </c>
    </row>
    <row r="732" spans="1:7" ht="15">
      <c r="A732" s="84" t="s">
        <v>3509</v>
      </c>
      <c r="B732" s="83">
        <v>8</v>
      </c>
      <c r="C732" s="110">
        <v>0.0055426557405768295</v>
      </c>
      <c r="D732" s="83" t="s">
        <v>3414</v>
      </c>
      <c r="E732" s="83" t="b">
        <v>0</v>
      </c>
      <c r="F732" s="83" t="b">
        <v>0</v>
      </c>
      <c r="G732" s="83" t="b">
        <v>0</v>
      </c>
    </row>
    <row r="733" spans="1:7" ht="15">
      <c r="A733" s="84" t="s">
        <v>3491</v>
      </c>
      <c r="B733" s="83">
        <v>8</v>
      </c>
      <c r="C733" s="110">
        <v>0.005351026010786869</v>
      </c>
      <c r="D733" s="83" t="s">
        <v>3414</v>
      </c>
      <c r="E733" s="83" t="b">
        <v>1</v>
      </c>
      <c r="F733" s="83" t="b">
        <v>0</v>
      </c>
      <c r="G733" s="83" t="b">
        <v>0</v>
      </c>
    </row>
    <row r="734" spans="1:7" ht="15">
      <c r="A734" s="84" t="s">
        <v>3490</v>
      </c>
      <c r="B734" s="83">
        <v>7</v>
      </c>
      <c r="C734" s="110">
        <v>0.005043391524931324</v>
      </c>
      <c r="D734" s="83" t="s">
        <v>3414</v>
      </c>
      <c r="E734" s="83" t="b">
        <v>0</v>
      </c>
      <c r="F734" s="83" t="b">
        <v>0</v>
      </c>
      <c r="G734" s="83" t="b">
        <v>0</v>
      </c>
    </row>
    <row r="735" spans="1:7" ht="15">
      <c r="A735" s="84" t="s">
        <v>3480</v>
      </c>
      <c r="B735" s="83">
        <v>7</v>
      </c>
      <c r="C735" s="110">
        <v>0.004849823773004726</v>
      </c>
      <c r="D735" s="83" t="s">
        <v>3414</v>
      </c>
      <c r="E735" s="83" t="b">
        <v>0</v>
      </c>
      <c r="F735" s="83" t="b">
        <v>0</v>
      </c>
      <c r="G735" s="83" t="b">
        <v>0</v>
      </c>
    </row>
    <row r="736" spans="1:7" ht="15">
      <c r="A736" s="84" t="s">
        <v>3535</v>
      </c>
      <c r="B736" s="83">
        <v>7</v>
      </c>
      <c r="C736" s="110">
        <v>0.005043391524931324</v>
      </c>
      <c r="D736" s="83" t="s">
        <v>3414</v>
      </c>
      <c r="E736" s="83" t="b">
        <v>0</v>
      </c>
      <c r="F736" s="83" t="b">
        <v>0</v>
      </c>
      <c r="G736" s="83" t="b">
        <v>0</v>
      </c>
    </row>
    <row r="737" spans="1:7" ht="15">
      <c r="A737" s="84" t="s">
        <v>3565</v>
      </c>
      <c r="B737" s="83">
        <v>7</v>
      </c>
      <c r="C737" s="110">
        <v>0.004849823773004726</v>
      </c>
      <c r="D737" s="83" t="s">
        <v>3414</v>
      </c>
      <c r="E737" s="83" t="b">
        <v>0</v>
      </c>
      <c r="F737" s="83" t="b">
        <v>0</v>
      </c>
      <c r="G737" s="83" t="b">
        <v>0</v>
      </c>
    </row>
    <row r="738" spans="1:7" ht="15">
      <c r="A738" s="84" t="s">
        <v>3458</v>
      </c>
      <c r="B738" s="83">
        <v>7</v>
      </c>
      <c r="C738" s="110">
        <v>0.004849823773004726</v>
      </c>
      <c r="D738" s="83" t="s">
        <v>3414</v>
      </c>
      <c r="E738" s="83" t="b">
        <v>0</v>
      </c>
      <c r="F738" s="83" t="b">
        <v>0</v>
      </c>
      <c r="G738" s="83" t="b">
        <v>0</v>
      </c>
    </row>
    <row r="739" spans="1:7" ht="15">
      <c r="A739" s="84" t="s">
        <v>3567</v>
      </c>
      <c r="B739" s="83">
        <v>7</v>
      </c>
      <c r="C739" s="110">
        <v>0.004849823773004726</v>
      </c>
      <c r="D739" s="83" t="s">
        <v>3414</v>
      </c>
      <c r="E739" s="83" t="b">
        <v>0</v>
      </c>
      <c r="F739" s="83" t="b">
        <v>0</v>
      </c>
      <c r="G739" s="83" t="b">
        <v>0</v>
      </c>
    </row>
    <row r="740" spans="1:7" ht="15">
      <c r="A740" s="84" t="s">
        <v>3525</v>
      </c>
      <c r="B740" s="83">
        <v>7</v>
      </c>
      <c r="C740" s="110">
        <v>0.004849823773004726</v>
      </c>
      <c r="D740" s="83" t="s">
        <v>3414</v>
      </c>
      <c r="E740" s="83" t="b">
        <v>0</v>
      </c>
      <c r="F740" s="83" t="b">
        <v>0</v>
      </c>
      <c r="G740" s="83" t="b">
        <v>0</v>
      </c>
    </row>
    <row r="741" spans="1:7" ht="15">
      <c r="A741" s="84" t="s">
        <v>3541</v>
      </c>
      <c r="B741" s="83">
        <v>7</v>
      </c>
      <c r="C741" s="110">
        <v>0.004849823773004726</v>
      </c>
      <c r="D741" s="83" t="s">
        <v>3414</v>
      </c>
      <c r="E741" s="83" t="b">
        <v>0</v>
      </c>
      <c r="F741" s="83" t="b">
        <v>0</v>
      </c>
      <c r="G741" s="83" t="b">
        <v>0</v>
      </c>
    </row>
    <row r="742" spans="1:7" ht="15">
      <c r="A742" s="84" t="s">
        <v>3466</v>
      </c>
      <c r="B742" s="83">
        <v>7</v>
      </c>
      <c r="C742" s="110">
        <v>0.004849823773004726</v>
      </c>
      <c r="D742" s="83" t="s">
        <v>3414</v>
      </c>
      <c r="E742" s="83" t="b">
        <v>0</v>
      </c>
      <c r="F742" s="83" t="b">
        <v>0</v>
      </c>
      <c r="G742" s="83" t="b">
        <v>0</v>
      </c>
    </row>
    <row r="743" spans="1:7" ht="15">
      <c r="A743" s="84" t="s">
        <v>3514</v>
      </c>
      <c r="B743" s="83">
        <v>7</v>
      </c>
      <c r="C743" s="110">
        <v>0.004849823773004726</v>
      </c>
      <c r="D743" s="83" t="s">
        <v>3414</v>
      </c>
      <c r="E743" s="83" t="b">
        <v>1</v>
      </c>
      <c r="F743" s="83" t="b">
        <v>0</v>
      </c>
      <c r="G743" s="83" t="b">
        <v>0</v>
      </c>
    </row>
    <row r="744" spans="1:7" ht="15">
      <c r="A744" s="84" t="s">
        <v>3569</v>
      </c>
      <c r="B744" s="83">
        <v>7</v>
      </c>
      <c r="C744" s="110">
        <v>0.005043391524931324</v>
      </c>
      <c r="D744" s="83" t="s">
        <v>3414</v>
      </c>
      <c r="E744" s="83" t="b">
        <v>0</v>
      </c>
      <c r="F744" s="83" t="b">
        <v>0</v>
      </c>
      <c r="G744" s="83" t="b">
        <v>0</v>
      </c>
    </row>
    <row r="745" spans="1:7" ht="15">
      <c r="A745" s="84" t="s">
        <v>3570</v>
      </c>
      <c r="B745" s="83">
        <v>7</v>
      </c>
      <c r="C745" s="110">
        <v>0.005043391524931324</v>
      </c>
      <c r="D745" s="83" t="s">
        <v>3414</v>
      </c>
      <c r="E745" s="83" t="b">
        <v>0</v>
      </c>
      <c r="F745" s="83" t="b">
        <v>0</v>
      </c>
      <c r="G745" s="83" t="b">
        <v>0</v>
      </c>
    </row>
    <row r="746" spans="1:7" ht="15">
      <c r="A746" s="84" t="s">
        <v>3546</v>
      </c>
      <c r="B746" s="83">
        <v>7</v>
      </c>
      <c r="C746" s="110">
        <v>0.005043391524931324</v>
      </c>
      <c r="D746" s="83" t="s">
        <v>3414</v>
      </c>
      <c r="E746" s="83" t="b">
        <v>0</v>
      </c>
      <c r="F746" s="83" t="b">
        <v>0</v>
      </c>
      <c r="G746" s="83" t="b">
        <v>0</v>
      </c>
    </row>
    <row r="747" spans="1:7" ht="15">
      <c r="A747" s="84" t="s">
        <v>3526</v>
      </c>
      <c r="B747" s="83">
        <v>7</v>
      </c>
      <c r="C747" s="110">
        <v>0.004849823773004726</v>
      </c>
      <c r="D747" s="83" t="s">
        <v>3414</v>
      </c>
      <c r="E747" s="83" t="b">
        <v>0</v>
      </c>
      <c r="F747" s="83" t="b">
        <v>0</v>
      </c>
      <c r="G747" s="83" t="b">
        <v>0</v>
      </c>
    </row>
    <row r="748" spans="1:7" ht="15">
      <c r="A748" s="84" t="s">
        <v>3548</v>
      </c>
      <c r="B748" s="83">
        <v>6</v>
      </c>
      <c r="C748" s="110">
        <v>0.004322907021369706</v>
      </c>
      <c r="D748" s="83" t="s">
        <v>3414</v>
      </c>
      <c r="E748" s="83" t="b">
        <v>0</v>
      </c>
      <c r="F748" s="83" t="b">
        <v>0</v>
      </c>
      <c r="G748" s="83" t="b">
        <v>0</v>
      </c>
    </row>
    <row r="749" spans="1:7" ht="15">
      <c r="A749" s="84" t="s">
        <v>3566</v>
      </c>
      <c r="B749" s="83">
        <v>6</v>
      </c>
      <c r="C749" s="110">
        <v>0.004322907021369706</v>
      </c>
      <c r="D749" s="83" t="s">
        <v>3414</v>
      </c>
      <c r="E749" s="83" t="b">
        <v>0</v>
      </c>
      <c r="F749" s="83" t="b">
        <v>0</v>
      </c>
      <c r="G749" s="83" t="b">
        <v>0</v>
      </c>
    </row>
    <row r="750" spans="1:7" ht="15">
      <c r="A750" s="84" t="s">
        <v>3588</v>
      </c>
      <c r="B750" s="83">
        <v>6</v>
      </c>
      <c r="C750" s="110">
        <v>0.004322907021369706</v>
      </c>
      <c r="D750" s="83" t="s">
        <v>3414</v>
      </c>
      <c r="E750" s="83" t="b">
        <v>0</v>
      </c>
      <c r="F750" s="83" t="b">
        <v>0</v>
      </c>
      <c r="G750" s="83" t="b">
        <v>0</v>
      </c>
    </row>
    <row r="751" spans="1:7" ht="15">
      <c r="A751" s="84" t="s">
        <v>3543</v>
      </c>
      <c r="B751" s="83">
        <v>6</v>
      </c>
      <c r="C751" s="110">
        <v>0.004322907021369706</v>
      </c>
      <c r="D751" s="83" t="s">
        <v>3414</v>
      </c>
      <c r="E751" s="83" t="b">
        <v>0</v>
      </c>
      <c r="F751" s="83" t="b">
        <v>0</v>
      </c>
      <c r="G751" s="83" t="b">
        <v>0</v>
      </c>
    </row>
    <row r="752" spans="1:7" ht="15">
      <c r="A752" s="84" t="s">
        <v>3595</v>
      </c>
      <c r="B752" s="83">
        <v>6</v>
      </c>
      <c r="C752" s="110">
        <v>0.00451914307105403</v>
      </c>
      <c r="D752" s="83" t="s">
        <v>3414</v>
      </c>
      <c r="E752" s="83" t="b">
        <v>0</v>
      </c>
      <c r="F752" s="83" t="b">
        <v>0</v>
      </c>
      <c r="G752" s="83" t="b">
        <v>0</v>
      </c>
    </row>
    <row r="753" spans="1:7" ht="15">
      <c r="A753" s="84" t="s">
        <v>3551</v>
      </c>
      <c r="B753" s="83">
        <v>6</v>
      </c>
      <c r="C753" s="110">
        <v>0.004322907021369706</v>
      </c>
      <c r="D753" s="83" t="s">
        <v>3414</v>
      </c>
      <c r="E753" s="83" t="b">
        <v>0</v>
      </c>
      <c r="F753" s="83" t="b">
        <v>0</v>
      </c>
      <c r="G753" s="83" t="b">
        <v>0</v>
      </c>
    </row>
    <row r="754" spans="1:7" ht="15">
      <c r="A754" s="84" t="s">
        <v>3474</v>
      </c>
      <c r="B754" s="83">
        <v>6</v>
      </c>
      <c r="C754" s="110">
        <v>0.004322907021369706</v>
      </c>
      <c r="D754" s="83" t="s">
        <v>3414</v>
      </c>
      <c r="E754" s="83" t="b">
        <v>0</v>
      </c>
      <c r="F754" s="83" t="b">
        <v>0</v>
      </c>
      <c r="G754" s="83" t="b">
        <v>0</v>
      </c>
    </row>
    <row r="755" spans="1:7" ht="15">
      <c r="A755" s="84" t="s">
        <v>3547</v>
      </c>
      <c r="B755" s="83">
        <v>6</v>
      </c>
      <c r="C755" s="110">
        <v>0.004322907021369706</v>
      </c>
      <c r="D755" s="83" t="s">
        <v>3414</v>
      </c>
      <c r="E755" s="83" t="b">
        <v>1</v>
      </c>
      <c r="F755" s="83" t="b">
        <v>0</v>
      </c>
      <c r="G755" s="83" t="b">
        <v>0</v>
      </c>
    </row>
    <row r="756" spans="1:7" ht="15">
      <c r="A756" s="84" t="s">
        <v>3589</v>
      </c>
      <c r="B756" s="83">
        <v>6</v>
      </c>
      <c r="C756" s="110">
        <v>0.00451914307105403</v>
      </c>
      <c r="D756" s="83" t="s">
        <v>3414</v>
      </c>
      <c r="E756" s="83" t="b">
        <v>1</v>
      </c>
      <c r="F756" s="83" t="b">
        <v>0</v>
      </c>
      <c r="G756" s="83" t="b">
        <v>0</v>
      </c>
    </row>
    <row r="757" spans="1:7" ht="15">
      <c r="A757" s="84" t="s">
        <v>3591</v>
      </c>
      <c r="B757" s="83">
        <v>6</v>
      </c>
      <c r="C757" s="110">
        <v>0.004322907021369706</v>
      </c>
      <c r="D757" s="83" t="s">
        <v>3414</v>
      </c>
      <c r="E757" s="83" t="b">
        <v>0</v>
      </c>
      <c r="F757" s="83" t="b">
        <v>0</v>
      </c>
      <c r="G757" s="83" t="b">
        <v>0</v>
      </c>
    </row>
    <row r="758" spans="1:7" ht="15">
      <c r="A758" s="84" t="s">
        <v>3513</v>
      </c>
      <c r="B758" s="83">
        <v>6</v>
      </c>
      <c r="C758" s="110">
        <v>0.004322907021369706</v>
      </c>
      <c r="D758" s="83" t="s">
        <v>3414</v>
      </c>
      <c r="E758" s="83" t="b">
        <v>0</v>
      </c>
      <c r="F758" s="83" t="b">
        <v>1</v>
      </c>
      <c r="G758" s="83" t="b">
        <v>0</v>
      </c>
    </row>
    <row r="759" spans="1:7" ht="15">
      <c r="A759" s="84" t="s">
        <v>3554</v>
      </c>
      <c r="B759" s="83">
        <v>6</v>
      </c>
      <c r="C759" s="110">
        <v>0.00451914307105403</v>
      </c>
      <c r="D759" s="83" t="s">
        <v>3414</v>
      </c>
      <c r="E759" s="83" t="b">
        <v>0</v>
      </c>
      <c r="F759" s="83" t="b">
        <v>0</v>
      </c>
      <c r="G759" s="83" t="b">
        <v>0</v>
      </c>
    </row>
    <row r="760" spans="1:7" ht="15">
      <c r="A760" s="84" t="s">
        <v>3501</v>
      </c>
      <c r="B760" s="83">
        <v>6</v>
      </c>
      <c r="C760" s="110">
        <v>0.004322907021369706</v>
      </c>
      <c r="D760" s="83" t="s">
        <v>3414</v>
      </c>
      <c r="E760" s="83" t="b">
        <v>1</v>
      </c>
      <c r="F760" s="83" t="b">
        <v>0</v>
      </c>
      <c r="G760" s="83" t="b">
        <v>0</v>
      </c>
    </row>
    <row r="761" spans="1:7" ht="15">
      <c r="A761" s="84" t="s">
        <v>3486</v>
      </c>
      <c r="B761" s="83">
        <v>6</v>
      </c>
      <c r="C761" s="110">
        <v>0.004322907021369706</v>
      </c>
      <c r="D761" s="83" t="s">
        <v>3414</v>
      </c>
      <c r="E761" s="83" t="b">
        <v>1</v>
      </c>
      <c r="F761" s="83" t="b">
        <v>0</v>
      </c>
      <c r="G761" s="83" t="b">
        <v>0</v>
      </c>
    </row>
    <row r="762" spans="1:7" ht="15">
      <c r="A762" s="84" t="s">
        <v>3594</v>
      </c>
      <c r="B762" s="83">
        <v>6</v>
      </c>
      <c r="C762" s="110">
        <v>0.00451914307105403</v>
      </c>
      <c r="D762" s="83" t="s">
        <v>3414</v>
      </c>
      <c r="E762" s="83" t="b">
        <v>1</v>
      </c>
      <c r="F762" s="83" t="b">
        <v>0</v>
      </c>
      <c r="G762" s="83" t="b">
        <v>0</v>
      </c>
    </row>
    <row r="763" spans="1:7" ht="15">
      <c r="A763" s="84" t="s">
        <v>3530</v>
      </c>
      <c r="B763" s="83">
        <v>6</v>
      </c>
      <c r="C763" s="110">
        <v>0.00506895409860386</v>
      </c>
      <c r="D763" s="83" t="s">
        <v>3414</v>
      </c>
      <c r="E763" s="83" t="b">
        <v>0</v>
      </c>
      <c r="F763" s="83" t="b">
        <v>0</v>
      </c>
      <c r="G763" s="83" t="b">
        <v>0</v>
      </c>
    </row>
    <row r="764" spans="1:7" ht="15">
      <c r="A764" s="84" t="s">
        <v>3553</v>
      </c>
      <c r="B764" s="83">
        <v>6</v>
      </c>
      <c r="C764" s="110">
        <v>0.004322907021369706</v>
      </c>
      <c r="D764" s="83" t="s">
        <v>3414</v>
      </c>
      <c r="E764" s="83" t="b">
        <v>0</v>
      </c>
      <c r="F764" s="83" t="b">
        <v>0</v>
      </c>
      <c r="G764" s="83" t="b">
        <v>0</v>
      </c>
    </row>
    <row r="765" spans="1:7" ht="15">
      <c r="A765" s="84" t="s">
        <v>3507</v>
      </c>
      <c r="B765" s="83">
        <v>5</v>
      </c>
      <c r="C765" s="110">
        <v>0.003765952559211691</v>
      </c>
      <c r="D765" s="83" t="s">
        <v>3414</v>
      </c>
      <c r="E765" s="83" t="b">
        <v>0</v>
      </c>
      <c r="F765" s="83" t="b">
        <v>0</v>
      </c>
      <c r="G765" s="83" t="b">
        <v>0</v>
      </c>
    </row>
    <row r="766" spans="1:7" ht="15">
      <c r="A766" s="84" t="s">
        <v>3630</v>
      </c>
      <c r="B766" s="83">
        <v>5</v>
      </c>
      <c r="C766" s="110">
        <v>0.003765952559211691</v>
      </c>
      <c r="D766" s="83" t="s">
        <v>3414</v>
      </c>
      <c r="E766" s="83" t="b">
        <v>1</v>
      </c>
      <c r="F766" s="83" t="b">
        <v>0</v>
      </c>
      <c r="G766" s="83" t="b">
        <v>0</v>
      </c>
    </row>
    <row r="767" spans="1:7" ht="15">
      <c r="A767" s="84" t="s">
        <v>3633</v>
      </c>
      <c r="B767" s="83">
        <v>5</v>
      </c>
      <c r="C767" s="110">
        <v>0.003966097154436922</v>
      </c>
      <c r="D767" s="83" t="s">
        <v>3414</v>
      </c>
      <c r="E767" s="83" t="b">
        <v>0</v>
      </c>
      <c r="F767" s="83" t="b">
        <v>0</v>
      </c>
      <c r="G767" s="83" t="b">
        <v>0</v>
      </c>
    </row>
    <row r="768" spans="1:7" ht="15">
      <c r="A768" s="84" t="s">
        <v>3563</v>
      </c>
      <c r="B768" s="83">
        <v>5</v>
      </c>
      <c r="C768" s="110">
        <v>0.003765952559211691</v>
      </c>
      <c r="D768" s="83" t="s">
        <v>3414</v>
      </c>
      <c r="E768" s="83" t="b">
        <v>0</v>
      </c>
      <c r="F768" s="83" t="b">
        <v>0</v>
      </c>
      <c r="G768" s="83" t="b">
        <v>0</v>
      </c>
    </row>
    <row r="769" spans="1:7" ht="15">
      <c r="A769" s="84" t="s">
        <v>3629</v>
      </c>
      <c r="B769" s="83">
        <v>5</v>
      </c>
      <c r="C769" s="110">
        <v>0.003765952559211691</v>
      </c>
      <c r="D769" s="83" t="s">
        <v>3414</v>
      </c>
      <c r="E769" s="83" t="b">
        <v>0</v>
      </c>
      <c r="F769" s="83" t="b">
        <v>0</v>
      </c>
      <c r="G769" s="83" t="b">
        <v>0</v>
      </c>
    </row>
    <row r="770" spans="1:7" ht="15">
      <c r="A770" s="84" t="s">
        <v>3592</v>
      </c>
      <c r="B770" s="83">
        <v>5</v>
      </c>
      <c r="C770" s="110">
        <v>0.003765952559211691</v>
      </c>
      <c r="D770" s="83" t="s">
        <v>3414</v>
      </c>
      <c r="E770" s="83" t="b">
        <v>0</v>
      </c>
      <c r="F770" s="83" t="b">
        <v>0</v>
      </c>
      <c r="G770" s="83" t="b">
        <v>0</v>
      </c>
    </row>
    <row r="771" spans="1:7" ht="15">
      <c r="A771" s="84" t="s">
        <v>3627</v>
      </c>
      <c r="B771" s="83">
        <v>5</v>
      </c>
      <c r="C771" s="110">
        <v>0.003966097154436922</v>
      </c>
      <c r="D771" s="83" t="s">
        <v>3414</v>
      </c>
      <c r="E771" s="83" t="b">
        <v>0</v>
      </c>
      <c r="F771" s="83" t="b">
        <v>0</v>
      </c>
      <c r="G771" s="83" t="b">
        <v>0</v>
      </c>
    </row>
    <row r="772" spans="1:7" ht="15">
      <c r="A772" s="84" t="s">
        <v>3515</v>
      </c>
      <c r="B772" s="83">
        <v>5</v>
      </c>
      <c r="C772" s="110">
        <v>0.003765952559211691</v>
      </c>
      <c r="D772" s="83" t="s">
        <v>3414</v>
      </c>
      <c r="E772" s="83" t="b">
        <v>1</v>
      </c>
      <c r="F772" s="83" t="b">
        <v>0</v>
      </c>
      <c r="G772" s="83" t="b">
        <v>0</v>
      </c>
    </row>
    <row r="773" spans="1:7" ht="15">
      <c r="A773" s="84" t="s">
        <v>3544</v>
      </c>
      <c r="B773" s="83">
        <v>5</v>
      </c>
      <c r="C773" s="110">
        <v>0.003765952559211691</v>
      </c>
      <c r="D773" s="83" t="s">
        <v>3414</v>
      </c>
      <c r="E773" s="83" t="b">
        <v>0</v>
      </c>
      <c r="F773" s="83" t="b">
        <v>0</v>
      </c>
      <c r="G773" s="83" t="b">
        <v>0</v>
      </c>
    </row>
    <row r="774" spans="1:7" ht="15">
      <c r="A774" s="84" t="s">
        <v>3520</v>
      </c>
      <c r="B774" s="83">
        <v>5</v>
      </c>
      <c r="C774" s="110">
        <v>0.003765952559211691</v>
      </c>
      <c r="D774" s="83" t="s">
        <v>3414</v>
      </c>
      <c r="E774" s="83" t="b">
        <v>1</v>
      </c>
      <c r="F774" s="83" t="b">
        <v>0</v>
      </c>
      <c r="G774" s="83" t="b">
        <v>0</v>
      </c>
    </row>
    <row r="775" spans="1:7" ht="15">
      <c r="A775" s="84" t="s">
        <v>3590</v>
      </c>
      <c r="B775" s="83">
        <v>5</v>
      </c>
      <c r="C775" s="110">
        <v>0.003765952559211691</v>
      </c>
      <c r="D775" s="83" t="s">
        <v>3414</v>
      </c>
      <c r="E775" s="83" t="b">
        <v>0</v>
      </c>
      <c r="F775" s="83" t="b">
        <v>0</v>
      </c>
      <c r="G775" s="83" t="b">
        <v>0</v>
      </c>
    </row>
    <row r="776" spans="1:7" ht="15">
      <c r="A776" s="84" t="s">
        <v>3573</v>
      </c>
      <c r="B776" s="83">
        <v>5</v>
      </c>
      <c r="C776" s="110">
        <v>0.003765952559211691</v>
      </c>
      <c r="D776" s="83" t="s">
        <v>3414</v>
      </c>
      <c r="E776" s="83" t="b">
        <v>0</v>
      </c>
      <c r="F776" s="83" t="b">
        <v>0</v>
      </c>
      <c r="G776" s="83" t="b">
        <v>0</v>
      </c>
    </row>
    <row r="777" spans="1:7" ht="15">
      <c r="A777" s="84" t="s">
        <v>3631</v>
      </c>
      <c r="B777" s="83">
        <v>5</v>
      </c>
      <c r="C777" s="110">
        <v>0.003765952559211691</v>
      </c>
      <c r="D777" s="83" t="s">
        <v>3414</v>
      </c>
      <c r="E777" s="83" t="b">
        <v>0</v>
      </c>
      <c r="F777" s="83" t="b">
        <v>0</v>
      </c>
      <c r="G777" s="83" t="b">
        <v>0</v>
      </c>
    </row>
    <row r="778" spans="1:7" ht="15">
      <c r="A778" s="84" t="s">
        <v>3632</v>
      </c>
      <c r="B778" s="83">
        <v>5</v>
      </c>
      <c r="C778" s="110">
        <v>0.004224128415503217</v>
      </c>
      <c r="D778" s="83" t="s">
        <v>3414</v>
      </c>
      <c r="E778" s="83" t="b">
        <v>0</v>
      </c>
      <c r="F778" s="83" t="b">
        <v>0</v>
      </c>
      <c r="G778" s="83" t="b">
        <v>0</v>
      </c>
    </row>
    <row r="779" spans="1:7" ht="15">
      <c r="A779" s="84" t="s">
        <v>3634</v>
      </c>
      <c r="B779" s="83">
        <v>5</v>
      </c>
      <c r="C779" s="110">
        <v>0.003765952559211691</v>
      </c>
      <c r="D779" s="83" t="s">
        <v>3414</v>
      </c>
      <c r="E779" s="83" t="b">
        <v>0</v>
      </c>
      <c r="F779" s="83" t="b">
        <v>0</v>
      </c>
      <c r="G779" s="83" t="b">
        <v>0</v>
      </c>
    </row>
    <row r="780" spans="1:7" ht="15">
      <c r="A780" s="84" t="s">
        <v>3484</v>
      </c>
      <c r="B780" s="83">
        <v>5</v>
      </c>
      <c r="C780" s="110">
        <v>0.003966097154436922</v>
      </c>
      <c r="D780" s="83" t="s">
        <v>3414</v>
      </c>
      <c r="E780" s="83" t="b">
        <v>1</v>
      </c>
      <c r="F780" s="83" t="b">
        <v>0</v>
      </c>
      <c r="G780" s="83" t="b">
        <v>0</v>
      </c>
    </row>
    <row r="781" spans="1:7" ht="15">
      <c r="A781" s="84" t="s">
        <v>3635</v>
      </c>
      <c r="B781" s="83">
        <v>5</v>
      </c>
      <c r="C781" s="110">
        <v>0.003765952559211691</v>
      </c>
      <c r="D781" s="83" t="s">
        <v>3414</v>
      </c>
      <c r="E781" s="83" t="b">
        <v>0</v>
      </c>
      <c r="F781" s="83" t="b">
        <v>1</v>
      </c>
      <c r="G781" s="83" t="b">
        <v>0</v>
      </c>
    </row>
    <row r="782" spans="1:7" ht="15">
      <c r="A782" s="84" t="s">
        <v>3637</v>
      </c>
      <c r="B782" s="83">
        <v>5</v>
      </c>
      <c r="C782" s="110">
        <v>0.003765952559211691</v>
      </c>
      <c r="D782" s="83" t="s">
        <v>3414</v>
      </c>
      <c r="E782" s="83" t="b">
        <v>1</v>
      </c>
      <c r="F782" s="83" t="b">
        <v>0</v>
      </c>
      <c r="G782" s="83" t="b">
        <v>0</v>
      </c>
    </row>
    <row r="783" spans="1:7" ht="15">
      <c r="A783" s="84" t="s">
        <v>3641</v>
      </c>
      <c r="B783" s="83">
        <v>5</v>
      </c>
      <c r="C783" s="110">
        <v>0.003966097154436922</v>
      </c>
      <c r="D783" s="83" t="s">
        <v>3414</v>
      </c>
      <c r="E783" s="83" t="b">
        <v>0</v>
      </c>
      <c r="F783" s="83" t="b">
        <v>0</v>
      </c>
      <c r="G783" s="83" t="b">
        <v>0</v>
      </c>
    </row>
    <row r="784" spans="1:7" ht="15">
      <c r="A784" s="84" t="s">
        <v>3642</v>
      </c>
      <c r="B784" s="83">
        <v>5</v>
      </c>
      <c r="C784" s="110">
        <v>0.004224128415503217</v>
      </c>
      <c r="D784" s="83" t="s">
        <v>3414</v>
      </c>
      <c r="E784" s="83" t="b">
        <v>0</v>
      </c>
      <c r="F784" s="83" t="b">
        <v>0</v>
      </c>
      <c r="G784" s="83" t="b">
        <v>0</v>
      </c>
    </row>
    <row r="785" spans="1:7" ht="15">
      <c r="A785" s="84" t="s">
        <v>3522</v>
      </c>
      <c r="B785" s="83">
        <v>4</v>
      </c>
      <c r="C785" s="110">
        <v>0.0031728777235495373</v>
      </c>
      <c r="D785" s="83" t="s">
        <v>3414</v>
      </c>
      <c r="E785" s="83" t="b">
        <v>0</v>
      </c>
      <c r="F785" s="83" t="b">
        <v>0</v>
      </c>
      <c r="G785" s="83" t="b">
        <v>0</v>
      </c>
    </row>
    <row r="786" spans="1:7" ht="15">
      <c r="A786" s="84" t="s">
        <v>3593</v>
      </c>
      <c r="B786" s="83">
        <v>4</v>
      </c>
      <c r="C786" s="110">
        <v>0.0031728777235495373</v>
      </c>
      <c r="D786" s="83" t="s">
        <v>3414</v>
      </c>
      <c r="E786" s="83" t="b">
        <v>0</v>
      </c>
      <c r="F786" s="83" t="b">
        <v>0</v>
      </c>
      <c r="G786" s="83" t="b">
        <v>0</v>
      </c>
    </row>
    <row r="787" spans="1:7" ht="15">
      <c r="A787" s="84" t="s">
        <v>3599</v>
      </c>
      <c r="B787" s="83">
        <v>4</v>
      </c>
      <c r="C787" s="110">
        <v>0.0031728777235495373</v>
      </c>
      <c r="D787" s="83" t="s">
        <v>3414</v>
      </c>
      <c r="E787" s="83" t="b">
        <v>0</v>
      </c>
      <c r="F787" s="83" t="b">
        <v>0</v>
      </c>
      <c r="G787" s="83" t="b">
        <v>0</v>
      </c>
    </row>
    <row r="788" spans="1:7" ht="15">
      <c r="A788" s="84" t="s">
        <v>3539</v>
      </c>
      <c r="B788" s="83">
        <v>4</v>
      </c>
      <c r="C788" s="110">
        <v>0.0031728777235495373</v>
      </c>
      <c r="D788" s="83" t="s">
        <v>3414</v>
      </c>
      <c r="E788" s="83" t="b">
        <v>0</v>
      </c>
      <c r="F788" s="83" t="b">
        <v>0</v>
      </c>
      <c r="G788" s="83" t="b">
        <v>0</v>
      </c>
    </row>
    <row r="789" spans="1:7" ht="15">
      <c r="A789" s="84" t="s">
        <v>3587</v>
      </c>
      <c r="B789" s="83">
        <v>4</v>
      </c>
      <c r="C789" s="110">
        <v>0.0033793027324025737</v>
      </c>
      <c r="D789" s="83" t="s">
        <v>3414</v>
      </c>
      <c r="E789" s="83" t="b">
        <v>0</v>
      </c>
      <c r="F789" s="83" t="b">
        <v>0</v>
      </c>
      <c r="G789" s="83" t="b">
        <v>0</v>
      </c>
    </row>
    <row r="790" spans="1:7" ht="15">
      <c r="A790" s="84" t="s">
        <v>3586</v>
      </c>
      <c r="B790" s="83">
        <v>4</v>
      </c>
      <c r="C790" s="110">
        <v>0.0031728777235495373</v>
      </c>
      <c r="D790" s="83" t="s">
        <v>3414</v>
      </c>
      <c r="E790" s="83" t="b">
        <v>1</v>
      </c>
      <c r="F790" s="83" t="b">
        <v>0</v>
      </c>
      <c r="G790" s="83" t="b">
        <v>0</v>
      </c>
    </row>
    <row r="791" spans="1:7" ht="15">
      <c r="A791" s="84" t="s">
        <v>3683</v>
      </c>
      <c r="B791" s="83">
        <v>4</v>
      </c>
      <c r="C791" s="110">
        <v>0.0031728777235495373</v>
      </c>
      <c r="D791" s="83" t="s">
        <v>3414</v>
      </c>
      <c r="E791" s="83" t="b">
        <v>0</v>
      </c>
      <c r="F791" s="83" t="b">
        <v>0</v>
      </c>
      <c r="G791" s="83" t="b">
        <v>0</v>
      </c>
    </row>
    <row r="792" spans="1:7" ht="15">
      <c r="A792" s="84" t="s">
        <v>3581</v>
      </c>
      <c r="B792" s="83">
        <v>4</v>
      </c>
      <c r="C792" s="110">
        <v>0.0031728777235495373</v>
      </c>
      <c r="D792" s="83" t="s">
        <v>3414</v>
      </c>
      <c r="E792" s="83" t="b">
        <v>0</v>
      </c>
      <c r="F792" s="83" t="b">
        <v>0</v>
      </c>
      <c r="G792" s="83" t="b">
        <v>0</v>
      </c>
    </row>
    <row r="793" spans="1:7" ht="15">
      <c r="A793" s="84" t="s">
        <v>3517</v>
      </c>
      <c r="B793" s="83">
        <v>4</v>
      </c>
      <c r="C793" s="110">
        <v>0.0031728777235495373</v>
      </c>
      <c r="D793" s="83" t="s">
        <v>3414</v>
      </c>
      <c r="E793" s="83" t="b">
        <v>0</v>
      </c>
      <c r="F793" s="83" t="b">
        <v>0</v>
      </c>
      <c r="G793" s="83" t="b">
        <v>0</v>
      </c>
    </row>
    <row r="794" spans="1:7" ht="15">
      <c r="A794" s="84" t="s">
        <v>3615</v>
      </c>
      <c r="B794" s="83">
        <v>4</v>
      </c>
      <c r="C794" s="110">
        <v>0.0031728777235495373</v>
      </c>
      <c r="D794" s="83" t="s">
        <v>3414</v>
      </c>
      <c r="E794" s="83" t="b">
        <v>0</v>
      </c>
      <c r="F794" s="83" t="b">
        <v>0</v>
      </c>
      <c r="G794" s="83" t="b">
        <v>0</v>
      </c>
    </row>
    <row r="795" spans="1:7" ht="15">
      <c r="A795" s="84" t="s">
        <v>3604</v>
      </c>
      <c r="B795" s="83">
        <v>4</v>
      </c>
      <c r="C795" s="110">
        <v>0.0031728777235495373</v>
      </c>
      <c r="D795" s="83" t="s">
        <v>3414</v>
      </c>
      <c r="E795" s="83" t="b">
        <v>0</v>
      </c>
      <c r="F795" s="83" t="b">
        <v>0</v>
      </c>
      <c r="G795" s="83" t="b">
        <v>0</v>
      </c>
    </row>
    <row r="796" spans="1:7" ht="15">
      <c r="A796" s="84" t="s">
        <v>3562</v>
      </c>
      <c r="B796" s="83">
        <v>4</v>
      </c>
      <c r="C796" s="110">
        <v>0.0033793027324025737</v>
      </c>
      <c r="D796" s="83" t="s">
        <v>3414</v>
      </c>
      <c r="E796" s="83" t="b">
        <v>0</v>
      </c>
      <c r="F796" s="83" t="b">
        <v>0</v>
      </c>
      <c r="G796" s="83" t="b">
        <v>0</v>
      </c>
    </row>
    <row r="797" spans="1:7" ht="15">
      <c r="A797" s="84" t="s">
        <v>3628</v>
      </c>
      <c r="B797" s="83">
        <v>4</v>
      </c>
      <c r="C797" s="110">
        <v>0.0033793027324025737</v>
      </c>
      <c r="D797" s="83" t="s">
        <v>3414</v>
      </c>
      <c r="E797" s="83" t="b">
        <v>0</v>
      </c>
      <c r="F797" s="83" t="b">
        <v>0</v>
      </c>
      <c r="G797" s="83" t="b">
        <v>0</v>
      </c>
    </row>
    <row r="798" spans="1:7" ht="15">
      <c r="A798" s="84" t="s">
        <v>3684</v>
      </c>
      <c r="B798" s="83">
        <v>4</v>
      </c>
      <c r="C798" s="110">
        <v>0.0031728777235495373</v>
      </c>
      <c r="D798" s="83" t="s">
        <v>3414</v>
      </c>
      <c r="E798" s="83" t="b">
        <v>0</v>
      </c>
      <c r="F798" s="83" t="b">
        <v>0</v>
      </c>
      <c r="G798" s="83" t="b">
        <v>0</v>
      </c>
    </row>
    <row r="799" spans="1:7" ht="15">
      <c r="A799" s="84" t="s">
        <v>3685</v>
      </c>
      <c r="B799" s="83">
        <v>4</v>
      </c>
      <c r="C799" s="110">
        <v>0.0031728777235495373</v>
      </c>
      <c r="D799" s="83" t="s">
        <v>3414</v>
      </c>
      <c r="E799" s="83" t="b">
        <v>0</v>
      </c>
      <c r="F799" s="83" t="b">
        <v>0</v>
      </c>
      <c r="G799" s="83" t="b">
        <v>0</v>
      </c>
    </row>
    <row r="800" spans="1:7" ht="15">
      <c r="A800" s="84" t="s">
        <v>3585</v>
      </c>
      <c r="B800" s="83">
        <v>4</v>
      </c>
      <c r="C800" s="110">
        <v>0.0033793027324025737</v>
      </c>
      <c r="D800" s="83" t="s">
        <v>3414</v>
      </c>
      <c r="E800" s="83" t="b">
        <v>0</v>
      </c>
      <c r="F800" s="83" t="b">
        <v>0</v>
      </c>
      <c r="G800" s="83" t="b">
        <v>0</v>
      </c>
    </row>
    <row r="801" spans="1:7" ht="15">
      <c r="A801" s="84" t="s">
        <v>3686</v>
      </c>
      <c r="B801" s="83">
        <v>4</v>
      </c>
      <c r="C801" s="110">
        <v>0.0033793027324025737</v>
      </c>
      <c r="D801" s="83" t="s">
        <v>3414</v>
      </c>
      <c r="E801" s="83" t="b">
        <v>0</v>
      </c>
      <c r="F801" s="83" t="b">
        <v>0</v>
      </c>
      <c r="G801" s="83" t="b">
        <v>0</v>
      </c>
    </row>
    <row r="802" spans="1:7" ht="15">
      <c r="A802" s="84" t="s">
        <v>3690</v>
      </c>
      <c r="B802" s="83">
        <v>4</v>
      </c>
      <c r="C802" s="110">
        <v>0.0033793027324025737</v>
      </c>
      <c r="D802" s="83" t="s">
        <v>3414</v>
      </c>
      <c r="E802" s="83" t="b">
        <v>1</v>
      </c>
      <c r="F802" s="83" t="b">
        <v>0</v>
      </c>
      <c r="G802" s="83" t="b">
        <v>0</v>
      </c>
    </row>
    <row r="803" spans="1:7" ht="15">
      <c r="A803" s="84" t="s">
        <v>3691</v>
      </c>
      <c r="B803" s="83">
        <v>4</v>
      </c>
      <c r="C803" s="110">
        <v>0.0031728777235495373</v>
      </c>
      <c r="D803" s="83" t="s">
        <v>3414</v>
      </c>
      <c r="E803" s="83" t="b">
        <v>0</v>
      </c>
      <c r="F803" s="83" t="b">
        <v>0</v>
      </c>
      <c r="G803" s="83" t="b">
        <v>0</v>
      </c>
    </row>
    <row r="804" spans="1:7" ht="15">
      <c r="A804" s="84" t="s">
        <v>3693</v>
      </c>
      <c r="B804" s="83">
        <v>4</v>
      </c>
      <c r="C804" s="110">
        <v>0.0031728777235495373</v>
      </c>
      <c r="D804" s="83" t="s">
        <v>3414</v>
      </c>
      <c r="E804" s="83" t="b">
        <v>1</v>
      </c>
      <c r="F804" s="83" t="b">
        <v>0</v>
      </c>
      <c r="G804" s="83" t="b">
        <v>0</v>
      </c>
    </row>
    <row r="805" spans="1:7" ht="15">
      <c r="A805" s="84" t="s">
        <v>3602</v>
      </c>
      <c r="B805" s="83">
        <v>4</v>
      </c>
      <c r="C805" s="110">
        <v>0.0031728777235495373</v>
      </c>
      <c r="D805" s="83" t="s">
        <v>3414</v>
      </c>
      <c r="E805" s="83" t="b">
        <v>0</v>
      </c>
      <c r="F805" s="83" t="b">
        <v>0</v>
      </c>
      <c r="G805" s="83" t="b">
        <v>0</v>
      </c>
    </row>
    <row r="806" spans="1:7" ht="15">
      <c r="A806" s="84" t="s">
        <v>3694</v>
      </c>
      <c r="B806" s="83">
        <v>4</v>
      </c>
      <c r="C806" s="110">
        <v>0.00367024244170564</v>
      </c>
      <c r="D806" s="83" t="s">
        <v>3414</v>
      </c>
      <c r="E806" s="83" t="b">
        <v>0</v>
      </c>
      <c r="F806" s="83" t="b">
        <v>0</v>
      </c>
      <c r="G806" s="83" t="b">
        <v>0</v>
      </c>
    </row>
    <row r="807" spans="1:7" ht="15">
      <c r="A807" s="84" t="s">
        <v>3512</v>
      </c>
      <c r="B807" s="83">
        <v>4</v>
      </c>
      <c r="C807" s="110">
        <v>0.0031728777235495373</v>
      </c>
      <c r="D807" s="83" t="s">
        <v>3414</v>
      </c>
      <c r="E807" s="83" t="b">
        <v>0</v>
      </c>
      <c r="F807" s="83" t="b">
        <v>0</v>
      </c>
      <c r="G807" s="83" t="b">
        <v>0</v>
      </c>
    </row>
    <row r="808" spans="1:7" ht="15">
      <c r="A808" s="84" t="s">
        <v>3696</v>
      </c>
      <c r="B808" s="83">
        <v>4</v>
      </c>
      <c r="C808" s="110">
        <v>0.0031728777235495373</v>
      </c>
      <c r="D808" s="83" t="s">
        <v>3414</v>
      </c>
      <c r="E808" s="83" t="b">
        <v>1</v>
      </c>
      <c r="F808" s="83" t="b">
        <v>0</v>
      </c>
      <c r="G808" s="83" t="b">
        <v>0</v>
      </c>
    </row>
    <row r="809" spans="1:7" ht="15">
      <c r="A809" s="84" t="s">
        <v>3596</v>
      </c>
      <c r="B809" s="83">
        <v>4</v>
      </c>
      <c r="C809" s="110">
        <v>0.0031728777235495373</v>
      </c>
      <c r="D809" s="83" t="s">
        <v>3414</v>
      </c>
      <c r="E809" s="83" t="b">
        <v>0</v>
      </c>
      <c r="F809" s="83" t="b">
        <v>0</v>
      </c>
      <c r="G809" s="83" t="b">
        <v>0</v>
      </c>
    </row>
    <row r="810" spans="1:7" ht="15">
      <c r="A810" s="84" t="s">
        <v>3638</v>
      </c>
      <c r="B810" s="83">
        <v>4</v>
      </c>
      <c r="C810" s="110">
        <v>0.0031728777235495373</v>
      </c>
      <c r="D810" s="83" t="s">
        <v>3414</v>
      </c>
      <c r="E810" s="83" t="b">
        <v>0</v>
      </c>
      <c r="F810" s="83" t="b">
        <v>0</v>
      </c>
      <c r="G810" s="83" t="b">
        <v>0</v>
      </c>
    </row>
    <row r="811" spans="1:7" ht="15">
      <c r="A811" s="84" t="s">
        <v>3537</v>
      </c>
      <c r="B811" s="83">
        <v>4</v>
      </c>
      <c r="C811" s="110">
        <v>0.00367024244170564</v>
      </c>
      <c r="D811" s="83" t="s">
        <v>3414</v>
      </c>
      <c r="E811" s="83" t="b">
        <v>0</v>
      </c>
      <c r="F811" s="83" t="b">
        <v>0</v>
      </c>
      <c r="G811" s="83" t="b">
        <v>0</v>
      </c>
    </row>
    <row r="812" spans="1:7" ht="15">
      <c r="A812" s="84" t="s">
        <v>3697</v>
      </c>
      <c r="B812" s="83">
        <v>4</v>
      </c>
      <c r="C812" s="110">
        <v>0.0031728777235495373</v>
      </c>
      <c r="D812" s="83" t="s">
        <v>3414</v>
      </c>
      <c r="E812" s="83" t="b">
        <v>0</v>
      </c>
      <c r="F812" s="83" t="b">
        <v>0</v>
      </c>
      <c r="G812" s="83" t="b">
        <v>0</v>
      </c>
    </row>
    <row r="813" spans="1:7" ht="15">
      <c r="A813" s="84" t="s">
        <v>3698</v>
      </c>
      <c r="B813" s="83">
        <v>4</v>
      </c>
      <c r="C813" s="110">
        <v>0.0031728777235495373</v>
      </c>
      <c r="D813" s="83" t="s">
        <v>3414</v>
      </c>
      <c r="E813" s="83" t="b">
        <v>0</v>
      </c>
      <c r="F813" s="83" t="b">
        <v>0</v>
      </c>
      <c r="G813" s="83" t="b">
        <v>0</v>
      </c>
    </row>
    <row r="814" spans="1:7" ht="15">
      <c r="A814" s="84" t="s">
        <v>3571</v>
      </c>
      <c r="B814" s="83">
        <v>4</v>
      </c>
      <c r="C814" s="110">
        <v>0.0033793027324025737</v>
      </c>
      <c r="D814" s="83" t="s">
        <v>3414</v>
      </c>
      <c r="E814" s="83" t="b">
        <v>0</v>
      </c>
      <c r="F814" s="83" t="b">
        <v>0</v>
      </c>
      <c r="G814" s="83" t="b">
        <v>0</v>
      </c>
    </row>
    <row r="815" spans="1:7" ht="15">
      <c r="A815" s="84" t="s">
        <v>3772</v>
      </c>
      <c r="B815" s="83">
        <v>3</v>
      </c>
      <c r="C815" s="110">
        <v>0.00253447704930193</v>
      </c>
      <c r="D815" s="83" t="s">
        <v>3414</v>
      </c>
      <c r="E815" s="83" t="b">
        <v>0</v>
      </c>
      <c r="F815" s="83" t="b">
        <v>0</v>
      </c>
      <c r="G815" s="83" t="b">
        <v>0</v>
      </c>
    </row>
    <row r="816" spans="1:7" ht="15">
      <c r="A816" s="84" t="s">
        <v>3773</v>
      </c>
      <c r="B816" s="83">
        <v>3</v>
      </c>
      <c r="C816" s="110">
        <v>0.003125705369896307</v>
      </c>
      <c r="D816" s="83" t="s">
        <v>3414</v>
      </c>
      <c r="E816" s="83" t="b">
        <v>0</v>
      </c>
      <c r="F816" s="83" t="b">
        <v>0</v>
      </c>
      <c r="G816" s="83" t="b">
        <v>0</v>
      </c>
    </row>
    <row r="817" spans="1:7" ht="15">
      <c r="A817" s="84" t="s">
        <v>3774</v>
      </c>
      <c r="B817" s="83">
        <v>3</v>
      </c>
      <c r="C817" s="110">
        <v>0.00253447704930193</v>
      </c>
      <c r="D817" s="83" t="s">
        <v>3414</v>
      </c>
      <c r="E817" s="83" t="b">
        <v>0</v>
      </c>
      <c r="F817" s="83" t="b">
        <v>0</v>
      </c>
      <c r="G817" s="83" t="b">
        <v>0</v>
      </c>
    </row>
    <row r="818" spans="1:7" ht="15">
      <c r="A818" s="84" t="s">
        <v>3776</v>
      </c>
      <c r="B818" s="83">
        <v>3</v>
      </c>
      <c r="C818" s="110">
        <v>0.00253447704930193</v>
      </c>
      <c r="D818" s="83" t="s">
        <v>3414</v>
      </c>
      <c r="E818" s="83" t="b">
        <v>0</v>
      </c>
      <c r="F818" s="83" t="b">
        <v>1</v>
      </c>
      <c r="G818" s="83" t="b">
        <v>0</v>
      </c>
    </row>
    <row r="819" spans="1:7" ht="15">
      <c r="A819" s="84" t="s">
        <v>3521</v>
      </c>
      <c r="B819" s="83">
        <v>3</v>
      </c>
      <c r="C819" s="110">
        <v>0.00253447704930193</v>
      </c>
      <c r="D819" s="83" t="s">
        <v>3414</v>
      </c>
      <c r="E819" s="83" t="b">
        <v>1</v>
      </c>
      <c r="F819" s="83" t="b">
        <v>0</v>
      </c>
      <c r="G819" s="83" t="b">
        <v>0</v>
      </c>
    </row>
    <row r="820" spans="1:7" ht="15">
      <c r="A820" s="84" t="s">
        <v>3672</v>
      </c>
      <c r="B820" s="83">
        <v>3</v>
      </c>
      <c r="C820" s="110">
        <v>0.00253447704930193</v>
      </c>
      <c r="D820" s="83" t="s">
        <v>3414</v>
      </c>
      <c r="E820" s="83" t="b">
        <v>0</v>
      </c>
      <c r="F820" s="83" t="b">
        <v>0</v>
      </c>
      <c r="G820" s="83" t="b">
        <v>0</v>
      </c>
    </row>
    <row r="821" spans="1:7" ht="15">
      <c r="A821" s="84" t="s">
        <v>3793</v>
      </c>
      <c r="B821" s="83">
        <v>3</v>
      </c>
      <c r="C821" s="110">
        <v>0.00253447704930193</v>
      </c>
      <c r="D821" s="83" t="s">
        <v>3414</v>
      </c>
      <c r="E821" s="83" t="b">
        <v>0</v>
      </c>
      <c r="F821" s="83" t="b">
        <v>0</v>
      </c>
      <c r="G821" s="83" t="b">
        <v>0</v>
      </c>
    </row>
    <row r="822" spans="1:7" ht="15">
      <c r="A822" s="84" t="s">
        <v>3827</v>
      </c>
      <c r="B822" s="83">
        <v>3</v>
      </c>
      <c r="C822" s="110">
        <v>0.00253447704930193</v>
      </c>
      <c r="D822" s="83" t="s">
        <v>3414</v>
      </c>
      <c r="E822" s="83" t="b">
        <v>0</v>
      </c>
      <c r="F822" s="83" t="b">
        <v>0</v>
      </c>
      <c r="G822" s="83" t="b">
        <v>0</v>
      </c>
    </row>
    <row r="823" spans="1:7" ht="15">
      <c r="A823" s="84" t="s">
        <v>3809</v>
      </c>
      <c r="B823" s="83">
        <v>3</v>
      </c>
      <c r="C823" s="110">
        <v>0.00253447704930193</v>
      </c>
      <c r="D823" s="83" t="s">
        <v>3414</v>
      </c>
      <c r="E823" s="83" t="b">
        <v>0</v>
      </c>
      <c r="F823" s="83" t="b">
        <v>0</v>
      </c>
      <c r="G823" s="83" t="b">
        <v>0</v>
      </c>
    </row>
    <row r="824" spans="1:7" ht="15">
      <c r="A824" s="84" t="s">
        <v>3795</v>
      </c>
      <c r="B824" s="83">
        <v>3</v>
      </c>
      <c r="C824" s="110">
        <v>0.00253447704930193</v>
      </c>
      <c r="D824" s="83" t="s">
        <v>3414</v>
      </c>
      <c r="E824" s="83" t="b">
        <v>0</v>
      </c>
      <c r="F824" s="83" t="b">
        <v>0</v>
      </c>
      <c r="G824" s="83" t="b">
        <v>0</v>
      </c>
    </row>
    <row r="825" spans="1:7" ht="15">
      <c r="A825" s="84" t="s">
        <v>3661</v>
      </c>
      <c r="B825" s="83">
        <v>3</v>
      </c>
      <c r="C825" s="110">
        <v>0.00253447704930193</v>
      </c>
      <c r="D825" s="83" t="s">
        <v>3414</v>
      </c>
      <c r="E825" s="83" t="b">
        <v>0</v>
      </c>
      <c r="F825" s="83" t="b">
        <v>0</v>
      </c>
      <c r="G825" s="83" t="b">
        <v>0</v>
      </c>
    </row>
    <row r="826" spans="1:7" ht="15">
      <c r="A826" s="84" t="s">
        <v>3821</v>
      </c>
      <c r="B826" s="83">
        <v>3</v>
      </c>
      <c r="C826" s="110">
        <v>0.00253447704930193</v>
      </c>
      <c r="D826" s="83" t="s">
        <v>3414</v>
      </c>
      <c r="E826" s="83" t="b">
        <v>1</v>
      </c>
      <c r="F826" s="83" t="b">
        <v>0</v>
      </c>
      <c r="G826" s="83" t="b">
        <v>0</v>
      </c>
    </row>
    <row r="827" spans="1:7" ht="15">
      <c r="A827" s="84" t="s">
        <v>3792</v>
      </c>
      <c r="B827" s="83">
        <v>3</v>
      </c>
      <c r="C827" s="110">
        <v>0.00253447704930193</v>
      </c>
      <c r="D827" s="83" t="s">
        <v>3414</v>
      </c>
      <c r="E827" s="83" t="b">
        <v>0</v>
      </c>
      <c r="F827" s="83" t="b">
        <v>0</v>
      </c>
      <c r="G827" s="83" t="b">
        <v>0</v>
      </c>
    </row>
    <row r="828" spans="1:7" ht="15">
      <c r="A828" s="84" t="s">
        <v>3511</v>
      </c>
      <c r="B828" s="83">
        <v>3</v>
      </c>
      <c r="C828" s="110">
        <v>0.00275268183127923</v>
      </c>
      <c r="D828" s="83" t="s">
        <v>3414</v>
      </c>
      <c r="E828" s="83" t="b">
        <v>0</v>
      </c>
      <c r="F828" s="83" t="b">
        <v>0</v>
      </c>
      <c r="G828" s="83" t="b">
        <v>0</v>
      </c>
    </row>
    <row r="829" spans="1:7" ht="15">
      <c r="A829" s="84" t="s">
        <v>3682</v>
      </c>
      <c r="B829" s="83">
        <v>3</v>
      </c>
      <c r="C829" s="110">
        <v>0.00253447704930193</v>
      </c>
      <c r="D829" s="83" t="s">
        <v>3414</v>
      </c>
      <c r="E829" s="83" t="b">
        <v>0</v>
      </c>
      <c r="F829" s="83" t="b">
        <v>0</v>
      </c>
      <c r="G829" s="83" t="b">
        <v>0</v>
      </c>
    </row>
    <row r="830" spans="1:7" ht="15">
      <c r="A830" s="84" t="s">
        <v>3545</v>
      </c>
      <c r="B830" s="83">
        <v>3</v>
      </c>
      <c r="C830" s="110">
        <v>0.00253447704930193</v>
      </c>
      <c r="D830" s="83" t="s">
        <v>3414</v>
      </c>
      <c r="E830" s="83" t="b">
        <v>1</v>
      </c>
      <c r="F830" s="83" t="b">
        <v>0</v>
      </c>
      <c r="G830" s="83" t="b">
        <v>0</v>
      </c>
    </row>
    <row r="831" spans="1:7" ht="15">
      <c r="A831" s="84" t="s">
        <v>3779</v>
      </c>
      <c r="B831" s="83">
        <v>3</v>
      </c>
      <c r="C831" s="110">
        <v>0.00253447704930193</v>
      </c>
      <c r="D831" s="83" t="s">
        <v>3414</v>
      </c>
      <c r="E831" s="83" t="b">
        <v>0</v>
      </c>
      <c r="F831" s="83" t="b">
        <v>0</v>
      </c>
      <c r="G831" s="83" t="b">
        <v>0</v>
      </c>
    </row>
    <row r="832" spans="1:7" ht="15">
      <c r="A832" s="84" t="s">
        <v>3777</v>
      </c>
      <c r="B832" s="83">
        <v>3</v>
      </c>
      <c r="C832" s="110">
        <v>0.00253447704930193</v>
      </c>
      <c r="D832" s="83" t="s">
        <v>3414</v>
      </c>
      <c r="E832" s="83" t="b">
        <v>0</v>
      </c>
      <c r="F832" s="83" t="b">
        <v>0</v>
      </c>
      <c r="G832" s="83" t="b">
        <v>0</v>
      </c>
    </row>
    <row r="833" spans="1:7" ht="15">
      <c r="A833" s="84" t="s">
        <v>3778</v>
      </c>
      <c r="B833" s="83">
        <v>3</v>
      </c>
      <c r="C833" s="110">
        <v>0.00253447704930193</v>
      </c>
      <c r="D833" s="83" t="s">
        <v>3414</v>
      </c>
      <c r="E833" s="83" t="b">
        <v>0</v>
      </c>
      <c r="F833" s="83" t="b">
        <v>0</v>
      </c>
      <c r="G833" s="83" t="b">
        <v>0</v>
      </c>
    </row>
    <row r="834" spans="1:7" ht="15">
      <c r="A834" s="84" t="s">
        <v>3780</v>
      </c>
      <c r="B834" s="83">
        <v>3</v>
      </c>
      <c r="C834" s="110">
        <v>0.00253447704930193</v>
      </c>
      <c r="D834" s="83" t="s">
        <v>3414</v>
      </c>
      <c r="E834" s="83" t="b">
        <v>0</v>
      </c>
      <c r="F834" s="83" t="b">
        <v>0</v>
      </c>
      <c r="G834" s="83" t="b">
        <v>0</v>
      </c>
    </row>
    <row r="835" spans="1:7" ht="15">
      <c r="A835" s="84" t="s">
        <v>3781</v>
      </c>
      <c r="B835" s="83">
        <v>3</v>
      </c>
      <c r="C835" s="110">
        <v>0.00253447704930193</v>
      </c>
      <c r="D835" s="83" t="s">
        <v>3414</v>
      </c>
      <c r="E835" s="83" t="b">
        <v>0</v>
      </c>
      <c r="F835" s="83" t="b">
        <v>0</v>
      </c>
      <c r="G835" s="83" t="b">
        <v>0</v>
      </c>
    </row>
    <row r="836" spans="1:7" ht="15">
      <c r="A836" s="84" t="s">
        <v>3558</v>
      </c>
      <c r="B836" s="83">
        <v>3</v>
      </c>
      <c r="C836" s="110">
        <v>0.00253447704930193</v>
      </c>
      <c r="D836" s="83" t="s">
        <v>3414</v>
      </c>
      <c r="E836" s="83" t="b">
        <v>0</v>
      </c>
      <c r="F836" s="83" t="b">
        <v>0</v>
      </c>
      <c r="G836" s="83" t="b">
        <v>0</v>
      </c>
    </row>
    <row r="837" spans="1:7" ht="15">
      <c r="A837" s="84" t="s">
        <v>3601</v>
      </c>
      <c r="B837" s="83">
        <v>3</v>
      </c>
      <c r="C837" s="110">
        <v>0.00253447704930193</v>
      </c>
      <c r="D837" s="83" t="s">
        <v>3414</v>
      </c>
      <c r="E837" s="83" t="b">
        <v>0</v>
      </c>
      <c r="F837" s="83" t="b">
        <v>0</v>
      </c>
      <c r="G837" s="83" t="b">
        <v>0</v>
      </c>
    </row>
    <row r="838" spans="1:7" ht="15">
      <c r="A838" s="84" t="s">
        <v>3782</v>
      </c>
      <c r="B838" s="83">
        <v>3</v>
      </c>
      <c r="C838" s="110">
        <v>0.00253447704930193</v>
      </c>
      <c r="D838" s="83" t="s">
        <v>3414</v>
      </c>
      <c r="E838" s="83" t="b">
        <v>0</v>
      </c>
      <c r="F838" s="83" t="b">
        <v>0</v>
      </c>
      <c r="G838" s="83" t="b">
        <v>0</v>
      </c>
    </row>
    <row r="839" spans="1:7" ht="15">
      <c r="A839" s="84" t="s">
        <v>3552</v>
      </c>
      <c r="B839" s="83">
        <v>3</v>
      </c>
      <c r="C839" s="110">
        <v>0.00253447704930193</v>
      </c>
      <c r="D839" s="83" t="s">
        <v>3414</v>
      </c>
      <c r="E839" s="83" t="b">
        <v>0</v>
      </c>
      <c r="F839" s="83" t="b">
        <v>0</v>
      </c>
      <c r="G839" s="83" t="b">
        <v>0</v>
      </c>
    </row>
    <row r="840" spans="1:7" ht="15">
      <c r="A840" s="84" t="s">
        <v>3783</v>
      </c>
      <c r="B840" s="83">
        <v>3</v>
      </c>
      <c r="C840" s="110">
        <v>0.00253447704930193</v>
      </c>
      <c r="D840" s="83" t="s">
        <v>3414</v>
      </c>
      <c r="E840" s="83" t="b">
        <v>0</v>
      </c>
      <c r="F840" s="83" t="b">
        <v>0</v>
      </c>
      <c r="G840" s="83" t="b">
        <v>0</v>
      </c>
    </row>
    <row r="841" spans="1:7" ht="15">
      <c r="A841" s="84" t="s">
        <v>3784</v>
      </c>
      <c r="B841" s="83">
        <v>3</v>
      </c>
      <c r="C841" s="110">
        <v>0.00275268183127923</v>
      </c>
      <c r="D841" s="83" t="s">
        <v>3414</v>
      </c>
      <c r="E841" s="83" t="b">
        <v>0</v>
      </c>
      <c r="F841" s="83" t="b">
        <v>0</v>
      </c>
      <c r="G841" s="83" t="b">
        <v>0</v>
      </c>
    </row>
    <row r="842" spans="1:7" ht="15">
      <c r="A842" s="84" t="s">
        <v>3786</v>
      </c>
      <c r="B842" s="83">
        <v>3</v>
      </c>
      <c r="C842" s="110">
        <v>0.00253447704930193</v>
      </c>
      <c r="D842" s="83" t="s">
        <v>3414</v>
      </c>
      <c r="E842" s="83" t="b">
        <v>0</v>
      </c>
      <c r="F842" s="83" t="b">
        <v>0</v>
      </c>
      <c r="G842" s="83" t="b">
        <v>0</v>
      </c>
    </row>
    <row r="843" spans="1:7" ht="15">
      <c r="A843" s="84" t="s">
        <v>3789</v>
      </c>
      <c r="B843" s="83">
        <v>3</v>
      </c>
      <c r="C843" s="110">
        <v>0.00253447704930193</v>
      </c>
      <c r="D843" s="83" t="s">
        <v>3414</v>
      </c>
      <c r="E843" s="83" t="b">
        <v>0</v>
      </c>
      <c r="F843" s="83" t="b">
        <v>0</v>
      </c>
      <c r="G843" s="83" t="b">
        <v>0</v>
      </c>
    </row>
    <row r="844" spans="1:7" ht="15">
      <c r="A844" s="84" t="s">
        <v>3788</v>
      </c>
      <c r="B844" s="83">
        <v>3</v>
      </c>
      <c r="C844" s="110">
        <v>0.00253447704930193</v>
      </c>
      <c r="D844" s="83" t="s">
        <v>3414</v>
      </c>
      <c r="E844" s="83" t="b">
        <v>0</v>
      </c>
      <c r="F844" s="83" t="b">
        <v>0</v>
      </c>
      <c r="G844" s="83" t="b">
        <v>0</v>
      </c>
    </row>
    <row r="845" spans="1:7" ht="15">
      <c r="A845" s="84" t="s">
        <v>3787</v>
      </c>
      <c r="B845" s="83">
        <v>3</v>
      </c>
      <c r="C845" s="110">
        <v>0.00253447704930193</v>
      </c>
      <c r="D845" s="83" t="s">
        <v>3414</v>
      </c>
      <c r="E845" s="83" t="b">
        <v>0</v>
      </c>
      <c r="F845" s="83" t="b">
        <v>0</v>
      </c>
      <c r="G845" s="83" t="b">
        <v>0</v>
      </c>
    </row>
    <row r="846" spans="1:7" ht="15">
      <c r="A846" s="84" t="s">
        <v>3790</v>
      </c>
      <c r="B846" s="83">
        <v>3</v>
      </c>
      <c r="C846" s="110">
        <v>0.00253447704930193</v>
      </c>
      <c r="D846" s="83" t="s">
        <v>3414</v>
      </c>
      <c r="E846" s="83" t="b">
        <v>0</v>
      </c>
      <c r="F846" s="83" t="b">
        <v>0</v>
      </c>
      <c r="G846" s="83" t="b">
        <v>0</v>
      </c>
    </row>
    <row r="847" spans="1:7" ht="15">
      <c r="A847" s="84" t="s">
        <v>3681</v>
      </c>
      <c r="B847" s="83">
        <v>3</v>
      </c>
      <c r="C847" s="110">
        <v>0.00253447704930193</v>
      </c>
      <c r="D847" s="83" t="s">
        <v>3414</v>
      </c>
      <c r="E847" s="83" t="b">
        <v>0</v>
      </c>
      <c r="F847" s="83" t="b">
        <v>0</v>
      </c>
      <c r="G847" s="83" t="b">
        <v>0</v>
      </c>
    </row>
    <row r="848" spans="1:7" ht="15">
      <c r="A848" s="84" t="s">
        <v>3791</v>
      </c>
      <c r="B848" s="83">
        <v>3</v>
      </c>
      <c r="C848" s="110">
        <v>0.00253447704930193</v>
      </c>
      <c r="D848" s="83" t="s">
        <v>3414</v>
      </c>
      <c r="E848" s="83" t="b">
        <v>0</v>
      </c>
      <c r="F848" s="83" t="b">
        <v>0</v>
      </c>
      <c r="G848" s="83" t="b">
        <v>0</v>
      </c>
    </row>
    <row r="849" spans="1:7" ht="15">
      <c r="A849" s="84" t="s">
        <v>3619</v>
      </c>
      <c r="B849" s="83">
        <v>3</v>
      </c>
      <c r="C849" s="110">
        <v>0.00253447704930193</v>
      </c>
      <c r="D849" s="83" t="s">
        <v>3414</v>
      </c>
      <c r="E849" s="83" t="b">
        <v>0</v>
      </c>
      <c r="F849" s="83" t="b">
        <v>0</v>
      </c>
      <c r="G849" s="83" t="b">
        <v>0</v>
      </c>
    </row>
    <row r="850" spans="1:7" ht="15">
      <c r="A850" s="84" t="s">
        <v>3794</v>
      </c>
      <c r="B850" s="83">
        <v>3</v>
      </c>
      <c r="C850" s="110">
        <v>0.00253447704930193</v>
      </c>
      <c r="D850" s="83" t="s">
        <v>3414</v>
      </c>
      <c r="E850" s="83" t="b">
        <v>0</v>
      </c>
      <c r="F850" s="83" t="b">
        <v>0</v>
      </c>
      <c r="G850" s="83" t="b">
        <v>0</v>
      </c>
    </row>
    <row r="851" spans="1:7" ht="15">
      <c r="A851" s="84" t="s">
        <v>3519</v>
      </c>
      <c r="B851" s="83">
        <v>3</v>
      </c>
      <c r="C851" s="110">
        <v>0.00253447704930193</v>
      </c>
      <c r="D851" s="83" t="s">
        <v>3414</v>
      </c>
      <c r="E851" s="83" t="b">
        <v>0</v>
      </c>
      <c r="F851" s="83" t="b">
        <v>0</v>
      </c>
      <c r="G851" s="83" t="b">
        <v>0</v>
      </c>
    </row>
    <row r="852" spans="1:7" ht="15">
      <c r="A852" s="84" t="s">
        <v>3472</v>
      </c>
      <c r="B852" s="83">
        <v>3</v>
      </c>
      <c r="C852" s="110">
        <v>0.00253447704930193</v>
      </c>
      <c r="D852" s="83" t="s">
        <v>3414</v>
      </c>
      <c r="E852" s="83" t="b">
        <v>0</v>
      </c>
      <c r="F852" s="83" t="b">
        <v>0</v>
      </c>
      <c r="G852" s="83" t="b">
        <v>0</v>
      </c>
    </row>
    <row r="853" spans="1:7" ht="15">
      <c r="A853" s="84" t="s">
        <v>3806</v>
      </c>
      <c r="B853" s="83">
        <v>3</v>
      </c>
      <c r="C853" s="110">
        <v>0.00253447704930193</v>
      </c>
      <c r="D853" s="83" t="s">
        <v>3414</v>
      </c>
      <c r="E853" s="83" t="b">
        <v>0</v>
      </c>
      <c r="F853" s="83" t="b">
        <v>0</v>
      </c>
      <c r="G853" s="83" t="b">
        <v>0</v>
      </c>
    </row>
    <row r="854" spans="1:7" ht="15">
      <c r="A854" s="84" t="s">
        <v>3534</v>
      </c>
      <c r="B854" s="83">
        <v>3</v>
      </c>
      <c r="C854" s="110">
        <v>0.00253447704930193</v>
      </c>
      <c r="D854" s="83" t="s">
        <v>3414</v>
      </c>
      <c r="E854" s="83" t="b">
        <v>1</v>
      </c>
      <c r="F854" s="83" t="b">
        <v>0</v>
      </c>
      <c r="G854" s="83" t="b">
        <v>0</v>
      </c>
    </row>
    <row r="855" spans="1:7" ht="15">
      <c r="A855" s="84" t="s">
        <v>3807</v>
      </c>
      <c r="B855" s="83">
        <v>3</v>
      </c>
      <c r="C855" s="110">
        <v>0.00253447704930193</v>
      </c>
      <c r="D855" s="83" t="s">
        <v>3414</v>
      </c>
      <c r="E855" s="83" t="b">
        <v>1</v>
      </c>
      <c r="F855" s="83" t="b">
        <v>0</v>
      </c>
      <c r="G855" s="83" t="b">
        <v>0</v>
      </c>
    </row>
    <row r="856" spans="1:7" ht="15">
      <c r="A856" s="84" t="s">
        <v>3808</v>
      </c>
      <c r="B856" s="83">
        <v>3</v>
      </c>
      <c r="C856" s="110">
        <v>0.00253447704930193</v>
      </c>
      <c r="D856" s="83" t="s">
        <v>3414</v>
      </c>
      <c r="E856" s="83" t="b">
        <v>0</v>
      </c>
      <c r="F856" s="83" t="b">
        <v>0</v>
      </c>
      <c r="G856" s="83" t="b">
        <v>0</v>
      </c>
    </row>
    <row r="857" spans="1:7" ht="15">
      <c r="A857" s="84" t="s">
        <v>3810</v>
      </c>
      <c r="B857" s="83">
        <v>3</v>
      </c>
      <c r="C857" s="110">
        <v>0.00253447704930193</v>
      </c>
      <c r="D857" s="83" t="s">
        <v>3414</v>
      </c>
      <c r="E857" s="83" t="b">
        <v>1</v>
      </c>
      <c r="F857" s="83" t="b">
        <v>0</v>
      </c>
      <c r="G857" s="83" t="b">
        <v>0</v>
      </c>
    </row>
    <row r="858" spans="1:7" ht="15">
      <c r="A858" s="84" t="s">
        <v>3688</v>
      </c>
      <c r="B858" s="83">
        <v>3</v>
      </c>
      <c r="C858" s="110">
        <v>0.00253447704930193</v>
      </c>
      <c r="D858" s="83" t="s">
        <v>3414</v>
      </c>
      <c r="E858" s="83" t="b">
        <v>0</v>
      </c>
      <c r="F858" s="83" t="b">
        <v>0</v>
      </c>
      <c r="G858" s="83" t="b">
        <v>0</v>
      </c>
    </row>
    <row r="859" spans="1:7" ht="15">
      <c r="A859" s="84" t="s">
        <v>3605</v>
      </c>
      <c r="B859" s="83">
        <v>3</v>
      </c>
      <c r="C859" s="110">
        <v>0.00253447704930193</v>
      </c>
      <c r="D859" s="83" t="s">
        <v>3414</v>
      </c>
      <c r="E859" s="83" t="b">
        <v>0</v>
      </c>
      <c r="F859" s="83" t="b">
        <v>0</v>
      </c>
      <c r="G859" s="83" t="b">
        <v>0</v>
      </c>
    </row>
    <row r="860" spans="1:7" ht="15">
      <c r="A860" s="84" t="s">
        <v>3811</v>
      </c>
      <c r="B860" s="83">
        <v>3</v>
      </c>
      <c r="C860" s="110">
        <v>0.00253447704930193</v>
      </c>
      <c r="D860" s="83" t="s">
        <v>3414</v>
      </c>
      <c r="E860" s="83" t="b">
        <v>0</v>
      </c>
      <c r="F860" s="83" t="b">
        <v>0</v>
      </c>
      <c r="G860" s="83" t="b">
        <v>0</v>
      </c>
    </row>
    <row r="861" spans="1:7" ht="15">
      <c r="A861" s="84" t="s">
        <v>3680</v>
      </c>
      <c r="B861" s="83">
        <v>3</v>
      </c>
      <c r="C861" s="110">
        <v>0.00253447704930193</v>
      </c>
      <c r="D861" s="83" t="s">
        <v>3414</v>
      </c>
      <c r="E861" s="83" t="b">
        <v>0</v>
      </c>
      <c r="F861" s="83" t="b">
        <v>0</v>
      </c>
      <c r="G861" s="83" t="b">
        <v>0</v>
      </c>
    </row>
    <row r="862" spans="1:7" ht="15">
      <c r="A862" s="84" t="s">
        <v>3617</v>
      </c>
      <c r="B862" s="83">
        <v>3</v>
      </c>
      <c r="C862" s="110">
        <v>0.00253447704930193</v>
      </c>
      <c r="D862" s="83" t="s">
        <v>3414</v>
      </c>
      <c r="E862" s="83" t="b">
        <v>0</v>
      </c>
      <c r="F862" s="83" t="b">
        <v>0</v>
      </c>
      <c r="G862" s="83" t="b">
        <v>0</v>
      </c>
    </row>
    <row r="863" spans="1:7" ht="15">
      <c r="A863" s="84" t="s">
        <v>3812</v>
      </c>
      <c r="B863" s="83">
        <v>3</v>
      </c>
      <c r="C863" s="110">
        <v>0.00253447704930193</v>
      </c>
      <c r="D863" s="83" t="s">
        <v>3414</v>
      </c>
      <c r="E863" s="83" t="b">
        <v>0</v>
      </c>
      <c r="F863" s="83" t="b">
        <v>0</v>
      </c>
      <c r="G863" s="83" t="b">
        <v>0</v>
      </c>
    </row>
    <row r="864" spans="1:7" ht="15">
      <c r="A864" s="84" t="s">
        <v>3813</v>
      </c>
      <c r="B864" s="83">
        <v>3</v>
      </c>
      <c r="C864" s="110">
        <v>0.00253447704930193</v>
      </c>
      <c r="D864" s="83" t="s">
        <v>3414</v>
      </c>
      <c r="E864" s="83" t="b">
        <v>1</v>
      </c>
      <c r="F864" s="83" t="b">
        <v>0</v>
      </c>
      <c r="G864" s="83" t="b">
        <v>0</v>
      </c>
    </row>
    <row r="865" spans="1:7" ht="15">
      <c r="A865" s="84" t="s">
        <v>3814</v>
      </c>
      <c r="B865" s="83">
        <v>3</v>
      </c>
      <c r="C865" s="110">
        <v>0.00275268183127923</v>
      </c>
      <c r="D865" s="83" t="s">
        <v>3414</v>
      </c>
      <c r="E865" s="83" t="b">
        <v>0</v>
      </c>
      <c r="F865" s="83" t="b">
        <v>0</v>
      </c>
      <c r="G865" s="83" t="b">
        <v>0</v>
      </c>
    </row>
    <row r="866" spans="1:7" ht="15">
      <c r="A866" s="84" t="s">
        <v>3636</v>
      </c>
      <c r="B866" s="83">
        <v>3</v>
      </c>
      <c r="C866" s="110">
        <v>0.00253447704930193</v>
      </c>
      <c r="D866" s="83" t="s">
        <v>3414</v>
      </c>
      <c r="E866" s="83" t="b">
        <v>0</v>
      </c>
      <c r="F866" s="83" t="b">
        <v>0</v>
      </c>
      <c r="G866" s="83" t="b">
        <v>0</v>
      </c>
    </row>
    <row r="867" spans="1:7" ht="15">
      <c r="A867" s="84" t="s">
        <v>3689</v>
      </c>
      <c r="B867" s="83">
        <v>3</v>
      </c>
      <c r="C867" s="110">
        <v>0.00253447704930193</v>
      </c>
      <c r="D867" s="83" t="s">
        <v>3414</v>
      </c>
      <c r="E867" s="83" t="b">
        <v>0</v>
      </c>
      <c r="F867" s="83" t="b">
        <v>0</v>
      </c>
      <c r="G867" s="83" t="b">
        <v>0</v>
      </c>
    </row>
    <row r="868" spans="1:7" ht="15">
      <c r="A868" s="84" t="s">
        <v>3815</v>
      </c>
      <c r="B868" s="83">
        <v>3</v>
      </c>
      <c r="C868" s="110">
        <v>0.00253447704930193</v>
      </c>
      <c r="D868" s="83" t="s">
        <v>3414</v>
      </c>
      <c r="E868" s="83" t="b">
        <v>0</v>
      </c>
      <c r="F868" s="83" t="b">
        <v>0</v>
      </c>
      <c r="G868" s="83" t="b">
        <v>0</v>
      </c>
    </row>
    <row r="869" spans="1:7" ht="15">
      <c r="A869" s="84" t="s">
        <v>3816</v>
      </c>
      <c r="B869" s="83">
        <v>3</v>
      </c>
      <c r="C869" s="110">
        <v>0.00253447704930193</v>
      </c>
      <c r="D869" s="83" t="s">
        <v>3414</v>
      </c>
      <c r="E869" s="83" t="b">
        <v>0</v>
      </c>
      <c r="F869" s="83" t="b">
        <v>0</v>
      </c>
      <c r="G869" s="83" t="b">
        <v>0</v>
      </c>
    </row>
    <row r="870" spans="1:7" ht="15">
      <c r="A870" s="84" t="s">
        <v>3817</v>
      </c>
      <c r="B870" s="83">
        <v>3</v>
      </c>
      <c r="C870" s="110">
        <v>0.00253447704930193</v>
      </c>
      <c r="D870" s="83" t="s">
        <v>3414</v>
      </c>
      <c r="E870" s="83" t="b">
        <v>0</v>
      </c>
      <c r="F870" s="83" t="b">
        <v>0</v>
      </c>
      <c r="G870" s="83" t="b">
        <v>0</v>
      </c>
    </row>
    <row r="871" spans="1:7" ht="15">
      <c r="A871" s="84" t="s">
        <v>3687</v>
      </c>
      <c r="B871" s="83">
        <v>3</v>
      </c>
      <c r="C871" s="110">
        <v>0.00253447704930193</v>
      </c>
      <c r="D871" s="83" t="s">
        <v>3414</v>
      </c>
      <c r="E871" s="83" t="b">
        <v>0</v>
      </c>
      <c r="F871" s="83" t="b">
        <v>0</v>
      </c>
      <c r="G871" s="83" t="b">
        <v>0</v>
      </c>
    </row>
    <row r="872" spans="1:7" ht="15">
      <c r="A872" s="84" t="s">
        <v>3603</v>
      </c>
      <c r="B872" s="83">
        <v>3</v>
      </c>
      <c r="C872" s="110">
        <v>0.00275268183127923</v>
      </c>
      <c r="D872" s="83" t="s">
        <v>3414</v>
      </c>
      <c r="E872" s="83" t="b">
        <v>0</v>
      </c>
      <c r="F872" s="83" t="b">
        <v>0</v>
      </c>
      <c r="G872" s="83" t="b">
        <v>0</v>
      </c>
    </row>
    <row r="873" spans="1:7" ht="15">
      <c r="A873" s="84" t="s">
        <v>3494</v>
      </c>
      <c r="B873" s="83">
        <v>3</v>
      </c>
      <c r="C873" s="110">
        <v>0.00253447704930193</v>
      </c>
      <c r="D873" s="83" t="s">
        <v>3414</v>
      </c>
      <c r="E873" s="83" t="b">
        <v>0</v>
      </c>
      <c r="F873" s="83" t="b">
        <v>0</v>
      </c>
      <c r="G873" s="83" t="b">
        <v>0</v>
      </c>
    </row>
    <row r="874" spans="1:7" ht="15">
      <c r="A874" s="84" t="s">
        <v>3529</v>
      </c>
      <c r="B874" s="83">
        <v>3</v>
      </c>
      <c r="C874" s="110">
        <v>0.00275268183127923</v>
      </c>
      <c r="D874" s="83" t="s">
        <v>3414</v>
      </c>
      <c r="E874" s="83" t="b">
        <v>0</v>
      </c>
      <c r="F874" s="83" t="b">
        <v>0</v>
      </c>
      <c r="G874" s="83" t="b">
        <v>0</v>
      </c>
    </row>
    <row r="875" spans="1:7" ht="15">
      <c r="A875" s="84" t="s">
        <v>3818</v>
      </c>
      <c r="B875" s="83">
        <v>3</v>
      </c>
      <c r="C875" s="110">
        <v>0.00253447704930193</v>
      </c>
      <c r="D875" s="83" t="s">
        <v>3414</v>
      </c>
      <c r="E875" s="83" t="b">
        <v>0</v>
      </c>
      <c r="F875" s="83" t="b">
        <v>0</v>
      </c>
      <c r="G875" s="83" t="b">
        <v>0</v>
      </c>
    </row>
    <row r="876" spans="1:7" ht="15">
      <c r="A876" s="84" t="s">
        <v>3819</v>
      </c>
      <c r="B876" s="83">
        <v>3</v>
      </c>
      <c r="C876" s="110">
        <v>0.00253447704930193</v>
      </c>
      <c r="D876" s="83" t="s">
        <v>3414</v>
      </c>
      <c r="E876" s="83" t="b">
        <v>0</v>
      </c>
      <c r="F876" s="83" t="b">
        <v>0</v>
      </c>
      <c r="G876" s="83" t="b">
        <v>0</v>
      </c>
    </row>
    <row r="877" spans="1:7" ht="15">
      <c r="A877" s="84" t="s">
        <v>3506</v>
      </c>
      <c r="B877" s="83">
        <v>3</v>
      </c>
      <c r="C877" s="110">
        <v>0.00253447704930193</v>
      </c>
      <c r="D877" s="83" t="s">
        <v>3414</v>
      </c>
      <c r="E877" s="83" t="b">
        <v>0</v>
      </c>
      <c r="F877" s="83" t="b">
        <v>0</v>
      </c>
      <c r="G877" s="83" t="b">
        <v>0</v>
      </c>
    </row>
    <row r="878" spans="1:7" ht="15">
      <c r="A878" s="84" t="s">
        <v>3620</v>
      </c>
      <c r="B878" s="83">
        <v>3</v>
      </c>
      <c r="C878" s="110">
        <v>0.00253447704930193</v>
      </c>
      <c r="D878" s="83" t="s">
        <v>3414</v>
      </c>
      <c r="E878" s="83" t="b">
        <v>0</v>
      </c>
      <c r="F878" s="83" t="b">
        <v>0</v>
      </c>
      <c r="G878" s="83" t="b">
        <v>0</v>
      </c>
    </row>
    <row r="879" spans="1:7" ht="15">
      <c r="A879" s="84" t="s">
        <v>3822</v>
      </c>
      <c r="B879" s="83">
        <v>3</v>
      </c>
      <c r="C879" s="110">
        <v>0.00253447704930193</v>
      </c>
      <c r="D879" s="83" t="s">
        <v>3414</v>
      </c>
      <c r="E879" s="83" t="b">
        <v>0</v>
      </c>
      <c r="F879" s="83" t="b">
        <v>0</v>
      </c>
      <c r="G879" s="83" t="b">
        <v>0</v>
      </c>
    </row>
    <row r="880" spans="1:7" ht="15">
      <c r="A880" s="84" t="s">
        <v>3823</v>
      </c>
      <c r="B880" s="83">
        <v>3</v>
      </c>
      <c r="C880" s="110">
        <v>0.00253447704930193</v>
      </c>
      <c r="D880" s="83" t="s">
        <v>3414</v>
      </c>
      <c r="E880" s="83" t="b">
        <v>0</v>
      </c>
      <c r="F880" s="83" t="b">
        <v>0</v>
      </c>
      <c r="G880" s="83" t="b">
        <v>0</v>
      </c>
    </row>
    <row r="881" spans="1:7" ht="15">
      <c r="A881" s="84" t="s">
        <v>3824</v>
      </c>
      <c r="B881" s="83">
        <v>3</v>
      </c>
      <c r="C881" s="110">
        <v>0.00253447704930193</v>
      </c>
      <c r="D881" s="83" t="s">
        <v>3414</v>
      </c>
      <c r="E881" s="83" t="b">
        <v>0</v>
      </c>
      <c r="F881" s="83" t="b">
        <v>0</v>
      </c>
      <c r="G881" s="83" t="b">
        <v>0</v>
      </c>
    </row>
    <row r="882" spans="1:7" ht="15">
      <c r="A882" s="84" t="s">
        <v>3825</v>
      </c>
      <c r="B882" s="83">
        <v>3</v>
      </c>
      <c r="C882" s="110">
        <v>0.00253447704930193</v>
      </c>
      <c r="D882" s="83" t="s">
        <v>3414</v>
      </c>
      <c r="E882" s="83" t="b">
        <v>0</v>
      </c>
      <c r="F882" s="83" t="b">
        <v>0</v>
      </c>
      <c r="G882" s="83" t="b">
        <v>0</v>
      </c>
    </row>
    <row r="883" spans="1:7" ht="15">
      <c r="A883" s="84" t="s">
        <v>3826</v>
      </c>
      <c r="B883" s="83">
        <v>3</v>
      </c>
      <c r="C883" s="110">
        <v>0.00253447704930193</v>
      </c>
      <c r="D883" s="83" t="s">
        <v>3414</v>
      </c>
      <c r="E883" s="83" t="b">
        <v>0</v>
      </c>
      <c r="F883" s="83" t="b">
        <v>0</v>
      </c>
      <c r="G883" s="83" t="b">
        <v>0</v>
      </c>
    </row>
    <row r="884" spans="1:7" ht="15">
      <c r="A884" s="84" t="s">
        <v>3838</v>
      </c>
      <c r="B884" s="83">
        <v>3</v>
      </c>
      <c r="C884" s="110">
        <v>0.00253447704930193</v>
      </c>
      <c r="D884" s="83" t="s">
        <v>3414</v>
      </c>
      <c r="E884" s="83" t="b">
        <v>0</v>
      </c>
      <c r="F884" s="83" t="b">
        <v>0</v>
      </c>
      <c r="G884" s="83" t="b">
        <v>0</v>
      </c>
    </row>
    <row r="885" spans="1:7" ht="15">
      <c r="A885" s="84" t="s">
        <v>3839</v>
      </c>
      <c r="B885" s="83">
        <v>3</v>
      </c>
      <c r="C885" s="110">
        <v>0.00275268183127923</v>
      </c>
      <c r="D885" s="83" t="s">
        <v>3414</v>
      </c>
      <c r="E885" s="83" t="b">
        <v>0</v>
      </c>
      <c r="F885" s="83" t="b">
        <v>0</v>
      </c>
      <c r="G885" s="83" t="b">
        <v>0</v>
      </c>
    </row>
    <row r="886" spans="1:7" ht="15">
      <c r="A886" s="84" t="s">
        <v>3555</v>
      </c>
      <c r="B886" s="83">
        <v>3</v>
      </c>
      <c r="C886" s="110">
        <v>0.00275268183127923</v>
      </c>
      <c r="D886" s="83" t="s">
        <v>3414</v>
      </c>
      <c r="E886" s="83" t="b">
        <v>0</v>
      </c>
      <c r="F886" s="83" t="b">
        <v>0</v>
      </c>
      <c r="G886" s="83" t="b">
        <v>0</v>
      </c>
    </row>
    <row r="887" spans="1:7" ht="15">
      <c r="A887" s="84" t="s">
        <v>3840</v>
      </c>
      <c r="B887" s="83">
        <v>3</v>
      </c>
      <c r="C887" s="110">
        <v>0.00275268183127923</v>
      </c>
      <c r="D887" s="83" t="s">
        <v>3414</v>
      </c>
      <c r="E887" s="83" t="b">
        <v>0</v>
      </c>
      <c r="F887" s="83" t="b">
        <v>0</v>
      </c>
      <c r="G887" s="83" t="b">
        <v>0</v>
      </c>
    </row>
    <row r="888" spans="1:7" ht="15">
      <c r="A888" s="84" t="s">
        <v>3841</v>
      </c>
      <c r="B888" s="83">
        <v>3</v>
      </c>
      <c r="C888" s="110">
        <v>0.00253447704930193</v>
      </c>
      <c r="D888" s="83" t="s">
        <v>3414</v>
      </c>
      <c r="E888" s="83" t="b">
        <v>0</v>
      </c>
      <c r="F888" s="83" t="b">
        <v>0</v>
      </c>
      <c r="G888" s="83" t="b">
        <v>0</v>
      </c>
    </row>
    <row r="889" spans="1:7" ht="15">
      <c r="A889" s="84" t="s">
        <v>3842</v>
      </c>
      <c r="B889" s="83">
        <v>3</v>
      </c>
      <c r="C889" s="110">
        <v>0.00253447704930193</v>
      </c>
      <c r="D889" s="83" t="s">
        <v>3414</v>
      </c>
      <c r="E889" s="83" t="b">
        <v>0</v>
      </c>
      <c r="F889" s="83" t="b">
        <v>0</v>
      </c>
      <c r="G889" s="83" t="b">
        <v>0</v>
      </c>
    </row>
    <row r="890" spans="1:7" ht="15">
      <c r="A890" s="84" t="s">
        <v>3843</v>
      </c>
      <c r="B890" s="83">
        <v>3</v>
      </c>
      <c r="C890" s="110">
        <v>0.00275268183127923</v>
      </c>
      <c r="D890" s="83" t="s">
        <v>3414</v>
      </c>
      <c r="E890" s="83" t="b">
        <v>0</v>
      </c>
      <c r="F890" s="83" t="b">
        <v>0</v>
      </c>
      <c r="G890" s="83" t="b">
        <v>0</v>
      </c>
    </row>
    <row r="891" spans="1:7" ht="15">
      <c r="A891" s="84" t="s">
        <v>3844</v>
      </c>
      <c r="B891" s="83">
        <v>3</v>
      </c>
      <c r="C891" s="110">
        <v>0.003125705369896307</v>
      </c>
      <c r="D891" s="83" t="s">
        <v>3414</v>
      </c>
      <c r="E891" s="83" t="b">
        <v>0</v>
      </c>
      <c r="F891" s="83" t="b">
        <v>0</v>
      </c>
      <c r="G891" s="83" t="b">
        <v>0</v>
      </c>
    </row>
    <row r="892" spans="1:7" ht="15">
      <c r="A892" s="84" t="s">
        <v>3983</v>
      </c>
      <c r="B892" s="83">
        <v>2</v>
      </c>
      <c r="C892" s="110">
        <v>0.0020838035799308715</v>
      </c>
      <c r="D892" s="83" t="s">
        <v>3414</v>
      </c>
      <c r="E892" s="83" t="b">
        <v>0</v>
      </c>
      <c r="F892" s="83" t="b">
        <v>0</v>
      </c>
      <c r="G892" s="83" t="b">
        <v>0</v>
      </c>
    </row>
    <row r="893" spans="1:7" ht="15">
      <c r="A893" s="84" t="s">
        <v>3984</v>
      </c>
      <c r="B893" s="83">
        <v>2</v>
      </c>
      <c r="C893" s="110">
        <v>0.00183512122085282</v>
      </c>
      <c r="D893" s="83" t="s">
        <v>3414</v>
      </c>
      <c r="E893" s="83" t="b">
        <v>0</v>
      </c>
      <c r="F893" s="83" t="b">
        <v>0</v>
      </c>
      <c r="G893" s="83" t="b">
        <v>0</v>
      </c>
    </row>
    <row r="894" spans="1:7" ht="15">
      <c r="A894" s="84" t="s">
        <v>3985</v>
      </c>
      <c r="B894" s="83">
        <v>2</v>
      </c>
      <c r="C894" s="110">
        <v>0.00183512122085282</v>
      </c>
      <c r="D894" s="83" t="s">
        <v>3414</v>
      </c>
      <c r="E894" s="83" t="b">
        <v>0</v>
      </c>
      <c r="F894" s="83" t="b">
        <v>0</v>
      </c>
      <c r="G894" s="83" t="b">
        <v>0</v>
      </c>
    </row>
    <row r="895" spans="1:7" ht="15">
      <c r="A895" s="84" t="s">
        <v>3986</v>
      </c>
      <c r="B895" s="83">
        <v>2</v>
      </c>
      <c r="C895" s="110">
        <v>0.00183512122085282</v>
      </c>
      <c r="D895" s="83" t="s">
        <v>3414</v>
      </c>
      <c r="E895" s="83" t="b">
        <v>0</v>
      </c>
      <c r="F895" s="83" t="b">
        <v>1</v>
      </c>
      <c r="G895" s="83" t="b">
        <v>0</v>
      </c>
    </row>
    <row r="896" spans="1:7" ht="15">
      <c r="A896" s="84" t="s">
        <v>3988</v>
      </c>
      <c r="B896" s="83">
        <v>2</v>
      </c>
      <c r="C896" s="110">
        <v>0.00183512122085282</v>
      </c>
      <c r="D896" s="83" t="s">
        <v>3414</v>
      </c>
      <c r="E896" s="83" t="b">
        <v>0</v>
      </c>
      <c r="F896" s="83" t="b">
        <v>0</v>
      </c>
      <c r="G896" s="83" t="b">
        <v>0</v>
      </c>
    </row>
    <row r="897" spans="1:7" ht="15">
      <c r="A897" s="84" t="s">
        <v>3989</v>
      </c>
      <c r="B897" s="83">
        <v>2</v>
      </c>
      <c r="C897" s="110">
        <v>0.0020838035799308715</v>
      </c>
      <c r="D897" s="83" t="s">
        <v>3414</v>
      </c>
      <c r="E897" s="83" t="b">
        <v>0</v>
      </c>
      <c r="F897" s="83" t="b">
        <v>0</v>
      </c>
      <c r="G897" s="83" t="b">
        <v>0</v>
      </c>
    </row>
    <row r="898" spans="1:7" ht="15">
      <c r="A898" s="84" t="s">
        <v>3990</v>
      </c>
      <c r="B898" s="83">
        <v>2</v>
      </c>
      <c r="C898" s="110">
        <v>0.00183512122085282</v>
      </c>
      <c r="D898" s="83" t="s">
        <v>3414</v>
      </c>
      <c r="E898" s="83" t="b">
        <v>0</v>
      </c>
      <c r="F898" s="83" t="b">
        <v>0</v>
      </c>
      <c r="G898" s="83" t="b">
        <v>0</v>
      </c>
    </row>
    <row r="899" spans="1:7" ht="15">
      <c r="A899" s="84" t="s">
        <v>3991</v>
      </c>
      <c r="B899" s="83">
        <v>2</v>
      </c>
      <c r="C899" s="110">
        <v>0.00183512122085282</v>
      </c>
      <c r="D899" s="83" t="s">
        <v>3414</v>
      </c>
      <c r="E899" s="83" t="b">
        <v>0</v>
      </c>
      <c r="F899" s="83" t="b">
        <v>0</v>
      </c>
      <c r="G899" s="83" t="b">
        <v>0</v>
      </c>
    </row>
    <row r="900" spans="1:7" ht="15">
      <c r="A900" s="84" t="s">
        <v>4108</v>
      </c>
      <c r="B900" s="83">
        <v>2</v>
      </c>
      <c r="C900" s="110">
        <v>0.00183512122085282</v>
      </c>
      <c r="D900" s="83" t="s">
        <v>3414</v>
      </c>
      <c r="E900" s="83" t="b">
        <v>0</v>
      </c>
      <c r="F900" s="83" t="b">
        <v>0</v>
      </c>
      <c r="G900" s="83" t="b">
        <v>0</v>
      </c>
    </row>
    <row r="901" spans="1:7" ht="15">
      <c r="A901" s="84" t="s">
        <v>3654</v>
      </c>
      <c r="B901" s="83">
        <v>2</v>
      </c>
      <c r="C901" s="110">
        <v>0.00183512122085282</v>
      </c>
      <c r="D901" s="83" t="s">
        <v>3414</v>
      </c>
      <c r="E901" s="83" t="b">
        <v>0</v>
      </c>
      <c r="F901" s="83" t="b">
        <v>0</v>
      </c>
      <c r="G901" s="83" t="b">
        <v>0</v>
      </c>
    </row>
    <row r="902" spans="1:7" ht="15">
      <c r="A902" s="84" t="s">
        <v>3533</v>
      </c>
      <c r="B902" s="83">
        <v>2</v>
      </c>
      <c r="C902" s="110">
        <v>0.00183512122085282</v>
      </c>
      <c r="D902" s="83" t="s">
        <v>3414</v>
      </c>
      <c r="E902" s="83" t="b">
        <v>1</v>
      </c>
      <c r="F902" s="83" t="b">
        <v>0</v>
      </c>
      <c r="G902" s="83" t="b">
        <v>0</v>
      </c>
    </row>
    <row r="903" spans="1:7" ht="15">
      <c r="A903" s="84" t="s">
        <v>4096</v>
      </c>
      <c r="B903" s="83">
        <v>2</v>
      </c>
      <c r="C903" s="110">
        <v>0.00183512122085282</v>
      </c>
      <c r="D903" s="83" t="s">
        <v>3414</v>
      </c>
      <c r="E903" s="83" t="b">
        <v>0</v>
      </c>
      <c r="F903" s="83" t="b">
        <v>0</v>
      </c>
      <c r="G903" s="83" t="b">
        <v>0</v>
      </c>
    </row>
    <row r="904" spans="1:7" ht="15">
      <c r="A904" s="84" t="s">
        <v>3575</v>
      </c>
      <c r="B904" s="83">
        <v>2</v>
      </c>
      <c r="C904" s="110">
        <v>0.00183512122085282</v>
      </c>
      <c r="D904" s="83" t="s">
        <v>3414</v>
      </c>
      <c r="E904" s="83" t="b">
        <v>0</v>
      </c>
      <c r="F904" s="83" t="b">
        <v>0</v>
      </c>
      <c r="G904" s="83" t="b">
        <v>0</v>
      </c>
    </row>
    <row r="905" spans="1:7" ht="15">
      <c r="A905" s="84" t="s">
        <v>4084</v>
      </c>
      <c r="B905" s="83">
        <v>2</v>
      </c>
      <c r="C905" s="110">
        <v>0.00183512122085282</v>
      </c>
      <c r="D905" s="83" t="s">
        <v>3414</v>
      </c>
      <c r="E905" s="83" t="b">
        <v>0</v>
      </c>
      <c r="F905" s="83" t="b">
        <v>0</v>
      </c>
      <c r="G905" s="83" t="b">
        <v>0</v>
      </c>
    </row>
    <row r="906" spans="1:7" ht="15">
      <c r="A906" s="84" t="s">
        <v>3670</v>
      </c>
      <c r="B906" s="83">
        <v>2</v>
      </c>
      <c r="C906" s="110">
        <v>0.00183512122085282</v>
      </c>
      <c r="D906" s="83" t="s">
        <v>3414</v>
      </c>
      <c r="E906" s="83" t="b">
        <v>1</v>
      </c>
      <c r="F906" s="83" t="b">
        <v>0</v>
      </c>
      <c r="G906" s="83" t="b">
        <v>0</v>
      </c>
    </row>
    <row r="907" spans="1:7" ht="15">
      <c r="A907" s="84" t="s">
        <v>3623</v>
      </c>
      <c r="B907" s="83">
        <v>2</v>
      </c>
      <c r="C907" s="110">
        <v>0.00183512122085282</v>
      </c>
      <c r="D907" s="83" t="s">
        <v>3414</v>
      </c>
      <c r="E907" s="83" t="b">
        <v>0</v>
      </c>
      <c r="F907" s="83" t="b">
        <v>0</v>
      </c>
      <c r="G907" s="83" t="b">
        <v>0</v>
      </c>
    </row>
    <row r="908" spans="1:7" ht="15">
      <c r="A908" s="84" t="s">
        <v>3608</v>
      </c>
      <c r="B908" s="83">
        <v>2</v>
      </c>
      <c r="C908" s="110">
        <v>0.00183512122085282</v>
      </c>
      <c r="D908" s="83" t="s">
        <v>3414</v>
      </c>
      <c r="E908" s="83" t="b">
        <v>0</v>
      </c>
      <c r="F908" s="83" t="b">
        <v>0</v>
      </c>
      <c r="G908" s="83" t="b">
        <v>0</v>
      </c>
    </row>
    <row r="909" spans="1:7" ht="15">
      <c r="A909" s="84" t="s">
        <v>4022</v>
      </c>
      <c r="B909" s="83">
        <v>2</v>
      </c>
      <c r="C909" s="110">
        <v>0.00183512122085282</v>
      </c>
      <c r="D909" s="83" t="s">
        <v>3414</v>
      </c>
      <c r="E909" s="83" t="b">
        <v>1</v>
      </c>
      <c r="F909" s="83" t="b">
        <v>0</v>
      </c>
      <c r="G909" s="83" t="b">
        <v>0</v>
      </c>
    </row>
    <row r="910" spans="1:7" ht="15">
      <c r="A910" s="84" t="s">
        <v>4013</v>
      </c>
      <c r="B910" s="83">
        <v>2</v>
      </c>
      <c r="C910" s="110">
        <v>0.00183512122085282</v>
      </c>
      <c r="D910" s="83" t="s">
        <v>3414</v>
      </c>
      <c r="E910" s="83" t="b">
        <v>0</v>
      </c>
      <c r="F910" s="83" t="b">
        <v>0</v>
      </c>
      <c r="G910" s="83" t="b">
        <v>0</v>
      </c>
    </row>
    <row r="911" spans="1:7" ht="15">
      <c r="A911" s="84" t="s">
        <v>4010</v>
      </c>
      <c r="B911" s="83">
        <v>2</v>
      </c>
      <c r="C911" s="110">
        <v>0.00183512122085282</v>
      </c>
      <c r="D911" s="83" t="s">
        <v>3414</v>
      </c>
      <c r="E911" s="83" t="b">
        <v>0</v>
      </c>
      <c r="F911" s="83" t="b">
        <v>0</v>
      </c>
      <c r="G911" s="83" t="b">
        <v>0</v>
      </c>
    </row>
    <row r="912" spans="1:7" ht="15">
      <c r="A912" s="84" t="s">
        <v>4008</v>
      </c>
      <c r="B912" s="83">
        <v>2</v>
      </c>
      <c r="C912" s="110">
        <v>0.00183512122085282</v>
      </c>
      <c r="D912" s="83" t="s">
        <v>3414</v>
      </c>
      <c r="E912" s="83" t="b">
        <v>0</v>
      </c>
      <c r="F912" s="83" t="b">
        <v>0</v>
      </c>
      <c r="G912" s="83" t="b">
        <v>0</v>
      </c>
    </row>
    <row r="913" spans="1:7" ht="15">
      <c r="A913" s="84" t="s">
        <v>4006</v>
      </c>
      <c r="B913" s="83">
        <v>2</v>
      </c>
      <c r="C913" s="110">
        <v>0.00183512122085282</v>
      </c>
      <c r="D913" s="83" t="s">
        <v>3414</v>
      </c>
      <c r="E913" s="83" t="b">
        <v>0</v>
      </c>
      <c r="F913" s="83" t="b">
        <v>0</v>
      </c>
      <c r="G913" s="83" t="b">
        <v>0</v>
      </c>
    </row>
    <row r="914" spans="1:7" ht="15">
      <c r="A914" s="84" t="s">
        <v>3785</v>
      </c>
      <c r="B914" s="83">
        <v>2</v>
      </c>
      <c r="C914" s="110">
        <v>0.00183512122085282</v>
      </c>
      <c r="D914" s="83" t="s">
        <v>3414</v>
      </c>
      <c r="E914" s="83" t="b">
        <v>0</v>
      </c>
      <c r="F914" s="83" t="b">
        <v>0</v>
      </c>
      <c r="G914" s="83" t="b">
        <v>0</v>
      </c>
    </row>
    <row r="915" spans="1:7" ht="15">
      <c r="A915" s="84" t="s">
        <v>3704</v>
      </c>
      <c r="B915" s="83">
        <v>2</v>
      </c>
      <c r="C915" s="110">
        <v>0.00183512122085282</v>
      </c>
      <c r="D915" s="83" t="s">
        <v>3414</v>
      </c>
      <c r="E915" s="83" t="b">
        <v>0</v>
      </c>
      <c r="F915" s="83" t="b">
        <v>0</v>
      </c>
      <c r="G915" s="83" t="b">
        <v>0</v>
      </c>
    </row>
    <row r="916" spans="1:7" ht="15">
      <c r="A916" s="84" t="s">
        <v>3505</v>
      </c>
      <c r="B916" s="83">
        <v>2</v>
      </c>
      <c r="C916" s="110">
        <v>0.00183512122085282</v>
      </c>
      <c r="D916" s="83" t="s">
        <v>3414</v>
      </c>
      <c r="E916" s="83" t="b">
        <v>1</v>
      </c>
      <c r="F916" s="83" t="b">
        <v>0</v>
      </c>
      <c r="G916" s="83" t="b">
        <v>0</v>
      </c>
    </row>
    <row r="917" spans="1:7" ht="15">
      <c r="A917" s="84" t="s">
        <v>3998</v>
      </c>
      <c r="B917" s="83">
        <v>2</v>
      </c>
      <c r="C917" s="110">
        <v>0.00183512122085282</v>
      </c>
      <c r="D917" s="83" t="s">
        <v>3414</v>
      </c>
      <c r="E917" s="83" t="b">
        <v>0</v>
      </c>
      <c r="F917" s="83" t="b">
        <v>0</v>
      </c>
      <c r="G917" s="83" t="b">
        <v>0</v>
      </c>
    </row>
    <row r="918" spans="1:7" ht="15">
      <c r="A918" s="84" t="s">
        <v>3992</v>
      </c>
      <c r="B918" s="83">
        <v>2</v>
      </c>
      <c r="C918" s="110">
        <v>0.00183512122085282</v>
      </c>
      <c r="D918" s="83" t="s">
        <v>3414</v>
      </c>
      <c r="E918" s="83" t="b">
        <v>0</v>
      </c>
      <c r="F918" s="83" t="b">
        <v>0</v>
      </c>
      <c r="G918" s="83" t="b">
        <v>0</v>
      </c>
    </row>
    <row r="919" spans="1:7" ht="15">
      <c r="A919" s="84" t="s">
        <v>3993</v>
      </c>
      <c r="B919" s="83">
        <v>2</v>
      </c>
      <c r="C919" s="110">
        <v>0.00183512122085282</v>
      </c>
      <c r="D919" s="83" t="s">
        <v>3414</v>
      </c>
      <c r="E919" s="83" t="b">
        <v>0</v>
      </c>
      <c r="F919" s="83" t="b">
        <v>0</v>
      </c>
      <c r="G919" s="83" t="b">
        <v>0</v>
      </c>
    </row>
    <row r="920" spans="1:7" ht="15">
      <c r="A920" s="84" t="s">
        <v>3994</v>
      </c>
      <c r="B920" s="83">
        <v>2</v>
      </c>
      <c r="C920" s="110">
        <v>0.00183512122085282</v>
      </c>
      <c r="D920" s="83" t="s">
        <v>3414</v>
      </c>
      <c r="E920" s="83" t="b">
        <v>0</v>
      </c>
      <c r="F920" s="83" t="b">
        <v>0</v>
      </c>
      <c r="G920" s="83" t="b">
        <v>0</v>
      </c>
    </row>
    <row r="921" spans="1:7" ht="15">
      <c r="A921" s="84" t="s">
        <v>3996</v>
      </c>
      <c r="B921" s="83">
        <v>2</v>
      </c>
      <c r="C921" s="110">
        <v>0.00183512122085282</v>
      </c>
      <c r="D921" s="83" t="s">
        <v>3414</v>
      </c>
      <c r="E921" s="83" t="b">
        <v>0</v>
      </c>
      <c r="F921" s="83" t="b">
        <v>0</v>
      </c>
      <c r="G921" s="83" t="b">
        <v>0</v>
      </c>
    </row>
    <row r="922" spans="1:7" ht="15">
      <c r="A922" s="84" t="s">
        <v>3997</v>
      </c>
      <c r="B922" s="83">
        <v>2</v>
      </c>
      <c r="C922" s="110">
        <v>0.00183512122085282</v>
      </c>
      <c r="D922" s="83" t="s">
        <v>3414</v>
      </c>
      <c r="E922" s="83" t="b">
        <v>0</v>
      </c>
      <c r="F922" s="83" t="b">
        <v>0</v>
      </c>
      <c r="G922" s="83" t="b">
        <v>0</v>
      </c>
    </row>
    <row r="923" spans="1:7" ht="15">
      <c r="A923" s="84" t="s">
        <v>3626</v>
      </c>
      <c r="B923" s="83">
        <v>2</v>
      </c>
      <c r="C923" s="110">
        <v>0.00183512122085282</v>
      </c>
      <c r="D923" s="83" t="s">
        <v>3414</v>
      </c>
      <c r="E923" s="83" t="b">
        <v>0</v>
      </c>
      <c r="F923" s="83" t="b">
        <v>0</v>
      </c>
      <c r="G923" s="83" t="b">
        <v>0</v>
      </c>
    </row>
    <row r="924" spans="1:7" ht="15">
      <c r="A924" s="84" t="s">
        <v>3999</v>
      </c>
      <c r="B924" s="83">
        <v>2</v>
      </c>
      <c r="C924" s="110">
        <v>0.00183512122085282</v>
      </c>
      <c r="D924" s="83" t="s">
        <v>3414</v>
      </c>
      <c r="E924" s="83" t="b">
        <v>0</v>
      </c>
      <c r="F924" s="83" t="b">
        <v>0</v>
      </c>
      <c r="G924" s="83" t="b">
        <v>0</v>
      </c>
    </row>
    <row r="925" spans="1:7" ht="15">
      <c r="A925" s="84" t="s">
        <v>4000</v>
      </c>
      <c r="B925" s="83">
        <v>2</v>
      </c>
      <c r="C925" s="110">
        <v>0.00183512122085282</v>
      </c>
      <c r="D925" s="83" t="s">
        <v>3414</v>
      </c>
      <c r="E925" s="83" t="b">
        <v>0</v>
      </c>
      <c r="F925" s="83" t="b">
        <v>1</v>
      </c>
      <c r="G925" s="83" t="b">
        <v>0</v>
      </c>
    </row>
    <row r="926" spans="1:7" ht="15">
      <c r="A926" s="84" t="s">
        <v>4001</v>
      </c>
      <c r="B926" s="83">
        <v>2</v>
      </c>
      <c r="C926" s="110">
        <v>0.00183512122085282</v>
      </c>
      <c r="D926" s="83" t="s">
        <v>3414</v>
      </c>
      <c r="E926" s="83" t="b">
        <v>0</v>
      </c>
      <c r="F926" s="83" t="b">
        <v>0</v>
      </c>
      <c r="G926" s="83" t="b">
        <v>0</v>
      </c>
    </row>
    <row r="927" spans="1:7" ht="15">
      <c r="A927" s="84" t="s">
        <v>4002</v>
      </c>
      <c r="B927" s="83">
        <v>2</v>
      </c>
      <c r="C927" s="110">
        <v>0.00183512122085282</v>
      </c>
      <c r="D927" s="83" t="s">
        <v>3414</v>
      </c>
      <c r="E927" s="83" t="b">
        <v>0</v>
      </c>
      <c r="F927" s="83" t="b">
        <v>1</v>
      </c>
      <c r="G927" s="83" t="b">
        <v>0</v>
      </c>
    </row>
    <row r="928" spans="1:7" ht="15">
      <c r="A928" s="84" t="s">
        <v>4003</v>
      </c>
      <c r="B928" s="83">
        <v>2</v>
      </c>
      <c r="C928" s="110">
        <v>0.00183512122085282</v>
      </c>
      <c r="D928" s="83" t="s">
        <v>3414</v>
      </c>
      <c r="E928" s="83" t="b">
        <v>0</v>
      </c>
      <c r="F928" s="83" t="b">
        <v>0</v>
      </c>
      <c r="G928" s="83" t="b">
        <v>0</v>
      </c>
    </row>
    <row r="929" spans="1:7" ht="15">
      <c r="A929" s="84" t="s">
        <v>4005</v>
      </c>
      <c r="B929" s="83">
        <v>2</v>
      </c>
      <c r="C929" s="110">
        <v>0.0020838035799308715</v>
      </c>
      <c r="D929" s="83" t="s">
        <v>3414</v>
      </c>
      <c r="E929" s="83" t="b">
        <v>0</v>
      </c>
      <c r="F929" s="83" t="b">
        <v>0</v>
      </c>
      <c r="G929" s="83" t="b">
        <v>0</v>
      </c>
    </row>
    <row r="930" spans="1:7" ht="15">
      <c r="A930" s="84" t="s">
        <v>4007</v>
      </c>
      <c r="B930" s="83">
        <v>2</v>
      </c>
      <c r="C930" s="110">
        <v>0.00183512122085282</v>
      </c>
      <c r="D930" s="83" t="s">
        <v>3414</v>
      </c>
      <c r="E930" s="83" t="b">
        <v>0</v>
      </c>
      <c r="F930" s="83" t="b">
        <v>1</v>
      </c>
      <c r="G930" s="83" t="b">
        <v>0</v>
      </c>
    </row>
    <row r="931" spans="1:7" ht="15">
      <c r="A931" s="84" t="s">
        <v>3771</v>
      </c>
      <c r="B931" s="83">
        <v>2</v>
      </c>
      <c r="C931" s="110">
        <v>0.00183512122085282</v>
      </c>
      <c r="D931" s="83" t="s">
        <v>3414</v>
      </c>
      <c r="E931" s="83" t="b">
        <v>0</v>
      </c>
      <c r="F931" s="83" t="b">
        <v>1</v>
      </c>
      <c r="G931" s="83" t="b">
        <v>0</v>
      </c>
    </row>
    <row r="932" spans="1:7" ht="15">
      <c r="A932" s="84" t="s">
        <v>4009</v>
      </c>
      <c r="B932" s="83">
        <v>2</v>
      </c>
      <c r="C932" s="110">
        <v>0.00183512122085282</v>
      </c>
      <c r="D932" s="83" t="s">
        <v>3414</v>
      </c>
      <c r="E932" s="83" t="b">
        <v>0</v>
      </c>
      <c r="F932" s="83" t="b">
        <v>0</v>
      </c>
      <c r="G932" s="83" t="b">
        <v>0</v>
      </c>
    </row>
    <row r="933" spans="1:7" ht="15">
      <c r="A933" s="84" t="s">
        <v>3715</v>
      </c>
      <c r="B933" s="83">
        <v>2</v>
      </c>
      <c r="C933" s="110">
        <v>0.00183512122085282</v>
      </c>
      <c r="D933" s="83" t="s">
        <v>3414</v>
      </c>
      <c r="E933" s="83" t="b">
        <v>0</v>
      </c>
      <c r="F933" s="83" t="b">
        <v>1</v>
      </c>
      <c r="G933" s="83" t="b">
        <v>0</v>
      </c>
    </row>
    <row r="934" spans="1:7" ht="15">
      <c r="A934" s="84" t="s">
        <v>4011</v>
      </c>
      <c r="B934" s="83">
        <v>2</v>
      </c>
      <c r="C934" s="110">
        <v>0.00183512122085282</v>
      </c>
      <c r="D934" s="83" t="s">
        <v>3414</v>
      </c>
      <c r="E934" s="83" t="b">
        <v>0</v>
      </c>
      <c r="F934" s="83" t="b">
        <v>0</v>
      </c>
      <c r="G934" s="83" t="b">
        <v>0</v>
      </c>
    </row>
    <row r="935" spans="1:7" ht="15">
      <c r="A935" s="84" t="s">
        <v>3540</v>
      </c>
      <c r="B935" s="83">
        <v>2</v>
      </c>
      <c r="C935" s="110">
        <v>0.00183512122085282</v>
      </c>
      <c r="D935" s="83" t="s">
        <v>3414</v>
      </c>
      <c r="E935" s="83" t="b">
        <v>0</v>
      </c>
      <c r="F935" s="83" t="b">
        <v>0</v>
      </c>
      <c r="G935" s="83" t="b">
        <v>0</v>
      </c>
    </row>
    <row r="936" spans="1:7" ht="15">
      <c r="A936" s="84" t="s">
        <v>4012</v>
      </c>
      <c r="B936" s="83">
        <v>2</v>
      </c>
      <c r="C936" s="110">
        <v>0.00183512122085282</v>
      </c>
      <c r="D936" s="83" t="s">
        <v>3414</v>
      </c>
      <c r="E936" s="83" t="b">
        <v>0</v>
      </c>
      <c r="F936" s="83" t="b">
        <v>0</v>
      </c>
      <c r="G936" s="83" t="b">
        <v>0</v>
      </c>
    </row>
    <row r="937" spans="1:7" ht="15">
      <c r="A937" s="84" t="s">
        <v>3724</v>
      </c>
      <c r="B937" s="83">
        <v>2</v>
      </c>
      <c r="C937" s="110">
        <v>0.00183512122085282</v>
      </c>
      <c r="D937" s="83" t="s">
        <v>3414</v>
      </c>
      <c r="E937" s="83" t="b">
        <v>1</v>
      </c>
      <c r="F937" s="83" t="b">
        <v>0</v>
      </c>
      <c r="G937" s="83" t="b">
        <v>0</v>
      </c>
    </row>
    <row r="938" spans="1:7" ht="15">
      <c r="A938" s="84" t="s">
        <v>3580</v>
      </c>
      <c r="B938" s="83">
        <v>2</v>
      </c>
      <c r="C938" s="110">
        <v>0.00183512122085282</v>
      </c>
      <c r="D938" s="83" t="s">
        <v>3414</v>
      </c>
      <c r="E938" s="83" t="b">
        <v>0</v>
      </c>
      <c r="F938" s="83" t="b">
        <v>0</v>
      </c>
      <c r="G938" s="83" t="b">
        <v>0</v>
      </c>
    </row>
    <row r="939" spans="1:7" ht="15">
      <c r="A939" s="84" t="s">
        <v>4015</v>
      </c>
      <c r="B939" s="83">
        <v>2</v>
      </c>
      <c r="C939" s="110">
        <v>0.00183512122085282</v>
      </c>
      <c r="D939" s="83" t="s">
        <v>3414</v>
      </c>
      <c r="E939" s="83" t="b">
        <v>0</v>
      </c>
      <c r="F939" s="83" t="b">
        <v>0</v>
      </c>
      <c r="G939" s="83" t="b">
        <v>0</v>
      </c>
    </row>
    <row r="940" spans="1:7" ht="15">
      <c r="A940" s="84" t="s">
        <v>3763</v>
      </c>
      <c r="B940" s="83">
        <v>2</v>
      </c>
      <c r="C940" s="110">
        <v>0.00183512122085282</v>
      </c>
      <c r="D940" s="83" t="s">
        <v>3414</v>
      </c>
      <c r="E940" s="83" t="b">
        <v>0</v>
      </c>
      <c r="F940" s="83" t="b">
        <v>0</v>
      </c>
      <c r="G940" s="83" t="b">
        <v>0</v>
      </c>
    </row>
    <row r="941" spans="1:7" ht="15">
      <c r="A941" s="84" t="s">
        <v>4017</v>
      </c>
      <c r="B941" s="83">
        <v>2</v>
      </c>
      <c r="C941" s="110">
        <v>0.00183512122085282</v>
      </c>
      <c r="D941" s="83" t="s">
        <v>3414</v>
      </c>
      <c r="E941" s="83" t="b">
        <v>0</v>
      </c>
      <c r="F941" s="83" t="b">
        <v>0</v>
      </c>
      <c r="G941" s="83" t="b">
        <v>0</v>
      </c>
    </row>
    <row r="942" spans="1:7" ht="15">
      <c r="A942" s="84" t="s">
        <v>3761</v>
      </c>
      <c r="B942" s="83">
        <v>2</v>
      </c>
      <c r="C942" s="110">
        <v>0.00183512122085282</v>
      </c>
      <c r="D942" s="83" t="s">
        <v>3414</v>
      </c>
      <c r="E942" s="83" t="b">
        <v>0</v>
      </c>
      <c r="F942" s="83" t="b">
        <v>1</v>
      </c>
      <c r="G942" s="83" t="b">
        <v>0</v>
      </c>
    </row>
    <row r="943" spans="1:7" ht="15">
      <c r="A943" s="84" t="s">
        <v>4018</v>
      </c>
      <c r="B943" s="83">
        <v>2</v>
      </c>
      <c r="C943" s="110">
        <v>0.00183512122085282</v>
      </c>
      <c r="D943" s="83" t="s">
        <v>3414</v>
      </c>
      <c r="E943" s="83" t="b">
        <v>0</v>
      </c>
      <c r="F943" s="83" t="b">
        <v>0</v>
      </c>
      <c r="G943" s="83" t="b">
        <v>0</v>
      </c>
    </row>
    <row r="944" spans="1:7" ht="15">
      <c r="A944" s="84" t="s">
        <v>4019</v>
      </c>
      <c r="B944" s="83">
        <v>2</v>
      </c>
      <c r="C944" s="110">
        <v>0.00183512122085282</v>
      </c>
      <c r="D944" s="83" t="s">
        <v>3414</v>
      </c>
      <c r="E944" s="83" t="b">
        <v>0</v>
      </c>
      <c r="F944" s="83" t="b">
        <v>0</v>
      </c>
      <c r="G944" s="83" t="b">
        <v>0</v>
      </c>
    </row>
    <row r="945" spans="1:7" ht="15">
      <c r="A945" s="84" t="s">
        <v>3572</v>
      </c>
      <c r="B945" s="83">
        <v>2</v>
      </c>
      <c r="C945" s="110">
        <v>0.00183512122085282</v>
      </c>
      <c r="D945" s="83" t="s">
        <v>3414</v>
      </c>
      <c r="E945" s="83" t="b">
        <v>0</v>
      </c>
      <c r="F945" s="83" t="b">
        <v>0</v>
      </c>
      <c r="G945" s="83" t="b">
        <v>0</v>
      </c>
    </row>
    <row r="946" spans="1:7" ht="15">
      <c r="A946" s="84" t="s">
        <v>4020</v>
      </c>
      <c r="B946" s="83">
        <v>2</v>
      </c>
      <c r="C946" s="110">
        <v>0.00183512122085282</v>
      </c>
      <c r="D946" s="83" t="s">
        <v>3414</v>
      </c>
      <c r="E946" s="83" t="b">
        <v>0</v>
      </c>
      <c r="F946" s="83" t="b">
        <v>1</v>
      </c>
      <c r="G946" s="83" t="b">
        <v>0</v>
      </c>
    </row>
    <row r="947" spans="1:7" ht="15">
      <c r="A947" s="84" t="s">
        <v>4021</v>
      </c>
      <c r="B947" s="83">
        <v>2</v>
      </c>
      <c r="C947" s="110">
        <v>0.00183512122085282</v>
      </c>
      <c r="D947" s="83" t="s">
        <v>3414</v>
      </c>
      <c r="E947" s="83" t="b">
        <v>0</v>
      </c>
      <c r="F947" s="83" t="b">
        <v>0</v>
      </c>
      <c r="G947" s="83" t="b">
        <v>0</v>
      </c>
    </row>
    <row r="948" spans="1:7" ht="15">
      <c r="A948" s="84" t="s">
        <v>3650</v>
      </c>
      <c r="B948" s="83">
        <v>2</v>
      </c>
      <c r="C948" s="110">
        <v>0.00183512122085282</v>
      </c>
      <c r="D948" s="83" t="s">
        <v>3414</v>
      </c>
      <c r="E948" s="83" t="b">
        <v>0</v>
      </c>
      <c r="F948" s="83" t="b">
        <v>1</v>
      </c>
      <c r="G948" s="83" t="b">
        <v>0</v>
      </c>
    </row>
    <row r="949" spans="1:7" ht="15">
      <c r="A949" s="84" t="s">
        <v>4023</v>
      </c>
      <c r="B949" s="83">
        <v>2</v>
      </c>
      <c r="C949" s="110">
        <v>0.00183512122085282</v>
      </c>
      <c r="D949" s="83" t="s">
        <v>3414</v>
      </c>
      <c r="E949" s="83" t="b">
        <v>0</v>
      </c>
      <c r="F949" s="83" t="b">
        <v>0</v>
      </c>
      <c r="G949" s="83" t="b">
        <v>0</v>
      </c>
    </row>
    <row r="950" spans="1:7" ht="15">
      <c r="A950" s="84" t="s">
        <v>4024</v>
      </c>
      <c r="B950" s="83">
        <v>2</v>
      </c>
      <c r="C950" s="110">
        <v>0.00183512122085282</v>
      </c>
      <c r="D950" s="83" t="s">
        <v>3414</v>
      </c>
      <c r="E950" s="83" t="b">
        <v>0</v>
      </c>
      <c r="F950" s="83" t="b">
        <v>0</v>
      </c>
      <c r="G950" s="83" t="b">
        <v>0</v>
      </c>
    </row>
    <row r="951" spans="1:7" ht="15">
      <c r="A951" s="84" t="s">
        <v>4025</v>
      </c>
      <c r="B951" s="83">
        <v>2</v>
      </c>
      <c r="C951" s="110">
        <v>0.00183512122085282</v>
      </c>
      <c r="D951" s="83" t="s">
        <v>3414</v>
      </c>
      <c r="E951" s="83" t="b">
        <v>0</v>
      </c>
      <c r="F951" s="83" t="b">
        <v>0</v>
      </c>
      <c r="G951" s="83" t="b">
        <v>0</v>
      </c>
    </row>
    <row r="952" spans="1:7" ht="15">
      <c r="A952" s="84" t="s">
        <v>4026</v>
      </c>
      <c r="B952" s="83">
        <v>2</v>
      </c>
      <c r="C952" s="110">
        <v>0.00183512122085282</v>
      </c>
      <c r="D952" s="83" t="s">
        <v>3414</v>
      </c>
      <c r="E952" s="83" t="b">
        <v>0</v>
      </c>
      <c r="F952" s="83" t="b">
        <v>1</v>
      </c>
      <c r="G952" s="83" t="b">
        <v>0</v>
      </c>
    </row>
    <row r="953" spans="1:7" ht="15">
      <c r="A953" s="84" t="s">
        <v>3561</v>
      </c>
      <c r="B953" s="83">
        <v>2</v>
      </c>
      <c r="C953" s="110">
        <v>0.00183512122085282</v>
      </c>
      <c r="D953" s="83" t="s">
        <v>3414</v>
      </c>
      <c r="E953" s="83" t="b">
        <v>0</v>
      </c>
      <c r="F953" s="83" t="b">
        <v>0</v>
      </c>
      <c r="G953" s="83" t="b">
        <v>0</v>
      </c>
    </row>
    <row r="954" spans="1:7" ht="15">
      <c r="A954" s="84" t="s">
        <v>4048</v>
      </c>
      <c r="B954" s="83">
        <v>2</v>
      </c>
      <c r="C954" s="110">
        <v>0.00183512122085282</v>
      </c>
      <c r="D954" s="83" t="s">
        <v>3414</v>
      </c>
      <c r="E954" s="83" t="b">
        <v>0</v>
      </c>
      <c r="F954" s="83" t="b">
        <v>0</v>
      </c>
      <c r="G954" s="83" t="b">
        <v>0</v>
      </c>
    </row>
    <row r="955" spans="1:7" ht="15">
      <c r="A955" s="84" t="s">
        <v>4049</v>
      </c>
      <c r="B955" s="83">
        <v>2</v>
      </c>
      <c r="C955" s="110">
        <v>0.00183512122085282</v>
      </c>
      <c r="D955" s="83" t="s">
        <v>3414</v>
      </c>
      <c r="E955" s="83" t="b">
        <v>0</v>
      </c>
      <c r="F955" s="83" t="b">
        <v>0</v>
      </c>
      <c r="G955" s="83" t="b">
        <v>0</v>
      </c>
    </row>
    <row r="956" spans="1:7" ht="15">
      <c r="A956" s="84" t="s">
        <v>3706</v>
      </c>
      <c r="B956" s="83">
        <v>2</v>
      </c>
      <c r="C956" s="110">
        <v>0.00183512122085282</v>
      </c>
      <c r="D956" s="83" t="s">
        <v>3414</v>
      </c>
      <c r="E956" s="83" t="b">
        <v>0</v>
      </c>
      <c r="F956" s="83" t="b">
        <v>0</v>
      </c>
      <c r="G956" s="83" t="b">
        <v>0</v>
      </c>
    </row>
    <row r="957" spans="1:7" ht="15">
      <c r="A957" s="84" t="s">
        <v>4050</v>
      </c>
      <c r="B957" s="83">
        <v>2</v>
      </c>
      <c r="C957" s="110">
        <v>0.00183512122085282</v>
      </c>
      <c r="D957" s="83" t="s">
        <v>3414</v>
      </c>
      <c r="E957" s="83" t="b">
        <v>0</v>
      </c>
      <c r="F957" s="83" t="b">
        <v>0</v>
      </c>
      <c r="G957" s="83" t="b">
        <v>0</v>
      </c>
    </row>
    <row r="958" spans="1:7" ht="15">
      <c r="A958" s="84" t="s">
        <v>4052</v>
      </c>
      <c r="B958" s="83">
        <v>2</v>
      </c>
      <c r="C958" s="110">
        <v>0.00183512122085282</v>
      </c>
      <c r="D958" s="83" t="s">
        <v>3414</v>
      </c>
      <c r="E958" s="83" t="b">
        <v>0</v>
      </c>
      <c r="F958" s="83" t="b">
        <v>0</v>
      </c>
      <c r="G958" s="83" t="b">
        <v>0</v>
      </c>
    </row>
    <row r="959" spans="1:7" ht="15">
      <c r="A959" s="84" t="s">
        <v>4053</v>
      </c>
      <c r="B959" s="83">
        <v>2</v>
      </c>
      <c r="C959" s="110">
        <v>0.00183512122085282</v>
      </c>
      <c r="D959" s="83" t="s">
        <v>3414</v>
      </c>
      <c r="E959" s="83" t="b">
        <v>0</v>
      </c>
      <c r="F959" s="83" t="b">
        <v>0</v>
      </c>
      <c r="G959" s="83" t="b">
        <v>0</v>
      </c>
    </row>
    <row r="960" spans="1:7" ht="15">
      <c r="A960" s="84" t="s">
        <v>3692</v>
      </c>
      <c r="B960" s="83">
        <v>2</v>
      </c>
      <c r="C960" s="110">
        <v>0.00183512122085282</v>
      </c>
      <c r="D960" s="83" t="s">
        <v>3414</v>
      </c>
      <c r="E960" s="83" t="b">
        <v>0</v>
      </c>
      <c r="F960" s="83" t="b">
        <v>0</v>
      </c>
      <c r="G960" s="83" t="b">
        <v>0</v>
      </c>
    </row>
    <row r="961" spans="1:7" ht="15">
      <c r="A961" s="84" t="s">
        <v>3524</v>
      </c>
      <c r="B961" s="83">
        <v>2</v>
      </c>
      <c r="C961" s="110">
        <v>0.00183512122085282</v>
      </c>
      <c r="D961" s="83" t="s">
        <v>3414</v>
      </c>
      <c r="E961" s="83" t="b">
        <v>0</v>
      </c>
      <c r="F961" s="83" t="b">
        <v>0</v>
      </c>
      <c r="G961" s="83" t="b">
        <v>0</v>
      </c>
    </row>
    <row r="962" spans="1:7" ht="15">
      <c r="A962" s="84" t="s">
        <v>4054</v>
      </c>
      <c r="B962" s="83">
        <v>2</v>
      </c>
      <c r="C962" s="110">
        <v>0.00183512122085282</v>
      </c>
      <c r="D962" s="83" t="s">
        <v>3414</v>
      </c>
      <c r="E962" s="83" t="b">
        <v>0</v>
      </c>
      <c r="F962" s="83" t="b">
        <v>0</v>
      </c>
      <c r="G962" s="83" t="b">
        <v>0</v>
      </c>
    </row>
    <row r="963" spans="1:7" ht="15">
      <c r="A963" s="84" t="s">
        <v>4055</v>
      </c>
      <c r="B963" s="83">
        <v>2</v>
      </c>
      <c r="C963" s="110">
        <v>0.00183512122085282</v>
      </c>
      <c r="D963" s="83" t="s">
        <v>3414</v>
      </c>
      <c r="E963" s="83" t="b">
        <v>0</v>
      </c>
      <c r="F963" s="83" t="b">
        <v>0</v>
      </c>
      <c r="G963" s="83" t="b">
        <v>0</v>
      </c>
    </row>
    <row r="964" spans="1:7" ht="15">
      <c r="A964" s="84" t="s">
        <v>3768</v>
      </c>
      <c r="B964" s="83">
        <v>2</v>
      </c>
      <c r="C964" s="110">
        <v>0.00183512122085282</v>
      </c>
      <c r="D964" s="83" t="s">
        <v>3414</v>
      </c>
      <c r="E964" s="83" t="b">
        <v>0</v>
      </c>
      <c r="F964" s="83" t="b">
        <v>0</v>
      </c>
      <c r="G964" s="83" t="b">
        <v>0</v>
      </c>
    </row>
    <row r="965" spans="1:7" ht="15">
      <c r="A965" s="84" t="s">
        <v>4056</v>
      </c>
      <c r="B965" s="83">
        <v>2</v>
      </c>
      <c r="C965" s="110">
        <v>0.00183512122085282</v>
      </c>
      <c r="D965" s="83" t="s">
        <v>3414</v>
      </c>
      <c r="E965" s="83" t="b">
        <v>0</v>
      </c>
      <c r="F965" s="83" t="b">
        <v>0</v>
      </c>
      <c r="G965" s="83" t="b">
        <v>0</v>
      </c>
    </row>
    <row r="966" spans="1:7" ht="15">
      <c r="A966" s="84" t="s">
        <v>3770</v>
      </c>
      <c r="B966" s="83">
        <v>2</v>
      </c>
      <c r="C966" s="110">
        <v>0.00183512122085282</v>
      </c>
      <c r="D966" s="83" t="s">
        <v>3414</v>
      </c>
      <c r="E966" s="83" t="b">
        <v>0</v>
      </c>
      <c r="F966" s="83" t="b">
        <v>0</v>
      </c>
      <c r="G966" s="83" t="b">
        <v>0</v>
      </c>
    </row>
    <row r="967" spans="1:7" ht="15">
      <c r="A967" s="84" t="s">
        <v>4057</v>
      </c>
      <c r="B967" s="83">
        <v>2</v>
      </c>
      <c r="C967" s="110">
        <v>0.00183512122085282</v>
      </c>
      <c r="D967" s="83" t="s">
        <v>3414</v>
      </c>
      <c r="E967" s="83" t="b">
        <v>0</v>
      </c>
      <c r="F967" s="83" t="b">
        <v>0</v>
      </c>
      <c r="G967" s="83" t="b">
        <v>0</v>
      </c>
    </row>
    <row r="968" spans="1:7" ht="15">
      <c r="A968" s="84" t="s">
        <v>4058</v>
      </c>
      <c r="B968" s="83">
        <v>2</v>
      </c>
      <c r="C968" s="110">
        <v>0.00183512122085282</v>
      </c>
      <c r="D968" s="83" t="s">
        <v>3414</v>
      </c>
      <c r="E968" s="83" t="b">
        <v>1</v>
      </c>
      <c r="F968" s="83" t="b">
        <v>0</v>
      </c>
      <c r="G968" s="83" t="b">
        <v>0</v>
      </c>
    </row>
    <row r="969" spans="1:7" ht="15">
      <c r="A969" s="84" t="s">
        <v>4059</v>
      </c>
      <c r="B969" s="83">
        <v>2</v>
      </c>
      <c r="C969" s="110">
        <v>0.00183512122085282</v>
      </c>
      <c r="D969" s="83" t="s">
        <v>3414</v>
      </c>
      <c r="E969" s="83" t="b">
        <v>0</v>
      </c>
      <c r="F969" s="83" t="b">
        <v>0</v>
      </c>
      <c r="G969" s="83" t="b">
        <v>0</v>
      </c>
    </row>
    <row r="970" spans="1:7" ht="15">
      <c r="A970" s="84" t="s">
        <v>3708</v>
      </c>
      <c r="B970" s="83">
        <v>2</v>
      </c>
      <c r="C970" s="110">
        <v>0.00183512122085282</v>
      </c>
      <c r="D970" s="83" t="s">
        <v>3414</v>
      </c>
      <c r="E970" s="83" t="b">
        <v>0</v>
      </c>
      <c r="F970" s="83" t="b">
        <v>0</v>
      </c>
      <c r="G970" s="83" t="b">
        <v>0</v>
      </c>
    </row>
    <row r="971" spans="1:7" ht="15">
      <c r="A971" s="84" t="s">
        <v>4060</v>
      </c>
      <c r="B971" s="83">
        <v>2</v>
      </c>
      <c r="C971" s="110">
        <v>0.00183512122085282</v>
      </c>
      <c r="D971" s="83" t="s">
        <v>3414</v>
      </c>
      <c r="E971" s="83" t="b">
        <v>0</v>
      </c>
      <c r="F971" s="83" t="b">
        <v>0</v>
      </c>
      <c r="G971" s="83" t="b">
        <v>0</v>
      </c>
    </row>
    <row r="972" spans="1:7" ht="15">
      <c r="A972" s="84" t="s">
        <v>4061</v>
      </c>
      <c r="B972" s="83">
        <v>2</v>
      </c>
      <c r="C972" s="110">
        <v>0.00183512122085282</v>
      </c>
      <c r="D972" s="83" t="s">
        <v>3414</v>
      </c>
      <c r="E972" s="83" t="b">
        <v>0</v>
      </c>
      <c r="F972" s="83" t="b">
        <v>0</v>
      </c>
      <c r="G972" s="83" t="b">
        <v>0</v>
      </c>
    </row>
    <row r="973" spans="1:7" ht="15">
      <c r="A973" s="84" t="s">
        <v>4063</v>
      </c>
      <c r="B973" s="83">
        <v>2</v>
      </c>
      <c r="C973" s="110">
        <v>0.00183512122085282</v>
      </c>
      <c r="D973" s="83" t="s">
        <v>3414</v>
      </c>
      <c r="E973" s="83" t="b">
        <v>0</v>
      </c>
      <c r="F973" s="83" t="b">
        <v>0</v>
      </c>
      <c r="G973" s="83" t="b">
        <v>0</v>
      </c>
    </row>
    <row r="974" spans="1:7" ht="15">
      <c r="A974" s="84" t="s">
        <v>4064</v>
      </c>
      <c r="B974" s="83">
        <v>2</v>
      </c>
      <c r="C974" s="110">
        <v>0.00183512122085282</v>
      </c>
      <c r="D974" s="83" t="s">
        <v>3414</v>
      </c>
      <c r="E974" s="83" t="b">
        <v>0</v>
      </c>
      <c r="F974" s="83" t="b">
        <v>0</v>
      </c>
      <c r="G974" s="83" t="b">
        <v>0</v>
      </c>
    </row>
    <row r="975" spans="1:7" ht="15">
      <c r="A975" s="84" t="s">
        <v>4065</v>
      </c>
      <c r="B975" s="83">
        <v>2</v>
      </c>
      <c r="C975" s="110">
        <v>0.00183512122085282</v>
      </c>
      <c r="D975" s="83" t="s">
        <v>3414</v>
      </c>
      <c r="E975" s="83" t="b">
        <v>0</v>
      </c>
      <c r="F975" s="83" t="b">
        <v>0</v>
      </c>
      <c r="G975" s="83" t="b">
        <v>0</v>
      </c>
    </row>
    <row r="976" spans="1:7" ht="15">
      <c r="A976" s="84" t="s">
        <v>4066</v>
      </c>
      <c r="B976" s="83">
        <v>2</v>
      </c>
      <c r="C976" s="110">
        <v>0.00183512122085282</v>
      </c>
      <c r="D976" s="83" t="s">
        <v>3414</v>
      </c>
      <c r="E976" s="83" t="b">
        <v>1</v>
      </c>
      <c r="F976" s="83" t="b">
        <v>0</v>
      </c>
      <c r="G976" s="83" t="b">
        <v>0</v>
      </c>
    </row>
    <row r="977" spans="1:7" ht="15">
      <c r="A977" s="84" t="s">
        <v>4068</v>
      </c>
      <c r="B977" s="83">
        <v>2</v>
      </c>
      <c r="C977" s="110">
        <v>0.00183512122085282</v>
      </c>
      <c r="D977" s="83" t="s">
        <v>3414</v>
      </c>
      <c r="E977" s="83" t="b">
        <v>0</v>
      </c>
      <c r="F977" s="83" t="b">
        <v>0</v>
      </c>
      <c r="G977" s="83" t="b">
        <v>0</v>
      </c>
    </row>
    <row r="978" spans="1:7" ht="15">
      <c r="A978" s="84" t="s">
        <v>3653</v>
      </c>
      <c r="B978" s="83">
        <v>2</v>
      </c>
      <c r="C978" s="110">
        <v>0.00183512122085282</v>
      </c>
      <c r="D978" s="83" t="s">
        <v>3414</v>
      </c>
      <c r="E978" s="83" t="b">
        <v>0</v>
      </c>
      <c r="F978" s="83" t="b">
        <v>0</v>
      </c>
      <c r="G978" s="83" t="b">
        <v>0</v>
      </c>
    </row>
    <row r="979" spans="1:7" ht="15">
      <c r="A979" s="84" t="s">
        <v>3695</v>
      </c>
      <c r="B979" s="83">
        <v>2</v>
      </c>
      <c r="C979" s="110">
        <v>0.00183512122085282</v>
      </c>
      <c r="D979" s="83" t="s">
        <v>3414</v>
      </c>
      <c r="E979" s="83" t="b">
        <v>0</v>
      </c>
      <c r="F979" s="83" t="b">
        <v>0</v>
      </c>
      <c r="G979" s="83" t="b">
        <v>0</v>
      </c>
    </row>
    <row r="980" spans="1:7" ht="15">
      <c r="A980" s="84" t="s">
        <v>4071</v>
      </c>
      <c r="B980" s="83">
        <v>2</v>
      </c>
      <c r="C980" s="110">
        <v>0.00183512122085282</v>
      </c>
      <c r="D980" s="83" t="s">
        <v>3414</v>
      </c>
      <c r="E980" s="83" t="b">
        <v>0</v>
      </c>
      <c r="F980" s="83" t="b">
        <v>0</v>
      </c>
      <c r="G980" s="83" t="b">
        <v>0</v>
      </c>
    </row>
    <row r="981" spans="1:7" ht="15">
      <c r="A981" s="84" t="s">
        <v>3755</v>
      </c>
      <c r="B981" s="83">
        <v>2</v>
      </c>
      <c r="C981" s="110">
        <v>0.00183512122085282</v>
      </c>
      <c r="D981" s="83" t="s">
        <v>3414</v>
      </c>
      <c r="E981" s="83" t="b">
        <v>0</v>
      </c>
      <c r="F981" s="83" t="b">
        <v>0</v>
      </c>
      <c r="G981" s="83" t="b">
        <v>0</v>
      </c>
    </row>
    <row r="982" spans="1:7" ht="15">
      <c r="A982" s="84" t="s">
        <v>3797</v>
      </c>
      <c r="B982" s="83">
        <v>2</v>
      </c>
      <c r="C982" s="110">
        <v>0.00183512122085282</v>
      </c>
      <c r="D982" s="83" t="s">
        <v>3414</v>
      </c>
      <c r="E982" s="83" t="b">
        <v>1</v>
      </c>
      <c r="F982" s="83" t="b">
        <v>0</v>
      </c>
      <c r="G982" s="83" t="b">
        <v>0</v>
      </c>
    </row>
    <row r="983" spans="1:7" ht="15">
      <c r="A983" s="84" t="s">
        <v>4075</v>
      </c>
      <c r="B983" s="83">
        <v>2</v>
      </c>
      <c r="C983" s="110">
        <v>0.00183512122085282</v>
      </c>
      <c r="D983" s="83" t="s">
        <v>3414</v>
      </c>
      <c r="E983" s="83" t="b">
        <v>0</v>
      </c>
      <c r="F983" s="83" t="b">
        <v>0</v>
      </c>
      <c r="G983" s="83" t="b">
        <v>0</v>
      </c>
    </row>
    <row r="984" spans="1:7" ht="15">
      <c r="A984" s="84" t="s">
        <v>4076</v>
      </c>
      <c r="B984" s="83">
        <v>2</v>
      </c>
      <c r="C984" s="110">
        <v>0.00183512122085282</v>
      </c>
      <c r="D984" s="83" t="s">
        <v>3414</v>
      </c>
      <c r="E984" s="83" t="b">
        <v>1</v>
      </c>
      <c r="F984" s="83" t="b">
        <v>0</v>
      </c>
      <c r="G984" s="83" t="b">
        <v>0</v>
      </c>
    </row>
    <row r="985" spans="1:7" ht="15">
      <c r="A985" s="84" t="s">
        <v>4079</v>
      </c>
      <c r="B985" s="83">
        <v>2</v>
      </c>
      <c r="C985" s="110">
        <v>0.00183512122085282</v>
      </c>
      <c r="D985" s="83" t="s">
        <v>3414</v>
      </c>
      <c r="E985" s="83" t="b">
        <v>1</v>
      </c>
      <c r="F985" s="83" t="b">
        <v>0</v>
      </c>
      <c r="G985" s="83" t="b">
        <v>0</v>
      </c>
    </row>
    <row r="986" spans="1:7" ht="15">
      <c r="A986" s="84" t="s">
        <v>3720</v>
      </c>
      <c r="B986" s="83">
        <v>2</v>
      </c>
      <c r="C986" s="110">
        <v>0.00183512122085282</v>
      </c>
      <c r="D986" s="83" t="s">
        <v>3414</v>
      </c>
      <c r="E986" s="83" t="b">
        <v>0</v>
      </c>
      <c r="F986" s="83" t="b">
        <v>1</v>
      </c>
      <c r="G986" s="83" t="b">
        <v>0</v>
      </c>
    </row>
    <row r="987" spans="1:7" ht="15">
      <c r="A987" s="84" t="s">
        <v>4080</v>
      </c>
      <c r="B987" s="83">
        <v>2</v>
      </c>
      <c r="C987" s="110">
        <v>0.00183512122085282</v>
      </c>
      <c r="D987" s="83" t="s">
        <v>3414</v>
      </c>
      <c r="E987" s="83" t="b">
        <v>0</v>
      </c>
      <c r="F987" s="83" t="b">
        <v>0</v>
      </c>
      <c r="G987" s="83" t="b">
        <v>0</v>
      </c>
    </row>
    <row r="988" spans="1:7" ht="15">
      <c r="A988" s="84" t="s">
        <v>4081</v>
      </c>
      <c r="B988" s="83">
        <v>2</v>
      </c>
      <c r="C988" s="110">
        <v>0.00183512122085282</v>
      </c>
      <c r="D988" s="83" t="s">
        <v>3414</v>
      </c>
      <c r="E988" s="83" t="b">
        <v>1</v>
      </c>
      <c r="F988" s="83" t="b">
        <v>0</v>
      </c>
      <c r="G988" s="83" t="b">
        <v>0</v>
      </c>
    </row>
    <row r="989" spans="1:7" ht="15">
      <c r="A989" s="84" t="s">
        <v>3614</v>
      </c>
      <c r="B989" s="83">
        <v>2</v>
      </c>
      <c r="C989" s="110">
        <v>0.00183512122085282</v>
      </c>
      <c r="D989" s="83" t="s">
        <v>3414</v>
      </c>
      <c r="E989" s="83" t="b">
        <v>0</v>
      </c>
      <c r="F989" s="83" t="b">
        <v>0</v>
      </c>
      <c r="G989" s="83" t="b">
        <v>0</v>
      </c>
    </row>
    <row r="990" spans="1:7" ht="15">
      <c r="A990" s="84" t="s">
        <v>3753</v>
      </c>
      <c r="B990" s="83">
        <v>2</v>
      </c>
      <c r="C990" s="110">
        <v>0.00183512122085282</v>
      </c>
      <c r="D990" s="83" t="s">
        <v>3414</v>
      </c>
      <c r="E990" s="83" t="b">
        <v>0</v>
      </c>
      <c r="F990" s="83" t="b">
        <v>0</v>
      </c>
      <c r="G990" s="83" t="b">
        <v>0</v>
      </c>
    </row>
    <row r="991" spans="1:7" ht="15">
      <c r="A991" s="84" t="s">
        <v>4085</v>
      </c>
      <c r="B991" s="83">
        <v>2</v>
      </c>
      <c r="C991" s="110">
        <v>0.00183512122085282</v>
      </c>
      <c r="D991" s="83" t="s">
        <v>3414</v>
      </c>
      <c r="E991" s="83" t="b">
        <v>0</v>
      </c>
      <c r="F991" s="83" t="b">
        <v>0</v>
      </c>
      <c r="G991" s="83" t="b">
        <v>0</v>
      </c>
    </row>
    <row r="992" spans="1:7" ht="15">
      <c r="A992" s="84" t="s">
        <v>3579</v>
      </c>
      <c r="B992" s="83">
        <v>2</v>
      </c>
      <c r="C992" s="110">
        <v>0.00183512122085282</v>
      </c>
      <c r="D992" s="83" t="s">
        <v>3414</v>
      </c>
      <c r="E992" s="83" t="b">
        <v>0</v>
      </c>
      <c r="F992" s="83" t="b">
        <v>0</v>
      </c>
      <c r="G992" s="83" t="b">
        <v>0</v>
      </c>
    </row>
    <row r="993" spans="1:7" ht="15">
      <c r="A993" s="84" t="s">
        <v>4086</v>
      </c>
      <c r="B993" s="83">
        <v>2</v>
      </c>
      <c r="C993" s="110">
        <v>0.00183512122085282</v>
      </c>
      <c r="D993" s="83" t="s">
        <v>3414</v>
      </c>
      <c r="E993" s="83" t="b">
        <v>0</v>
      </c>
      <c r="F993" s="83" t="b">
        <v>1</v>
      </c>
      <c r="G993" s="83" t="b">
        <v>0</v>
      </c>
    </row>
    <row r="994" spans="1:7" ht="15">
      <c r="A994" s="84" t="s">
        <v>3666</v>
      </c>
      <c r="B994" s="83">
        <v>2</v>
      </c>
      <c r="C994" s="110">
        <v>0.00183512122085282</v>
      </c>
      <c r="D994" s="83" t="s">
        <v>3414</v>
      </c>
      <c r="E994" s="83" t="b">
        <v>1</v>
      </c>
      <c r="F994" s="83" t="b">
        <v>0</v>
      </c>
      <c r="G994" s="83" t="b">
        <v>0</v>
      </c>
    </row>
    <row r="995" spans="1:7" ht="15">
      <c r="A995" s="84" t="s">
        <v>4087</v>
      </c>
      <c r="B995" s="83">
        <v>2</v>
      </c>
      <c r="C995" s="110">
        <v>0.00183512122085282</v>
      </c>
      <c r="D995" s="83" t="s">
        <v>3414</v>
      </c>
      <c r="E995" s="83" t="b">
        <v>0</v>
      </c>
      <c r="F995" s="83" t="b">
        <v>0</v>
      </c>
      <c r="G995" s="83" t="b">
        <v>0</v>
      </c>
    </row>
    <row r="996" spans="1:7" ht="15">
      <c r="A996" s="84" t="s">
        <v>3820</v>
      </c>
      <c r="B996" s="83">
        <v>2</v>
      </c>
      <c r="C996" s="110">
        <v>0.00183512122085282</v>
      </c>
      <c r="D996" s="83" t="s">
        <v>3414</v>
      </c>
      <c r="E996" s="83" t="b">
        <v>1</v>
      </c>
      <c r="F996" s="83" t="b">
        <v>0</v>
      </c>
      <c r="G996" s="83" t="b">
        <v>0</v>
      </c>
    </row>
    <row r="997" spans="1:7" ht="15">
      <c r="A997" s="84" t="s">
        <v>3607</v>
      </c>
      <c r="B997" s="83">
        <v>2</v>
      </c>
      <c r="C997" s="110">
        <v>0.00183512122085282</v>
      </c>
      <c r="D997" s="83" t="s">
        <v>3414</v>
      </c>
      <c r="E997" s="83" t="b">
        <v>0</v>
      </c>
      <c r="F997" s="83" t="b">
        <v>0</v>
      </c>
      <c r="G997" s="83" t="b">
        <v>0</v>
      </c>
    </row>
    <row r="998" spans="1:7" ht="15">
      <c r="A998" s="84" t="s">
        <v>4089</v>
      </c>
      <c r="B998" s="83">
        <v>2</v>
      </c>
      <c r="C998" s="110">
        <v>0.00183512122085282</v>
      </c>
      <c r="D998" s="83" t="s">
        <v>3414</v>
      </c>
      <c r="E998" s="83" t="b">
        <v>0</v>
      </c>
      <c r="F998" s="83" t="b">
        <v>0</v>
      </c>
      <c r="G998" s="83" t="b">
        <v>0</v>
      </c>
    </row>
    <row r="999" spans="1:7" ht="15">
      <c r="A999" s="84" t="s">
        <v>4090</v>
      </c>
      <c r="B999" s="83">
        <v>2</v>
      </c>
      <c r="C999" s="110">
        <v>0.00183512122085282</v>
      </c>
      <c r="D999" s="83" t="s">
        <v>3414</v>
      </c>
      <c r="E999" s="83" t="b">
        <v>0</v>
      </c>
      <c r="F999" s="83" t="b">
        <v>0</v>
      </c>
      <c r="G999" s="83" t="b">
        <v>0</v>
      </c>
    </row>
    <row r="1000" spans="1:7" ht="15">
      <c r="A1000" s="84" t="s">
        <v>4091</v>
      </c>
      <c r="B1000" s="83">
        <v>2</v>
      </c>
      <c r="C1000" s="110">
        <v>0.00183512122085282</v>
      </c>
      <c r="D1000" s="83" t="s">
        <v>3414</v>
      </c>
      <c r="E1000" s="83" t="b">
        <v>0</v>
      </c>
      <c r="F1000" s="83" t="b">
        <v>0</v>
      </c>
      <c r="G1000" s="83" t="b">
        <v>0</v>
      </c>
    </row>
    <row r="1001" spans="1:7" ht="15">
      <c r="A1001" s="84" t="s">
        <v>4092</v>
      </c>
      <c r="B1001" s="83">
        <v>2</v>
      </c>
      <c r="C1001" s="110">
        <v>0.00183512122085282</v>
      </c>
      <c r="D1001" s="83" t="s">
        <v>3414</v>
      </c>
      <c r="E1001" s="83" t="b">
        <v>0</v>
      </c>
      <c r="F1001" s="83" t="b">
        <v>0</v>
      </c>
      <c r="G1001" s="83" t="b">
        <v>0</v>
      </c>
    </row>
    <row r="1002" spans="1:7" ht="15">
      <c r="A1002" s="84" t="s">
        <v>4093</v>
      </c>
      <c r="B1002" s="83">
        <v>2</v>
      </c>
      <c r="C1002" s="110">
        <v>0.00183512122085282</v>
      </c>
      <c r="D1002" s="83" t="s">
        <v>3414</v>
      </c>
      <c r="E1002" s="83" t="b">
        <v>0</v>
      </c>
      <c r="F1002" s="83" t="b">
        <v>0</v>
      </c>
      <c r="G1002" s="83" t="b">
        <v>0</v>
      </c>
    </row>
    <row r="1003" spans="1:7" ht="15">
      <c r="A1003" s="84" t="s">
        <v>3765</v>
      </c>
      <c r="B1003" s="83">
        <v>2</v>
      </c>
      <c r="C1003" s="110">
        <v>0.00183512122085282</v>
      </c>
      <c r="D1003" s="83" t="s">
        <v>3414</v>
      </c>
      <c r="E1003" s="83" t="b">
        <v>0</v>
      </c>
      <c r="F1003" s="83" t="b">
        <v>0</v>
      </c>
      <c r="G1003" s="83" t="b">
        <v>0</v>
      </c>
    </row>
    <row r="1004" spans="1:7" ht="15">
      <c r="A1004" s="84" t="s">
        <v>3804</v>
      </c>
      <c r="B1004" s="83">
        <v>2</v>
      </c>
      <c r="C1004" s="110">
        <v>0.00183512122085282</v>
      </c>
      <c r="D1004" s="83" t="s">
        <v>3414</v>
      </c>
      <c r="E1004" s="83" t="b">
        <v>0</v>
      </c>
      <c r="F1004" s="83" t="b">
        <v>0</v>
      </c>
      <c r="G1004" s="83" t="b">
        <v>0</v>
      </c>
    </row>
    <row r="1005" spans="1:7" ht="15">
      <c r="A1005" s="84" t="s">
        <v>4094</v>
      </c>
      <c r="B1005" s="83">
        <v>2</v>
      </c>
      <c r="C1005" s="110">
        <v>0.00183512122085282</v>
      </c>
      <c r="D1005" s="83" t="s">
        <v>3414</v>
      </c>
      <c r="E1005" s="83" t="b">
        <v>1</v>
      </c>
      <c r="F1005" s="83" t="b">
        <v>0</v>
      </c>
      <c r="G1005" s="83" t="b">
        <v>0</v>
      </c>
    </row>
    <row r="1006" spans="1:7" ht="15">
      <c r="A1006" s="84" t="s">
        <v>4095</v>
      </c>
      <c r="B1006" s="83">
        <v>2</v>
      </c>
      <c r="C1006" s="110">
        <v>0.00183512122085282</v>
      </c>
      <c r="D1006" s="83" t="s">
        <v>3414</v>
      </c>
      <c r="E1006" s="83" t="b">
        <v>0</v>
      </c>
      <c r="F1006" s="83" t="b">
        <v>0</v>
      </c>
      <c r="G1006" s="83" t="b">
        <v>0</v>
      </c>
    </row>
    <row r="1007" spans="1:7" ht="15">
      <c r="A1007" s="84" t="s">
        <v>3556</v>
      </c>
      <c r="B1007" s="83">
        <v>2</v>
      </c>
      <c r="C1007" s="110">
        <v>0.00183512122085282</v>
      </c>
      <c r="D1007" s="83" t="s">
        <v>3414</v>
      </c>
      <c r="E1007" s="83" t="b">
        <v>0</v>
      </c>
      <c r="F1007" s="83" t="b">
        <v>0</v>
      </c>
      <c r="G1007" s="83" t="b">
        <v>0</v>
      </c>
    </row>
    <row r="1008" spans="1:7" ht="15">
      <c r="A1008" s="84" t="s">
        <v>3625</v>
      </c>
      <c r="B1008" s="83">
        <v>2</v>
      </c>
      <c r="C1008" s="110">
        <v>0.00183512122085282</v>
      </c>
      <c r="D1008" s="83" t="s">
        <v>3414</v>
      </c>
      <c r="E1008" s="83" t="b">
        <v>0</v>
      </c>
      <c r="F1008" s="83" t="b">
        <v>0</v>
      </c>
      <c r="G1008" s="83" t="b">
        <v>0</v>
      </c>
    </row>
    <row r="1009" spans="1:7" ht="15">
      <c r="A1009" s="84" t="s">
        <v>4099</v>
      </c>
      <c r="B1009" s="83">
        <v>2</v>
      </c>
      <c r="C1009" s="110">
        <v>0.00183512122085282</v>
      </c>
      <c r="D1009" s="83" t="s">
        <v>3414</v>
      </c>
      <c r="E1009" s="83" t="b">
        <v>0</v>
      </c>
      <c r="F1009" s="83" t="b">
        <v>0</v>
      </c>
      <c r="G1009" s="83" t="b">
        <v>0</v>
      </c>
    </row>
    <row r="1010" spans="1:7" ht="15">
      <c r="A1010" s="84" t="s">
        <v>4102</v>
      </c>
      <c r="B1010" s="83">
        <v>2</v>
      </c>
      <c r="C1010" s="110">
        <v>0.00183512122085282</v>
      </c>
      <c r="D1010" s="83" t="s">
        <v>3414</v>
      </c>
      <c r="E1010" s="83" t="b">
        <v>0</v>
      </c>
      <c r="F1010" s="83" t="b">
        <v>0</v>
      </c>
      <c r="G1010" s="83" t="b">
        <v>0</v>
      </c>
    </row>
    <row r="1011" spans="1:7" ht="15">
      <c r="A1011" s="84" t="s">
        <v>4103</v>
      </c>
      <c r="B1011" s="83">
        <v>2</v>
      </c>
      <c r="C1011" s="110">
        <v>0.00183512122085282</v>
      </c>
      <c r="D1011" s="83" t="s">
        <v>3414</v>
      </c>
      <c r="E1011" s="83" t="b">
        <v>0</v>
      </c>
      <c r="F1011" s="83" t="b">
        <v>0</v>
      </c>
      <c r="G1011" s="83" t="b">
        <v>0</v>
      </c>
    </row>
    <row r="1012" spans="1:7" ht="15">
      <c r="A1012" s="84" t="s">
        <v>3671</v>
      </c>
      <c r="B1012" s="83">
        <v>2</v>
      </c>
      <c r="C1012" s="110">
        <v>0.00183512122085282</v>
      </c>
      <c r="D1012" s="83" t="s">
        <v>3414</v>
      </c>
      <c r="E1012" s="83" t="b">
        <v>0</v>
      </c>
      <c r="F1012" s="83" t="b">
        <v>0</v>
      </c>
      <c r="G1012" s="83" t="b">
        <v>0</v>
      </c>
    </row>
    <row r="1013" spans="1:7" ht="15">
      <c r="A1013" s="84" t="s">
        <v>4104</v>
      </c>
      <c r="B1013" s="83">
        <v>2</v>
      </c>
      <c r="C1013" s="110">
        <v>0.00183512122085282</v>
      </c>
      <c r="D1013" s="83" t="s">
        <v>3414</v>
      </c>
      <c r="E1013" s="83" t="b">
        <v>0</v>
      </c>
      <c r="F1013" s="83" t="b">
        <v>0</v>
      </c>
      <c r="G1013" s="83" t="b">
        <v>0</v>
      </c>
    </row>
    <row r="1014" spans="1:7" ht="15">
      <c r="A1014" s="84" t="s">
        <v>4105</v>
      </c>
      <c r="B1014" s="83">
        <v>2</v>
      </c>
      <c r="C1014" s="110">
        <v>0.00183512122085282</v>
      </c>
      <c r="D1014" s="83" t="s">
        <v>3414</v>
      </c>
      <c r="E1014" s="83" t="b">
        <v>0</v>
      </c>
      <c r="F1014" s="83" t="b">
        <v>0</v>
      </c>
      <c r="G1014" s="83" t="b">
        <v>0</v>
      </c>
    </row>
    <row r="1015" spans="1:7" ht="15">
      <c r="A1015" s="84" t="s">
        <v>3762</v>
      </c>
      <c r="B1015" s="83">
        <v>2</v>
      </c>
      <c r="C1015" s="110">
        <v>0.00183512122085282</v>
      </c>
      <c r="D1015" s="83" t="s">
        <v>3414</v>
      </c>
      <c r="E1015" s="83" t="b">
        <v>0</v>
      </c>
      <c r="F1015" s="83" t="b">
        <v>0</v>
      </c>
      <c r="G1015" s="83" t="b">
        <v>0</v>
      </c>
    </row>
    <row r="1016" spans="1:7" ht="15">
      <c r="A1016" s="84" t="s">
        <v>4106</v>
      </c>
      <c r="B1016" s="83">
        <v>2</v>
      </c>
      <c r="C1016" s="110">
        <v>0.00183512122085282</v>
      </c>
      <c r="D1016" s="83" t="s">
        <v>3414</v>
      </c>
      <c r="E1016" s="83" t="b">
        <v>1</v>
      </c>
      <c r="F1016" s="83" t="b">
        <v>0</v>
      </c>
      <c r="G1016" s="83" t="b">
        <v>0</v>
      </c>
    </row>
    <row r="1017" spans="1:7" ht="15">
      <c r="A1017" s="84" t="s">
        <v>3651</v>
      </c>
      <c r="B1017" s="83">
        <v>2</v>
      </c>
      <c r="C1017" s="110">
        <v>0.00183512122085282</v>
      </c>
      <c r="D1017" s="83" t="s">
        <v>3414</v>
      </c>
      <c r="E1017" s="83" t="b">
        <v>0</v>
      </c>
      <c r="F1017" s="83" t="b">
        <v>0</v>
      </c>
      <c r="G1017" s="83" t="b">
        <v>0</v>
      </c>
    </row>
    <row r="1018" spans="1:7" ht="15">
      <c r="A1018" s="84" t="s">
        <v>4109</v>
      </c>
      <c r="B1018" s="83">
        <v>2</v>
      </c>
      <c r="C1018" s="110">
        <v>0.00183512122085282</v>
      </c>
      <c r="D1018" s="83" t="s">
        <v>3414</v>
      </c>
      <c r="E1018" s="83" t="b">
        <v>0</v>
      </c>
      <c r="F1018" s="83" t="b">
        <v>0</v>
      </c>
      <c r="G1018" s="83" t="b">
        <v>0</v>
      </c>
    </row>
    <row r="1019" spans="1:7" ht="15">
      <c r="A1019" s="84" t="s">
        <v>3727</v>
      </c>
      <c r="B1019" s="83">
        <v>2</v>
      </c>
      <c r="C1019" s="110">
        <v>0.00183512122085282</v>
      </c>
      <c r="D1019" s="83" t="s">
        <v>3414</v>
      </c>
      <c r="E1019" s="83" t="b">
        <v>0</v>
      </c>
      <c r="F1019" s="83" t="b">
        <v>0</v>
      </c>
      <c r="G1019" s="83" t="b">
        <v>0</v>
      </c>
    </row>
    <row r="1020" spans="1:7" ht="15">
      <c r="A1020" s="84" t="s">
        <v>3828</v>
      </c>
      <c r="B1020" s="83">
        <v>2</v>
      </c>
      <c r="C1020" s="110">
        <v>0.00183512122085282</v>
      </c>
      <c r="D1020" s="83" t="s">
        <v>3414</v>
      </c>
      <c r="E1020" s="83" t="b">
        <v>0</v>
      </c>
      <c r="F1020" s="83" t="b">
        <v>0</v>
      </c>
      <c r="G1020" s="83" t="b">
        <v>0</v>
      </c>
    </row>
    <row r="1021" spans="1:7" ht="15">
      <c r="A1021" s="84" t="s">
        <v>4118</v>
      </c>
      <c r="B1021" s="83">
        <v>2</v>
      </c>
      <c r="C1021" s="110">
        <v>0.0020838035799308715</v>
      </c>
      <c r="D1021" s="83" t="s">
        <v>3414</v>
      </c>
      <c r="E1021" s="83" t="b">
        <v>0</v>
      </c>
      <c r="F1021" s="83" t="b">
        <v>0</v>
      </c>
      <c r="G1021" s="83" t="b">
        <v>0</v>
      </c>
    </row>
    <row r="1022" spans="1:7" ht="15">
      <c r="A1022" s="84" t="s">
        <v>4119</v>
      </c>
      <c r="B1022" s="83">
        <v>2</v>
      </c>
      <c r="C1022" s="110">
        <v>0.0020838035799308715</v>
      </c>
      <c r="D1022" s="83" t="s">
        <v>3414</v>
      </c>
      <c r="E1022" s="83" t="b">
        <v>0</v>
      </c>
      <c r="F1022" s="83" t="b">
        <v>0</v>
      </c>
      <c r="G1022" s="83" t="b">
        <v>0</v>
      </c>
    </row>
    <row r="1023" spans="1:7" ht="15">
      <c r="A1023" s="84" t="s">
        <v>4120</v>
      </c>
      <c r="B1023" s="83">
        <v>2</v>
      </c>
      <c r="C1023" s="110">
        <v>0.0020838035799308715</v>
      </c>
      <c r="D1023" s="83" t="s">
        <v>3414</v>
      </c>
      <c r="E1023" s="83" t="b">
        <v>0</v>
      </c>
      <c r="F1023" s="83" t="b">
        <v>0</v>
      </c>
      <c r="G1023" s="83" t="b">
        <v>0</v>
      </c>
    </row>
    <row r="1024" spans="1:7" ht="15">
      <c r="A1024" s="84" t="s">
        <v>3622</v>
      </c>
      <c r="B1024" s="83">
        <v>2</v>
      </c>
      <c r="C1024" s="110">
        <v>0.00183512122085282</v>
      </c>
      <c r="D1024" s="83" t="s">
        <v>3414</v>
      </c>
      <c r="E1024" s="83" t="b">
        <v>0</v>
      </c>
      <c r="F1024" s="83" t="b">
        <v>0</v>
      </c>
      <c r="G1024" s="83" t="b">
        <v>0</v>
      </c>
    </row>
    <row r="1025" spans="1:7" ht="15">
      <c r="A1025" s="84" t="s">
        <v>4122</v>
      </c>
      <c r="B1025" s="83">
        <v>2</v>
      </c>
      <c r="C1025" s="110">
        <v>0.00183512122085282</v>
      </c>
      <c r="D1025" s="83" t="s">
        <v>3414</v>
      </c>
      <c r="E1025" s="83" t="b">
        <v>0</v>
      </c>
      <c r="F1025" s="83" t="b">
        <v>0</v>
      </c>
      <c r="G1025" s="83" t="b">
        <v>0</v>
      </c>
    </row>
    <row r="1026" spans="1:7" ht="15">
      <c r="A1026" s="84" t="s">
        <v>3577</v>
      </c>
      <c r="B1026" s="83">
        <v>2</v>
      </c>
      <c r="C1026" s="110">
        <v>0.00183512122085282</v>
      </c>
      <c r="D1026" s="83" t="s">
        <v>3414</v>
      </c>
      <c r="E1026" s="83" t="b">
        <v>0</v>
      </c>
      <c r="F1026" s="83" t="b">
        <v>0</v>
      </c>
      <c r="G1026" s="83" t="b">
        <v>0</v>
      </c>
    </row>
    <row r="1027" spans="1:7" ht="15">
      <c r="A1027" s="84" t="s">
        <v>4124</v>
      </c>
      <c r="B1027" s="83">
        <v>2</v>
      </c>
      <c r="C1027" s="110">
        <v>0.0020838035799308715</v>
      </c>
      <c r="D1027" s="83" t="s">
        <v>3414</v>
      </c>
      <c r="E1027" s="83" t="b">
        <v>0</v>
      </c>
      <c r="F1027" s="83" t="b">
        <v>0</v>
      </c>
      <c r="G1027" s="83" t="b">
        <v>0</v>
      </c>
    </row>
    <row r="1028" spans="1:7" ht="15">
      <c r="A1028" s="84" t="s">
        <v>4125</v>
      </c>
      <c r="B1028" s="83">
        <v>2</v>
      </c>
      <c r="C1028" s="110">
        <v>0.00183512122085282</v>
      </c>
      <c r="D1028" s="83" t="s">
        <v>3414</v>
      </c>
      <c r="E1028" s="83" t="b">
        <v>0</v>
      </c>
      <c r="F1028" s="83" t="b">
        <v>0</v>
      </c>
      <c r="G1028" s="83" t="b">
        <v>0</v>
      </c>
    </row>
    <row r="1029" spans="1:7" ht="15">
      <c r="A1029" s="84" t="s">
        <v>3576</v>
      </c>
      <c r="B1029" s="83">
        <v>2</v>
      </c>
      <c r="C1029" s="110">
        <v>0.00183512122085282</v>
      </c>
      <c r="D1029" s="83" t="s">
        <v>3414</v>
      </c>
      <c r="E1029" s="83" t="b">
        <v>0</v>
      </c>
      <c r="F1029" s="83" t="b">
        <v>0</v>
      </c>
      <c r="G1029" s="83" t="b">
        <v>0</v>
      </c>
    </row>
    <row r="1030" spans="1:7" ht="15">
      <c r="A1030" s="84" t="s">
        <v>4126</v>
      </c>
      <c r="B1030" s="83">
        <v>2</v>
      </c>
      <c r="C1030" s="110">
        <v>0.00183512122085282</v>
      </c>
      <c r="D1030" s="83" t="s">
        <v>3414</v>
      </c>
      <c r="E1030" s="83" t="b">
        <v>0</v>
      </c>
      <c r="F1030" s="83" t="b">
        <v>0</v>
      </c>
      <c r="G1030" s="83" t="b">
        <v>0</v>
      </c>
    </row>
    <row r="1031" spans="1:7" ht="15">
      <c r="A1031" s="84" t="s">
        <v>3699</v>
      </c>
      <c r="B1031" s="83">
        <v>2</v>
      </c>
      <c r="C1031" s="110">
        <v>0.00183512122085282</v>
      </c>
      <c r="D1031" s="83" t="s">
        <v>3414</v>
      </c>
      <c r="E1031" s="83" t="b">
        <v>1</v>
      </c>
      <c r="F1031" s="83" t="b">
        <v>0</v>
      </c>
      <c r="G1031" s="83" t="b">
        <v>0</v>
      </c>
    </row>
    <row r="1032" spans="1:7" ht="15">
      <c r="A1032" s="84" t="s">
        <v>3803</v>
      </c>
      <c r="B1032" s="83">
        <v>2</v>
      </c>
      <c r="C1032" s="110">
        <v>0.00183512122085282</v>
      </c>
      <c r="D1032" s="83" t="s">
        <v>3414</v>
      </c>
      <c r="E1032" s="83" t="b">
        <v>1</v>
      </c>
      <c r="F1032" s="83" t="b">
        <v>0</v>
      </c>
      <c r="G1032" s="83" t="b">
        <v>0</v>
      </c>
    </row>
    <row r="1033" spans="1:7" ht="15">
      <c r="A1033" s="84" t="s">
        <v>3578</v>
      </c>
      <c r="B1033" s="83">
        <v>2</v>
      </c>
      <c r="C1033" s="110">
        <v>0.00183512122085282</v>
      </c>
      <c r="D1033" s="83" t="s">
        <v>3414</v>
      </c>
      <c r="E1033" s="83" t="b">
        <v>1</v>
      </c>
      <c r="F1033" s="83" t="b">
        <v>0</v>
      </c>
      <c r="G1033" s="83" t="b">
        <v>0</v>
      </c>
    </row>
    <row r="1034" spans="1:7" ht="15">
      <c r="A1034" s="84" t="s">
        <v>3497</v>
      </c>
      <c r="B1034" s="83">
        <v>2</v>
      </c>
      <c r="C1034" s="110">
        <v>0.00183512122085282</v>
      </c>
      <c r="D1034" s="83" t="s">
        <v>3414</v>
      </c>
      <c r="E1034" s="83" t="b">
        <v>0</v>
      </c>
      <c r="F1034" s="83" t="b">
        <v>0</v>
      </c>
      <c r="G1034" s="83" t="b">
        <v>0</v>
      </c>
    </row>
    <row r="1035" spans="1:7" ht="15">
      <c r="A1035" s="84" t="s">
        <v>4128</v>
      </c>
      <c r="B1035" s="83">
        <v>2</v>
      </c>
      <c r="C1035" s="110">
        <v>0.0020838035799308715</v>
      </c>
      <c r="D1035" s="83" t="s">
        <v>3414</v>
      </c>
      <c r="E1035" s="83" t="b">
        <v>0</v>
      </c>
      <c r="F1035" s="83" t="b">
        <v>0</v>
      </c>
      <c r="G1035" s="83" t="b">
        <v>0</v>
      </c>
    </row>
    <row r="1036" spans="1:7" ht="15">
      <c r="A1036" s="84" t="s">
        <v>4129</v>
      </c>
      <c r="B1036" s="83">
        <v>2</v>
      </c>
      <c r="C1036" s="110">
        <v>0.00183512122085282</v>
      </c>
      <c r="D1036" s="83" t="s">
        <v>3414</v>
      </c>
      <c r="E1036" s="83" t="b">
        <v>0</v>
      </c>
      <c r="F1036" s="83" t="b">
        <v>0</v>
      </c>
      <c r="G1036" s="83" t="b">
        <v>0</v>
      </c>
    </row>
    <row r="1037" spans="1:7" ht="15">
      <c r="A1037" s="84" t="s">
        <v>4130</v>
      </c>
      <c r="B1037" s="83">
        <v>2</v>
      </c>
      <c r="C1037" s="110">
        <v>0.00183512122085282</v>
      </c>
      <c r="D1037" s="83" t="s">
        <v>3414</v>
      </c>
      <c r="E1037" s="83" t="b">
        <v>0</v>
      </c>
      <c r="F1037" s="83" t="b">
        <v>0</v>
      </c>
      <c r="G1037" s="83" t="b">
        <v>0</v>
      </c>
    </row>
    <row r="1038" spans="1:7" ht="15">
      <c r="A1038" s="84" t="s">
        <v>3799</v>
      </c>
      <c r="B1038" s="83">
        <v>2</v>
      </c>
      <c r="C1038" s="110">
        <v>0.00183512122085282</v>
      </c>
      <c r="D1038" s="83" t="s">
        <v>3414</v>
      </c>
      <c r="E1038" s="83" t="b">
        <v>0</v>
      </c>
      <c r="F1038" s="83" t="b">
        <v>0</v>
      </c>
      <c r="G1038" s="83" t="b">
        <v>0</v>
      </c>
    </row>
    <row r="1039" spans="1:7" ht="15">
      <c r="A1039" s="84" t="s">
        <v>4132</v>
      </c>
      <c r="B1039" s="83">
        <v>2</v>
      </c>
      <c r="C1039" s="110">
        <v>0.00183512122085282</v>
      </c>
      <c r="D1039" s="83" t="s">
        <v>3414</v>
      </c>
      <c r="E1039" s="83" t="b">
        <v>0</v>
      </c>
      <c r="F1039" s="83" t="b">
        <v>1</v>
      </c>
      <c r="G1039" s="83" t="b">
        <v>0</v>
      </c>
    </row>
    <row r="1040" spans="1:7" ht="15">
      <c r="A1040" s="84" t="s">
        <v>1152</v>
      </c>
      <c r="B1040" s="83">
        <v>17</v>
      </c>
      <c r="C1040" s="110">
        <v>0.04609376036183804</v>
      </c>
      <c r="D1040" s="83" t="s">
        <v>3415</v>
      </c>
      <c r="E1040" s="83" t="b">
        <v>1</v>
      </c>
      <c r="F1040" s="83" t="b">
        <v>0</v>
      </c>
      <c r="G1040" s="83" t="b">
        <v>0</v>
      </c>
    </row>
    <row r="1041" spans="1:7" ht="15">
      <c r="A1041" s="84" t="s">
        <v>3466</v>
      </c>
      <c r="B1041" s="83">
        <v>13</v>
      </c>
      <c r="C1041" s="110">
        <v>0.042746052846527174</v>
      </c>
      <c r="D1041" s="83" t="s">
        <v>3415</v>
      </c>
      <c r="E1041" s="83" t="b">
        <v>0</v>
      </c>
      <c r="F1041" s="83" t="b">
        <v>0</v>
      </c>
      <c r="G1041" s="83" t="b">
        <v>0</v>
      </c>
    </row>
    <row r="1042" spans="1:7" ht="15">
      <c r="A1042" s="84" t="s">
        <v>3503</v>
      </c>
      <c r="B1042" s="83">
        <v>11</v>
      </c>
      <c r="C1042" s="110">
        <v>0.06404457351293315</v>
      </c>
      <c r="D1042" s="83" t="s">
        <v>3415</v>
      </c>
      <c r="E1042" s="83" t="b">
        <v>0</v>
      </c>
      <c r="F1042" s="83" t="b">
        <v>0</v>
      </c>
      <c r="G1042" s="83" t="b">
        <v>0</v>
      </c>
    </row>
    <row r="1043" spans="1:7" ht="15">
      <c r="A1043" s="84" t="s">
        <v>3469</v>
      </c>
      <c r="B1043" s="83">
        <v>10</v>
      </c>
      <c r="C1043" s="110">
        <v>0.03852233912790315</v>
      </c>
      <c r="D1043" s="83" t="s">
        <v>3415</v>
      </c>
      <c r="E1043" s="83" t="b">
        <v>1</v>
      </c>
      <c r="F1043" s="83" t="b">
        <v>0</v>
      </c>
      <c r="G1043" s="83" t="b">
        <v>0</v>
      </c>
    </row>
    <row r="1044" spans="1:7" ht="15">
      <c r="A1044" s="84" t="s">
        <v>3461</v>
      </c>
      <c r="B1044" s="83">
        <v>9</v>
      </c>
      <c r="C1044" s="110">
        <v>0.036708805289598356</v>
      </c>
      <c r="D1044" s="83" t="s">
        <v>3415</v>
      </c>
      <c r="E1044" s="83" t="b">
        <v>1</v>
      </c>
      <c r="F1044" s="83" t="b">
        <v>0</v>
      </c>
      <c r="G1044" s="83" t="b">
        <v>0</v>
      </c>
    </row>
    <row r="1045" spans="1:7" ht="15">
      <c r="A1045" s="84" t="s">
        <v>3472</v>
      </c>
      <c r="B1045" s="83">
        <v>8</v>
      </c>
      <c r="C1045" s="110">
        <v>0.03465589161947327</v>
      </c>
      <c r="D1045" s="83" t="s">
        <v>3415</v>
      </c>
      <c r="E1045" s="83" t="b">
        <v>0</v>
      </c>
      <c r="F1045" s="83" t="b">
        <v>0</v>
      </c>
      <c r="G1045" s="83" t="b">
        <v>0</v>
      </c>
    </row>
    <row r="1046" spans="1:7" ht="15">
      <c r="A1046" s="84" t="s">
        <v>3597</v>
      </c>
      <c r="B1046" s="83">
        <v>6</v>
      </c>
      <c r="C1046" s="110">
        <v>0.0297029702970297</v>
      </c>
      <c r="D1046" s="83" t="s">
        <v>3415</v>
      </c>
      <c r="E1046" s="83" t="b">
        <v>0</v>
      </c>
      <c r="F1046" s="83" t="b">
        <v>0</v>
      </c>
      <c r="G1046" s="83" t="b">
        <v>0</v>
      </c>
    </row>
    <row r="1047" spans="1:7" ht="15">
      <c r="A1047" s="84" t="s">
        <v>3639</v>
      </c>
      <c r="B1047" s="83">
        <v>5</v>
      </c>
      <c r="C1047" s="110">
        <v>0.026712407080386757</v>
      </c>
      <c r="D1047" s="83" t="s">
        <v>3415</v>
      </c>
      <c r="E1047" s="83" t="b">
        <v>0</v>
      </c>
      <c r="F1047" s="83" t="b">
        <v>0</v>
      </c>
      <c r="G1047" s="83" t="b">
        <v>0</v>
      </c>
    </row>
    <row r="1048" spans="1:7" ht="15">
      <c r="A1048" s="84" t="s">
        <v>3640</v>
      </c>
      <c r="B1048" s="83">
        <v>5</v>
      </c>
      <c r="C1048" s="110">
        <v>0.026712407080386757</v>
      </c>
      <c r="D1048" s="83" t="s">
        <v>3415</v>
      </c>
      <c r="E1048" s="83" t="b">
        <v>0</v>
      </c>
      <c r="F1048" s="83" t="b">
        <v>0</v>
      </c>
      <c r="G1048" s="83" t="b">
        <v>0</v>
      </c>
    </row>
    <row r="1049" spans="1:7" ht="15">
      <c r="A1049" s="84" t="s">
        <v>3583</v>
      </c>
      <c r="B1049" s="83">
        <v>5</v>
      </c>
      <c r="C1049" s="110">
        <v>0.026712407080386757</v>
      </c>
      <c r="D1049" s="83" t="s">
        <v>3415</v>
      </c>
      <c r="E1049" s="83" t="b">
        <v>0</v>
      </c>
      <c r="F1049" s="83" t="b">
        <v>0</v>
      </c>
      <c r="G1049" s="83" t="b">
        <v>0</v>
      </c>
    </row>
    <row r="1050" spans="1:7" ht="15">
      <c r="A1050" s="84" t="s">
        <v>3459</v>
      </c>
      <c r="B1050" s="83">
        <v>4</v>
      </c>
      <c r="C1050" s="110">
        <v>0.023288935822884778</v>
      </c>
      <c r="D1050" s="83" t="s">
        <v>3415</v>
      </c>
      <c r="E1050" s="83" t="b">
        <v>0</v>
      </c>
      <c r="F1050" s="83" t="b">
        <v>0</v>
      </c>
      <c r="G1050" s="83" t="b">
        <v>0</v>
      </c>
    </row>
    <row r="1051" spans="1:7" ht="15">
      <c r="A1051" s="84" t="s">
        <v>3616</v>
      </c>
      <c r="B1051" s="83">
        <v>4</v>
      </c>
      <c r="C1051" s="110">
        <v>0.023288935822884778</v>
      </c>
      <c r="D1051" s="83" t="s">
        <v>3415</v>
      </c>
      <c r="E1051" s="83" t="b">
        <v>0</v>
      </c>
      <c r="F1051" s="83" t="b">
        <v>0</v>
      </c>
      <c r="G1051" s="83" t="b">
        <v>0</v>
      </c>
    </row>
    <row r="1052" spans="1:7" ht="15">
      <c r="A1052" s="84" t="s">
        <v>3582</v>
      </c>
      <c r="B1052" s="83">
        <v>4</v>
      </c>
      <c r="C1052" s="110">
        <v>0.02924992583603292</v>
      </c>
      <c r="D1052" s="83" t="s">
        <v>3415</v>
      </c>
      <c r="E1052" s="83" t="b">
        <v>0</v>
      </c>
      <c r="F1052" s="83" t="b">
        <v>0</v>
      </c>
      <c r="G1052" s="83" t="b">
        <v>0</v>
      </c>
    </row>
    <row r="1053" spans="1:7" ht="15">
      <c r="A1053" s="84" t="s">
        <v>3830</v>
      </c>
      <c r="B1053" s="83">
        <v>3</v>
      </c>
      <c r="C1053" s="110">
        <v>0.01932222765837596</v>
      </c>
      <c r="D1053" s="83" t="s">
        <v>3415</v>
      </c>
      <c r="E1053" s="83" t="b">
        <v>0</v>
      </c>
      <c r="F1053" s="83" t="b">
        <v>0</v>
      </c>
      <c r="G1053" s="83" t="b">
        <v>0</v>
      </c>
    </row>
    <row r="1054" spans="1:7" ht="15">
      <c r="A1054" s="84" t="s">
        <v>3831</v>
      </c>
      <c r="B1054" s="83">
        <v>3</v>
      </c>
      <c r="C1054" s="110">
        <v>0.021937444377024686</v>
      </c>
      <c r="D1054" s="83" t="s">
        <v>3415</v>
      </c>
      <c r="E1054" s="83" t="b">
        <v>0</v>
      </c>
      <c r="F1054" s="83" t="b">
        <v>0</v>
      </c>
      <c r="G1054" s="83" t="b">
        <v>0</v>
      </c>
    </row>
    <row r="1055" spans="1:7" ht="15">
      <c r="A1055" s="84" t="s">
        <v>3832</v>
      </c>
      <c r="B1055" s="83">
        <v>3</v>
      </c>
      <c r="C1055" s="110">
        <v>0.01932222765837596</v>
      </c>
      <c r="D1055" s="83" t="s">
        <v>3415</v>
      </c>
      <c r="E1055" s="83" t="b">
        <v>0</v>
      </c>
      <c r="F1055" s="83" t="b">
        <v>0</v>
      </c>
      <c r="G1055" s="83" t="b">
        <v>0</v>
      </c>
    </row>
    <row r="1056" spans="1:7" ht="15">
      <c r="A1056" s="84" t="s">
        <v>3833</v>
      </c>
      <c r="B1056" s="83">
        <v>3</v>
      </c>
      <c r="C1056" s="110">
        <v>0.01932222765837596</v>
      </c>
      <c r="D1056" s="83" t="s">
        <v>3415</v>
      </c>
      <c r="E1056" s="83" t="b">
        <v>0</v>
      </c>
      <c r="F1056" s="83" t="b">
        <v>0</v>
      </c>
      <c r="G1056" s="83" t="b">
        <v>0</v>
      </c>
    </row>
    <row r="1057" spans="1:7" ht="15">
      <c r="A1057" s="84" t="s">
        <v>3834</v>
      </c>
      <c r="B1057" s="83">
        <v>3</v>
      </c>
      <c r="C1057" s="110">
        <v>0.01932222765837596</v>
      </c>
      <c r="D1057" s="83" t="s">
        <v>3415</v>
      </c>
      <c r="E1057" s="83" t="b">
        <v>0</v>
      </c>
      <c r="F1057" s="83" t="b">
        <v>0</v>
      </c>
      <c r="G1057" s="83" t="b">
        <v>0</v>
      </c>
    </row>
    <row r="1058" spans="1:7" ht="15">
      <c r="A1058" s="84" t="s">
        <v>3835</v>
      </c>
      <c r="B1058" s="83">
        <v>3</v>
      </c>
      <c r="C1058" s="110">
        <v>0.01932222765837596</v>
      </c>
      <c r="D1058" s="83" t="s">
        <v>3415</v>
      </c>
      <c r="E1058" s="83" t="b">
        <v>0</v>
      </c>
      <c r="F1058" s="83" t="b">
        <v>0</v>
      </c>
      <c r="G1058" s="83" t="b">
        <v>0</v>
      </c>
    </row>
    <row r="1059" spans="1:7" ht="15">
      <c r="A1059" s="84" t="s">
        <v>3836</v>
      </c>
      <c r="B1059" s="83">
        <v>3</v>
      </c>
      <c r="C1059" s="110">
        <v>0.021937444377024686</v>
      </c>
      <c r="D1059" s="83" t="s">
        <v>3415</v>
      </c>
      <c r="E1059" s="83" t="b">
        <v>0</v>
      </c>
      <c r="F1059" s="83" t="b">
        <v>0</v>
      </c>
      <c r="G1059" s="83" t="b">
        <v>0</v>
      </c>
    </row>
    <row r="1060" spans="1:7" ht="15">
      <c r="A1060" s="84" t="s">
        <v>3837</v>
      </c>
      <c r="B1060" s="83">
        <v>3</v>
      </c>
      <c r="C1060" s="110">
        <v>0.01932222765837596</v>
      </c>
      <c r="D1060" s="83" t="s">
        <v>3415</v>
      </c>
      <c r="E1060" s="83" t="b">
        <v>0</v>
      </c>
      <c r="F1060" s="83" t="b">
        <v>0</v>
      </c>
      <c r="G1060" s="83" t="b">
        <v>0</v>
      </c>
    </row>
    <row r="1061" spans="1:7" ht="15">
      <c r="A1061" s="84" t="s">
        <v>3668</v>
      </c>
      <c r="B1061" s="83">
        <v>3</v>
      </c>
      <c r="C1061" s="110">
        <v>0.021937444377024686</v>
      </c>
      <c r="D1061" s="83" t="s">
        <v>3415</v>
      </c>
      <c r="E1061" s="83" t="b">
        <v>0</v>
      </c>
      <c r="F1061" s="83" t="b">
        <v>0</v>
      </c>
      <c r="G1061" s="83" t="b">
        <v>0</v>
      </c>
    </row>
    <row r="1062" spans="1:7" ht="15">
      <c r="A1062" s="84" t="s">
        <v>3486</v>
      </c>
      <c r="B1062" s="83">
        <v>2</v>
      </c>
      <c r="C1062" s="110">
        <v>0.01462496291801646</v>
      </c>
      <c r="D1062" s="83" t="s">
        <v>3415</v>
      </c>
      <c r="E1062" s="83" t="b">
        <v>1</v>
      </c>
      <c r="F1062" s="83" t="b">
        <v>0</v>
      </c>
      <c r="G1062" s="83" t="b">
        <v>0</v>
      </c>
    </row>
    <row r="1063" spans="1:7" ht="15">
      <c r="A1063" s="84" t="s">
        <v>3462</v>
      </c>
      <c r="B1063" s="83">
        <v>2</v>
      </c>
      <c r="C1063" s="110">
        <v>0.01462496291801646</v>
      </c>
      <c r="D1063" s="83" t="s">
        <v>3415</v>
      </c>
      <c r="E1063" s="83" t="b">
        <v>0</v>
      </c>
      <c r="F1063" s="83" t="b">
        <v>0</v>
      </c>
      <c r="G1063" s="83" t="b">
        <v>0</v>
      </c>
    </row>
    <row r="1064" spans="1:7" ht="15">
      <c r="A1064" s="84" t="s">
        <v>4112</v>
      </c>
      <c r="B1064" s="83">
        <v>2</v>
      </c>
      <c r="C1064" s="110">
        <v>0.01462496291801646</v>
      </c>
      <c r="D1064" s="83" t="s">
        <v>3415</v>
      </c>
      <c r="E1064" s="83" t="b">
        <v>0</v>
      </c>
      <c r="F1064" s="83" t="b">
        <v>0</v>
      </c>
      <c r="G1064" s="83" t="b">
        <v>0</v>
      </c>
    </row>
    <row r="1065" spans="1:7" ht="15">
      <c r="A1065" s="84" t="s">
        <v>4113</v>
      </c>
      <c r="B1065" s="83">
        <v>2</v>
      </c>
      <c r="C1065" s="110">
        <v>0.01462496291801646</v>
      </c>
      <c r="D1065" s="83" t="s">
        <v>3415</v>
      </c>
      <c r="E1065" s="83" t="b">
        <v>0</v>
      </c>
      <c r="F1065" s="83" t="b">
        <v>0</v>
      </c>
      <c r="G1065" s="83" t="b">
        <v>0</v>
      </c>
    </row>
    <row r="1066" spans="1:7" ht="15">
      <c r="A1066" s="84" t="s">
        <v>3739</v>
      </c>
      <c r="B1066" s="83">
        <v>2</v>
      </c>
      <c r="C1066" s="110">
        <v>0.01462496291801646</v>
      </c>
      <c r="D1066" s="83" t="s">
        <v>3415</v>
      </c>
      <c r="E1066" s="83" t="b">
        <v>0</v>
      </c>
      <c r="F1066" s="83" t="b">
        <v>0</v>
      </c>
      <c r="G1066" s="83" t="b">
        <v>0</v>
      </c>
    </row>
    <row r="1067" spans="1:7" ht="15">
      <c r="A1067" s="84" t="s">
        <v>3740</v>
      </c>
      <c r="B1067" s="83">
        <v>2</v>
      </c>
      <c r="C1067" s="110">
        <v>0.01462496291801646</v>
      </c>
      <c r="D1067" s="83" t="s">
        <v>3415</v>
      </c>
      <c r="E1067" s="83" t="b">
        <v>0</v>
      </c>
      <c r="F1067" s="83" t="b">
        <v>0</v>
      </c>
      <c r="G1067" s="83" t="b">
        <v>0</v>
      </c>
    </row>
    <row r="1068" spans="1:7" ht="15">
      <c r="A1068" s="84" t="s">
        <v>3741</v>
      </c>
      <c r="B1068" s="83">
        <v>2</v>
      </c>
      <c r="C1068" s="110">
        <v>0.01462496291801646</v>
      </c>
      <c r="D1068" s="83" t="s">
        <v>3415</v>
      </c>
      <c r="E1068" s="83" t="b">
        <v>0</v>
      </c>
      <c r="F1068" s="83" t="b">
        <v>0</v>
      </c>
      <c r="G1068" s="83" t="b">
        <v>0</v>
      </c>
    </row>
    <row r="1069" spans="1:7" ht="15">
      <c r="A1069" s="84" t="s">
        <v>3737</v>
      </c>
      <c r="B1069" s="83">
        <v>2</v>
      </c>
      <c r="C1069" s="110">
        <v>0.01462496291801646</v>
      </c>
      <c r="D1069" s="83" t="s">
        <v>3415</v>
      </c>
      <c r="E1069" s="83" t="b">
        <v>0</v>
      </c>
      <c r="F1069" s="83" t="b">
        <v>0</v>
      </c>
      <c r="G1069" s="83" t="b">
        <v>0</v>
      </c>
    </row>
    <row r="1070" spans="1:7" ht="15">
      <c r="A1070" s="84" t="s">
        <v>3738</v>
      </c>
      <c r="B1070" s="83">
        <v>2</v>
      </c>
      <c r="C1070" s="110">
        <v>0.01462496291801646</v>
      </c>
      <c r="D1070" s="83" t="s">
        <v>3415</v>
      </c>
      <c r="E1070" s="83" t="b">
        <v>0</v>
      </c>
      <c r="F1070" s="83" t="b">
        <v>0</v>
      </c>
      <c r="G1070" s="83" t="b">
        <v>0</v>
      </c>
    </row>
    <row r="1071" spans="1:7" ht="15">
      <c r="A1071" s="84" t="s">
        <v>4114</v>
      </c>
      <c r="B1071" s="83">
        <v>2</v>
      </c>
      <c r="C1071" s="110">
        <v>0.01462496291801646</v>
      </c>
      <c r="D1071" s="83" t="s">
        <v>3415</v>
      </c>
      <c r="E1071" s="83" t="b">
        <v>0</v>
      </c>
      <c r="F1071" s="83" t="b">
        <v>0</v>
      </c>
      <c r="G1071" s="83" t="b">
        <v>0</v>
      </c>
    </row>
    <row r="1072" spans="1:7" ht="15">
      <c r="A1072" s="84" t="s">
        <v>4115</v>
      </c>
      <c r="B1072" s="83">
        <v>2</v>
      </c>
      <c r="C1072" s="110">
        <v>0.01462496291801646</v>
      </c>
      <c r="D1072" s="83" t="s">
        <v>3415</v>
      </c>
      <c r="E1072" s="83" t="b">
        <v>0</v>
      </c>
      <c r="F1072" s="83" t="b">
        <v>0</v>
      </c>
      <c r="G1072" s="83" t="b">
        <v>0</v>
      </c>
    </row>
    <row r="1073" spans="1:7" ht="15">
      <c r="A1073" s="84" t="s">
        <v>3742</v>
      </c>
      <c r="B1073" s="83">
        <v>2</v>
      </c>
      <c r="C1073" s="110">
        <v>0.01462496291801646</v>
      </c>
      <c r="D1073" s="83" t="s">
        <v>3415</v>
      </c>
      <c r="E1073" s="83" t="b">
        <v>0</v>
      </c>
      <c r="F1073" s="83" t="b">
        <v>0</v>
      </c>
      <c r="G1073" s="83" t="b">
        <v>0</v>
      </c>
    </row>
    <row r="1074" spans="1:7" ht="15">
      <c r="A1074" s="84" t="s">
        <v>4116</v>
      </c>
      <c r="B1074" s="83">
        <v>2</v>
      </c>
      <c r="C1074" s="110">
        <v>0.01760545792459053</v>
      </c>
      <c r="D1074" s="83" t="s">
        <v>3415</v>
      </c>
      <c r="E1074" s="83" t="b">
        <v>0</v>
      </c>
      <c r="F1074" s="83" t="b">
        <v>0</v>
      </c>
      <c r="G1074" s="83" t="b">
        <v>0</v>
      </c>
    </row>
    <row r="1075" spans="1:7" ht="15">
      <c r="A1075" s="84" t="s">
        <v>3458</v>
      </c>
      <c r="B1075" s="83">
        <v>33</v>
      </c>
      <c r="C1075" s="110">
        <v>0.03754188655484761</v>
      </c>
      <c r="D1075" s="83" t="s">
        <v>3416</v>
      </c>
      <c r="E1075" s="83" t="b">
        <v>0</v>
      </c>
      <c r="F1075" s="83" t="b">
        <v>0</v>
      </c>
      <c r="G1075" s="83" t="b">
        <v>0</v>
      </c>
    </row>
    <row r="1076" spans="1:7" ht="15">
      <c r="A1076" s="84" t="s">
        <v>3456</v>
      </c>
      <c r="B1076" s="83">
        <v>15</v>
      </c>
      <c r="C1076" s="110">
        <v>0.024788787538683646</v>
      </c>
      <c r="D1076" s="83" t="s">
        <v>3416</v>
      </c>
      <c r="E1076" s="83" t="b">
        <v>1</v>
      </c>
      <c r="F1076" s="83" t="b">
        <v>0</v>
      </c>
      <c r="G1076" s="83" t="b">
        <v>0</v>
      </c>
    </row>
    <row r="1077" spans="1:7" ht="15">
      <c r="A1077" s="84" t="s">
        <v>3457</v>
      </c>
      <c r="B1077" s="83">
        <v>10</v>
      </c>
      <c r="C1077" s="110">
        <v>0.021495961604240926</v>
      </c>
      <c r="D1077" s="83" t="s">
        <v>3416</v>
      </c>
      <c r="E1077" s="83" t="b">
        <v>1</v>
      </c>
      <c r="F1077" s="83" t="b">
        <v>0</v>
      </c>
      <c r="G1077" s="83" t="b">
        <v>0</v>
      </c>
    </row>
    <row r="1078" spans="1:7" ht="15">
      <c r="A1078" s="84" t="s">
        <v>3468</v>
      </c>
      <c r="B1078" s="83">
        <v>8</v>
      </c>
      <c r="C1078" s="110">
        <v>0.01719676928339274</v>
      </c>
      <c r="D1078" s="83" t="s">
        <v>3416</v>
      </c>
      <c r="E1078" s="83" t="b">
        <v>0</v>
      </c>
      <c r="F1078" s="83" t="b">
        <v>0</v>
      </c>
      <c r="G1078" s="83" t="b">
        <v>0</v>
      </c>
    </row>
    <row r="1079" spans="1:7" ht="15">
      <c r="A1079" s="84" t="s">
        <v>3480</v>
      </c>
      <c r="B1079" s="83">
        <v>7</v>
      </c>
      <c r="C1079" s="110">
        <v>0.016835662195071103</v>
      </c>
      <c r="D1079" s="83" t="s">
        <v>3416</v>
      </c>
      <c r="E1079" s="83" t="b">
        <v>0</v>
      </c>
      <c r="F1079" s="83" t="b">
        <v>0</v>
      </c>
      <c r="G1079" s="83" t="b">
        <v>0</v>
      </c>
    </row>
    <row r="1080" spans="1:7" ht="15">
      <c r="A1080" s="84" t="s">
        <v>3474</v>
      </c>
      <c r="B1080" s="83">
        <v>7</v>
      </c>
      <c r="C1080" s="110">
        <v>0.017969136064873503</v>
      </c>
      <c r="D1080" s="83" t="s">
        <v>3416</v>
      </c>
      <c r="E1080" s="83" t="b">
        <v>0</v>
      </c>
      <c r="F1080" s="83" t="b">
        <v>0</v>
      </c>
      <c r="G1080" s="83" t="b">
        <v>0</v>
      </c>
    </row>
    <row r="1081" spans="1:7" ht="15">
      <c r="A1081" s="84" t="s">
        <v>3470</v>
      </c>
      <c r="B1081" s="83">
        <v>6</v>
      </c>
      <c r="C1081" s="110">
        <v>0.014430567595775231</v>
      </c>
      <c r="D1081" s="83" t="s">
        <v>3416</v>
      </c>
      <c r="E1081" s="83" t="b">
        <v>0</v>
      </c>
      <c r="F1081" s="83" t="b">
        <v>0</v>
      </c>
      <c r="G1081" s="83" t="b">
        <v>0</v>
      </c>
    </row>
    <row r="1082" spans="1:7" ht="15">
      <c r="A1082" s="84" t="s">
        <v>3584</v>
      </c>
      <c r="B1082" s="83">
        <v>6</v>
      </c>
      <c r="C1082" s="110">
        <v>0.014430567595775231</v>
      </c>
      <c r="D1082" s="83" t="s">
        <v>3416</v>
      </c>
      <c r="E1082" s="83" t="b">
        <v>0</v>
      </c>
      <c r="F1082" s="83" t="b">
        <v>0</v>
      </c>
      <c r="G1082" s="83" t="b">
        <v>0</v>
      </c>
    </row>
    <row r="1083" spans="1:7" ht="15">
      <c r="A1083" s="84" t="s">
        <v>3508</v>
      </c>
      <c r="B1083" s="83">
        <v>6</v>
      </c>
      <c r="C1083" s="110">
        <v>0.014430567595775231</v>
      </c>
      <c r="D1083" s="83" t="s">
        <v>3416</v>
      </c>
      <c r="E1083" s="83" t="b">
        <v>0</v>
      </c>
      <c r="F1083" s="83" t="b">
        <v>0</v>
      </c>
      <c r="G1083" s="83" t="b">
        <v>0</v>
      </c>
    </row>
    <row r="1084" spans="1:7" ht="15">
      <c r="A1084" s="84" t="s">
        <v>3506</v>
      </c>
      <c r="B1084" s="83">
        <v>5</v>
      </c>
      <c r="C1084" s="110">
        <v>0.01283509718919536</v>
      </c>
      <c r="D1084" s="83" t="s">
        <v>3416</v>
      </c>
      <c r="E1084" s="83" t="b">
        <v>0</v>
      </c>
      <c r="F1084" s="83" t="b">
        <v>0</v>
      </c>
      <c r="G1084" s="83" t="b">
        <v>0</v>
      </c>
    </row>
    <row r="1085" spans="1:7" ht="15">
      <c r="A1085" s="84" t="s">
        <v>3488</v>
      </c>
      <c r="B1085" s="83">
        <v>5</v>
      </c>
      <c r="C1085" s="110">
        <v>0.01283509718919536</v>
      </c>
      <c r="D1085" s="83" t="s">
        <v>3416</v>
      </c>
      <c r="E1085" s="83" t="b">
        <v>0</v>
      </c>
      <c r="F1085" s="83" t="b">
        <v>0</v>
      </c>
      <c r="G1085" s="83" t="b">
        <v>0</v>
      </c>
    </row>
    <row r="1086" spans="1:7" ht="15">
      <c r="A1086" s="84" t="s">
        <v>3519</v>
      </c>
      <c r="B1086" s="83">
        <v>5</v>
      </c>
      <c r="C1086" s="110">
        <v>0.013825997117703093</v>
      </c>
      <c r="D1086" s="83" t="s">
        <v>3416</v>
      </c>
      <c r="E1086" s="83" t="b">
        <v>0</v>
      </c>
      <c r="F1086" s="83" t="b">
        <v>0</v>
      </c>
      <c r="G1086" s="83" t="b">
        <v>0</v>
      </c>
    </row>
    <row r="1087" spans="1:7" ht="15">
      <c r="A1087" s="84" t="s">
        <v>3460</v>
      </c>
      <c r="B1087" s="83">
        <v>5</v>
      </c>
      <c r="C1087" s="110">
        <v>0.013825997117703093</v>
      </c>
      <c r="D1087" s="83" t="s">
        <v>3416</v>
      </c>
      <c r="E1087" s="83" t="b">
        <v>1</v>
      </c>
      <c r="F1087" s="83" t="b">
        <v>0</v>
      </c>
      <c r="G1087" s="83" t="b">
        <v>0</v>
      </c>
    </row>
    <row r="1088" spans="1:7" ht="15">
      <c r="A1088" s="84" t="s">
        <v>3467</v>
      </c>
      <c r="B1088" s="83">
        <v>4</v>
      </c>
      <c r="C1088" s="110">
        <v>0.011060797694162475</v>
      </c>
      <c r="D1088" s="83" t="s">
        <v>3416</v>
      </c>
      <c r="E1088" s="83" t="b">
        <v>0</v>
      </c>
      <c r="F1088" s="83" t="b">
        <v>0</v>
      </c>
      <c r="G1088" s="83" t="b">
        <v>0</v>
      </c>
    </row>
    <row r="1089" spans="1:7" ht="15">
      <c r="A1089" s="84" t="s">
        <v>3524</v>
      </c>
      <c r="B1089" s="83">
        <v>4</v>
      </c>
      <c r="C1089" s="110">
        <v>0.01208279144964959</v>
      </c>
      <c r="D1089" s="83" t="s">
        <v>3416</v>
      </c>
      <c r="E1089" s="83" t="b">
        <v>0</v>
      </c>
      <c r="F1089" s="83" t="b">
        <v>0</v>
      </c>
      <c r="G1089" s="83" t="b">
        <v>0</v>
      </c>
    </row>
    <row r="1090" spans="1:7" ht="15">
      <c r="A1090" s="84" t="s">
        <v>3490</v>
      </c>
      <c r="B1090" s="83">
        <v>4</v>
      </c>
      <c r="C1090" s="110">
        <v>0.01208279144964959</v>
      </c>
      <c r="D1090" s="83" t="s">
        <v>3416</v>
      </c>
      <c r="E1090" s="83" t="b">
        <v>0</v>
      </c>
      <c r="F1090" s="83" t="b">
        <v>0</v>
      </c>
      <c r="G1090" s="83" t="b">
        <v>0</v>
      </c>
    </row>
    <row r="1091" spans="1:7" ht="15">
      <c r="A1091" s="84" t="s">
        <v>3505</v>
      </c>
      <c r="B1091" s="83">
        <v>4</v>
      </c>
      <c r="C1091" s="110">
        <v>0.011060797694162475</v>
      </c>
      <c r="D1091" s="83" t="s">
        <v>3416</v>
      </c>
      <c r="E1091" s="83" t="b">
        <v>1</v>
      </c>
      <c r="F1091" s="83" t="b">
        <v>0</v>
      </c>
      <c r="G1091" s="83" t="b">
        <v>0</v>
      </c>
    </row>
    <row r="1092" spans="1:7" ht="15">
      <c r="A1092" s="84" t="s">
        <v>3484</v>
      </c>
      <c r="B1092" s="83">
        <v>4</v>
      </c>
      <c r="C1092" s="110">
        <v>0.011060797694162475</v>
      </c>
      <c r="D1092" s="83" t="s">
        <v>3416</v>
      </c>
      <c r="E1092" s="83" t="b">
        <v>1</v>
      </c>
      <c r="F1092" s="83" t="b">
        <v>0</v>
      </c>
      <c r="G1092" s="83" t="b">
        <v>0</v>
      </c>
    </row>
    <row r="1093" spans="1:7" ht="15">
      <c r="A1093" s="84" t="s">
        <v>3462</v>
      </c>
      <c r="B1093" s="83">
        <v>4</v>
      </c>
      <c r="C1093" s="110">
        <v>0.011060797694162475</v>
      </c>
      <c r="D1093" s="83" t="s">
        <v>3416</v>
      </c>
      <c r="E1093" s="83" t="b">
        <v>0</v>
      </c>
      <c r="F1093" s="83" t="b">
        <v>0</v>
      </c>
      <c r="G1093" s="83" t="b">
        <v>0</v>
      </c>
    </row>
    <row r="1094" spans="1:7" ht="15">
      <c r="A1094" s="84" t="s">
        <v>3561</v>
      </c>
      <c r="B1094" s="83">
        <v>4</v>
      </c>
      <c r="C1094" s="110">
        <v>0.01208279144964959</v>
      </c>
      <c r="D1094" s="83" t="s">
        <v>3416</v>
      </c>
      <c r="E1094" s="83" t="b">
        <v>0</v>
      </c>
      <c r="F1094" s="83" t="b">
        <v>0</v>
      </c>
      <c r="G1094" s="83" t="b">
        <v>0</v>
      </c>
    </row>
    <row r="1095" spans="1:7" ht="15">
      <c r="A1095" s="84" t="s">
        <v>3557</v>
      </c>
      <c r="B1095" s="83">
        <v>3</v>
      </c>
      <c r="C1095" s="110">
        <v>0.009062093587237193</v>
      </c>
      <c r="D1095" s="83" t="s">
        <v>3416</v>
      </c>
      <c r="E1095" s="83" t="b">
        <v>0</v>
      </c>
      <c r="F1095" s="83" t="b">
        <v>0</v>
      </c>
      <c r="G1095" s="83" t="b">
        <v>0</v>
      </c>
    </row>
    <row r="1096" spans="1:7" ht="15">
      <c r="A1096" s="84" t="s">
        <v>3677</v>
      </c>
      <c r="B1096" s="83">
        <v>3</v>
      </c>
      <c r="C1096" s="110">
        <v>0.009062093587237193</v>
      </c>
      <c r="D1096" s="83" t="s">
        <v>3416</v>
      </c>
      <c r="E1096" s="83" t="b">
        <v>1</v>
      </c>
      <c r="F1096" s="83" t="b">
        <v>0</v>
      </c>
      <c r="G1096" s="83" t="b">
        <v>0</v>
      </c>
    </row>
    <row r="1097" spans="1:7" ht="15">
      <c r="A1097" s="84" t="s">
        <v>3657</v>
      </c>
      <c r="B1097" s="83">
        <v>3</v>
      </c>
      <c r="C1097" s="110">
        <v>0.010142408059971434</v>
      </c>
      <c r="D1097" s="83" t="s">
        <v>3416</v>
      </c>
      <c r="E1097" s="83" t="b">
        <v>0</v>
      </c>
      <c r="F1097" s="83" t="b">
        <v>0</v>
      </c>
      <c r="G1097" s="83" t="b">
        <v>0</v>
      </c>
    </row>
    <row r="1098" spans="1:7" ht="15">
      <c r="A1098" s="84" t="s">
        <v>3674</v>
      </c>
      <c r="B1098" s="83">
        <v>3</v>
      </c>
      <c r="C1098" s="110">
        <v>0.009062093587237193</v>
      </c>
      <c r="D1098" s="83" t="s">
        <v>3416</v>
      </c>
      <c r="E1098" s="83" t="b">
        <v>0</v>
      </c>
      <c r="F1098" s="83" t="b">
        <v>0</v>
      </c>
      <c r="G1098" s="83" t="b">
        <v>0</v>
      </c>
    </row>
    <row r="1099" spans="1:7" ht="15">
      <c r="A1099" s="84" t="s">
        <v>3540</v>
      </c>
      <c r="B1099" s="83">
        <v>3</v>
      </c>
      <c r="C1099" s="110">
        <v>0.009062093587237193</v>
      </c>
      <c r="D1099" s="83" t="s">
        <v>3416</v>
      </c>
      <c r="E1099" s="83" t="b">
        <v>0</v>
      </c>
      <c r="F1099" s="83" t="b">
        <v>0</v>
      </c>
      <c r="G1099" s="83" t="b">
        <v>0</v>
      </c>
    </row>
    <row r="1100" spans="1:7" ht="15">
      <c r="A1100" s="84" t="s">
        <v>3473</v>
      </c>
      <c r="B1100" s="83">
        <v>3</v>
      </c>
      <c r="C1100" s="110">
        <v>0.009062093587237193</v>
      </c>
      <c r="D1100" s="83" t="s">
        <v>3416</v>
      </c>
      <c r="E1100" s="83" t="b">
        <v>0</v>
      </c>
      <c r="F1100" s="83" t="b">
        <v>0</v>
      </c>
      <c r="G1100" s="83" t="b">
        <v>0</v>
      </c>
    </row>
    <row r="1101" spans="1:7" ht="15">
      <c r="A1101" s="84" t="s">
        <v>3465</v>
      </c>
      <c r="B1101" s="83">
        <v>3</v>
      </c>
      <c r="C1101" s="110">
        <v>0.009062093587237193</v>
      </c>
      <c r="D1101" s="83" t="s">
        <v>3416</v>
      </c>
      <c r="E1101" s="83" t="b">
        <v>1</v>
      </c>
      <c r="F1101" s="83" t="b">
        <v>0</v>
      </c>
      <c r="G1101" s="83" t="b">
        <v>0</v>
      </c>
    </row>
    <row r="1102" spans="1:7" ht="15">
      <c r="A1102" s="84" t="s">
        <v>3489</v>
      </c>
      <c r="B1102" s="83">
        <v>3</v>
      </c>
      <c r="C1102" s="110">
        <v>0.009062093587237193</v>
      </c>
      <c r="D1102" s="83" t="s">
        <v>3416</v>
      </c>
      <c r="E1102" s="83" t="b">
        <v>1</v>
      </c>
      <c r="F1102" s="83" t="b">
        <v>0</v>
      </c>
      <c r="G1102" s="83" t="b">
        <v>0</v>
      </c>
    </row>
    <row r="1103" spans="1:7" ht="15">
      <c r="A1103" s="84" t="s">
        <v>3471</v>
      </c>
      <c r="B1103" s="83">
        <v>3</v>
      </c>
      <c r="C1103" s="110">
        <v>0.009062093587237193</v>
      </c>
      <c r="D1103" s="83" t="s">
        <v>3416</v>
      </c>
      <c r="E1103" s="83" t="b">
        <v>1</v>
      </c>
      <c r="F1103" s="83" t="b">
        <v>0</v>
      </c>
      <c r="G1103" s="83" t="b">
        <v>0</v>
      </c>
    </row>
    <row r="1104" spans="1:7" ht="15">
      <c r="A1104" s="84" t="s">
        <v>3754</v>
      </c>
      <c r="B1104" s="83">
        <v>3</v>
      </c>
      <c r="C1104" s="110">
        <v>0.009062093587237193</v>
      </c>
      <c r="D1104" s="83" t="s">
        <v>3416</v>
      </c>
      <c r="E1104" s="83" t="b">
        <v>0</v>
      </c>
      <c r="F1104" s="83" t="b">
        <v>0</v>
      </c>
      <c r="G1104" s="83" t="b">
        <v>0</v>
      </c>
    </row>
    <row r="1105" spans="1:7" ht="15">
      <c r="A1105" s="84" t="s">
        <v>3678</v>
      </c>
      <c r="B1105" s="83">
        <v>3</v>
      </c>
      <c r="C1105" s="110">
        <v>0.009062093587237193</v>
      </c>
      <c r="D1105" s="83" t="s">
        <v>3416</v>
      </c>
      <c r="E1105" s="83" t="b">
        <v>0</v>
      </c>
      <c r="F1105" s="83" t="b">
        <v>0</v>
      </c>
      <c r="G1105" s="83" t="b">
        <v>0</v>
      </c>
    </row>
    <row r="1106" spans="1:7" ht="15">
      <c r="A1106" s="84" t="s">
        <v>3562</v>
      </c>
      <c r="B1106" s="83">
        <v>3</v>
      </c>
      <c r="C1106" s="110">
        <v>0.009062093587237193</v>
      </c>
      <c r="D1106" s="83" t="s">
        <v>3416</v>
      </c>
      <c r="E1106" s="83" t="b">
        <v>0</v>
      </c>
      <c r="F1106" s="83" t="b">
        <v>0</v>
      </c>
      <c r="G1106" s="83" t="b">
        <v>0</v>
      </c>
    </row>
    <row r="1107" spans="1:7" ht="15">
      <c r="A1107" s="84" t="s">
        <v>3491</v>
      </c>
      <c r="B1107" s="83">
        <v>3</v>
      </c>
      <c r="C1107" s="110">
        <v>0.009062093587237193</v>
      </c>
      <c r="D1107" s="83" t="s">
        <v>3416</v>
      </c>
      <c r="E1107" s="83" t="b">
        <v>1</v>
      </c>
      <c r="F1107" s="83" t="b">
        <v>0</v>
      </c>
      <c r="G1107" s="83" t="b">
        <v>0</v>
      </c>
    </row>
    <row r="1108" spans="1:7" ht="15">
      <c r="A1108" s="84" t="s">
        <v>3934</v>
      </c>
      <c r="B1108" s="83">
        <v>2</v>
      </c>
      <c r="C1108" s="110">
        <v>0.00676160537331429</v>
      </c>
      <c r="D1108" s="83" t="s">
        <v>3416</v>
      </c>
      <c r="E1108" s="83" t="b">
        <v>0</v>
      </c>
      <c r="F1108" s="83" t="b">
        <v>0</v>
      </c>
      <c r="G1108" s="83" t="b">
        <v>0</v>
      </c>
    </row>
    <row r="1109" spans="1:7" ht="15">
      <c r="A1109" s="84" t="s">
        <v>3969</v>
      </c>
      <c r="B1109" s="83">
        <v>2</v>
      </c>
      <c r="C1109" s="110">
        <v>0.007992811899547342</v>
      </c>
      <c r="D1109" s="83" t="s">
        <v>3416</v>
      </c>
      <c r="E1109" s="83" t="b">
        <v>0</v>
      </c>
      <c r="F1109" s="83" t="b">
        <v>0</v>
      </c>
      <c r="G1109" s="83" t="b">
        <v>0</v>
      </c>
    </row>
    <row r="1110" spans="1:7" ht="15">
      <c r="A1110" s="84" t="s">
        <v>3510</v>
      </c>
      <c r="B1110" s="83">
        <v>2</v>
      </c>
      <c r="C1110" s="110">
        <v>0.00676160537331429</v>
      </c>
      <c r="D1110" s="83" t="s">
        <v>3416</v>
      </c>
      <c r="E1110" s="83" t="b">
        <v>0</v>
      </c>
      <c r="F1110" s="83" t="b">
        <v>0</v>
      </c>
      <c r="G1110" s="83" t="b">
        <v>0</v>
      </c>
    </row>
    <row r="1111" spans="1:7" ht="15">
      <c r="A1111" s="84" t="s">
        <v>3481</v>
      </c>
      <c r="B1111" s="83">
        <v>2</v>
      </c>
      <c r="C1111" s="110">
        <v>0.00676160537331429</v>
      </c>
      <c r="D1111" s="83" t="s">
        <v>3416</v>
      </c>
      <c r="E1111" s="83" t="b">
        <v>0</v>
      </c>
      <c r="F1111" s="83" t="b">
        <v>0</v>
      </c>
      <c r="G1111" s="83" t="b">
        <v>0</v>
      </c>
    </row>
    <row r="1112" spans="1:7" ht="15">
      <c r="A1112" s="84" t="s">
        <v>3940</v>
      </c>
      <c r="B1112" s="83">
        <v>2</v>
      </c>
      <c r="C1112" s="110">
        <v>0.00676160537331429</v>
      </c>
      <c r="D1112" s="83" t="s">
        <v>3416</v>
      </c>
      <c r="E1112" s="83" t="b">
        <v>0</v>
      </c>
      <c r="F1112" s="83" t="b">
        <v>0</v>
      </c>
      <c r="G1112" s="83" t="b">
        <v>0</v>
      </c>
    </row>
    <row r="1113" spans="1:7" ht="15">
      <c r="A1113" s="84" t="s">
        <v>3942</v>
      </c>
      <c r="B1113" s="83">
        <v>2</v>
      </c>
      <c r="C1113" s="110">
        <v>0.00676160537331429</v>
      </c>
      <c r="D1113" s="83" t="s">
        <v>3416</v>
      </c>
      <c r="E1113" s="83" t="b">
        <v>0</v>
      </c>
      <c r="F1113" s="83" t="b">
        <v>0</v>
      </c>
      <c r="G1113" s="83" t="b">
        <v>0</v>
      </c>
    </row>
    <row r="1114" spans="1:7" ht="15">
      <c r="A1114" s="84" t="s">
        <v>3947</v>
      </c>
      <c r="B1114" s="83">
        <v>2</v>
      </c>
      <c r="C1114" s="110">
        <v>0.00676160537331429</v>
      </c>
      <c r="D1114" s="83" t="s">
        <v>3416</v>
      </c>
      <c r="E1114" s="83" t="b">
        <v>0</v>
      </c>
      <c r="F1114" s="83" t="b">
        <v>0</v>
      </c>
      <c r="G1114" s="83" t="b">
        <v>0</v>
      </c>
    </row>
    <row r="1115" spans="1:7" ht="15">
      <c r="A1115" s="84" t="s">
        <v>3936</v>
      </c>
      <c r="B1115" s="83">
        <v>2</v>
      </c>
      <c r="C1115" s="110">
        <v>0.00676160537331429</v>
      </c>
      <c r="D1115" s="83" t="s">
        <v>3416</v>
      </c>
      <c r="E1115" s="83" t="b">
        <v>0</v>
      </c>
      <c r="F1115" s="83" t="b">
        <v>0</v>
      </c>
      <c r="G1115" s="83" t="b">
        <v>0</v>
      </c>
    </row>
    <row r="1116" spans="1:7" ht="15">
      <c r="A1116" s="84" t="s">
        <v>3517</v>
      </c>
      <c r="B1116" s="83">
        <v>2</v>
      </c>
      <c r="C1116" s="110">
        <v>0.00676160537331429</v>
      </c>
      <c r="D1116" s="83" t="s">
        <v>3416</v>
      </c>
      <c r="E1116" s="83" t="b">
        <v>0</v>
      </c>
      <c r="F1116" s="83" t="b">
        <v>0</v>
      </c>
      <c r="G1116" s="83" t="b">
        <v>0</v>
      </c>
    </row>
    <row r="1117" spans="1:7" ht="15">
      <c r="A1117" s="84" t="s">
        <v>3536</v>
      </c>
      <c r="B1117" s="83">
        <v>2</v>
      </c>
      <c r="C1117" s="110">
        <v>0.00676160537331429</v>
      </c>
      <c r="D1117" s="83" t="s">
        <v>3416</v>
      </c>
      <c r="E1117" s="83" t="b">
        <v>0</v>
      </c>
      <c r="F1117" s="83" t="b">
        <v>0</v>
      </c>
      <c r="G1117" s="83" t="b">
        <v>0</v>
      </c>
    </row>
    <row r="1118" spans="1:7" ht="15">
      <c r="A1118" s="84" t="s">
        <v>3586</v>
      </c>
      <c r="B1118" s="83">
        <v>2</v>
      </c>
      <c r="C1118" s="110">
        <v>0.00676160537331429</v>
      </c>
      <c r="D1118" s="83" t="s">
        <v>3416</v>
      </c>
      <c r="E1118" s="83" t="b">
        <v>1</v>
      </c>
      <c r="F1118" s="83" t="b">
        <v>0</v>
      </c>
      <c r="G1118" s="83" t="b">
        <v>0</v>
      </c>
    </row>
    <row r="1119" spans="1:7" ht="15">
      <c r="A1119" s="84" t="s">
        <v>3585</v>
      </c>
      <c r="B1119" s="83">
        <v>2</v>
      </c>
      <c r="C1119" s="110">
        <v>0.00676160537331429</v>
      </c>
      <c r="D1119" s="83" t="s">
        <v>3416</v>
      </c>
      <c r="E1119" s="83" t="b">
        <v>0</v>
      </c>
      <c r="F1119" s="83" t="b">
        <v>0</v>
      </c>
      <c r="G1119" s="83" t="b">
        <v>0</v>
      </c>
    </row>
    <row r="1120" spans="1:7" ht="15">
      <c r="A1120" s="84" t="s">
        <v>3928</v>
      </c>
      <c r="B1120" s="83">
        <v>2</v>
      </c>
      <c r="C1120" s="110">
        <v>0.00676160537331429</v>
      </c>
      <c r="D1120" s="83" t="s">
        <v>3416</v>
      </c>
      <c r="E1120" s="83" t="b">
        <v>0</v>
      </c>
      <c r="F1120" s="83" t="b">
        <v>0</v>
      </c>
      <c r="G1120" s="83" t="b">
        <v>0</v>
      </c>
    </row>
    <row r="1121" spans="1:7" ht="15">
      <c r="A1121" s="84" t="s">
        <v>3929</v>
      </c>
      <c r="B1121" s="83">
        <v>2</v>
      </c>
      <c r="C1121" s="110">
        <v>0.00676160537331429</v>
      </c>
      <c r="D1121" s="83" t="s">
        <v>3416</v>
      </c>
      <c r="E1121" s="83" t="b">
        <v>0</v>
      </c>
      <c r="F1121" s="83" t="b">
        <v>0</v>
      </c>
      <c r="G1121" s="83" t="b">
        <v>0</v>
      </c>
    </row>
    <row r="1122" spans="1:7" ht="15">
      <c r="A1122" s="84" t="s">
        <v>3656</v>
      </c>
      <c r="B1122" s="83">
        <v>2</v>
      </c>
      <c r="C1122" s="110">
        <v>0.00676160537331429</v>
      </c>
      <c r="D1122" s="83" t="s">
        <v>3416</v>
      </c>
      <c r="E1122" s="83" t="b">
        <v>1</v>
      </c>
      <c r="F1122" s="83" t="b">
        <v>0</v>
      </c>
      <c r="G1122" s="83" t="b">
        <v>0</v>
      </c>
    </row>
    <row r="1123" spans="1:7" ht="15">
      <c r="A1123" s="84" t="s">
        <v>3676</v>
      </c>
      <c r="B1123" s="83">
        <v>2</v>
      </c>
      <c r="C1123" s="110">
        <v>0.00676160537331429</v>
      </c>
      <c r="D1123" s="83" t="s">
        <v>3416</v>
      </c>
      <c r="E1123" s="83" t="b">
        <v>0</v>
      </c>
      <c r="F1123" s="83" t="b">
        <v>0</v>
      </c>
      <c r="G1123" s="83" t="b">
        <v>0</v>
      </c>
    </row>
    <row r="1124" spans="1:7" ht="15">
      <c r="A1124" s="84" t="s">
        <v>3537</v>
      </c>
      <c r="B1124" s="83">
        <v>2</v>
      </c>
      <c r="C1124" s="110">
        <v>0.00676160537331429</v>
      </c>
      <c r="D1124" s="83" t="s">
        <v>3416</v>
      </c>
      <c r="E1124" s="83" t="b">
        <v>0</v>
      </c>
      <c r="F1124" s="83" t="b">
        <v>0</v>
      </c>
      <c r="G1124" s="83" t="b">
        <v>0</v>
      </c>
    </row>
    <row r="1125" spans="1:7" ht="15">
      <c r="A1125" s="84" t="s">
        <v>3621</v>
      </c>
      <c r="B1125" s="83">
        <v>2</v>
      </c>
      <c r="C1125" s="110">
        <v>0.00676160537331429</v>
      </c>
      <c r="D1125" s="83" t="s">
        <v>3416</v>
      </c>
      <c r="E1125" s="83" t="b">
        <v>0</v>
      </c>
      <c r="F1125" s="83" t="b">
        <v>0</v>
      </c>
      <c r="G1125" s="83" t="b">
        <v>0</v>
      </c>
    </row>
    <row r="1126" spans="1:7" ht="15">
      <c r="A1126" s="84" t="s">
        <v>3941</v>
      </c>
      <c r="B1126" s="83">
        <v>2</v>
      </c>
      <c r="C1126" s="110">
        <v>0.00676160537331429</v>
      </c>
      <c r="D1126" s="83" t="s">
        <v>3416</v>
      </c>
      <c r="E1126" s="83" t="b">
        <v>0</v>
      </c>
      <c r="F1126" s="83" t="b">
        <v>0</v>
      </c>
      <c r="G1126" s="83" t="b">
        <v>0</v>
      </c>
    </row>
    <row r="1127" spans="1:7" ht="15">
      <c r="A1127" s="84" t="s">
        <v>3743</v>
      </c>
      <c r="B1127" s="83">
        <v>2</v>
      </c>
      <c r="C1127" s="110">
        <v>0.00676160537331429</v>
      </c>
      <c r="D1127" s="83" t="s">
        <v>3416</v>
      </c>
      <c r="E1127" s="83" t="b">
        <v>0</v>
      </c>
      <c r="F1127" s="83" t="b">
        <v>0</v>
      </c>
      <c r="G1127" s="83" t="b">
        <v>0</v>
      </c>
    </row>
    <row r="1128" spans="1:7" ht="15">
      <c r="A1128" s="84" t="s">
        <v>3523</v>
      </c>
      <c r="B1128" s="83">
        <v>2</v>
      </c>
      <c r="C1128" s="110">
        <v>0.00676160537331429</v>
      </c>
      <c r="D1128" s="83" t="s">
        <v>3416</v>
      </c>
      <c r="E1128" s="83" t="b">
        <v>0</v>
      </c>
      <c r="F1128" s="83" t="b">
        <v>0</v>
      </c>
      <c r="G1128" s="83" t="b">
        <v>0</v>
      </c>
    </row>
    <row r="1129" spans="1:7" ht="15">
      <c r="A1129" s="84" t="s">
        <v>3943</v>
      </c>
      <c r="B1129" s="83">
        <v>2</v>
      </c>
      <c r="C1129" s="110">
        <v>0.007992811899547342</v>
      </c>
      <c r="D1129" s="83" t="s">
        <v>3416</v>
      </c>
      <c r="E1129" s="83" t="b">
        <v>0</v>
      </c>
      <c r="F1129" s="83" t="b">
        <v>0</v>
      </c>
      <c r="G1129" s="83" t="b">
        <v>0</v>
      </c>
    </row>
    <row r="1130" spans="1:7" ht="15">
      <c r="A1130" s="84" t="s">
        <v>3944</v>
      </c>
      <c r="B1130" s="83">
        <v>2</v>
      </c>
      <c r="C1130" s="110">
        <v>0.007992811899547342</v>
      </c>
      <c r="D1130" s="83" t="s">
        <v>3416</v>
      </c>
      <c r="E1130" s="83" t="b">
        <v>0</v>
      </c>
      <c r="F1130" s="83" t="b">
        <v>0</v>
      </c>
      <c r="G1130" s="83" t="b">
        <v>0</v>
      </c>
    </row>
    <row r="1131" spans="1:7" ht="15">
      <c r="A1131" s="84" t="s">
        <v>3485</v>
      </c>
      <c r="B1131" s="83">
        <v>2</v>
      </c>
      <c r="C1131" s="110">
        <v>0.00676160537331429</v>
      </c>
      <c r="D1131" s="83" t="s">
        <v>3416</v>
      </c>
      <c r="E1131" s="83" t="b">
        <v>0</v>
      </c>
      <c r="F1131" s="83" t="b">
        <v>0</v>
      </c>
      <c r="G1131" s="83" t="b">
        <v>0</v>
      </c>
    </row>
    <row r="1132" spans="1:7" ht="15">
      <c r="A1132" s="84" t="s">
        <v>3501</v>
      </c>
      <c r="B1132" s="83">
        <v>2</v>
      </c>
      <c r="C1132" s="110">
        <v>0.00676160537331429</v>
      </c>
      <c r="D1132" s="83" t="s">
        <v>3416</v>
      </c>
      <c r="E1132" s="83" t="b">
        <v>1</v>
      </c>
      <c r="F1132" s="83" t="b">
        <v>0</v>
      </c>
      <c r="G1132" s="83" t="b">
        <v>0</v>
      </c>
    </row>
    <row r="1133" spans="1:7" ht="15">
      <c r="A1133" s="84" t="s">
        <v>3476</v>
      </c>
      <c r="B1133" s="83">
        <v>2</v>
      </c>
      <c r="C1133" s="110">
        <v>0.00676160537331429</v>
      </c>
      <c r="D1133" s="83" t="s">
        <v>3416</v>
      </c>
      <c r="E1133" s="83" t="b">
        <v>0</v>
      </c>
      <c r="F1133" s="83" t="b">
        <v>0</v>
      </c>
      <c r="G1133" s="83" t="b">
        <v>0</v>
      </c>
    </row>
    <row r="1134" spans="1:7" ht="15">
      <c r="A1134" s="84" t="s">
        <v>3758</v>
      </c>
      <c r="B1134" s="83">
        <v>2</v>
      </c>
      <c r="C1134" s="110">
        <v>0.00676160537331429</v>
      </c>
      <c r="D1134" s="83" t="s">
        <v>3416</v>
      </c>
      <c r="E1134" s="83" t="b">
        <v>0</v>
      </c>
      <c r="F1134" s="83" t="b">
        <v>0</v>
      </c>
      <c r="G1134" s="83" t="b">
        <v>0</v>
      </c>
    </row>
    <row r="1135" spans="1:7" ht="15">
      <c r="A1135" s="84" t="s">
        <v>3679</v>
      </c>
      <c r="B1135" s="83">
        <v>2</v>
      </c>
      <c r="C1135" s="110">
        <v>0.007992811899547342</v>
      </c>
      <c r="D1135" s="83" t="s">
        <v>3416</v>
      </c>
      <c r="E1135" s="83" t="b">
        <v>0</v>
      </c>
      <c r="F1135" s="83" t="b">
        <v>0</v>
      </c>
      <c r="G1135" s="83" t="b">
        <v>0</v>
      </c>
    </row>
    <row r="1136" spans="1:7" ht="15">
      <c r="A1136" s="84" t="s">
        <v>3587</v>
      </c>
      <c r="B1136" s="83">
        <v>2</v>
      </c>
      <c r="C1136" s="110">
        <v>0.00676160537331429</v>
      </c>
      <c r="D1136" s="83" t="s">
        <v>3416</v>
      </c>
      <c r="E1136" s="83" t="b">
        <v>0</v>
      </c>
      <c r="F1136" s="83" t="b">
        <v>0</v>
      </c>
      <c r="G1136" s="83" t="b">
        <v>0</v>
      </c>
    </row>
    <row r="1137" spans="1:7" ht="15">
      <c r="A1137" s="84" t="s">
        <v>3955</v>
      </c>
      <c r="B1137" s="83">
        <v>2</v>
      </c>
      <c r="C1137" s="110">
        <v>0.00676160537331429</v>
      </c>
      <c r="D1137" s="83" t="s">
        <v>3416</v>
      </c>
      <c r="E1137" s="83" t="b">
        <v>0</v>
      </c>
      <c r="F1137" s="83" t="b">
        <v>0</v>
      </c>
      <c r="G1137" s="83" t="b">
        <v>0</v>
      </c>
    </row>
    <row r="1138" spans="1:7" ht="15">
      <c r="A1138" s="84" t="s">
        <v>3624</v>
      </c>
      <c r="B1138" s="83">
        <v>2</v>
      </c>
      <c r="C1138" s="110">
        <v>0.00676160537331429</v>
      </c>
      <c r="D1138" s="83" t="s">
        <v>3416</v>
      </c>
      <c r="E1138" s="83" t="b">
        <v>0</v>
      </c>
      <c r="F1138" s="83" t="b">
        <v>0</v>
      </c>
      <c r="G1138" s="83" t="b">
        <v>0</v>
      </c>
    </row>
    <row r="1139" spans="1:7" ht="15">
      <c r="A1139" s="84" t="s">
        <v>3494</v>
      </c>
      <c r="B1139" s="83">
        <v>2</v>
      </c>
      <c r="C1139" s="110">
        <v>0.007992811899547342</v>
      </c>
      <c r="D1139" s="83" t="s">
        <v>3416</v>
      </c>
      <c r="E1139" s="83" t="b">
        <v>0</v>
      </c>
      <c r="F1139" s="83" t="b">
        <v>0</v>
      </c>
      <c r="G1139" s="83" t="b">
        <v>0</v>
      </c>
    </row>
    <row r="1140" spans="1:7" ht="15">
      <c r="A1140" s="84" t="s">
        <v>3963</v>
      </c>
      <c r="B1140" s="83">
        <v>2</v>
      </c>
      <c r="C1140" s="110">
        <v>0.00676160537331429</v>
      </c>
      <c r="D1140" s="83" t="s">
        <v>3416</v>
      </c>
      <c r="E1140" s="83" t="b">
        <v>0</v>
      </c>
      <c r="F1140" s="83" t="b">
        <v>0</v>
      </c>
      <c r="G1140" s="83" t="b">
        <v>0</v>
      </c>
    </row>
    <row r="1141" spans="1:7" ht="15">
      <c r="A1141" s="84" t="s">
        <v>3966</v>
      </c>
      <c r="B1141" s="83">
        <v>2</v>
      </c>
      <c r="C1141" s="110">
        <v>0.007992811899547342</v>
      </c>
      <c r="D1141" s="83" t="s">
        <v>3416</v>
      </c>
      <c r="E1141" s="83" t="b">
        <v>0</v>
      </c>
      <c r="F1141" s="83" t="b">
        <v>0</v>
      </c>
      <c r="G1141" s="83" t="b">
        <v>0</v>
      </c>
    </row>
    <row r="1142" spans="1:7" ht="15">
      <c r="A1142" s="84" t="s">
        <v>3475</v>
      </c>
      <c r="B1142" s="83">
        <v>23</v>
      </c>
      <c r="C1142" s="110">
        <v>0.056053627871133604</v>
      </c>
      <c r="D1142" s="83" t="s">
        <v>3417</v>
      </c>
      <c r="E1142" s="83" t="b">
        <v>0</v>
      </c>
      <c r="F1142" s="83" t="b">
        <v>0</v>
      </c>
      <c r="G1142" s="83" t="b">
        <v>0</v>
      </c>
    </row>
    <row r="1143" spans="1:7" ht="15">
      <c r="A1143" s="84" t="s">
        <v>3459</v>
      </c>
      <c r="B1143" s="83">
        <v>13</v>
      </c>
      <c r="C1143" s="110">
        <v>0.019278713706321796</v>
      </c>
      <c r="D1143" s="83" t="s">
        <v>3417</v>
      </c>
      <c r="E1143" s="83" t="b">
        <v>0</v>
      </c>
      <c r="F1143" s="83" t="b">
        <v>0</v>
      </c>
      <c r="G1143" s="83" t="b">
        <v>0</v>
      </c>
    </row>
    <row r="1144" spans="1:7" ht="15">
      <c r="A1144" s="84" t="s">
        <v>3458</v>
      </c>
      <c r="B1144" s="83">
        <v>11</v>
      </c>
      <c r="C1144" s="110">
        <v>0.014623359743438683</v>
      </c>
      <c r="D1144" s="83" t="s">
        <v>3417</v>
      </c>
      <c r="E1144" s="83" t="b">
        <v>0</v>
      </c>
      <c r="F1144" s="83" t="b">
        <v>0</v>
      </c>
      <c r="G1144" s="83" t="b">
        <v>0</v>
      </c>
    </row>
    <row r="1145" spans="1:7" ht="15">
      <c r="A1145" s="84" t="s">
        <v>3497</v>
      </c>
      <c r="B1145" s="83">
        <v>9</v>
      </c>
      <c r="C1145" s="110">
        <v>0.01417394525595402</v>
      </c>
      <c r="D1145" s="83" t="s">
        <v>3417</v>
      </c>
      <c r="E1145" s="83" t="b">
        <v>0</v>
      </c>
      <c r="F1145" s="83" t="b">
        <v>0</v>
      </c>
      <c r="G1145" s="83" t="b">
        <v>0</v>
      </c>
    </row>
    <row r="1146" spans="1:7" ht="15">
      <c r="A1146" s="84" t="s">
        <v>3456</v>
      </c>
      <c r="B1146" s="83">
        <v>9</v>
      </c>
      <c r="C1146" s="110">
        <v>0.01417394525595402</v>
      </c>
      <c r="D1146" s="83" t="s">
        <v>3417</v>
      </c>
      <c r="E1146" s="83" t="b">
        <v>1</v>
      </c>
      <c r="F1146" s="83" t="b">
        <v>0</v>
      </c>
      <c r="G1146" s="83" t="b">
        <v>0</v>
      </c>
    </row>
    <row r="1147" spans="1:7" ht="15">
      <c r="A1147" s="84" t="s">
        <v>3518</v>
      </c>
      <c r="B1147" s="83">
        <v>8</v>
      </c>
      <c r="C1147" s="110">
        <v>0.013447833158207438</v>
      </c>
      <c r="D1147" s="83" t="s">
        <v>3417</v>
      </c>
      <c r="E1147" s="83" t="b">
        <v>0</v>
      </c>
      <c r="F1147" s="83" t="b">
        <v>0</v>
      </c>
      <c r="G1147" s="83" t="b">
        <v>0</v>
      </c>
    </row>
    <row r="1148" spans="1:7" ht="15">
      <c r="A1148" s="84" t="s">
        <v>3479</v>
      </c>
      <c r="B1148" s="83">
        <v>8</v>
      </c>
      <c r="C1148" s="110">
        <v>0.012599062449736907</v>
      </c>
      <c r="D1148" s="83" t="s">
        <v>3417</v>
      </c>
      <c r="E1148" s="83" t="b">
        <v>0</v>
      </c>
      <c r="F1148" s="83" t="b">
        <v>0</v>
      </c>
      <c r="G1148" s="83" t="b">
        <v>0</v>
      </c>
    </row>
    <row r="1149" spans="1:7" ht="15">
      <c r="A1149" s="84" t="s">
        <v>3457</v>
      </c>
      <c r="B1149" s="83">
        <v>8</v>
      </c>
      <c r="C1149" s="110">
        <v>0.012599062449736907</v>
      </c>
      <c r="D1149" s="83" t="s">
        <v>3417</v>
      </c>
      <c r="E1149" s="83" t="b">
        <v>1</v>
      </c>
      <c r="F1149" s="83" t="b">
        <v>0</v>
      </c>
      <c r="G1149" s="83" t="b">
        <v>0</v>
      </c>
    </row>
    <row r="1150" spans="1:7" ht="15">
      <c r="A1150" s="84" t="s">
        <v>3504</v>
      </c>
      <c r="B1150" s="83">
        <v>7</v>
      </c>
      <c r="C1150" s="110">
        <v>0.012645251354688835</v>
      </c>
      <c r="D1150" s="83" t="s">
        <v>3417</v>
      </c>
      <c r="E1150" s="83" t="b">
        <v>0</v>
      </c>
      <c r="F1150" s="83" t="b">
        <v>0</v>
      </c>
      <c r="G1150" s="83" t="b">
        <v>0</v>
      </c>
    </row>
    <row r="1151" spans="1:7" ht="15">
      <c r="A1151" s="84" t="s">
        <v>3090</v>
      </c>
      <c r="B1151" s="83">
        <v>6</v>
      </c>
      <c r="C1151" s="110">
        <v>0.017485094365172</v>
      </c>
      <c r="D1151" s="83" t="s">
        <v>3417</v>
      </c>
      <c r="E1151" s="83" t="b">
        <v>0</v>
      </c>
      <c r="F1151" s="83" t="b">
        <v>0</v>
      </c>
      <c r="G1151" s="83" t="b">
        <v>0</v>
      </c>
    </row>
    <row r="1152" spans="1:7" ht="15">
      <c r="A1152" s="84" t="s">
        <v>3512</v>
      </c>
      <c r="B1152" s="83">
        <v>6</v>
      </c>
      <c r="C1152" s="110">
        <v>0.014622685531600073</v>
      </c>
      <c r="D1152" s="83" t="s">
        <v>3417</v>
      </c>
      <c r="E1152" s="83" t="b">
        <v>0</v>
      </c>
      <c r="F1152" s="83" t="b">
        <v>0</v>
      </c>
      <c r="G1152" s="83" t="b">
        <v>0</v>
      </c>
    </row>
    <row r="1153" spans="1:7" ht="15">
      <c r="A1153" s="84" t="s">
        <v>3494</v>
      </c>
      <c r="B1153" s="83">
        <v>5</v>
      </c>
      <c r="C1153" s="110">
        <v>0.009800230581690118</v>
      </c>
      <c r="D1153" s="83" t="s">
        <v>3417</v>
      </c>
      <c r="E1153" s="83" t="b">
        <v>0</v>
      </c>
      <c r="F1153" s="83" t="b">
        <v>0</v>
      </c>
      <c r="G1153" s="83" t="b">
        <v>0</v>
      </c>
    </row>
    <row r="1154" spans="1:7" ht="15">
      <c r="A1154" s="84" t="s">
        <v>3467</v>
      </c>
      <c r="B1154" s="83">
        <v>5</v>
      </c>
      <c r="C1154" s="110">
        <v>0.009032322396206311</v>
      </c>
      <c r="D1154" s="83" t="s">
        <v>3417</v>
      </c>
      <c r="E1154" s="83" t="b">
        <v>0</v>
      </c>
      <c r="F1154" s="83" t="b">
        <v>0</v>
      </c>
      <c r="G1154" s="83" t="b">
        <v>0</v>
      </c>
    </row>
    <row r="1155" spans="1:7" ht="15">
      <c r="A1155" s="84" t="s">
        <v>3468</v>
      </c>
      <c r="B1155" s="83">
        <v>5</v>
      </c>
      <c r="C1155" s="110">
        <v>0.009032322396206311</v>
      </c>
      <c r="D1155" s="83" t="s">
        <v>3417</v>
      </c>
      <c r="E1155" s="83" t="b">
        <v>0</v>
      </c>
      <c r="F1155" s="83" t="b">
        <v>0</v>
      </c>
      <c r="G1155" s="83" t="b">
        <v>0</v>
      </c>
    </row>
    <row r="1156" spans="1:7" ht="15">
      <c r="A1156" s="84" t="s">
        <v>1152</v>
      </c>
      <c r="B1156" s="83">
        <v>5</v>
      </c>
      <c r="C1156" s="110">
        <v>0.009032322396206311</v>
      </c>
      <c r="D1156" s="83" t="s">
        <v>3417</v>
      </c>
      <c r="E1156" s="83" t="b">
        <v>1</v>
      </c>
      <c r="F1156" s="83" t="b">
        <v>0</v>
      </c>
      <c r="G1156" s="83" t="b">
        <v>0</v>
      </c>
    </row>
    <row r="1157" spans="1:7" ht="15">
      <c r="A1157" s="84" t="s">
        <v>3662</v>
      </c>
      <c r="B1157" s="83">
        <v>4</v>
      </c>
      <c r="C1157" s="110">
        <v>0.011656729576781334</v>
      </c>
      <c r="D1157" s="83" t="s">
        <v>3417</v>
      </c>
      <c r="E1157" s="83" t="b">
        <v>0</v>
      </c>
      <c r="F1157" s="83" t="b">
        <v>0</v>
      </c>
      <c r="G1157" s="83" t="b">
        <v>0</v>
      </c>
    </row>
    <row r="1158" spans="1:7" ht="15">
      <c r="A1158" s="84" t="s">
        <v>3612</v>
      </c>
      <c r="B1158" s="83">
        <v>4</v>
      </c>
      <c r="C1158" s="110">
        <v>0.011656729576781334</v>
      </c>
      <c r="D1158" s="83" t="s">
        <v>3417</v>
      </c>
      <c r="E1158" s="83" t="b">
        <v>0</v>
      </c>
      <c r="F1158" s="83" t="b">
        <v>0</v>
      </c>
      <c r="G1158" s="83" t="b">
        <v>0</v>
      </c>
    </row>
    <row r="1159" spans="1:7" ht="15">
      <c r="A1159" s="84" t="s">
        <v>3609</v>
      </c>
      <c r="B1159" s="83">
        <v>4</v>
      </c>
      <c r="C1159" s="110">
        <v>0.009748457021066715</v>
      </c>
      <c r="D1159" s="83" t="s">
        <v>3417</v>
      </c>
      <c r="E1159" s="83" t="b">
        <v>0</v>
      </c>
      <c r="F1159" s="83" t="b">
        <v>0</v>
      </c>
      <c r="G1159" s="83" t="b">
        <v>0</v>
      </c>
    </row>
    <row r="1160" spans="1:7" ht="15">
      <c r="A1160" s="84" t="s">
        <v>3532</v>
      </c>
      <c r="B1160" s="83">
        <v>4</v>
      </c>
      <c r="C1160" s="110">
        <v>0.007840184465352095</v>
      </c>
      <c r="D1160" s="83" t="s">
        <v>3417</v>
      </c>
      <c r="E1160" s="83" t="b">
        <v>0</v>
      </c>
      <c r="F1160" s="83" t="b">
        <v>0</v>
      </c>
      <c r="G1160" s="83" t="b">
        <v>0</v>
      </c>
    </row>
    <row r="1161" spans="1:7" ht="15">
      <c r="A1161" s="84" t="s">
        <v>3462</v>
      </c>
      <c r="B1161" s="83">
        <v>4</v>
      </c>
      <c r="C1161" s="110">
        <v>0.008632189134818339</v>
      </c>
      <c r="D1161" s="83" t="s">
        <v>3417</v>
      </c>
      <c r="E1161" s="83" t="b">
        <v>0</v>
      </c>
      <c r="F1161" s="83" t="b">
        <v>0</v>
      </c>
      <c r="G1161" s="83" t="b">
        <v>0</v>
      </c>
    </row>
    <row r="1162" spans="1:7" ht="15">
      <c r="A1162" s="84" t="s">
        <v>3465</v>
      </c>
      <c r="B1162" s="83">
        <v>4</v>
      </c>
      <c r="C1162" s="110">
        <v>0.007840184465352095</v>
      </c>
      <c r="D1162" s="83" t="s">
        <v>3417</v>
      </c>
      <c r="E1162" s="83" t="b">
        <v>1</v>
      </c>
      <c r="F1162" s="83" t="b">
        <v>0</v>
      </c>
      <c r="G1162" s="83" t="b">
        <v>0</v>
      </c>
    </row>
    <row r="1163" spans="1:7" ht="15">
      <c r="A1163" s="84" t="s">
        <v>3488</v>
      </c>
      <c r="B1163" s="83">
        <v>4</v>
      </c>
      <c r="C1163" s="110">
        <v>0.007840184465352095</v>
      </c>
      <c r="D1163" s="83" t="s">
        <v>3417</v>
      </c>
      <c r="E1163" s="83" t="b">
        <v>0</v>
      </c>
      <c r="F1163" s="83" t="b">
        <v>0</v>
      </c>
      <c r="G1163" s="83" t="b">
        <v>0</v>
      </c>
    </row>
    <row r="1164" spans="1:7" ht="15">
      <c r="A1164" s="84" t="s">
        <v>3556</v>
      </c>
      <c r="B1164" s="83">
        <v>4</v>
      </c>
      <c r="C1164" s="110">
        <v>0.008632189134818339</v>
      </c>
      <c r="D1164" s="83" t="s">
        <v>3417</v>
      </c>
      <c r="E1164" s="83" t="b">
        <v>0</v>
      </c>
      <c r="F1164" s="83" t="b">
        <v>0</v>
      </c>
      <c r="G1164" s="83" t="b">
        <v>0</v>
      </c>
    </row>
    <row r="1165" spans="1:7" ht="15">
      <c r="A1165" s="84" t="s">
        <v>3522</v>
      </c>
      <c r="B1165" s="83">
        <v>4</v>
      </c>
      <c r="C1165" s="110">
        <v>0.007840184465352095</v>
      </c>
      <c r="D1165" s="83" t="s">
        <v>3417</v>
      </c>
      <c r="E1165" s="83" t="b">
        <v>0</v>
      </c>
      <c r="F1165" s="83" t="b">
        <v>0</v>
      </c>
      <c r="G1165" s="83" t="b">
        <v>0</v>
      </c>
    </row>
    <row r="1166" spans="1:7" ht="15">
      <c r="A1166" s="84" t="s">
        <v>3713</v>
      </c>
      <c r="B1166" s="83">
        <v>3</v>
      </c>
      <c r="C1166" s="110">
        <v>0.007311342765800036</v>
      </c>
      <c r="D1166" s="83" t="s">
        <v>3417</v>
      </c>
      <c r="E1166" s="83" t="b">
        <v>0</v>
      </c>
      <c r="F1166" s="83" t="b">
        <v>0</v>
      </c>
      <c r="G1166" s="83" t="b">
        <v>0</v>
      </c>
    </row>
    <row r="1167" spans="1:7" ht="15">
      <c r="A1167" s="84" t="s">
        <v>3575</v>
      </c>
      <c r="B1167" s="83">
        <v>3</v>
      </c>
      <c r="C1167" s="110">
        <v>0.007311342765800036</v>
      </c>
      <c r="D1167" s="83" t="s">
        <v>3417</v>
      </c>
      <c r="E1167" s="83" t="b">
        <v>0</v>
      </c>
      <c r="F1167" s="83" t="b">
        <v>0</v>
      </c>
      <c r="G1167" s="83" t="b">
        <v>0</v>
      </c>
    </row>
    <row r="1168" spans="1:7" ht="15">
      <c r="A1168" s="84" t="s">
        <v>3734</v>
      </c>
      <c r="B1168" s="83">
        <v>3</v>
      </c>
      <c r="C1168" s="110">
        <v>0.008742547182586</v>
      </c>
      <c r="D1168" s="83" t="s">
        <v>3417</v>
      </c>
      <c r="E1168" s="83" t="b">
        <v>0</v>
      </c>
      <c r="F1168" s="83" t="b">
        <v>0</v>
      </c>
      <c r="G1168" s="83" t="b">
        <v>0</v>
      </c>
    </row>
    <row r="1169" spans="1:7" ht="15">
      <c r="A1169" s="84" t="s">
        <v>3729</v>
      </c>
      <c r="B1169" s="83">
        <v>3</v>
      </c>
      <c r="C1169" s="110">
        <v>0.006474141851113754</v>
      </c>
      <c r="D1169" s="83" t="s">
        <v>3417</v>
      </c>
      <c r="E1169" s="83" t="b">
        <v>0</v>
      </c>
      <c r="F1169" s="83" t="b">
        <v>0</v>
      </c>
      <c r="G1169" s="83" t="b">
        <v>0</v>
      </c>
    </row>
    <row r="1170" spans="1:7" ht="15">
      <c r="A1170" s="84" t="s">
        <v>3663</v>
      </c>
      <c r="B1170" s="83">
        <v>3</v>
      </c>
      <c r="C1170" s="110">
        <v>0.008742547182586</v>
      </c>
      <c r="D1170" s="83" t="s">
        <v>3417</v>
      </c>
      <c r="E1170" s="83" t="b">
        <v>0</v>
      </c>
      <c r="F1170" s="83" t="b">
        <v>0</v>
      </c>
      <c r="G1170" s="83" t="b">
        <v>0</v>
      </c>
    </row>
    <row r="1171" spans="1:7" ht="15">
      <c r="A1171" s="84" t="s">
        <v>3712</v>
      </c>
      <c r="B1171" s="83">
        <v>3</v>
      </c>
      <c r="C1171" s="110">
        <v>0.006474141851113754</v>
      </c>
      <c r="D1171" s="83" t="s">
        <v>3417</v>
      </c>
      <c r="E1171" s="83" t="b">
        <v>0</v>
      </c>
      <c r="F1171" s="83" t="b">
        <v>0</v>
      </c>
      <c r="G1171" s="83" t="b">
        <v>0</v>
      </c>
    </row>
    <row r="1172" spans="1:7" ht="15">
      <c r="A1172" s="84" t="s">
        <v>3470</v>
      </c>
      <c r="B1172" s="83">
        <v>3</v>
      </c>
      <c r="C1172" s="110">
        <v>0.006474141851113754</v>
      </c>
      <c r="D1172" s="83" t="s">
        <v>3417</v>
      </c>
      <c r="E1172" s="83" t="b">
        <v>0</v>
      </c>
      <c r="F1172" s="83" t="b">
        <v>0</v>
      </c>
      <c r="G1172" s="83" t="b">
        <v>0</v>
      </c>
    </row>
    <row r="1173" spans="1:7" ht="15">
      <c r="A1173" s="84" t="s">
        <v>3461</v>
      </c>
      <c r="B1173" s="83">
        <v>3</v>
      </c>
      <c r="C1173" s="110">
        <v>0.006474141851113754</v>
      </c>
      <c r="D1173" s="83" t="s">
        <v>3417</v>
      </c>
      <c r="E1173" s="83" t="b">
        <v>1</v>
      </c>
      <c r="F1173" s="83" t="b">
        <v>0</v>
      </c>
      <c r="G1173" s="83" t="b">
        <v>0</v>
      </c>
    </row>
    <row r="1174" spans="1:7" ht="15">
      <c r="A1174" s="84" t="s">
        <v>3495</v>
      </c>
      <c r="B1174" s="83">
        <v>3</v>
      </c>
      <c r="C1174" s="110">
        <v>0.006474141851113754</v>
      </c>
      <c r="D1174" s="83" t="s">
        <v>3417</v>
      </c>
      <c r="E1174" s="83" t="b">
        <v>0</v>
      </c>
      <c r="F1174" s="83" t="b">
        <v>0</v>
      </c>
      <c r="G1174" s="83" t="b">
        <v>0</v>
      </c>
    </row>
    <row r="1175" spans="1:7" ht="15">
      <c r="A1175" s="84" t="s">
        <v>3711</v>
      </c>
      <c r="B1175" s="83">
        <v>3</v>
      </c>
      <c r="C1175" s="110">
        <v>0.006474141851113754</v>
      </c>
      <c r="D1175" s="83" t="s">
        <v>3417</v>
      </c>
      <c r="E1175" s="83" t="b">
        <v>0</v>
      </c>
      <c r="F1175" s="83" t="b">
        <v>0</v>
      </c>
      <c r="G1175" s="83" t="b">
        <v>0</v>
      </c>
    </row>
    <row r="1176" spans="1:7" ht="15">
      <c r="A1176" s="84" t="s">
        <v>3483</v>
      </c>
      <c r="B1176" s="83">
        <v>3</v>
      </c>
      <c r="C1176" s="110">
        <v>0.006474141851113754</v>
      </c>
      <c r="D1176" s="83" t="s">
        <v>3417</v>
      </c>
      <c r="E1176" s="83" t="b">
        <v>0</v>
      </c>
      <c r="F1176" s="83" t="b">
        <v>0</v>
      </c>
      <c r="G1176" s="83" t="b">
        <v>0</v>
      </c>
    </row>
    <row r="1177" spans="1:7" ht="15">
      <c r="A1177" s="84" t="s">
        <v>3531</v>
      </c>
      <c r="B1177" s="83">
        <v>3</v>
      </c>
      <c r="C1177" s="110">
        <v>0.007311342765800036</v>
      </c>
      <c r="D1177" s="83" t="s">
        <v>3417</v>
      </c>
      <c r="E1177" s="83" t="b">
        <v>0</v>
      </c>
      <c r="F1177" s="83" t="b">
        <v>0</v>
      </c>
      <c r="G1177" s="83" t="b">
        <v>0</v>
      </c>
    </row>
    <row r="1178" spans="1:7" ht="15">
      <c r="A1178" s="84" t="s">
        <v>3533</v>
      </c>
      <c r="B1178" s="83">
        <v>3</v>
      </c>
      <c r="C1178" s="110">
        <v>0.006474141851113754</v>
      </c>
      <c r="D1178" s="83" t="s">
        <v>3417</v>
      </c>
      <c r="E1178" s="83" t="b">
        <v>1</v>
      </c>
      <c r="F1178" s="83" t="b">
        <v>0</v>
      </c>
      <c r="G1178" s="83" t="b">
        <v>0</v>
      </c>
    </row>
    <row r="1179" spans="1:7" ht="15">
      <c r="A1179" s="84" t="s">
        <v>3500</v>
      </c>
      <c r="B1179" s="83">
        <v>3</v>
      </c>
      <c r="C1179" s="110">
        <v>0.006474141851113754</v>
      </c>
      <c r="D1179" s="83" t="s">
        <v>3417</v>
      </c>
      <c r="E1179" s="83" t="b">
        <v>0</v>
      </c>
      <c r="F1179" s="83" t="b">
        <v>0</v>
      </c>
      <c r="G1179" s="83" t="b">
        <v>0</v>
      </c>
    </row>
    <row r="1180" spans="1:7" ht="15">
      <c r="A1180" s="84" t="s">
        <v>3598</v>
      </c>
      <c r="B1180" s="83">
        <v>3</v>
      </c>
      <c r="C1180" s="110">
        <v>0.006474141851113754</v>
      </c>
      <c r="D1180" s="83" t="s">
        <v>3417</v>
      </c>
      <c r="E1180" s="83" t="b">
        <v>0</v>
      </c>
      <c r="F1180" s="83" t="b">
        <v>0</v>
      </c>
      <c r="G1180" s="83" t="b">
        <v>0</v>
      </c>
    </row>
    <row r="1181" spans="1:7" ht="15">
      <c r="A1181" s="84" t="s">
        <v>3574</v>
      </c>
      <c r="B1181" s="83">
        <v>3</v>
      </c>
      <c r="C1181" s="110">
        <v>0.006474141851113754</v>
      </c>
      <c r="D1181" s="83" t="s">
        <v>3417</v>
      </c>
      <c r="E1181" s="83" t="b">
        <v>0</v>
      </c>
      <c r="F1181" s="83" t="b">
        <v>0</v>
      </c>
      <c r="G1181" s="83" t="b">
        <v>0</v>
      </c>
    </row>
    <row r="1182" spans="1:7" ht="15">
      <c r="A1182" s="84" t="s">
        <v>3464</v>
      </c>
      <c r="B1182" s="83">
        <v>3</v>
      </c>
      <c r="C1182" s="110">
        <v>0.006474141851113754</v>
      </c>
      <c r="D1182" s="83" t="s">
        <v>3417</v>
      </c>
      <c r="E1182" s="83" t="b">
        <v>1</v>
      </c>
      <c r="F1182" s="83" t="b">
        <v>0</v>
      </c>
      <c r="G1182" s="83" t="b">
        <v>0</v>
      </c>
    </row>
    <row r="1183" spans="1:7" ht="15">
      <c r="A1183" s="84" t="s">
        <v>3652</v>
      </c>
      <c r="B1183" s="83">
        <v>3</v>
      </c>
      <c r="C1183" s="110">
        <v>0.007311342765800036</v>
      </c>
      <c r="D1183" s="83" t="s">
        <v>3417</v>
      </c>
      <c r="E1183" s="83" t="b">
        <v>0</v>
      </c>
      <c r="F1183" s="83" t="b">
        <v>0</v>
      </c>
      <c r="G1183" s="83" t="b">
        <v>0</v>
      </c>
    </row>
    <row r="1184" spans="1:7" ht="15">
      <c r="A1184" s="84" t="s">
        <v>3501</v>
      </c>
      <c r="B1184" s="83">
        <v>3</v>
      </c>
      <c r="C1184" s="110">
        <v>0.007311342765800036</v>
      </c>
      <c r="D1184" s="83" t="s">
        <v>3417</v>
      </c>
      <c r="E1184" s="83" t="b">
        <v>1</v>
      </c>
      <c r="F1184" s="83" t="b">
        <v>0</v>
      </c>
      <c r="G1184" s="83" t="b">
        <v>0</v>
      </c>
    </row>
    <row r="1185" spans="1:7" ht="15">
      <c r="A1185" s="84" t="s">
        <v>3538</v>
      </c>
      <c r="B1185" s="83">
        <v>3</v>
      </c>
      <c r="C1185" s="110">
        <v>0.006474141851113754</v>
      </c>
      <c r="D1185" s="83" t="s">
        <v>3417</v>
      </c>
      <c r="E1185" s="83" t="b">
        <v>0</v>
      </c>
      <c r="F1185" s="83" t="b">
        <v>0</v>
      </c>
      <c r="G1185" s="83" t="b">
        <v>0</v>
      </c>
    </row>
    <row r="1186" spans="1:7" ht="15">
      <c r="A1186" s="84" t="s">
        <v>3610</v>
      </c>
      <c r="B1186" s="83">
        <v>2</v>
      </c>
      <c r="C1186" s="110">
        <v>0.005828364788390667</v>
      </c>
      <c r="D1186" s="83" t="s">
        <v>3417</v>
      </c>
      <c r="E1186" s="83" t="b">
        <v>0</v>
      </c>
      <c r="F1186" s="83" t="b">
        <v>0</v>
      </c>
      <c r="G1186" s="83" t="b">
        <v>0</v>
      </c>
    </row>
    <row r="1187" spans="1:7" ht="15">
      <c r="A1187" s="84" t="s">
        <v>3611</v>
      </c>
      <c r="B1187" s="83">
        <v>2</v>
      </c>
      <c r="C1187" s="110">
        <v>0.005828364788390667</v>
      </c>
      <c r="D1187" s="83" t="s">
        <v>3417</v>
      </c>
      <c r="E1187" s="83" t="b">
        <v>0</v>
      </c>
      <c r="F1187" s="83" t="b">
        <v>0</v>
      </c>
      <c r="G1187" s="83" t="b">
        <v>0</v>
      </c>
    </row>
    <row r="1188" spans="1:7" ht="15">
      <c r="A1188" s="84" t="s">
        <v>3867</v>
      </c>
      <c r="B1188" s="83">
        <v>2</v>
      </c>
      <c r="C1188" s="110">
        <v>0.004874228510533357</v>
      </c>
      <c r="D1188" s="83" t="s">
        <v>3417</v>
      </c>
      <c r="E1188" s="83" t="b">
        <v>0</v>
      </c>
      <c r="F1188" s="83" t="b">
        <v>0</v>
      </c>
      <c r="G1188" s="83" t="b">
        <v>0</v>
      </c>
    </row>
    <row r="1189" spans="1:7" ht="15">
      <c r="A1189" s="84" t="s">
        <v>3864</v>
      </c>
      <c r="B1189" s="83">
        <v>2</v>
      </c>
      <c r="C1189" s="110">
        <v>0.004874228510533357</v>
      </c>
      <c r="D1189" s="83" t="s">
        <v>3417</v>
      </c>
      <c r="E1189" s="83" t="b">
        <v>1</v>
      </c>
      <c r="F1189" s="83" t="b">
        <v>0</v>
      </c>
      <c r="G1189" s="83" t="b">
        <v>0</v>
      </c>
    </row>
    <row r="1190" spans="1:7" ht="15">
      <c r="A1190" s="84" t="s">
        <v>3606</v>
      </c>
      <c r="B1190" s="83">
        <v>2</v>
      </c>
      <c r="C1190" s="110">
        <v>0.004874228510533357</v>
      </c>
      <c r="D1190" s="83" t="s">
        <v>3417</v>
      </c>
      <c r="E1190" s="83" t="b">
        <v>0</v>
      </c>
      <c r="F1190" s="83" t="b">
        <v>0</v>
      </c>
      <c r="G1190" s="83" t="b">
        <v>0</v>
      </c>
    </row>
    <row r="1191" spans="1:7" ht="15">
      <c r="A1191" s="84" t="s">
        <v>3888</v>
      </c>
      <c r="B1191" s="83">
        <v>2</v>
      </c>
      <c r="C1191" s="110">
        <v>0.005828364788390667</v>
      </c>
      <c r="D1191" s="83" t="s">
        <v>3417</v>
      </c>
      <c r="E1191" s="83" t="b">
        <v>0</v>
      </c>
      <c r="F1191" s="83" t="b">
        <v>0</v>
      </c>
      <c r="G1191" s="83" t="b">
        <v>0</v>
      </c>
    </row>
    <row r="1192" spans="1:7" ht="15">
      <c r="A1192" s="84" t="s">
        <v>3890</v>
      </c>
      <c r="B1192" s="83">
        <v>2</v>
      </c>
      <c r="C1192" s="110">
        <v>0.005828364788390667</v>
      </c>
      <c r="D1192" s="83" t="s">
        <v>3417</v>
      </c>
      <c r="E1192" s="83" t="b">
        <v>0</v>
      </c>
      <c r="F1192" s="83" t="b">
        <v>0</v>
      </c>
      <c r="G1192" s="83" t="b">
        <v>0</v>
      </c>
    </row>
    <row r="1193" spans="1:7" ht="15">
      <c r="A1193" s="84" t="s">
        <v>3891</v>
      </c>
      <c r="B1193" s="83">
        <v>2</v>
      </c>
      <c r="C1193" s="110">
        <v>0.005828364788390667</v>
      </c>
      <c r="D1193" s="83" t="s">
        <v>3417</v>
      </c>
      <c r="E1193" s="83" t="b">
        <v>0</v>
      </c>
      <c r="F1193" s="83" t="b">
        <v>0</v>
      </c>
      <c r="G1193" s="83" t="b">
        <v>0</v>
      </c>
    </row>
    <row r="1194" spans="1:7" ht="15">
      <c r="A1194" s="84" t="s">
        <v>3892</v>
      </c>
      <c r="B1194" s="83">
        <v>2</v>
      </c>
      <c r="C1194" s="110">
        <v>0.005828364788390667</v>
      </c>
      <c r="D1194" s="83" t="s">
        <v>3417</v>
      </c>
      <c r="E1194" s="83" t="b">
        <v>0</v>
      </c>
      <c r="F1194" s="83" t="b">
        <v>0</v>
      </c>
      <c r="G1194" s="83" t="b">
        <v>0</v>
      </c>
    </row>
    <row r="1195" spans="1:7" ht="15">
      <c r="A1195" s="84" t="s">
        <v>3893</v>
      </c>
      <c r="B1195" s="83">
        <v>2</v>
      </c>
      <c r="C1195" s="110">
        <v>0.005828364788390667</v>
      </c>
      <c r="D1195" s="83" t="s">
        <v>3417</v>
      </c>
      <c r="E1195" s="83" t="b">
        <v>0</v>
      </c>
      <c r="F1195" s="83" t="b">
        <v>0</v>
      </c>
      <c r="G1195" s="83" t="b">
        <v>0</v>
      </c>
    </row>
    <row r="1196" spans="1:7" ht="15">
      <c r="A1196" s="84" t="s">
        <v>3894</v>
      </c>
      <c r="B1196" s="83">
        <v>2</v>
      </c>
      <c r="C1196" s="110">
        <v>0.005828364788390667</v>
      </c>
      <c r="D1196" s="83" t="s">
        <v>3417</v>
      </c>
      <c r="E1196" s="83" t="b">
        <v>0</v>
      </c>
      <c r="F1196" s="83" t="b">
        <v>0</v>
      </c>
      <c r="G1196" s="83" t="b">
        <v>0</v>
      </c>
    </row>
    <row r="1197" spans="1:7" ht="15">
      <c r="A1197" s="84" t="s">
        <v>3896</v>
      </c>
      <c r="B1197" s="83">
        <v>2</v>
      </c>
      <c r="C1197" s="110">
        <v>0.005828364788390667</v>
      </c>
      <c r="D1197" s="83" t="s">
        <v>3417</v>
      </c>
      <c r="E1197" s="83" t="b">
        <v>0</v>
      </c>
      <c r="F1197" s="83" t="b">
        <v>0</v>
      </c>
      <c r="G1197" s="83" t="b">
        <v>0</v>
      </c>
    </row>
    <row r="1198" spans="1:7" ht="15">
      <c r="A1198" s="84" t="s">
        <v>3897</v>
      </c>
      <c r="B1198" s="83">
        <v>2</v>
      </c>
      <c r="C1198" s="110">
        <v>0.005828364788390667</v>
      </c>
      <c r="D1198" s="83" t="s">
        <v>3417</v>
      </c>
      <c r="E1198" s="83" t="b">
        <v>0</v>
      </c>
      <c r="F1198" s="83" t="b">
        <v>0</v>
      </c>
      <c r="G1198" s="83" t="b">
        <v>0</v>
      </c>
    </row>
    <row r="1199" spans="1:7" ht="15">
      <c r="A1199" s="84" t="s">
        <v>3898</v>
      </c>
      <c r="B1199" s="83">
        <v>2</v>
      </c>
      <c r="C1199" s="110">
        <v>0.005828364788390667</v>
      </c>
      <c r="D1199" s="83" t="s">
        <v>3417</v>
      </c>
      <c r="E1199" s="83" t="b">
        <v>0</v>
      </c>
      <c r="F1199" s="83" t="b">
        <v>0</v>
      </c>
      <c r="G1199" s="83" t="b">
        <v>0</v>
      </c>
    </row>
    <row r="1200" spans="1:7" ht="15">
      <c r="A1200" s="84" t="s">
        <v>3868</v>
      </c>
      <c r="B1200" s="83">
        <v>2</v>
      </c>
      <c r="C1200" s="110">
        <v>0.004874228510533357</v>
      </c>
      <c r="D1200" s="83" t="s">
        <v>3417</v>
      </c>
      <c r="E1200" s="83" t="b">
        <v>0</v>
      </c>
      <c r="F1200" s="83" t="b">
        <v>0</v>
      </c>
      <c r="G1200" s="83" t="b">
        <v>0</v>
      </c>
    </row>
    <row r="1201" spans="1:7" ht="15">
      <c r="A1201" s="84" t="s">
        <v>3900</v>
      </c>
      <c r="B1201" s="83">
        <v>2</v>
      </c>
      <c r="C1201" s="110">
        <v>0.005828364788390667</v>
      </c>
      <c r="D1201" s="83" t="s">
        <v>3417</v>
      </c>
      <c r="E1201" s="83" t="b">
        <v>0</v>
      </c>
      <c r="F1201" s="83" t="b">
        <v>0</v>
      </c>
      <c r="G1201" s="83" t="b">
        <v>0</v>
      </c>
    </row>
    <row r="1202" spans="1:7" ht="15">
      <c r="A1202" s="84" t="s">
        <v>3882</v>
      </c>
      <c r="B1202" s="83">
        <v>2</v>
      </c>
      <c r="C1202" s="110">
        <v>0.004874228510533357</v>
      </c>
      <c r="D1202" s="83" t="s">
        <v>3417</v>
      </c>
      <c r="E1202" s="83" t="b">
        <v>0</v>
      </c>
      <c r="F1202" s="83" t="b">
        <v>0</v>
      </c>
      <c r="G1202" s="83" t="b">
        <v>0</v>
      </c>
    </row>
    <row r="1203" spans="1:7" ht="15">
      <c r="A1203" s="84" t="s">
        <v>3901</v>
      </c>
      <c r="B1203" s="83">
        <v>2</v>
      </c>
      <c r="C1203" s="110">
        <v>0.005828364788390667</v>
      </c>
      <c r="D1203" s="83" t="s">
        <v>3417</v>
      </c>
      <c r="E1203" s="83" t="b">
        <v>0</v>
      </c>
      <c r="F1203" s="83" t="b">
        <v>0</v>
      </c>
      <c r="G1203" s="83" t="b">
        <v>0</v>
      </c>
    </row>
    <row r="1204" spans="1:7" ht="15">
      <c r="A1204" s="84" t="s">
        <v>3902</v>
      </c>
      <c r="B1204" s="83">
        <v>2</v>
      </c>
      <c r="C1204" s="110">
        <v>0.005828364788390667</v>
      </c>
      <c r="D1204" s="83" t="s">
        <v>3417</v>
      </c>
      <c r="E1204" s="83" t="b">
        <v>0</v>
      </c>
      <c r="F1204" s="83" t="b">
        <v>0</v>
      </c>
      <c r="G1204" s="83" t="b">
        <v>0</v>
      </c>
    </row>
    <row r="1205" spans="1:7" ht="15">
      <c r="A1205" s="84" t="s">
        <v>3903</v>
      </c>
      <c r="B1205" s="83">
        <v>2</v>
      </c>
      <c r="C1205" s="110">
        <v>0.005828364788390667</v>
      </c>
      <c r="D1205" s="83" t="s">
        <v>3417</v>
      </c>
      <c r="E1205" s="83" t="b">
        <v>0</v>
      </c>
      <c r="F1205" s="83" t="b">
        <v>0</v>
      </c>
      <c r="G1205" s="83" t="b">
        <v>0</v>
      </c>
    </row>
    <row r="1206" spans="1:7" ht="15">
      <c r="A1206" s="84" t="s">
        <v>3603</v>
      </c>
      <c r="B1206" s="83">
        <v>2</v>
      </c>
      <c r="C1206" s="110">
        <v>0.004874228510533357</v>
      </c>
      <c r="D1206" s="83" t="s">
        <v>3417</v>
      </c>
      <c r="E1206" s="83" t="b">
        <v>0</v>
      </c>
      <c r="F1206" s="83" t="b">
        <v>0</v>
      </c>
      <c r="G1206" s="83" t="b">
        <v>0</v>
      </c>
    </row>
    <row r="1207" spans="1:7" ht="15">
      <c r="A1207" s="84" t="s">
        <v>3653</v>
      </c>
      <c r="B1207" s="83">
        <v>2</v>
      </c>
      <c r="C1207" s="110">
        <v>0.004874228510533357</v>
      </c>
      <c r="D1207" s="83" t="s">
        <v>3417</v>
      </c>
      <c r="E1207" s="83" t="b">
        <v>0</v>
      </c>
      <c r="F1207" s="83" t="b">
        <v>0</v>
      </c>
      <c r="G1207" s="83" t="b">
        <v>0</v>
      </c>
    </row>
    <row r="1208" spans="1:7" ht="15">
      <c r="A1208" s="84" t="s">
        <v>3664</v>
      </c>
      <c r="B1208" s="83">
        <v>2</v>
      </c>
      <c r="C1208" s="110">
        <v>0.005828364788390667</v>
      </c>
      <c r="D1208" s="83" t="s">
        <v>3417</v>
      </c>
      <c r="E1208" s="83" t="b">
        <v>0</v>
      </c>
      <c r="F1208" s="83" t="b">
        <v>0</v>
      </c>
      <c r="G1208" s="83" t="b">
        <v>0</v>
      </c>
    </row>
    <row r="1209" spans="1:7" ht="15">
      <c r="A1209" s="84" t="s">
        <v>3904</v>
      </c>
      <c r="B1209" s="83">
        <v>2</v>
      </c>
      <c r="C1209" s="110">
        <v>0.005828364788390667</v>
      </c>
      <c r="D1209" s="83" t="s">
        <v>3417</v>
      </c>
      <c r="E1209" s="83" t="b">
        <v>0</v>
      </c>
      <c r="F1209" s="83" t="b">
        <v>0</v>
      </c>
      <c r="G1209" s="83" t="b">
        <v>0</v>
      </c>
    </row>
    <row r="1210" spans="1:7" ht="15">
      <c r="A1210" s="84" t="s">
        <v>3485</v>
      </c>
      <c r="B1210" s="83">
        <v>2</v>
      </c>
      <c r="C1210" s="110">
        <v>0.004874228510533357</v>
      </c>
      <c r="D1210" s="83" t="s">
        <v>3417</v>
      </c>
      <c r="E1210" s="83" t="b">
        <v>0</v>
      </c>
      <c r="F1210" s="83" t="b">
        <v>0</v>
      </c>
      <c r="G1210" s="83" t="b">
        <v>0</v>
      </c>
    </row>
    <row r="1211" spans="1:7" ht="15">
      <c r="A1211" s="84" t="s">
        <v>3863</v>
      </c>
      <c r="B1211" s="83">
        <v>2</v>
      </c>
      <c r="C1211" s="110">
        <v>0.004874228510533357</v>
      </c>
      <c r="D1211" s="83" t="s">
        <v>3417</v>
      </c>
      <c r="E1211" s="83" t="b">
        <v>0</v>
      </c>
      <c r="F1211" s="83" t="b">
        <v>0</v>
      </c>
      <c r="G1211" s="83" t="b">
        <v>0</v>
      </c>
    </row>
    <row r="1212" spans="1:7" ht="15">
      <c r="A1212" s="84" t="s">
        <v>3875</v>
      </c>
      <c r="B1212" s="83">
        <v>2</v>
      </c>
      <c r="C1212" s="110">
        <v>0.004874228510533357</v>
      </c>
      <c r="D1212" s="83" t="s">
        <v>3417</v>
      </c>
      <c r="E1212" s="83" t="b">
        <v>0</v>
      </c>
      <c r="F1212" s="83" t="b">
        <v>0</v>
      </c>
      <c r="G1212" s="83" t="b">
        <v>0</v>
      </c>
    </row>
    <row r="1213" spans="1:7" ht="15">
      <c r="A1213" s="84" t="s">
        <v>3463</v>
      </c>
      <c r="B1213" s="83">
        <v>2</v>
      </c>
      <c r="C1213" s="110">
        <v>0.004874228510533357</v>
      </c>
      <c r="D1213" s="83" t="s">
        <v>3417</v>
      </c>
      <c r="E1213" s="83" t="b">
        <v>1</v>
      </c>
      <c r="F1213" s="83" t="b">
        <v>0</v>
      </c>
      <c r="G1213" s="83" t="b">
        <v>0</v>
      </c>
    </row>
    <row r="1214" spans="1:7" ht="15">
      <c r="A1214" s="84" t="s">
        <v>3654</v>
      </c>
      <c r="B1214" s="83">
        <v>2</v>
      </c>
      <c r="C1214" s="110">
        <v>0.004874228510533357</v>
      </c>
      <c r="D1214" s="83" t="s">
        <v>3417</v>
      </c>
      <c r="E1214" s="83" t="b">
        <v>0</v>
      </c>
      <c r="F1214" s="83" t="b">
        <v>0</v>
      </c>
      <c r="G1214" s="83" t="b">
        <v>0</v>
      </c>
    </row>
    <row r="1215" spans="1:7" ht="15">
      <c r="A1215" s="84" t="s">
        <v>3879</v>
      </c>
      <c r="B1215" s="83">
        <v>2</v>
      </c>
      <c r="C1215" s="110">
        <v>0.004874228510533357</v>
      </c>
      <c r="D1215" s="83" t="s">
        <v>3417</v>
      </c>
      <c r="E1215" s="83" t="b">
        <v>0</v>
      </c>
      <c r="F1215" s="83" t="b">
        <v>0</v>
      </c>
      <c r="G1215" s="83" t="b">
        <v>0</v>
      </c>
    </row>
    <row r="1216" spans="1:7" ht="15">
      <c r="A1216" s="84" t="s">
        <v>3536</v>
      </c>
      <c r="B1216" s="83">
        <v>2</v>
      </c>
      <c r="C1216" s="110">
        <v>0.004874228510533357</v>
      </c>
      <c r="D1216" s="83" t="s">
        <v>3417</v>
      </c>
      <c r="E1216" s="83" t="b">
        <v>0</v>
      </c>
      <c r="F1216" s="83" t="b">
        <v>0</v>
      </c>
      <c r="G1216" s="83" t="b">
        <v>0</v>
      </c>
    </row>
    <row r="1217" spans="1:7" ht="15">
      <c r="A1217" s="84" t="s">
        <v>3644</v>
      </c>
      <c r="B1217" s="83">
        <v>2</v>
      </c>
      <c r="C1217" s="110">
        <v>0.004874228510533357</v>
      </c>
      <c r="D1217" s="83" t="s">
        <v>3417</v>
      </c>
      <c r="E1217" s="83" t="b">
        <v>0</v>
      </c>
      <c r="F1217" s="83" t="b">
        <v>0</v>
      </c>
      <c r="G1217" s="83" t="b">
        <v>0</v>
      </c>
    </row>
    <row r="1218" spans="1:7" ht="15">
      <c r="A1218" s="84" t="s">
        <v>3576</v>
      </c>
      <c r="B1218" s="83">
        <v>2</v>
      </c>
      <c r="C1218" s="110">
        <v>0.004874228510533357</v>
      </c>
      <c r="D1218" s="83" t="s">
        <v>3417</v>
      </c>
      <c r="E1218" s="83" t="b">
        <v>0</v>
      </c>
      <c r="F1218" s="83" t="b">
        <v>0</v>
      </c>
      <c r="G1218" s="83" t="b">
        <v>0</v>
      </c>
    </row>
    <row r="1219" spans="1:7" ht="15">
      <c r="A1219" s="84" t="s">
        <v>3658</v>
      </c>
      <c r="B1219" s="83">
        <v>2</v>
      </c>
      <c r="C1219" s="110">
        <v>0.004874228510533357</v>
      </c>
      <c r="D1219" s="83" t="s">
        <v>3417</v>
      </c>
      <c r="E1219" s="83" t="b">
        <v>0</v>
      </c>
      <c r="F1219" s="83" t="b">
        <v>0</v>
      </c>
      <c r="G1219" s="83" t="b">
        <v>0</v>
      </c>
    </row>
    <row r="1220" spans="1:7" ht="15">
      <c r="A1220" s="84" t="s">
        <v>3869</v>
      </c>
      <c r="B1220" s="83">
        <v>2</v>
      </c>
      <c r="C1220" s="110">
        <v>0.004874228510533357</v>
      </c>
      <c r="D1220" s="83" t="s">
        <v>3417</v>
      </c>
      <c r="E1220" s="83" t="b">
        <v>1</v>
      </c>
      <c r="F1220" s="83" t="b">
        <v>0</v>
      </c>
      <c r="G1220" s="83" t="b">
        <v>0</v>
      </c>
    </row>
    <row r="1221" spans="1:7" ht="15">
      <c r="A1221" s="84" t="s">
        <v>3710</v>
      </c>
      <c r="B1221" s="83">
        <v>2</v>
      </c>
      <c r="C1221" s="110">
        <v>0.004874228510533357</v>
      </c>
      <c r="D1221" s="83" t="s">
        <v>3417</v>
      </c>
      <c r="E1221" s="83" t="b">
        <v>0</v>
      </c>
      <c r="F1221" s="83" t="b">
        <v>0</v>
      </c>
      <c r="G1221" s="83" t="b">
        <v>0</v>
      </c>
    </row>
    <row r="1222" spans="1:7" ht="15">
      <c r="A1222" s="84" t="s">
        <v>3873</v>
      </c>
      <c r="B1222" s="83">
        <v>2</v>
      </c>
      <c r="C1222" s="110">
        <v>0.004874228510533357</v>
      </c>
      <c r="D1222" s="83" t="s">
        <v>3417</v>
      </c>
      <c r="E1222" s="83" t="b">
        <v>0</v>
      </c>
      <c r="F1222" s="83" t="b">
        <v>0</v>
      </c>
      <c r="G1222" s="83" t="b">
        <v>0</v>
      </c>
    </row>
    <row r="1223" spans="1:7" ht="15">
      <c r="A1223" s="84" t="s">
        <v>3600</v>
      </c>
      <c r="B1223" s="83">
        <v>2</v>
      </c>
      <c r="C1223" s="110">
        <v>0.004874228510533357</v>
      </c>
      <c r="D1223" s="83" t="s">
        <v>3417</v>
      </c>
      <c r="E1223" s="83" t="b">
        <v>1</v>
      </c>
      <c r="F1223" s="83" t="b">
        <v>0</v>
      </c>
      <c r="G1223" s="83" t="b">
        <v>0</v>
      </c>
    </row>
    <row r="1224" spans="1:7" ht="15">
      <c r="A1224" s="84" t="s">
        <v>3725</v>
      </c>
      <c r="B1224" s="83">
        <v>2</v>
      </c>
      <c r="C1224" s="110">
        <v>0.004874228510533357</v>
      </c>
      <c r="D1224" s="83" t="s">
        <v>3417</v>
      </c>
      <c r="E1224" s="83" t="b">
        <v>0</v>
      </c>
      <c r="F1224" s="83" t="b">
        <v>0</v>
      </c>
      <c r="G1224" s="83" t="b">
        <v>0</v>
      </c>
    </row>
    <row r="1225" spans="1:7" ht="15">
      <c r="A1225" s="84" t="s">
        <v>3505</v>
      </c>
      <c r="B1225" s="83">
        <v>2</v>
      </c>
      <c r="C1225" s="110">
        <v>0.004874228510533357</v>
      </c>
      <c r="D1225" s="83" t="s">
        <v>3417</v>
      </c>
      <c r="E1225" s="83" t="b">
        <v>1</v>
      </c>
      <c r="F1225" s="83" t="b">
        <v>0</v>
      </c>
      <c r="G1225" s="83" t="b">
        <v>0</v>
      </c>
    </row>
    <row r="1226" spans="1:7" ht="15">
      <c r="A1226" s="84" t="s">
        <v>3511</v>
      </c>
      <c r="B1226" s="83">
        <v>2</v>
      </c>
      <c r="C1226" s="110">
        <v>0.004874228510533357</v>
      </c>
      <c r="D1226" s="83" t="s">
        <v>3417</v>
      </c>
      <c r="E1226" s="83" t="b">
        <v>0</v>
      </c>
      <c r="F1226" s="83" t="b">
        <v>0</v>
      </c>
      <c r="G1226" s="83" t="b">
        <v>0</v>
      </c>
    </row>
    <row r="1227" spans="1:7" ht="15">
      <c r="A1227" s="84" t="s">
        <v>3870</v>
      </c>
      <c r="B1227" s="83">
        <v>2</v>
      </c>
      <c r="C1227" s="110">
        <v>0.004874228510533357</v>
      </c>
      <c r="D1227" s="83" t="s">
        <v>3417</v>
      </c>
      <c r="E1227" s="83" t="b">
        <v>0</v>
      </c>
      <c r="F1227" s="83" t="b">
        <v>0</v>
      </c>
      <c r="G1227" s="83" t="b">
        <v>0</v>
      </c>
    </row>
    <row r="1228" spans="1:7" ht="15">
      <c r="A1228" s="84" t="s">
        <v>3521</v>
      </c>
      <c r="B1228" s="83">
        <v>2</v>
      </c>
      <c r="C1228" s="110">
        <v>0.004874228510533357</v>
      </c>
      <c r="D1228" s="83" t="s">
        <v>3417</v>
      </c>
      <c r="E1228" s="83" t="b">
        <v>1</v>
      </c>
      <c r="F1228" s="83" t="b">
        <v>0</v>
      </c>
      <c r="G1228" s="83" t="b">
        <v>0</v>
      </c>
    </row>
    <row r="1229" spans="1:7" ht="15">
      <c r="A1229" s="84" t="s">
        <v>3478</v>
      </c>
      <c r="B1229" s="83">
        <v>2</v>
      </c>
      <c r="C1229" s="110">
        <v>0.004874228510533357</v>
      </c>
      <c r="D1229" s="83" t="s">
        <v>3417</v>
      </c>
      <c r="E1229" s="83" t="b">
        <v>0</v>
      </c>
      <c r="F1229" s="83" t="b">
        <v>0</v>
      </c>
      <c r="G1229" s="83" t="b">
        <v>0</v>
      </c>
    </row>
    <row r="1230" spans="1:7" ht="15">
      <c r="A1230" s="84" t="s">
        <v>3605</v>
      </c>
      <c r="B1230" s="83">
        <v>2</v>
      </c>
      <c r="C1230" s="110">
        <v>0.004874228510533357</v>
      </c>
      <c r="D1230" s="83" t="s">
        <v>3417</v>
      </c>
      <c r="E1230" s="83" t="b">
        <v>0</v>
      </c>
      <c r="F1230" s="83" t="b">
        <v>0</v>
      </c>
      <c r="G1230" s="83" t="b">
        <v>0</v>
      </c>
    </row>
    <row r="1231" spans="1:7" ht="15">
      <c r="A1231" s="84" t="s">
        <v>3866</v>
      </c>
      <c r="B1231" s="83">
        <v>2</v>
      </c>
      <c r="C1231" s="110">
        <v>0.004874228510533357</v>
      </c>
      <c r="D1231" s="83" t="s">
        <v>3417</v>
      </c>
      <c r="E1231" s="83" t="b">
        <v>0</v>
      </c>
      <c r="F1231" s="83" t="b">
        <v>0</v>
      </c>
      <c r="G1231" s="83" t="b">
        <v>0</v>
      </c>
    </row>
    <row r="1232" spans="1:7" ht="15">
      <c r="A1232" s="84" t="s">
        <v>3719</v>
      </c>
      <c r="B1232" s="83">
        <v>2</v>
      </c>
      <c r="C1232" s="110">
        <v>0.004874228510533357</v>
      </c>
      <c r="D1232" s="83" t="s">
        <v>3417</v>
      </c>
      <c r="E1232" s="83" t="b">
        <v>0</v>
      </c>
      <c r="F1232" s="83" t="b">
        <v>0</v>
      </c>
      <c r="G1232" s="83" t="b">
        <v>0</v>
      </c>
    </row>
    <row r="1233" spans="1:7" ht="15">
      <c r="A1233" s="84" t="s">
        <v>3865</v>
      </c>
      <c r="B1233" s="83">
        <v>2</v>
      </c>
      <c r="C1233" s="110">
        <v>0.004874228510533357</v>
      </c>
      <c r="D1233" s="83" t="s">
        <v>3417</v>
      </c>
      <c r="E1233" s="83" t="b">
        <v>1</v>
      </c>
      <c r="F1233" s="83" t="b">
        <v>0</v>
      </c>
      <c r="G1233" s="83" t="b">
        <v>0</v>
      </c>
    </row>
    <row r="1234" spans="1:7" ht="15">
      <c r="A1234" s="84" t="s">
        <v>3523</v>
      </c>
      <c r="B1234" s="83">
        <v>2</v>
      </c>
      <c r="C1234" s="110">
        <v>0.004874228510533357</v>
      </c>
      <c r="D1234" s="83" t="s">
        <v>3417</v>
      </c>
      <c r="E1234" s="83" t="b">
        <v>0</v>
      </c>
      <c r="F1234" s="83" t="b">
        <v>0</v>
      </c>
      <c r="G1234" s="83" t="b">
        <v>0</v>
      </c>
    </row>
    <row r="1235" spans="1:7" ht="15">
      <c r="A1235" s="84" t="s">
        <v>3471</v>
      </c>
      <c r="B1235" s="83">
        <v>2</v>
      </c>
      <c r="C1235" s="110">
        <v>0.004874228510533357</v>
      </c>
      <c r="D1235" s="83" t="s">
        <v>3417</v>
      </c>
      <c r="E1235" s="83" t="b">
        <v>1</v>
      </c>
      <c r="F1235" s="83" t="b">
        <v>0</v>
      </c>
      <c r="G1235" s="83" t="b">
        <v>0</v>
      </c>
    </row>
    <row r="1236" spans="1:7" ht="15">
      <c r="A1236" s="84" t="s">
        <v>3650</v>
      </c>
      <c r="B1236" s="83">
        <v>2</v>
      </c>
      <c r="C1236" s="110">
        <v>0.004874228510533357</v>
      </c>
      <c r="D1236" s="83" t="s">
        <v>3417</v>
      </c>
      <c r="E1236" s="83" t="b">
        <v>0</v>
      </c>
      <c r="F1236" s="83" t="b">
        <v>1</v>
      </c>
      <c r="G1236" s="83" t="b">
        <v>0</v>
      </c>
    </row>
    <row r="1237" spans="1:7" ht="15">
      <c r="A1237" s="84" t="s">
        <v>3649</v>
      </c>
      <c r="B1237" s="83">
        <v>2</v>
      </c>
      <c r="C1237" s="110">
        <v>0.004874228510533357</v>
      </c>
      <c r="D1237" s="83" t="s">
        <v>3417</v>
      </c>
      <c r="E1237" s="83" t="b">
        <v>0</v>
      </c>
      <c r="F1237" s="83" t="b">
        <v>0</v>
      </c>
      <c r="G1237" s="83" t="b">
        <v>0</v>
      </c>
    </row>
    <row r="1238" spans="1:7" ht="15">
      <c r="A1238" s="84" t="s">
        <v>3484</v>
      </c>
      <c r="B1238" s="83">
        <v>2</v>
      </c>
      <c r="C1238" s="110">
        <v>0.004874228510533357</v>
      </c>
      <c r="D1238" s="83" t="s">
        <v>3417</v>
      </c>
      <c r="E1238" s="83" t="b">
        <v>1</v>
      </c>
      <c r="F1238" s="83" t="b">
        <v>0</v>
      </c>
      <c r="G1238" s="83" t="b">
        <v>0</v>
      </c>
    </row>
    <row r="1239" spans="1:7" ht="15">
      <c r="A1239" s="84" t="s">
        <v>3517</v>
      </c>
      <c r="B1239" s="83">
        <v>2</v>
      </c>
      <c r="C1239" s="110">
        <v>0.004874228510533357</v>
      </c>
      <c r="D1239" s="83" t="s">
        <v>3417</v>
      </c>
      <c r="E1239" s="83" t="b">
        <v>0</v>
      </c>
      <c r="F1239" s="83" t="b">
        <v>0</v>
      </c>
      <c r="G1239" s="83" t="b">
        <v>0</v>
      </c>
    </row>
    <row r="1240" spans="1:7" ht="15">
      <c r="A1240" s="84" t="s">
        <v>3460</v>
      </c>
      <c r="B1240" s="83">
        <v>2</v>
      </c>
      <c r="C1240" s="110">
        <v>0.004874228510533357</v>
      </c>
      <c r="D1240" s="83" t="s">
        <v>3417</v>
      </c>
      <c r="E1240" s="83" t="b">
        <v>1</v>
      </c>
      <c r="F1240" s="83" t="b">
        <v>0</v>
      </c>
      <c r="G1240" s="83" t="b">
        <v>0</v>
      </c>
    </row>
    <row r="1241" spans="1:7" ht="15">
      <c r="A1241" s="84" t="s">
        <v>3469</v>
      </c>
      <c r="B1241" s="83">
        <v>2</v>
      </c>
      <c r="C1241" s="110">
        <v>0.004874228510533357</v>
      </c>
      <c r="D1241" s="83" t="s">
        <v>3417</v>
      </c>
      <c r="E1241" s="83" t="b">
        <v>1</v>
      </c>
      <c r="F1241" s="83" t="b">
        <v>0</v>
      </c>
      <c r="G1241" s="83" t="b">
        <v>0</v>
      </c>
    </row>
    <row r="1242" spans="1:7" ht="15">
      <c r="A1242" s="84" t="s">
        <v>3861</v>
      </c>
      <c r="B1242" s="83">
        <v>2</v>
      </c>
      <c r="C1242" s="110">
        <v>0.005828364788390667</v>
      </c>
      <c r="D1242" s="83" t="s">
        <v>3417</v>
      </c>
      <c r="E1242" s="83" t="b">
        <v>0</v>
      </c>
      <c r="F1242" s="83" t="b">
        <v>0</v>
      </c>
      <c r="G1242" s="83" t="b">
        <v>0</v>
      </c>
    </row>
    <row r="1243" spans="1:7" ht="15">
      <c r="A1243" s="84" t="s">
        <v>3651</v>
      </c>
      <c r="B1243" s="83">
        <v>2</v>
      </c>
      <c r="C1243" s="110">
        <v>0.004874228510533357</v>
      </c>
      <c r="D1243" s="83" t="s">
        <v>3417</v>
      </c>
      <c r="E1243" s="83" t="b">
        <v>0</v>
      </c>
      <c r="F1243" s="83" t="b">
        <v>0</v>
      </c>
      <c r="G1243" s="83" t="b">
        <v>0</v>
      </c>
    </row>
    <row r="1244" spans="1:7" ht="15">
      <c r="A1244" s="84" t="s">
        <v>3862</v>
      </c>
      <c r="B1244" s="83">
        <v>2</v>
      </c>
      <c r="C1244" s="110">
        <v>0.005828364788390667</v>
      </c>
      <c r="D1244" s="83" t="s">
        <v>3417</v>
      </c>
      <c r="E1244" s="83" t="b">
        <v>0</v>
      </c>
      <c r="F1244" s="83" t="b">
        <v>0</v>
      </c>
      <c r="G1244" s="83" t="b">
        <v>0</v>
      </c>
    </row>
    <row r="1245" spans="1:7" ht="15">
      <c r="A1245" s="84" t="s">
        <v>3520</v>
      </c>
      <c r="B1245" s="83">
        <v>2</v>
      </c>
      <c r="C1245" s="110">
        <v>0.004874228510533357</v>
      </c>
      <c r="D1245" s="83" t="s">
        <v>3417</v>
      </c>
      <c r="E1245" s="83" t="b">
        <v>1</v>
      </c>
      <c r="F1245" s="83" t="b">
        <v>0</v>
      </c>
      <c r="G1245" s="83" t="b">
        <v>0</v>
      </c>
    </row>
    <row r="1246" spans="1:7" ht="15">
      <c r="A1246" s="84" t="s">
        <v>3558</v>
      </c>
      <c r="B1246" s="83">
        <v>2</v>
      </c>
      <c r="C1246" s="110">
        <v>0.004874228510533357</v>
      </c>
      <c r="D1246" s="83" t="s">
        <v>3417</v>
      </c>
      <c r="E1246" s="83" t="b">
        <v>0</v>
      </c>
      <c r="F1246" s="83" t="b">
        <v>0</v>
      </c>
      <c r="G1246" s="83" t="b">
        <v>0</v>
      </c>
    </row>
    <row r="1247" spans="1:7" ht="15">
      <c r="A1247" s="84" t="s">
        <v>3730</v>
      </c>
      <c r="B1247" s="83">
        <v>2</v>
      </c>
      <c r="C1247" s="110">
        <v>0.005828364788390667</v>
      </c>
      <c r="D1247" s="83" t="s">
        <v>3417</v>
      </c>
      <c r="E1247" s="83" t="b">
        <v>0</v>
      </c>
      <c r="F1247" s="83" t="b">
        <v>0</v>
      </c>
      <c r="G1247" s="83" t="b">
        <v>0</v>
      </c>
    </row>
    <row r="1248" spans="1:7" ht="15">
      <c r="A1248" s="84" t="s">
        <v>3486</v>
      </c>
      <c r="B1248" s="83">
        <v>2</v>
      </c>
      <c r="C1248" s="110">
        <v>0.004874228510533357</v>
      </c>
      <c r="D1248" s="83" t="s">
        <v>3417</v>
      </c>
      <c r="E1248" s="83" t="b">
        <v>1</v>
      </c>
      <c r="F1248" s="83" t="b">
        <v>0</v>
      </c>
      <c r="G1248" s="83" t="b">
        <v>0</v>
      </c>
    </row>
    <row r="1249" spans="1:7" ht="15">
      <c r="A1249" s="84" t="s">
        <v>3467</v>
      </c>
      <c r="B1249" s="83">
        <v>12</v>
      </c>
      <c r="C1249" s="110">
        <v>0.03087575405132471</v>
      </c>
      <c r="D1249" s="83" t="s">
        <v>3418</v>
      </c>
      <c r="E1249" s="83" t="b">
        <v>0</v>
      </c>
      <c r="F1249" s="83" t="b">
        <v>0</v>
      </c>
      <c r="G1249" s="83" t="b">
        <v>0</v>
      </c>
    </row>
    <row r="1250" spans="1:7" ht="15">
      <c r="A1250" s="84" t="s">
        <v>3461</v>
      </c>
      <c r="B1250" s="83">
        <v>8</v>
      </c>
      <c r="C1250" s="110">
        <v>0.02594022414237408</v>
      </c>
      <c r="D1250" s="83" t="s">
        <v>3418</v>
      </c>
      <c r="E1250" s="83" t="b">
        <v>1</v>
      </c>
      <c r="F1250" s="83" t="b">
        <v>0</v>
      </c>
      <c r="G1250" s="83" t="b">
        <v>0</v>
      </c>
    </row>
    <row r="1251" spans="1:7" ht="15">
      <c r="A1251" s="84" t="s">
        <v>3460</v>
      </c>
      <c r="B1251" s="83">
        <v>8</v>
      </c>
      <c r="C1251" s="110">
        <v>0.02594022414237408</v>
      </c>
      <c r="D1251" s="83" t="s">
        <v>3418</v>
      </c>
      <c r="E1251" s="83" t="b">
        <v>1</v>
      </c>
      <c r="F1251" s="83" t="b">
        <v>0</v>
      </c>
      <c r="G1251" s="83" t="b">
        <v>0</v>
      </c>
    </row>
    <row r="1252" spans="1:7" ht="15">
      <c r="A1252" s="84" t="s">
        <v>3527</v>
      </c>
      <c r="B1252" s="83">
        <v>8</v>
      </c>
      <c r="C1252" s="110">
        <v>0.02594022414237408</v>
      </c>
      <c r="D1252" s="83" t="s">
        <v>3418</v>
      </c>
      <c r="E1252" s="83" t="b">
        <v>0</v>
      </c>
      <c r="F1252" s="83" t="b">
        <v>0</v>
      </c>
      <c r="G1252" s="83" t="b">
        <v>0</v>
      </c>
    </row>
    <row r="1253" spans="1:7" ht="15">
      <c r="A1253" s="84" t="s">
        <v>3457</v>
      </c>
      <c r="B1253" s="83">
        <v>7</v>
      </c>
      <c r="C1253" s="110">
        <v>0.02424120802132183</v>
      </c>
      <c r="D1253" s="83" t="s">
        <v>3418</v>
      </c>
      <c r="E1253" s="83" t="b">
        <v>1</v>
      </c>
      <c r="F1253" s="83" t="b">
        <v>0</v>
      </c>
      <c r="G1253" s="83" t="b">
        <v>0</v>
      </c>
    </row>
    <row r="1254" spans="1:7" ht="15">
      <c r="A1254" s="84" t="s">
        <v>3542</v>
      </c>
      <c r="B1254" s="83">
        <v>5</v>
      </c>
      <c r="C1254" s="110">
        <v>0.020093248124267542</v>
      </c>
      <c r="D1254" s="83" t="s">
        <v>3418</v>
      </c>
      <c r="E1254" s="83" t="b">
        <v>1</v>
      </c>
      <c r="F1254" s="83" t="b">
        <v>0</v>
      </c>
      <c r="G1254" s="83" t="b">
        <v>0</v>
      </c>
    </row>
    <row r="1255" spans="1:7" ht="15">
      <c r="A1255" s="84" t="s">
        <v>3458</v>
      </c>
      <c r="B1255" s="83">
        <v>5</v>
      </c>
      <c r="C1255" s="110">
        <v>0.020093248124267542</v>
      </c>
      <c r="D1255" s="83" t="s">
        <v>3418</v>
      </c>
      <c r="E1255" s="83" t="b">
        <v>0</v>
      </c>
      <c r="F1255" s="83" t="b">
        <v>0</v>
      </c>
      <c r="G1255" s="83" t="b">
        <v>0</v>
      </c>
    </row>
    <row r="1256" spans="1:7" ht="15">
      <c r="A1256" s="84" t="s">
        <v>1152</v>
      </c>
      <c r="B1256" s="83">
        <v>5</v>
      </c>
      <c r="C1256" s="110">
        <v>0.020093248124267542</v>
      </c>
      <c r="D1256" s="83" t="s">
        <v>3418</v>
      </c>
      <c r="E1256" s="83" t="b">
        <v>1</v>
      </c>
      <c r="F1256" s="83" t="b">
        <v>0</v>
      </c>
      <c r="G1256" s="83" t="b">
        <v>0</v>
      </c>
    </row>
    <row r="1257" spans="1:7" ht="15">
      <c r="A1257" s="84" t="s">
        <v>3511</v>
      </c>
      <c r="B1257" s="83">
        <v>5</v>
      </c>
      <c r="C1257" s="110">
        <v>0.020093248124267542</v>
      </c>
      <c r="D1257" s="83" t="s">
        <v>3418</v>
      </c>
      <c r="E1257" s="83" t="b">
        <v>0</v>
      </c>
      <c r="F1257" s="83" t="b">
        <v>0</v>
      </c>
      <c r="G1257" s="83" t="b">
        <v>0</v>
      </c>
    </row>
    <row r="1258" spans="1:7" ht="15">
      <c r="A1258" s="84" t="s">
        <v>3472</v>
      </c>
      <c r="B1258" s="83">
        <v>4</v>
      </c>
      <c r="C1258" s="110">
        <v>0.017548515047065078</v>
      </c>
      <c r="D1258" s="83" t="s">
        <v>3418</v>
      </c>
      <c r="E1258" s="83" t="b">
        <v>0</v>
      </c>
      <c r="F1258" s="83" t="b">
        <v>0</v>
      </c>
      <c r="G1258" s="83" t="b">
        <v>0</v>
      </c>
    </row>
    <row r="1259" spans="1:7" ht="15">
      <c r="A1259" s="84" t="s">
        <v>3494</v>
      </c>
      <c r="B1259" s="83">
        <v>4</v>
      </c>
      <c r="C1259" s="110">
        <v>0.017548515047065078</v>
      </c>
      <c r="D1259" s="83" t="s">
        <v>3418</v>
      </c>
      <c r="E1259" s="83" t="b">
        <v>0</v>
      </c>
      <c r="F1259" s="83" t="b">
        <v>0</v>
      </c>
      <c r="G1259" s="83" t="b">
        <v>0</v>
      </c>
    </row>
    <row r="1260" spans="1:7" ht="15">
      <c r="A1260" s="84" t="s">
        <v>3700</v>
      </c>
      <c r="B1260" s="83">
        <v>4</v>
      </c>
      <c r="C1260" s="110">
        <v>0.017548515047065078</v>
      </c>
      <c r="D1260" s="83" t="s">
        <v>3418</v>
      </c>
      <c r="E1260" s="83" t="b">
        <v>0</v>
      </c>
      <c r="F1260" s="83" t="b">
        <v>0</v>
      </c>
      <c r="G1260" s="83" t="b">
        <v>0</v>
      </c>
    </row>
    <row r="1261" spans="1:7" ht="15">
      <c r="A1261" s="84" t="s">
        <v>3479</v>
      </c>
      <c r="B1261" s="83">
        <v>4</v>
      </c>
      <c r="C1261" s="110">
        <v>0.017548515047065078</v>
      </c>
      <c r="D1261" s="83" t="s">
        <v>3418</v>
      </c>
      <c r="E1261" s="83" t="b">
        <v>0</v>
      </c>
      <c r="F1261" s="83" t="b">
        <v>0</v>
      </c>
      <c r="G1261" s="83" t="b">
        <v>0</v>
      </c>
    </row>
    <row r="1262" spans="1:7" ht="15">
      <c r="A1262" s="84" t="s">
        <v>3529</v>
      </c>
      <c r="B1262" s="83">
        <v>3</v>
      </c>
      <c r="C1262" s="110">
        <v>0.014586542976648239</v>
      </c>
      <c r="D1262" s="83" t="s">
        <v>3418</v>
      </c>
      <c r="E1262" s="83" t="b">
        <v>0</v>
      </c>
      <c r="F1262" s="83" t="b">
        <v>0</v>
      </c>
      <c r="G1262" s="83" t="b">
        <v>0</v>
      </c>
    </row>
    <row r="1263" spans="1:7" ht="15">
      <c r="A1263" s="84" t="s">
        <v>3538</v>
      </c>
      <c r="B1263" s="83">
        <v>3</v>
      </c>
      <c r="C1263" s="110">
        <v>0.014586542976648239</v>
      </c>
      <c r="D1263" s="83" t="s">
        <v>3418</v>
      </c>
      <c r="E1263" s="83" t="b">
        <v>0</v>
      </c>
      <c r="F1263" s="83" t="b">
        <v>0</v>
      </c>
      <c r="G1263" s="83" t="b">
        <v>0</v>
      </c>
    </row>
    <row r="1264" spans="1:7" ht="15">
      <c r="A1264" s="84" t="s">
        <v>3610</v>
      </c>
      <c r="B1264" s="83">
        <v>3</v>
      </c>
      <c r="C1264" s="110">
        <v>0.020028990749115873</v>
      </c>
      <c r="D1264" s="83" t="s">
        <v>3418</v>
      </c>
      <c r="E1264" s="83" t="b">
        <v>0</v>
      </c>
      <c r="F1264" s="83" t="b">
        <v>0</v>
      </c>
      <c r="G1264" s="83" t="b">
        <v>0</v>
      </c>
    </row>
    <row r="1265" spans="1:7" ht="15">
      <c r="A1265" s="84" t="s">
        <v>3611</v>
      </c>
      <c r="B1265" s="83">
        <v>3</v>
      </c>
      <c r="C1265" s="110">
        <v>0.020028990749115873</v>
      </c>
      <c r="D1265" s="83" t="s">
        <v>3418</v>
      </c>
      <c r="E1265" s="83" t="b">
        <v>0</v>
      </c>
      <c r="F1265" s="83" t="b">
        <v>0</v>
      </c>
      <c r="G1265" s="83" t="b">
        <v>0</v>
      </c>
    </row>
    <row r="1266" spans="1:7" ht="15">
      <c r="A1266" s="84" t="s">
        <v>3498</v>
      </c>
      <c r="B1266" s="83">
        <v>3</v>
      </c>
      <c r="C1266" s="110">
        <v>0.014586542976648239</v>
      </c>
      <c r="D1266" s="83" t="s">
        <v>3418</v>
      </c>
      <c r="E1266" s="83" t="b">
        <v>0</v>
      </c>
      <c r="F1266" s="83" t="b">
        <v>0</v>
      </c>
      <c r="G1266" s="83" t="b">
        <v>0</v>
      </c>
    </row>
    <row r="1267" spans="1:7" ht="15">
      <c r="A1267" s="84" t="s">
        <v>3486</v>
      </c>
      <c r="B1267" s="83">
        <v>3</v>
      </c>
      <c r="C1267" s="110">
        <v>0.014586542976648239</v>
      </c>
      <c r="D1267" s="83" t="s">
        <v>3418</v>
      </c>
      <c r="E1267" s="83" t="b">
        <v>1</v>
      </c>
      <c r="F1267" s="83" t="b">
        <v>0</v>
      </c>
      <c r="G1267" s="83" t="b">
        <v>0</v>
      </c>
    </row>
    <row r="1268" spans="1:7" ht="15">
      <c r="A1268" s="84" t="s">
        <v>3507</v>
      </c>
      <c r="B1268" s="83">
        <v>3</v>
      </c>
      <c r="C1268" s="110">
        <v>0.014586542976648239</v>
      </c>
      <c r="D1268" s="83" t="s">
        <v>3418</v>
      </c>
      <c r="E1268" s="83" t="b">
        <v>0</v>
      </c>
      <c r="F1268" s="83" t="b">
        <v>0</v>
      </c>
      <c r="G1268" s="83" t="b">
        <v>0</v>
      </c>
    </row>
    <row r="1269" spans="1:7" ht="15">
      <c r="A1269" s="84" t="s">
        <v>3504</v>
      </c>
      <c r="B1269" s="83">
        <v>3</v>
      </c>
      <c r="C1269" s="110">
        <v>0.014586542976648239</v>
      </c>
      <c r="D1269" s="83" t="s">
        <v>3418</v>
      </c>
      <c r="E1269" s="83" t="b">
        <v>0</v>
      </c>
      <c r="F1269" s="83" t="b">
        <v>0</v>
      </c>
      <c r="G1269" s="83" t="b">
        <v>0</v>
      </c>
    </row>
    <row r="1270" spans="1:7" ht="15">
      <c r="A1270" s="84" t="s">
        <v>3515</v>
      </c>
      <c r="B1270" s="83">
        <v>3</v>
      </c>
      <c r="C1270" s="110">
        <v>0.014586542976648239</v>
      </c>
      <c r="D1270" s="83" t="s">
        <v>3418</v>
      </c>
      <c r="E1270" s="83" t="b">
        <v>1</v>
      </c>
      <c r="F1270" s="83" t="b">
        <v>0</v>
      </c>
      <c r="G1270" s="83" t="b">
        <v>0</v>
      </c>
    </row>
    <row r="1271" spans="1:7" ht="15">
      <c r="A1271" s="84" t="s">
        <v>3466</v>
      </c>
      <c r="B1271" s="83">
        <v>3</v>
      </c>
      <c r="C1271" s="110">
        <v>0.014586542976648239</v>
      </c>
      <c r="D1271" s="83" t="s">
        <v>3418</v>
      </c>
      <c r="E1271" s="83" t="b">
        <v>0</v>
      </c>
      <c r="F1271" s="83" t="b">
        <v>0</v>
      </c>
      <c r="G1271" s="83" t="b">
        <v>0</v>
      </c>
    </row>
    <row r="1272" spans="1:7" ht="15">
      <c r="A1272" s="84" t="s">
        <v>3463</v>
      </c>
      <c r="B1272" s="83">
        <v>3</v>
      </c>
      <c r="C1272" s="110">
        <v>0.014586542976648239</v>
      </c>
      <c r="D1272" s="83" t="s">
        <v>3418</v>
      </c>
      <c r="E1272" s="83" t="b">
        <v>1</v>
      </c>
      <c r="F1272" s="83" t="b">
        <v>0</v>
      </c>
      <c r="G1272" s="83" t="b">
        <v>0</v>
      </c>
    </row>
    <row r="1273" spans="1:7" ht="15">
      <c r="A1273" s="84" t="s">
        <v>3626</v>
      </c>
      <c r="B1273" s="83">
        <v>3</v>
      </c>
      <c r="C1273" s="110">
        <v>0.014586542976648239</v>
      </c>
      <c r="D1273" s="83" t="s">
        <v>3418</v>
      </c>
      <c r="E1273" s="83" t="b">
        <v>0</v>
      </c>
      <c r="F1273" s="83" t="b">
        <v>0</v>
      </c>
      <c r="G1273" s="83" t="b">
        <v>0</v>
      </c>
    </row>
    <row r="1274" spans="1:7" ht="15">
      <c r="A1274" s="84" t="s">
        <v>3534</v>
      </c>
      <c r="B1274" s="83">
        <v>2</v>
      </c>
      <c r="C1274" s="110">
        <v>0.011063459011471561</v>
      </c>
      <c r="D1274" s="83" t="s">
        <v>3418</v>
      </c>
      <c r="E1274" s="83" t="b">
        <v>1</v>
      </c>
      <c r="F1274" s="83" t="b">
        <v>0</v>
      </c>
      <c r="G1274" s="83" t="b">
        <v>0</v>
      </c>
    </row>
    <row r="1275" spans="1:7" ht="15">
      <c r="A1275" s="84" t="s">
        <v>3718</v>
      </c>
      <c r="B1275" s="83">
        <v>2</v>
      </c>
      <c r="C1275" s="110">
        <v>0.011063459011471561</v>
      </c>
      <c r="D1275" s="83" t="s">
        <v>3418</v>
      </c>
      <c r="E1275" s="83" t="b">
        <v>0</v>
      </c>
      <c r="F1275" s="83" t="b">
        <v>0</v>
      </c>
      <c r="G1275" s="83" t="b">
        <v>0</v>
      </c>
    </row>
    <row r="1276" spans="1:7" ht="15">
      <c r="A1276" s="84" t="s">
        <v>3100</v>
      </c>
      <c r="B1276" s="83">
        <v>2</v>
      </c>
      <c r="C1276" s="110">
        <v>0.013352660499410581</v>
      </c>
      <c r="D1276" s="83" t="s">
        <v>3418</v>
      </c>
      <c r="E1276" s="83" t="b">
        <v>0</v>
      </c>
      <c r="F1276" s="83" t="b">
        <v>0</v>
      </c>
      <c r="G1276" s="83" t="b">
        <v>0</v>
      </c>
    </row>
    <row r="1277" spans="1:7" ht="15">
      <c r="A1277" s="84" t="s">
        <v>3695</v>
      </c>
      <c r="B1277" s="83">
        <v>2</v>
      </c>
      <c r="C1277" s="110">
        <v>0.011063459011471561</v>
      </c>
      <c r="D1277" s="83" t="s">
        <v>3418</v>
      </c>
      <c r="E1277" s="83" t="b">
        <v>0</v>
      </c>
      <c r="F1277" s="83" t="b">
        <v>0</v>
      </c>
      <c r="G1277" s="83" t="b">
        <v>0</v>
      </c>
    </row>
    <row r="1278" spans="1:7" ht="15">
      <c r="A1278" s="84" t="s">
        <v>3487</v>
      </c>
      <c r="B1278" s="83">
        <v>2</v>
      </c>
      <c r="C1278" s="110">
        <v>0.011063459011471561</v>
      </c>
      <c r="D1278" s="83" t="s">
        <v>3418</v>
      </c>
      <c r="E1278" s="83" t="b">
        <v>0</v>
      </c>
      <c r="F1278" s="83" t="b">
        <v>0</v>
      </c>
      <c r="G1278" s="83" t="b">
        <v>0</v>
      </c>
    </row>
    <row r="1279" spans="1:7" ht="15">
      <c r="A1279" s="84" t="s">
        <v>3551</v>
      </c>
      <c r="B1279" s="83">
        <v>2</v>
      </c>
      <c r="C1279" s="110">
        <v>0.011063459011471561</v>
      </c>
      <c r="D1279" s="83" t="s">
        <v>3418</v>
      </c>
      <c r="E1279" s="83" t="b">
        <v>0</v>
      </c>
      <c r="F1279" s="83" t="b">
        <v>0</v>
      </c>
      <c r="G1279" s="83" t="b">
        <v>0</v>
      </c>
    </row>
    <row r="1280" spans="1:7" ht="15">
      <c r="A1280" s="84" t="s">
        <v>3733</v>
      </c>
      <c r="B1280" s="83">
        <v>2</v>
      </c>
      <c r="C1280" s="110">
        <v>0.011063459011471561</v>
      </c>
      <c r="D1280" s="83" t="s">
        <v>3418</v>
      </c>
      <c r="E1280" s="83" t="b">
        <v>0</v>
      </c>
      <c r="F1280" s="83" t="b">
        <v>0</v>
      </c>
      <c r="G1280" s="83" t="b">
        <v>0</v>
      </c>
    </row>
    <row r="1281" spans="1:7" ht="15">
      <c r="A1281" s="84" t="s">
        <v>4139</v>
      </c>
      <c r="B1281" s="83">
        <v>2</v>
      </c>
      <c r="C1281" s="110">
        <v>0.011063459011471561</v>
      </c>
      <c r="D1281" s="83" t="s">
        <v>3418</v>
      </c>
      <c r="E1281" s="83" t="b">
        <v>0</v>
      </c>
      <c r="F1281" s="83" t="b">
        <v>0</v>
      </c>
      <c r="G1281" s="83" t="b">
        <v>0</v>
      </c>
    </row>
    <row r="1282" spans="1:7" ht="15">
      <c r="A1282" s="84" t="s">
        <v>3679</v>
      </c>
      <c r="B1282" s="83">
        <v>2</v>
      </c>
      <c r="C1282" s="110">
        <v>0.011063459011471561</v>
      </c>
      <c r="D1282" s="83" t="s">
        <v>3418</v>
      </c>
      <c r="E1282" s="83" t="b">
        <v>0</v>
      </c>
      <c r="F1282" s="83" t="b">
        <v>0</v>
      </c>
      <c r="G1282" s="83" t="b">
        <v>0</v>
      </c>
    </row>
    <row r="1283" spans="1:7" ht="15">
      <c r="A1283" s="84" t="s">
        <v>3459</v>
      </c>
      <c r="B1283" s="83">
        <v>2</v>
      </c>
      <c r="C1283" s="110">
        <v>0.011063459011471561</v>
      </c>
      <c r="D1283" s="83" t="s">
        <v>3418</v>
      </c>
      <c r="E1283" s="83" t="b">
        <v>0</v>
      </c>
      <c r="F1283" s="83" t="b">
        <v>0</v>
      </c>
      <c r="G1283" s="83" t="b">
        <v>0</v>
      </c>
    </row>
    <row r="1284" spans="1:7" ht="15">
      <c r="A1284" s="84" t="s">
        <v>4138</v>
      </c>
      <c r="B1284" s="83">
        <v>2</v>
      </c>
      <c r="C1284" s="110">
        <v>0.011063459011471561</v>
      </c>
      <c r="D1284" s="83" t="s">
        <v>3418</v>
      </c>
      <c r="E1284" s="83" t="b">
        <v>0</v>
      </c>
      <c r="F1284" s="83" t="b">
        <v>0</v>
      </c>
      <c r="G1284" s="83" t="b">
        <v>0</v>
      </c>
    </row>
    <row r="1285" spans="1:7" ht="15">
      <c r="A1285" s="84" t="s">
        <v>3846</v>
      </c>
      <c r="B1285" s="83">
        <v>2</v>
      </c>
      <c r="C1285" s="110">
        <v>0.011063459011471561</v>
      </c>
      <c r="D1285" s="83" t="s">
        <v>3418</v>
      </c>
      <c r="E1285" s="83" t="b">
        <v>1</v>
      </c>
      <c r="F1285" s="83" t="b">
        <v>0</v>
      </c>
      <c r="G1285" s="83" t="b">
        <v>0</v>
      </c>
    </row>
    <row r="1286" spans="1:7" ht="15">
      <c r="A1286" s="84" t="s">
        <v>3495</v>
      </c>
      <c r="B1286" s="83">
        <v>2</v>
      </c>
      <c r="C1286" s="110">
        <v>0.011063459011471561</v>
      </c>
      <c r="D1286" s="83" t="s">
        <v>3418</v>
      </c>
      <c r="E1286" s="83" t="b">
        <v>0</v>
      </c>
      <c r="F1286" s="83" t="b">
        <v>0</v>
      </c>
      <c r="G1286" s="83" t="b">
        <v>0</v>
      </c>
    </row>
    <row r="1287" spans="1:7" ht="15">
      <c r="A1287" s="84" t="s">
        <v>3464</v>
      </c>
      <c r="B1287" s="83">
        <v>2</v>
      </c>
      <c r="C1287" s="110">
        <v>0.011063459011471561</v>
      </c>
      <c r="D1287" s="83" t="s">
        <v>3418</v>
      </c>
      <c r="E1287" s="83" t="b">
        <v>1</v>
      </c>
      <c r="F1287" s="83" t="b">
        <v>0</v>
      </c>
      <c r="G1287" s="83" t="b">
        <v>0</v>
      </c>
    </row>
    <row r="1288" spans="1:7" ht="15">
      <c r="A1288" s="84" t="s">
        <v>3559</v>
      </c>
      <c r="B1288" s="83">
        <v>2</v>
      </c>
      <c r="C1288" s="110">
        <v>0.011063459011471561</v>
      </c>
      <c r="D1288" s="83" t="s">
        <v>3418</v>
      </c>
      <c r="E1288" s="83" t="b">
        <v>0</v>
      </c>
      <c r="F1288" s="83" t="b">
        <v>0</v>
      </c>
      <c r="G1288" s="83" t="b">
        <v>0</v>
      </c>
    </row>
    <row r="1289" spans="1:7" ht="15">
      <c r="A1289" s="84" t="s">
        <v>3845</v>
      </c>
      <c r="B1289" s="83">
        <v>2</v>
      </c>
      <c r="C1289" s="110">
        <v>0.011063459011471561</v>
      </c>
      <c r="D1289" s="83" t="s">
        <v>3418</v>
      </c>
      <c r="E1289" s="83" t="b">
        <v>0</v>
      </c>
      <c r="F1289" s="83" t="b">
        <v>0</v>
      </c>
      <c r="G1289" s="83" t="b">
        <v>0</v>
      </c>
    </row>
    <row r="1290" spans="1:7" ht="15">
      <c r="A1290" s="84" t="s">
        <v>3505</v>
      </c>
      <c r="B1290" s="83">
        <v>2</v>
      </c>
      <c r="C1290" s="110">
        <v>0.011063459011471561</v>
      </c>
      <c r="D1290" s="83" t="s">
        <v>3418</v>
      </c>
      <c r="E1290" s="83" t="b">
        <v>1</v>
      </c>
      <c r="F1290" s="83" t="b">
        <v>0</v>
      </c>
      <c r="G1290" s="83" t="b">
        <v>0</v>
      </c>
    </row>
    <row r="1291" spans="1:7" ht="15">
      <c r="A1291" s="84" t="s">
        <v>3549</v>
      </c>
      <c r="B1291" s="83">
        <v>2</v>
      </c>
      <c r="C1291" s="110">
        <v>0.011063459011471561</v>
      </c>
      <c r="D1291" s="83" t="s">
        <v>3418</v>
      </c>
      <c r="E1291" s="83" t="b">
        <v>0</v>
      </c>
      <c r="F1291" s="83" t="b">
        <v>0</v>
      </c>
      <c r="G1291" s="83" t="b">
        <v>0</v>
      </c>
    </row>
    <row r="1292" spans="1:7" ht="15">
      <c r="A1292" s="84" t="s">
        <v>3699</v>
      </c>
      <c r="B1292" s="83">
        <v>2</v>
      </c>
      <c r="C1292" s="110">
        <v>0.011063459011471561</v>
      </c>
      <c r="D1292" s="83" t="s">
        <v>3418</v>
      </c>
      <c r="E1292" s="83" t="b">
        <v>1</v>
      </c>
      <c r="F1292" s="83" t="b">
        <v>0</v>
      </c>
      <c r="G1292" s="83" t="b">
        <v>0</v>
      </c>
    </row>
    <row r="1293" spans="1:7" ht="15">
      <c r="A1293" s="84" t="s">
        <v>3625</v>
      </c>
      <c r="B1293" s="83">
        <v>2</v>
      </c>
      <c r="C1293" s="110">
        <v>0.011063459011471561</v>
      </c>
      <c r="D1293" s="83" t="s">
        <v>3418</v>
      </c>
      <c r="E1293" s="83" t="b">
        <v>0</v>
      </c>
      <c r="F1293" s="83" t="b">
        <v>0</v>
      </c>
      <c r="G1293" s="83" t="b">
        <v>0</v>
      </c>
    </row>
    <row r="1294" spans="1:7" ht="15">
      <c r="A1294" s="84" t="s">
        <v>3465</v>
      </c>
      <c r="B1294" s="83">
        <v>2</v>
      </c>
      <c r="C1294" s="110">
        <v>0.011063459011471561</v>
      </c>
      <c r="D1294" s="83" t="s">
        <v>3418</v>
      </c>
      <c r="E1294" s="83" t="b">
        <v>1</v>
      </c>
      <c r="F1294" s="83" t="b">
        <v>0</v>
      </c>
      <c r="G1294" s="83" t="b">
        <v>0</v>
      </c>
    </row>
    <row r="1295" spans="1:7" ht="15">
      <c r="A1295" s="84" t="s">
        <v>3643</v>
      </c>
      <c r="B1295" s="83">
        <v>2</v>
      </c>
      <c r="C1295" s="110">
        <v>0.011063459011471561</v>
      </c>
      <c r="D1295" s="83" t="s">
        <v>3418</v>
      </c>
      <c r="E1295" s="83" t="b">
        <v>1</v>
      </c>
      <c r="F1295" s="83" t="b">
        <v>0</v>
      </c>
      <c r="G1295" s="83" t="b">
        <v>0</v>
      </c>
    </row>
    <row r="1296" spans="1:7" ht="15">
      <c r="A1296" s="84" t="s">
        <v>3458</v>
      </c>
      <c r="B1296" s="83">
        <v>9</v>
      </c>
      <c r="C1296" s="110">
        <v>0.031987896503394134</v>
      </c>
      <c r="D1296" s="83" t="s">
        <v>3419</v>
      </c>
      <c r="E1296" s="83" t="b">
        <v>0</v>
      </c>
      <c r="F1296" s="83" t="b">
        <v>0</v>
      </c>
      <c r="G1296" s="83" t="b">
        <v>0</v>
      </c>
    </row>
    <row r="1297" spans="1:7" ht="15">
      <c r="A1297" s="84" t="s">
        <v>3457</v>
      </c>
      <c r="B1297" s="83">
        <v>6</v>
      </c>
      <c r="C1297" s="110">
        <v>0.027328375439767037</v>
      </c>
      <c r="D1297" s="83" t="s">
        <v>3419</v>
      </c>
      <c r="E1297" s="83" t="b">
        <v>1</v>
      </c>
      <c r="F1297" s="83" t="b">
        <v>0</v>
      </c>
      <c r="G1297" s="83" t="b">
        <v>0</v>
      </c>
    </row>
    <row r="1298" spans="1:7" ht="15">
      <c r="A1298" s="84" t="s">
        <v>3474</v>
      </c>
      <c r="B1298" s="83">
        <v>6</v>
      </c>
      <c r="C1298" s="110">
        <v>0.027328375439767037</v>
      </c>
      <c r="D1298" s="83" t="s">
        <v>3419</v>
      </c>
      <c r="E1298" s="83" t="b">
        <v>0</v>
      </c>
      <c r="F1298" s="83" t="b">
        <v>0</v>
      </c>
      <c r="G1298" s="83" t="b">
        <v>0</v>
      </c>
    </row>
    <row r="1299" spans="1:7" ht="15">
      <c r="A1299" s="84" t="s">
        <v>3508</v>
      </c>
      <c r="B1299" s="83">
        <v>6</v>
      </c>
      <c r="C1299" s="110">
        <v>0.027328375439767037</v>
      </c>
      <c r="D1299" s="83" t="s">
        <v>3419</v>
      </c>
      <c r="E1299" s="83" t="b">
        <v>0</v>
      </c>
      <c r="F1299" s="83" t="b">
        <v>0</v>
      </c>
      <c r="G1299" s="83" t="b">
        <v>0</v>
      </c>
    </row>
    <row r="1300" spans="1:7" ht="15">
      <c r="A1300" s="84" t="s">
        <v>3468</v>
      </c>
      <c r="B1300" s="83">
        <v>5</v>
      </c>
      <c r="C1300" s="110">
        <v>0.025023113417067935</v>
      </c>
      <c r="D1300" s="83" t="s">
        <v>3419</v>
      </c>
      <c r="E1300" s="83" t="b">
        <v>0</v>
      </c>
      <c r="F1300" s="83" t="b">
        <v>0</v>
      </c>
      <c r="G1300" s="83" t="b">
        <v>0</v>
      </c>
    </row>
    <row r="1301" spans="1:7" ht="15">
      <c r="A1301" s="84" t="s">
        <v>3465</v>
      </c>
      <c r="B1301" s="83">
        <v>5</v>
      </c>
      <c r="C1301" s="110">
        <v>0.025023113417067935</v>
      </c>
      <c r="D1301" s="83" t="s">
        <v>3419</v>
      </c>
      <c r="E1301" s="83" t="b">
        <v>1</v>
      </c>
      <c r="F1301" s="83" t="b">
        <v>0</v>
      </c>
      <c r="G1301" s="83" t="b">
        <v>0</v>
      </c>
    </row>
    <row r="1302" spans="1:7" ht="15">
      <c r="A1302" s="84" t="s">
        <v>3456</v>
      </c>
      <c r="B1302" s="83">
        <v>5</v>
      </c>
      <c r="C1302" s="110">
        <v>0.025023113417067935</v>
      </c>
      <c r="D1302" s="83" t="s">
        <v>3419</v>
      </c>
      <c r="E1302" s="83" t="b">
        <v>1</v>
      </c>
      <c r="F1302" s="83" t="b">
        <v>0</v>
      </c>
      <c r="G1302" s="83" t="b">
        <v>0</v>
      </c>
    </row>
    <row r="1303" spans="1:7" ht="15">
      <c r="A1303" s="84" t="s">
        <v>3466</v>
      </c>
      <c r="B1303" s="83">
        <v>5</v>
      </c>
      <c r="C1303" s="110">
        <v>0.025023113417067935</v>
      </c>
      <c r="D1303" s="83" t="s">
        <v>3419</v>
      </c>
      <c r="E1303" s="83" t="b">
        <v>0</v>
      </c>
      <c r="F1303" s="83" t="b">
        <v>0</v>
      </c>
      <c r="G1303" s="83" t="b">
        <v>0</v>
      </c>
    </row>
    <row r="1304" spans="1:7" ht="15">
      <c r="A1304" s="84" t="s">
        <v>3484</v>
      </c>
      <c r="B1304" s="83">
        <v>4</v>
      </c>
      <c r="C1304" s="110">
        <v>0.025060507770389723</v>
      </c>
      <c r="D1304" s="83" t="s">
        <v>3419</v>
      </c>
      <c r="E1304" s="83" t="b">
        <v>1</v>
      </c>
      <c r="F1304" s="83" t="b">
        <v>0</v>
      </c>
      <c r="G1304" s="83" t="b">
        <v>0</v>
      </c>
    </row>
    <row r="1305" spans="1:7" ht="15">
      <c r="A1305" s="84" t="s">
        <v>3490</v>
      </c>
      <c r="B1305" s="83">
        <v>3</v>
      </c>
      <c r="C1305" s="110">
        <v>0.01879538082779229</v>
      </c>
      <c r="D1305" s="83" t="s">
        <v>3419</v>
      </c>
      <c r="E1305" s="83" t="b">
        <v>0</v>
      </c>
      <c r="F1305" s="83" t="b">
        <v>0</v>
      </c>
      <c r="G1305" s="83" t="b">
        <v>0</v>
      </c>
    </row>
    <row r="1306" spans="1:7" ht="15">
      <c r="A1306" s="84" t="s">
        <v>3618</v>
      </c>
      <c r="B1306" s="83">
        <v>3</v>
      </c>
      <c r="C1306" s="110">
        <v>0.01879538082779229</v>
      </c>
      <c r="D1306" s="83" t="s">
        <v>3419</v>
      </c>
      <c r="E1306" s="83" t="b">
        <v>1</v>
      </c>
      <c r="F1306" s="83" t="b">
        <v>0</v>
      </c>
      <c r="G1306" s="83" t="b">
        <v>0</v>
      </c>
    </row>
    <row r="1307" spans="1:7" ht="15">
      <c r="A1307" s="84" t="s">
        <v>3479</v>
      </c>
      <c r="B1307" s="83">
        <v>3</v>
      </c>
      <c r="C1307" s="110">
        <v>0.01879538082779229</v>
      </c>
      <c r="D1307" s="83" t="s">
        <v>3419</v>
      </c>
      <c r="E1307" s="83" t="b">
        <v>0</v>
      </c>
      <c r="F1307" s="83" t="b">
        <v>0</v>
      </c>
      <c r="G1307" s="83" t="b">
        <v>0</v>
      </c>
    </row>
    <row r="1308" spans="1:7" ht="15">
      <c r="A1308" s="84" t="s">
        <v>3536</v>
      </c>
      <c r="B1308" s="83">
        <v>3</v>
      </c>
      <c r="C1308" s="110">
        <v>0.01879538082779229</v>
      </c>
      <c r="D1308" s="83" t="s">
        <v>3419</v>
      </c>
      <c r="E1308" s="83" t="b">
        <v>0</v>
      </c>
      <c r="F1308" s="83" t="b">
        <v>0</v>
      </c>
      <c r="G1308" s="83" t="b">
        <v>0</v>
      </c>
    </row>
    <row r="1309" spans="1:7" ht="15">
      <c r="A1309" s="84" t="s">
        <v>3798</v>
      </c>
      <c r="B1309" s="83">
        <v>3</v>
      </c>
      <c r="C1309" s="110">
        <v>0.01879538082779229</v>
      </c>
      <c r="D1309" s="83" t="s">
        <v>3419</v>
      </c>
      <c r="E1309" s="83" t="b">
        <v>0</v>
      </c>
      <c r="F1309" s="83" t="b">
        <v>0</v>
      </c>
      <c r="G1309" s="83" t="b">
        <v>0</v>
      </c>
    </row>
    <row r="1310" spans="1:7" ht="15">
      <c r="A1310" s="84" t="s">
        <v>3462</v>
      </c>
      <c r="B1310" s="83">
        <v>3</v>
      </c>
      <c r="C1310" s="110">
        <v>0.01879538082779229</v>
      </c>
      <c r="D1310" s="83" t="s">
        <v>3419</v>
      </c>
      <c r="E1310" s="83" t="b">
        <v>0</v>
      </c>
      <c r="F1310" s="83" t="b">
        <v>0</v>
      </c>
      <c r="G1310" s="83" t="b">
        <v>0</v>
      </c>
    </row>
    <row r="1311" spans="1:7" ht="15">
      <c r="A1311" s="84" t="s">
        <v>3655</v>
      </c>
      <c r="B1311" s="83">
        <v>3</v>
      </c>
      <c r="C1311" s="110">
        <v>0.026928129487786535</v>
      </c>
      <c r="D1311" s="83" t="s">
        <v>3419</v>
      </c>
      <c r="E1311" s="83" t="b">
        <v>0</v>
      </c>
      <c r="F1311" s="83" t="b">
        <v>0</v>
      </c>
      <c r="G1311" s="83" t="b">
        <v>0</v>
      </c>
    </row>
    <row r="1312" spans="1:7" ht="15">
      <c r="A1312" s="84" t="s">
        <v>3660</v>
      </c>
      <c r="B1312" s="83">
        <v>2</v>
      </c>
      <c r="C1312" s="110">
        <v>0.01453129091991851</v>
      </c>
      <c r="D1312" s="83" t="s">
        <v>3419</v>
      </c>
      <c r="E1312" s="83" t="b">
        <v>0</v>
      </c>
      <c r="F1312" s="83" t="b">
        <v>0</v>
      </c>
      <c r="G1312" s="83" t="b">
        <v>0</v>
      </c>
    </row>
    <row r="1313" spans="1:7" ht="15">
      <c r="A1313" s="84" t="s">
        <v>3921</v>
      </c>
      <c r="B1313" s="83">
        <v>2</v>
      </c>
      <c r="C1313" s="110">
        <v>0.01453129091991851</v>
      </c>
      <c r="D1313" s="83" t="s">
        <v>3419</v>
      </c>
      <c r="E1313" s="83" t="b">
        <v>0</v>
      </c>
      <c r="F1313" s="83" t="b">
        <v>0</v>
      </c>
      <c r="G1313" s="83" t="b">
        <v>0</v>
      </c>
    </row>
    <row r="1314" spans="1:7" ht="15">
      <c r="A1314" s="84" t="s">
        <v>3922</v>
      </c>
      <c r="B1314" s="83">
        <v>2</v>
      </c>
      <c r="C1314" s="110">
        <v>0.01453129091991851</v>
      </c>
      <c r="D1314" s="83" t="s">
        <v>3419</v>
      </c>
      <c r="E1314" s="83" t="b">
        <v>0</v>
      </c>
      <c r="F1314" s="83" t="b">
        <v>0</v>
      </c>
      <c r="G1314" s="83" t="b">
        <v>0</v>
      </c>
    </row>
    <row r="1315" spans="1:7" ht="15">
      <c r="A1315" s="84" t="s">
        <v>3675</v>
      </c>
      <c r="B1315" s="83">
        <v>2</v>
      </c>
      <c r="C1315" s="110">
        <v>0.01453129091991851</v>
      </c>
      <c r="D1315" s="83" t="s">
        <v>3419</v>
      </c>
      <c r="E1315" s="83" t="b">
        <v>0</v>
      </c>
      <c r="F1315" s="83" t="b">
        <v>0</v>
      </c>
      <c r="G1315" s="83" t="b">
        <v>0</v>
      </c>
    </row>
    <row r="1316" spans="1:7" ht="15">
      <c r="A1316" s="84" t="s">
        <v>3532</v>
      </c>
      <c r="B1316" s="83">
        <v>2</v>
      </c>
      <c r="C1316" s="110">
        <v>0.01453129091991851</v>
      </c>
      <c r="D1316" s="83" t="s">
        <v>3419</v>
      </c>
      <c r="E1316" s="83" t="b">
        <v>0</v>
      </c>
      <c r="F1316" s="83" t="b">
        <v>0</v>
      </c>
      <c r="G1316" s="83" t="b">
        <v>0</v>
      </c>
    </row>
    <row r="1317" spans="1:7" ht="15">
      <c r="A1317" s="84" t="s">
        <v>3580</v>
      </c>
      <c r="B1317" s="83">
        <v>2</v>
      </c>
      <c r="C1317" s="110">
        <v>0.01453129091991851</v>
      </c>
      <c r="D1317" s="83" t="s">
        <v>3419</v>
      </c>
      <c r="E1317" s="83" t="b">
        <v>0</v>
      </c>
      <c r="F1317" s="83" t="b">
        <v>0</v>
      </c>
      <c r="G1317" s="83" t="b">
        <v>0</v>
      </c>
    </row>
    <row r="1318" spans="1:7" ht="15">
      <c r="A1318" s="84" t="s">
        <v>3923</v>
      </c>
      <c r="B1318" s="83">
        <v>2</v>
      </c>
      <c r="C1318" s="110">
        <v>0.01453129091991851</v>
      </c>
      <c r="D1318" s="83" t="s">
        <v>3419</v>
      </c>
      <c r="E1318" s="83" t="b">
        <v>0</v>
      </c>
      <c r="F1318" s="83" t="b">
        <v>0</v>
      </c>
      <c r="G1318" s="83" t="b">
        <v>0</v>
      </c>
    </row>
    <row r="1319" spans="1:7" ht="15">
      <c r="A1319" s="84" t="s">
        <v>3747</v>
      </c>
      <c r="B1319" s="83">
        <v>2</v>
      </c>
      <c r="C1319" s="110">
        <v>0.01453129091991851</v>
      </c>
      <c r="D1319" s="83" t="s">
        <v>3419</v>
      </c>
      <c r="E1319" s="83" t="b">
        <v>0</v>
      </c>
      <c r="F1319" s="83" t="b">
        <v>0</v>
      </c>
      <c r="G1319" s="83" t="b">
        <v>0</v>
      </c>
    </row>
    <row r="1320" spans="1:7" ht="15">
      <c r="A1320" s="84" t="s">
        <v>3607</v>
      </c>
      <c r="B1320" s="83">
        <v>2</v>
      </c>
      <c r="C1320" s="110">
        <v>0.01453129091991851</v>
      </c>
      <c r="D1320" s="83" t="s">
        <v>3419</v>
      </c>
      <c r="E1320" s="83" t="b">
        <v>0</v>
      </c>
      <c r="F1320" s="83" t="b">
        <v>0</v>
      </c>
      <c r="G1320" s="83" t="b">
        <v>0</v>
      </c>
    </row>
    <row r="1321" spans="1:7" ht="15">
      <c r="A1321" s="84" t="s">
        <v>3924</v>
      </c>
      <c r="B1321" s="83">
        <v>2</v>
      </c>
      <c r="C1321" s="110">
        <v>0.01453129091991851</v>
      </c>
      <c r="D1321" s="83" t="s">
        <v>3419</v>
      </c>
      <c r="E1321" s="83" t="b">
        <v>0</v>
      </c>
      <c r="F1321" s="83" t="b">
        <v>0</v>
      </c>
      <c r="G1321" s="83" t="b">
        <v>0</v>
      </c>
    </row>
    <row r="1322" spans="1:7" ht="15">
      <c r="A1322" s="84" t="s">
        <v>3925</v>
      </c>
      <c r="B1322" s="83">
        <v>2</v>
      </c>
      <c r="C1322" s="110">
        <v>0.01453129091991851</v>
      </c>
      <c r="D1322" s="83" t="s">
        <v>3419</v>
      </c>
      <c r="E1322" s="83" t="b">
        <v>1</v>
      </c>
      <c r="F1322" s="83" t="b">
        <v>0</v>
      </c>
      <c r="G1322" s="83" t="b">
        <v>0</v>
      </c>
    </row>
    <row r="1323" spans="1:7" ht="15">
      <c r="A1323" s="84" t="s">
        <v>3926</v>
      </c>
      <c r="B1323" s="83">
        <v>2</v>
      </c>
      <c r="C1323" s="110">
        <v>0.01453129091991851</v>
      </c>
      <c r="D1323" s="83" t="s">
        <v>3419</v>
      </c>
      <c r="E1323" s="83" t="b">
        <v>1</v>
      </c>
      <c r="F1323" s="83" t="b">
        <v>0</v>
      </c>
      <c r="G1323" s="83" t="b">
        <v>0</v>
      </c>
    </row>
    <row r="1324" spans="1:7" ht="15">
      <c r="A1324" s="84" t="s">
        <v>3488</v>
      </c>
      <c r="B1324" s="83">
        <v>2</v>
      </c>
      <c r="C1324" s="110">
        <v>0.01453129091991851</v>
      </c>
      <c r="D1324" s="83" t="s">
        <v>3419</v>
      </c>
      <c r="E1324" s="83" t="b">
        <v>0</v>
      </c>
      <c r="F1324" s="83" t="b">
        <v>0</v>
      </c>
      <c r="G1324" s="83" t="b">
        <v>0</v>
      </c>
    </row>
    <row r="1325" spans="1:7" ht="15">
      <c r="A1325" s="84" t="s">
        <v>3489</v>
      </c>
      <c r="B1325" s="83">
        <v>2</v>
      </c>
      <c r="C1325" s="110">
        <v>0.01453129091991851</v>
      </c>
      <c r="D1325" s="83" t="s">
        <v>3419</v>
      </c>
      <c r="E1325" s="83" t="b">
        <v>1</v>
      </c>
      <c r="F1325" s="83" t="b">
        <v>0</v>
      </c>
      <c r="G1325" s="83" t="b">
        <v>0</v>
      </c>
    </row>
    <row r="1326" spans="1:7" ht="15">
      <c r="A1326" s="84" t="s">
        <v>3624</v>
      </c>
      <c r="B1326" s="83">
        <v>2</v>
      </c>
      <c r="C1326" s="110">
        <v>0.01453129091991851</v>
      </c>
      <c r="D1326" s="83" t="s">
        <v>3419</v>
      </c>
      <c r="E1326" s="83" t="b">
        <v>0</v>
      </c>
      <c r="F1326" s="83" t="b">
        <v>0</v>
      </c>
      <c r="G1326" s="83" t="b">
        <v>0</v>
      </c>
    </row>
    <row r="1327" spans="1:7" ht="15">
      <c r="A1327" s="84" t="s">
        <v>4028</v>
      </c>
      <c r="B1327" s="83">
        <v>2</v>
      </c>
      <c r="C1327" s="110">
        <v>0.01453129091991851</v>
      </c>
      <c r="D1327" s="83" t="s">
        <v>3419</v>
      </c>
      <c r="E1327" s="83" t="b">
        <v>0</v>
      </c>
      <c r="F1327" s="83" t="b">
        <v>0</v>
      </c>
      <c r="G1327" s="83" t="b">
        <v>0</v>
      </c>
    </row>
    <row r="1328" spans="1:7" ht="15">
      <c r="A1328" s="84" t="s">
        <v>4030</v>
      </c>
      <c r="B1328" s="83">
        <v>2</v>
      </c>
      <c r="C1328" s="110">
        <v>0.017952086325191026</v>
      </c>
      <c r="D1328" s="83" t="s">
        <v>3419</v>
      </c>
      <c r="E1328" s="83" t="b">
        <v>0</v>
      </c>
      <c r="F1328" s="83" t="b">
        <v>0</v>
      </c>
      <c r="G1328" s="83" t="b">
        <v>0</v>
      </c>
    </row>
    <row r="1329" spans="1:7" ht="15">
      <c r="A1329" s="84" t="s">
        <v>3460</v>
      </c>
      <c r="B1329" s="83">
        <v>2</v>
      </c>
      <c r="C1329" s="110">
        <v>0.01453129091991851</v>
      </c>
      <c r="D1329" s="83" t="s">
        <v>3419</v>
      </c>
      <c r="E1329" s="83" t="b">
        <v>1</v>
      </c>
      <c r="F1329" s="83" t="b">
        <v>0</v>
      </c>
      <c r="G1329" s="83" t="b">
        <v>0</v>
      </c>
    </row>
    <row r="1330" spans="1:7" ht="15">
      <c r="A1330" s="84" t="s">
        <v>3464</v>
      </c>
      <c r="B1330" s="83">
        <v>2</v>
      </c>
      <c r="C1330" s="110">
        <v>0.01453129091991851</v>
      </c>
      <c r="D1330" s="83" t="s">
        <v>3419</v>
      </c>
      <c r="E1330" s="83" t="b">
        <v>1</v>
      </c>
      <c r="F1330" s="83" t="b">
        <v>0</v>
      </c>
      <c r="G1330" s="83" t="b">
        <v>0</v>
      </c>
    </row>
    <row r="1331" spans="1:7" ht="15">
      <c r="A1331" s="84" t="s">
        <v>3486</v>
      </c>
      <c r="B1331" s="83">
        <v>2</v>
      </c>
      <c r="C1331" s="110">
        <v>0.01453129091991851</v>
      </c>
      <c r="D1331" s="83" t="s">
        <v>3419</v>
      </c>
      <c r="E1331" s="83" t="b">
        <v>1</v>
      </c>
      <c r="F1331" s="83" t="b">
        <v>0</v>
      </c>
      <c r="G1331" s="83" t="b">
        <v>0</v>
      </c>
    </row>
    <row r="1332" spans="1:7" ht="15">
      <c r="A1332" s="84" t="s">
        <v>3560</v>
      </c>
      <c r="B1332" s="83">
        <v>2</v>
      </c>
      <c r="C1332" s="110">
        <v>0.01453129091991851</v>
      </c>
      <c r="D1332" s="83" t="s">
        <v>3419</v>
      </c>
      <c r="E1332" s="83" t="b">
        <v>0</v>
      </c>
      <c r="F1332" s="83" t="b">
        <v>0</v>
      </c>
      <c r="G1332" s="83" t="b">
        <v>0</v>
      </c>
    </row>
    <row r="1333" spans="1:7" ht="15">
      <c r="A1333" s="84" t="s">
        <v>3462</v>
      </c>
      <c r="B1333" s="83">
        <v>11</v>
      </c>
      <c r="C1333" s="110">
        <v>0.024111462474335352</v>
      </c>
      <c r="D1333" s="83" t="s">
        <v>3420</v>
      </c>
      <c r="E1333" s="83" t="b">
        <v>0</v>
      </c>
      <c r="F1333" s="83" t="b">
        <v>0</v>
      </c>
      <c r="G1333" s="83" t="b">
        <v>0</v>
      </c>
    </row>
    <row r="1334" spans="1:7" ht="15">
      <c r="A1334" s="84" t="s">
        <v>3464</v>
      </c>
      <c r="B1334" s="83">
        <v>9</v>
      </c>
      <c r="C1334" s="110">
        <v>0.02400300195662981</v>
      </c>
      <c r="D1334" s="83" t="s">
        <v>3420</v>
      </c>
      <c r="E1334" s="83" t="b">
        <v>1</v>
      </c>
      <c r="F1334" s="83" t="b">
        <v>0</v>
      </c>
      <c r="G1334" s="83" t="b">
        <v>0</v>
      </c>
    </row>
    <row r="1335" spans="1:7" ht="15">
      <c r="A1335" s="84" t="s">
        <v>3459</v>
      </c>
      <c r="B1335" s="83">
        <v>8</v>
      </c>
      <c r="C1335" s="110">
        <v>0.021336001739226496</v>
      </c>
      <c r="D1335" s="83" t="s">
        <v>3420</v>
      </c>
      <c r="E1335" s="83" t="b">
        <v>0</v>
      </c>
      <c r="F1335" s="83" t="b">
        <v>0</v>
      </c>
      <c r="G1335" s="83" t="b">
        <v>0</v>
      </c>
    </row>
    <row r="1336" spans="1:7" ht="15">
      <c r="A1336" s="84" t="s">
        <v>3568</v>
      </c>
      <c r="B1336" s="83">
        <v>7</v>
      </c>
      <c r="C1336" s="110">
        <v>0.022956115032892303</v>
      </c>
      <c r="D1336" s="83" t="s">
        <v>3420</v>
      </c>
      <c r="E1336" s="83" t="b">
        <v>0</v>
      </c>
      <c r="F1336" s="83" t="b">
        <v>0</v>
      </c>
      <c r="G1336" s="83" t="b">
        <v>0</v>
      </c>
    </row>
    <row r="1337" spans="1:7" ht="15">
      <c r="A1337" s="84" t="s">
        <v>3460</v>
      </c>
      <c r="B1337" s="83">
        <v>5</v>
      </c>
      <c r="C1337" s="110">
        <v>0.018337941838387262</v>
      </c>
      <c r="D1337" s="83" t="s">
        <v>3420</v>
      </c>
      <c r="E1337" s="83" t="b">
        <v>1</v>
      </c>
      <c r="F1337" s="83" t="b">
        <v>0</v>
      </c>
      <c r="G1337" s="83" t="b">
        <v>0</v>
      </c>
    </row>
    <row r="1338" spans="1:7" ht="15">
      <c r="A1338" s="84" t="s">
        <v>3549</v>
      </c>
      <c r="B1338" s="83">
        <v>5</v>
      </c>
      <c r="C1338" s="110">
        <v>0.018337941838387262</v>
      </c>
      <c r="D1338" s="83" t="s">
        <v>3420</v>
      </c>
      <c r="E1338" s="83" t="b">
        <v>0</v>
      </c>
      <c r="F1338" s="83" t="b">
        <v>0</v>
      </c>
      <c r="G1338" s="83" t="b">
        <v>0</v>
      </c>
    </row>
    <row r="1339" spans="1:7" ht="15">
      <c r="A1339" s="84" t="s">
        <v>3472</v>
      </c>
      <c r="B1339" s="83">
        <v>5</v>
      </c>
      <c r="C1339" s="110">
        <v>0.018337941838387262</v>
      </c>
      <c r="D1339" s="83" t="s">
        <v>3420</v>
      </c>
      <c r="E1339" s="83" t="b">
        <v>0</v>
      </c>
      <c r="F1339" s="83" t="b">
        <v>0</v>
      </c>
      <c r="G1339" s="83" t="b">
        <v>0</v>
      </c>
    </row>
    <row r="1340" spans="1:7" ht="15">
      <c r="A1340" s="84" t="s">
        <v>3469</v>
      </c>
      <c r="B1340" s="83">
        <v>4</v>
      </c>
      <c r="C1340" s="110">
        <v>0.016570549804201112</v>
      </c>
      <c r="D1340" s="83" t="s">
        <v>3420</v>
      </c>
      <c r="E1340" s="83" t="b">
        <v>1</v>
      </c>
      <c r="F1340" s="83" t="b">
        <v>0</v>
      </c>
      <c r="G1340" s="83" t="b">
        <v>0</v>
      </c>
    </row>
    <row r="1341" spans="1:7" ht="15">
      <c r="A1341" s="84" t="s">
        <v>3466</v>
      </c>
      <c r="B1341" s="83">
        <v>4</v>
      </c>
      <c r="C1341" s="110">
        <v>0.016570549804201112</v>
      </c>
      <c r="D1341" s="83" t="s">
        <v>3420</v>
      </c>
      <c r="E1341" s="83" t="b">
        <v>0</v>
      </c>
      <c r="F1341" s="83" t="b">
        <v>0</v>
      </c>
      <c r="G1341" s="83" t="b">
        <v>0</v>
      </c>
    </row>
    <row r="1342" spans="1:7" ht="15">
      <c r="A1342" s="84" t="s">
        <v>3463</v>
      </c>
      <c r="B1342" s="83">
        <v>3</v>
      </c>
      <c r="C1342" s="110">
        <v>0.0142652467150376</v>
      </c>
      <c r="D1342" s="83" t="s">
        <v>3420</v>
      </c>
      <c r="E1342" s="83" t="b">
        <v>1</v>
      </c>
      <c r="F1342" s="83" t="b">
        <v>0</v>
      </c>
      <c r="G1342" s="83" t="b">
        <v>0</v>
      </c>
    </row>
    <row r="1343" spans="1:7" ht="15">
      <c r="A1343" s="84" t="s">
        <v>3461</v>
      </c>
      <c r="B1343" s="83">
        <v>3</v>
      </c>
      <c r="C1343" s="110">
        <v>0.0142652467150376</v>
      </c>
      <c r="D1343" s="83" t="s">
        <v>3420</v>
      </c>
      <c r="E1343" s="83" t="b">
        <v>1</v>
      </c>
      <c r="F1343" s="83" t="b">
        <v>0</v>
      </c>
      <c r="G1343" s="83" t="b">
        <v>0</v>
      </c>
    </row>
    <row r="1344" spans="1:7" ht="15">
      <c r="A1344" s="84" t="s">
        <v>3801</v>
      </c>
      <c r="B1344" s="83">
        <v>3</v>
      </c>
      <c r="C1344" s="110">
        <v>0.0142652467150376</v>
      </c>
      <c r="D1344" s="83" t="s">
        <v>3420</v>
      </c>
      <c r="E1344" s="83" t="b">
        <v>0</v>
      </c>
      <c r="F1344" s="83" t="b">
        <v>0</v>
      </c>
      <c r="G1344" s="83" t="b">
        <v>0</v>
      </c>
    </row>
    <row r="1345" spans="1:7" ht="15">
      <c r="A1345" s="84" t="s">
        <v>1152</v>
      </c>
      <c r="B1345" s="83">
        <v>3</v>
      </c>
      <c r="C1345" s="110">
        <v>0.0142652467150376</v>
      </c>
      <c r="D1345" s="83" t="s">
        <v>3420</v>
      </c>
      <c r="E1345" s="83" t="b">
        <v>1</v>
      </c>
      <c r="F1345" s="83" t="b">
        <v>0</v>
      </c>
      <c r="G1345" s="83" t="b">
        <v>0</v>
      </c>
    </row>
    <row r="1346" spans="1:7" ht="15">
      <c r="A1346" s="84" t="s">
        <v>3600</v>
      </c>
      <c r="B1346" s="83">
        <v>3</v>
      </c>
      <c r="C1346" s="110">
        <v>0.016854824054091735</v>
      </c>
      <c r="D1346" s="83" t="s">
        <v>3420</v>
      </c>
      <c r="E1346" s="83" t="b">
        <v>1</v>
      </c>
      <c r="F1346" s="83" t="b">
        <v>0</v>
      </c>
      <c r="G1346" s="83" t="b">
        <v>0</v>
      </c>
    </row>
    <row r="1347" spans="1:7" ht="15">
      <c r="A1347" s="84" t="s">
        <v>4032</v>
      </c>
      <c r="B1347" s="83">
        <v>2</v>
      </c>
      <c r="C1347" s="110">
        <v>0.014187823836688424</v>
      </c>
      <c r="D1347" s="83" t="s">
        <v>3420</v>
      </c>
      <c r="E1347" s="83" t="b">
        <v>0</v>
      </c>
      <c r="F1347" s="83" t="b">
        <v>0</v>
      </c>
      <c r="G1347" s="83" t="b">
        <v>0</v>
      </c>
    </row>
    <row r="1348" spans="1:7" ht="15">
      <c r="A1348" s="84" t="s">
        <v>3555</v>
      </c>
      <c r="B1348" s="83">
        <v>2</v>
      </c>
      <c r="C1348" s="110">
        <v>0.01123654936939449</v>
      </c>
      <c r="D1348" s="83" t="s">
        <v>3420</v>
      </c>
      <c r="E1348" s="83" t="b">
        <v>0</v>
      </c>
      <c r="F1348" s="83" t="b">
        <v>0</v>
      </c>
      <c r="G1348" s="83" t="b">
        <v>0</v>
      </c>
    </row>
    <row r="1349" spans="1:7" ht="15">
      <c r="A1349" s="84" t="s">
        <v>3456</v>
      </c>
      <c r="B1349" s="83">
        <v>2</v>
      </c>
      <c r="C1349" s="110">
        <v>0.01123654936939449</v>
      </c>
      <c r="D1349" s="83" t="s">
        <v>3420</v>
      </c>
      <c r="E1349" s="83" t="b">
        <v>1</v>
      </c>
      <c r="F1349" s="83" t="b">
        <v>0</v>
      </c>
      <c r="G1349" s="83" t="b">
        <v>0</v>
      </c>
    </row>
    <row r="1350" spans="1:7" ht="15">
      <c r="A1350" s="84" t="s">
        <v>3465</v>
      </c>
      <c r="B1350" s="83">
        <v>2</v>
      </c>
      <c r="C1350" s="110">
        <v>0.01123654936939449</v>
      </c>
      <c r="D1350" s="83" t="s">
        <v>3420</v>
      </c>
      <c r="E1350" s="83" t="b">
        <v>1</v>
      </c>
      <c r="F1350" s="83" t="b">
        <v>0</v>
      </c>
      <c r="G1350" s="83" t="b">
        <v>0</v>
      </c>
    </row>
    <row r="1351" spans="1:7" ht="15">
      <c r="A1351" s="84" t="s">
        <v>3491</v>
      </c>
      <c r="B1351" s="83">
        <v>2</v>
      </c>
      <c r="C1351" s="110">
        <v>0.01123654936939449</v>
      </c>
      <c r="D1351" s="83" t="s">
        <v>3420</v>
      </c>
      <c r="E1351" s="83" t="b">
        <v>1</v>
      </c>
      <c r="F1351" s="83" t="b">
        <v>0</v>
      </c>
      <c r="G1351" s="83" t="b">
        <v>0</v>
      </c>
    </row>
    <row r="1352" spans="1:7" ht="15">
      <c r="A1352" s="84" t="s">
        <v>3483</v>
      </c>
      <c r="B1352" s="83">
        <v>2</v>
      </c>
      <c r="C1352" s="110">
        <v>0.01123654936939449</v>
      </c>
      <c r="D1352" s="83" t="s">
        <v>3420</v>
      </c>
      <c r="E1352" s="83" t="b">
        <v>0</v>
      </c>
      <c r="F1352" s="83" t="b">
        <v>0</v>
      </c>
      <c r="G1352" s="83" t="b">
        <v>0</v>
      </c>
    </row>
    <row r="1353" spans="1:7" ht="15">
      <c r="A1353" s="84" t="s">
        <v>3593</v>
      </c>
      <c r="B1353" s="83">
        <v>2</v>
      </c>
      <c r="C1353" s="110">
        <v>0.01123654936939449</v>
      </c>
      <c r="D1353" s="83" t="s">
        <v>3420</v>
      </c>
      <c r="E1353" s="83" t="b">
        <v>0</v>
      </c>
      <c r="F1353" s="83" t="b">
        <v>0</v>
      </c>
      <c r="G1353" s="83" t="b">
        <v>0</v>
      </c>
    </row>
    <row r="1354" spans="1:7" ht="15">
      <c r="A1354" s="84" t="s">
        <v>3513</v>
      </c>
      <c r="B1354" s="83">
        <v>2</v>
      </c>
      <c r="C1354" s="110">
        <v>0.01123654936939449</v>
      </c>
      <c r="D1354" s="83" t="s">
        <v>3420</v>
      </c>
      <c r="E1354" s="83" t="b">
        <v>0</v>
      </c>
      <c r="F1354" s="83" t="b">
        <v>1</v>
      </c>
      <c r="G1354" s="83" t="b">
        <v>0</v>
      </c>
    </row>
    <row r="1355" spans="1:7" ht="15">
      <c r="A1355" s="84" t="s">
        <v>3468</v>
      </c>
      <c r="B1355" s="83">
        <v>2</v>
      </c>
      <c r="C1355" s="110">
        <v>0.01123654936939449</v>
      </c>
      <c r="D1355" s="83" t="s">
        <v>3420</v>
      </c>
      <c r="E1355" s="83" t="b">
        <v>0</v>
      </c>
      <c r="F1355" s="83" t="b">
        <v>0</v>
      </c>
      <c r="G1355" s="83" t="b">
        <v>0</v>
      </c>
    </row>
    <row r="1356" spans="1:7" ht="15">
      <c r="A1356" s="84" t="s">
        <v>4039</v>
      </c>
      <c r="B1356" s="83">
        <v>2</v>
      </c>
      <c r="C1356" s="110">
        <v>0.01123654936939449</v>
      </c>
      <c r="D1356" s="83" t="s">
        <v>3420</v>
      </c>
      <c r="E1356" s="83" t="b">
        <v>0</v>
      </c>
      <c r="F1356" s="83" t="b">
        <v>0</v>
      </c>
      <c r="G1356" s="83" t="b">
        <v>0</v>
      </c>
    </row>
    <row r="1357" spans="1:7" ht="15">
      <c r="A1357" s="84" t="s">
        <v>3802</v>
      </c>
      <c r="B1357" s="83">
        <v>2</v>
      </c>
      <c r="C1357" s="110">
        <v>0.01123654936939449</v>
      </c>
      <c r="D1357" s="83" t="s">
        <v>3420</v>
      </c>
      <c r="E1357" s="83" t="b">
        <v>0</v>
      </c>
      <c r="F1357" s="83" t="b">
        <v>0</v>
      </c>
      <c r="G1357" s="83" t="b">
        <v>0</v>
      </c>
    </row>
    <row r="1358" spans="1:7" ht="15">
      <c r="A1358" s="84" t="s">
        <v>3473</v>
      </c>
      <c r="B1358" s="83">
        <v>2</v>
      </c>
      <c r="C1358" s="110">
        <v>0.01123654936939449</v>
      </c>
      <c r="D1358" s="83" t="s">
        <v>3420</v>
      </c>
      <c r="E1358" s="83" t="b">
        <v>0</v>
      </c>
      <c r="F1358" s="83" t="b">
        <v>0</v>
      </c>
      <c r="G1358" s="83" t="b">
        <v>0</v>
      </c>
    </row>
    <row r="1359" spans="1:7" ht="15">
      <c r="A1359" s="84" t="s">
        <v>4043</v>
      </c>
      <c r="B1359" s="83">
        <v>2</v>
      </c>
      <c r="C1359" s="110">
        <v>0.014187823836688424</v>
      </c>
      <c r="D1359" s="83" t="s">
        <v>3420</v>
      </c>
      <c r="E1359" s="83" t="b">
        <v>0</v>
      </c>
      <c r="F1359" s="83" t="b">
        <v>0</v>
      </c>
      <c r="G1359" s="83" t="b">
        <v>0</v>
      </c>
    </row>
    <row r="1360" spans="1:7" ht="15">
      <c r="A1360" s="84" t="s">
        <v>3464</v>
      </c>
      <c r="B1360" s="83">
        <v>4</v>
      </c>
      <c r="C1360" s="110">
        <v>0.023360669657211973</v>
      </c>
      <c r="D1360" s="83" t="s">
        <v>3421</v>
      </c>
      <c r="E1360" s="83" t="b">
        <v>1</v>
      </c>
      <c r="F1360" s="83" t="b">
        <v>0</v>
      </c>
      <c r="G1360" s="83" t="b">
        <v>0</v>
      </c>
    </row>
    <row r="1361" spans="1:7" ht="15">
      <c r="A1361" s="84" t="s">
        <v>3495</v>
      </c>
      <c r="B1361" s="83">
        <v>4</v>
      </c>
      <c r="C1361" s="110">
        <v>0.023360669657211973</v>
      </c>
      <c r="D1361" s="83" t="s">
        <v>3421</v>
      </c>
      <c r="E1361" s="83" t="b">
        <v>0</v>
      </c>
      <c r="F1361" s="83" t="b">
        <v>0</v>
      </c>
      <c r="G1361" s="83" t="b">
        <v>0</v>
      </c>
    </row>
    <row r="1362" spans="1:7" ht="15">
      <c r="A1362" s="84" t="s">
        <v>3459</v>
      </c>
      <c r="B1362" s="83">
        <v>4</v>
      </c>
      <c r="C1362" s="110">
        <v>0.026880070688431686</v>
      </c>
      <c r="D1362" s="83" t="s">
        <v>3421</v>
      </c>
      <c r="E1362" s="83" t="b">
        <v>0</v>
      </c>
      <c r="F1362" s="83" t="b">
        <v>0</v>
      </c>
      <c r="G1362" s="83" t="b">
        <v>0</v>
      </c>
    </row>
    <row r="1363" spans="1:7" ht="15">
      <c r="A1363" s="84" t="s">
        <v>3473</v>
      </c>
      <c r="B1363" s="83">
        <v>3</v>
      </c>
      <c r="C1363" s="110">
        <v>0.020160053016323766</v>
      </c>
      <c r="D1363" s="83" t="s">
        <v>3421</v>
      </c>
      <c r="E1363" s="83" t="b">
        <v>0</v>
      </c>
      <c r="F1363" s="83" t="b">
        <v>0</v>
      </c>
      <c r="G1363" s="83" t="b">
        <v>0</v>
      </c>
    </row>
    <row r="1364" spans="1:7" ht="15">
      <c r="A1364" s="84" t="s">
        <v>3472</v>
      </c>
      <c r="B1364" s="83">
        <v>3</v>
      </c>
      <c r="C1364" s="110">
        <v>0.02388029088369731</v>
      </c>
      <c r="D1364" s="83" t="s">
        <v>3421</v>
      </c>
      <c r="E1364" s="83" t="b">
        <v>0</v>
      </c>
      <c r="F1364" s="83" t="b">
        <v>0</v>
      </c>
      <c r="G1364" s="83" t="b">
        <v>0</v>
      </c>
    </row>
    <row r="1365" spans="1:7" ht="15">
      <c r="A1365" s="84" t="s">
        <v>3468</v>
      </c>
      <c r="B1365" s="83">
        <v>3</v>
      </c>
      <c r="C1365" s="110">
        <v>0.020160053016323766</v>
      </c>
      <c r="D1365" s="83" t="s">
        <v>3421</v>
      </c>
      <c r="E1365" s="83" t="b">
        <v>0</v>
      </c>
      <c r="F1365" s="83" t="b">
        <v>0</v>
      </c>
      <c r="G1365" s="83" t="b">
        <v>0</v>
      </c>
    </row>
    <row r="1366" spans="1:7" ht="15">
      <c r="A1366" s="84" t="s">
        <v>3458</v>
      </c>
      <c r="B1366" s="83">
        <v>3</v>
      </c>
      <c r="C1366" s="110">
        <v>0.020160053016323766</v>
      </c>
      <c r="D1366" s="83" t="s">
        <v>3421</v>
      </c>
      <c r="E1366" s="83" t="b">
        <v>0</v>
      </c>
      <c r="F1366" s="83" t="b">
        <v>0</v>
      </c>
      <c r="G1366" s="83" t="b">
        <v>0</v>
      </c>
    </row>
    <row r="1367" spans="1:7" ht="15">
      <c r="A1367" s="84" t="s">
        <v>3745</v>
      </c>
      <c r="B1367" s="83">
        <v>3</v>
      </c>
      <c r="C1367" s="110">
        <v>0.020160053016323766</v>
      </c>
      <c r="D1367" s="83" t="s">
        <v>3421</v>
      </c>
      <c r="E1367" s="83" t="b">
        <v>0</v>
      </c>
      <c r="F1367" s="83" t="b">
        <v>0</v>
      </c>
      <c r="G1367" s="83" t="b">
        <v>0</v>
      </c>
    </row>
    <row r="1368" spans="1:7" ht="15">
      <c r="A1368" s="84" t="s">
        <v>3461</v>
      </c>
      <c r="B1368" s="83">
        <v>3</v>
      </c>
      <c r="C1368" s="110">
        <v>0.020160053016323766</v>
      </c>
      <c r="D1368" s="83" t="s">
        <v>3421</v>
      </c>
      <c r="E1368" s="83" t="b">
        <v>1</v>
      </c>
      <c r="F1368" s="83" t="b">
        <v>0</v>
      </c>
      <c r="G1368" s="83" t="b">
        <v>0</v>
      </c>
    </row>
    <row r="1369" spans="1:7" ht="15">
      <c r="A1369" s="84" t="s">
        <v>3488</v>
      </c>
      <c r="B1369" s="83">
        <v>3</v>
      </c>
      <c r="C1369" s="110">
        <v>0.020160053016323766</v>
      </c>
      <c r="D1369" s="83" t="s">
        <v>3421</v>
      </c>
      <c r="E1369" s="83" t="b">
        <v>0</v>
      </c>
      <c r="F1369" s="83" t="b">
        <v>0</v>
      </c>
      <c r="G1369" s="83" t="b">
        <v>0</v>
      </c>
    </row>
    <row r="1370" spans="1:7" ht="15">
      <c r="A1370" s="84" t="s">
        <v>3911</v>
      </c>
      <c r="B1370" s="83">
        <v>2</v>
      </c>
      <c r="C1370" s="110">
        <v>0.015920193922464874</v>
      </c>
      <c r="D1370" s="83" t="s">
        <v>3421</v>
      </c>
      <c r="E1370" s="83" t="b">
        <v>0</v>
      </c>
      <c r="F1370" s="83" t="b">
        <v>0</v>
      </c>
      <c r="G1370" s="83" t="b">
        <v>0</v>
      </c>
    </row>
    <row r="1371" spans="1:7" ht="15">
      <c r="A1371" s="84" t="s">
        <v>3669</v>
      </c>
      <c r="B1371" s="83">
        <v>2</v>
      </c>
      <c r="C1371" s="110">
        <v>0.015920193922464874</v>
      </c>
      <c r="D1371" s="83" t="s">
        <v>3421</v>
      </c>
      <c r="E1371" s="83" t="b">
        <v>0</v>
      </c>
      <c r="F1371" s="83" t="b">
        <v>0</v>
      </c>
      <c r="G1371" s="83" t="b">
        <v>0</v>
      </c>
    </row>
    <row r="1372" spans="1:7" ht="15">
      <c r="A1372" s="84" t="s">
        <v>3460</v>
      </c>
      <c r="B1372" s="83">
        <v>2</v>
      </c>
      <c r="C1372" s="110">
        <v>0.015920193922464874</v>
      </c>
      <c r="D1372" s="83" t="s">
        <v>3421</v>
      </c>
      <c r="E1372" s="83" t="b">
        <v>1</v>
      </c>
      <c r="F1372" s="83" t="b">
        <v>0</v>
      </c>
      <c r="G1372" s="83" t="b">
        <v>0</v>
      </c>
    </row>
    <row r="1373" spans="1:7" ht="15">
      <c r="A1373" s="84" t="s">
        <v>3521</v>
      </c>
      <c r="B1373" s="83">
        <v>2</v>
      </c>
      <c r="C1373" s="110">
        <v>0.015920193922464874</v>
      </c>
      <c r="D1373" s="83" t="s">
        <v>3421</v>
      </c>
      <c r="E1373" s="83" t="b">
        <v>1</v>
      </c>
      <c r="F1373" s="83" t="b">
        <v>0</v>
      </c>
      <c r="G1373" s="83" t="b">
        <v>0</v>
      </c>
    </row>
    <row r="1374" spans="1:7" ht="15">
      <c r="A1374" s="84" t="s">
        <v>3532</v>
      </c>
      <c r="B1374" s="83">
        <v>2</v>
      </c>
      <c r="C1374" s="110">
        <v>0.015920193922464874</v>
      </c>
      <c r="D1374" s="83" t="s">
        <v>3421</v>
      </c>
      <c r="E1374" s="83" t="b">
        <v>0</v>
      </c>
      <c r="F1374" s="83" t="b">
        <v>0</v>
      </c>
      <c r="G1374" s="83" t="b">
        <v>0</v>
      </c>
    </row>
    <row r="1375" spans="1:7" ht="15">
      <c r="A1375" s="84" t="s">
        <v>3726</v>
      </c>
      <c r="B1375" s="83">
        <v>2</v>
      </c>
      <c r="C1375" s="110">
        <v>0.015920193922464874</v>
      </c>
      <c r="D1375" s="83" t="s">
        <v>3421</v>
      </c>
      <c r="E1375" s="83" t="b">
        <v>0</v>
      </c>
      <c r="F1375" s="83" t="b">
        <v>0</v>
      </c>
      <c r="G1375" s="83" t="b">
        <v>0</v>
      </c>
    </row>
    <row r="1376" spans="1:7" ht="15">
      <c r="A1376" s="84" t="s">
        <v>3579</v>
      </c>
      <c r="B1376" s="83">
        <v>2</v>
      </c>
      <c r="C1376" s="110">
        <v>0.015920193922464874</v>
      </c>
      <c r="D1376" s="83" t="s">
        <v>3421</v>
      </c>
      <c r="E1376" s="83" t="b">
        <v>0</v>
      </c>
      <c r="F1376" s="83" t="b">
        <v>0</v>
      </c>
      <c r="G1376" s="83" t="b">
        <v>0</v>
      </c>
    </row>
    <row r="1377" spans="1:7" ht="15">
      <c r="A1377" s="84" t="s">
        <v>3514</v>
      </c>
      <c r="B1377" s="83">
        <v>2</v>
      </c>
      <c r="C1377" s="110">
        <v>0.020160053016323766</v>
      </c>
      <c r="D1377" s="83" t="s">
        <v>3421</v>
      </c>
      <c r="E1377" s="83" t="b">
        <v>1</v>
      </c>
      <c r="F1377" s="83" t="b">
        <v>0</v>
      </c>
      <c r="G1377" s="83" t="b">
        <v>0</v>
      </c>
    </row>
    <row r="1378" spans="1:7" ht="15">
      <c r="A1378" s="84" t="s">
        <v>3744</v>
      </c>
      <c r="B1378" s="83">
        <v>2</v>
      </c>
      <c r="C1378" s="110">
        <v>0.015920193922464874</v>
      </c>
      <c r="D1378" s="83" t="s">
        <v>3421</v>
      </c>
      <c r="E1378" s="83" t="b">
        <v>0</v>
      </c>
      <c r="F1378" s="83" t="b">
        <v>0</v>
      </c>
      <c r="G1378" s="83" t="b">
        <v>0</v>
      </c>
    </row>
    <row r="1379" spans="1:7" ht="15">
      <c r="A1379" s="84" t="s">
        <v>3457</v>
      </c>
      <c r="B1379" s="83">
        <v>2</v>
      </c>
      <c r="C1379" s="110">
        <v>0.015920193922464874</v>
      </c>
      <c r="D1379" s="83" t="s">
        <v>3421</v>
      </c>
      <c r="E1379" s="83" t="b">
        <v>1</v>
      </c>
      <c r="F1379" s="83" t="b">
        <v>0</v>
      </c>
      <c r="G1379" s="83" t="b">
        <v>0</v>
      </c>
    </row>
    <row r="1380" spans="1:7" ht="15">
      <c r="A1380" s="84" t="s">
        <v>3918</v>
      </c>
      <c r="B1380" s="83">
        <v>2</v>
      </c>
      <c r="C1380" s="110">
        <v>0.015920193922464874</v>
      </c>
      <c r="D1380" s="83" t="s">
        <v>3421</v>
      </c>
      <c r="E1380" s="83" t="b">
        <v>0</v>
      </c>
      <c r="F1380" s="83" t="b">
        <v>0</v>
      </c>
      <c r="G1380" s="83" t="b">
        <v>0</v>
      </c>
    </row>
    <row r="1381" spans="1:7" ht="15">
      <c r="A1381" s="84" t="s">
        <v>3506</v>
      </c>
      <c r="B1381" s="83">
        <v>2</v>
      </c>
      <c r="C1381" s="110">
        <v>0.015920193922464874</v>
      </c>
      <c r="D1381" s="83" t="s">
        <v>3421</v>
      </c>
      <c r="E1381" s="83" t="b">
        <v>0</v>
      </c>
      <c r="F1381" s="83" t="b">
        <v>0</v>
      </c>
      <c r="G1381" s="83" t="b">
        <v>0</v>
      </c>
    </row>
    <row r="1382" spans="1:7" ht="15">
      <c r="A1382" s="84" t="s">
        <v>3621</v>
      </c>
      <c r="B1382" s="83">
        <v>2</v>
      </c>
      <c r="C1382" s="110">
        <v>0.020160053016323766</v>
      </c>
      <c r="D1382" s="83" t="s">
        <v>3421</v>
      </c>
      <c r="E1382" s="83" t="b">
        <v>0</v>
      </c>
      <c r="F1382" s="83" t="b">
        <v>0</v>
      </c>
      <c r="G1382" s="83" t="b">
        <v>0</v>
      </c>
    </row>
    <row r="1383" spans="1:7" ht="15">
      <c r="A1383" s="84" t="s">
        <v>4100</v>
      </c>
      <c r="B1383" s="83">
        <v>2</v>
      </c>
      <c r="C1383" s="110">
        <v>0.015920193922464874</v>
      </c>
      <c r="D1383" s="83" t="s">
        <v>3421</v>
      </c>
      <c r="E1383" s="83" t="b">
        <v>0</v>
      </c>
      <c r="F1383" s="83" t="b">
        <v>0</v>
      </c>
      <c r="G1383" s="83" t="b">
        <v>0</v>
      </c>
    </row>
    <row r="1384" spans="1:7" ht="15">
      <c r="A1384" s="84" t="s">
        <v>4101</v>
      </c>
      <c r="B1384" s="83">
        <v>2</v>
      </c>
      <c r="C1384" s="110">
        <v>0.015920193922464874</v>
      </c>
      <c r="D1384" s="83" t="s">
        <v>3421</v>
      </c>
      <c r="E1384" s="83" t="b">
        <v>0</v>
      </c>
      <c r="F1384" s="83" t="b">
        <v>0</v>
      </c>
      <c r="G1384" s="83" t="b">
        <v>0</v>
      </c>
    </row>
    <row r="1385" spans="1:7" ht="15">
      <c r="A1385" s="84" t="s">
        <v>3461</v>
      </c>
      <c r="B1385" s="83">
        <v>7</v>
      </c>
      <c r="C1385" s="110">
        <v>0.044015006855384065</v>
      </c>
      <c r="D1385" s="83" t="s">
        <v>3422</v>
      </c>
      <c r="E1385" s="83" t="b">
        <v>1</v>
      </c>
      <c r="F1385" s="83" t="b">
        <v>0</v>
      </c>
      <c r="G1385" s="83" t="b">
        <v>0</v>
      </c>
    </row>
    <row r="1386" spans="1:7" ht="15">
      <c r="A1386" s="84" t="s">
        <v>3466</v>
      </c>
      <c r="B1386" s="83">
        <v>4</v>
      </c>
      <c r="C1386" s="110">
        <v>0.03360492983440114</v>
      </c>
      <c r="D1386" s="83" t="s">
        <v>3422</v>
      </c>
      <c r="E1386" s="83" t="b">
        <v>0</v>
      </c>
      <c r="F1386" s="83" t="b">
        <v>0</v>
      </c>
      <c r="G1386" s="83" t="b">
        <v>0</v>
      </c>
    </row>
    <row r="1387" spans="1:7" ht="15">
      <c r="A1387" s="84" t="s">
        <v>1152</v>
      </c>
      <c r="B1387" s="83">
        <v>4</v>
      </c>
      <c r="C1387" s="110">
        <v>0.03360492983440114</v>
      </c>
      <c r="D1387" s="83" t="s">
        <v>3422</v>
      </c>
      <c r="E1387" s="83" t="b">
        <v>1</v>
      </c>
      <c r="F1387" s="83" t="b">
        <v>0</v>
      </c>
      <c r="G1387" s="83" t="b">
        <v>0</v>
      </c>
    </row>
    <row r="1388" spans="1:7" ht="15">
      <c r="A1388" s="84" t="s">
        <v>3462</v>
      </c>
      <c r="B1388" s="83">
        <v>3</v>
      </c>
      <c r="C1388" s="110">
        <v>0.02846296876558259</v>
      </c>
      <c r="D1388" s="83" t="s">
        <v>3422</v>
      </c>
      <c r="E1388" s="83" t="b">
        <v>0</v>
      </c>
      <c r="F1388" s="83" t="b">
        <v>0</v>
      </c>
      <c r="G1388" s="83" t="b">
        <v>0</v>
      </c>
    </row>
    <row r="1389" spans="1:7" ht="15">
      <c r="A1389" s="84" t="s">
        <v>3459</v>
      </c>
      <c r="B1389" s="83">
        <v>3</v>
      </c>
      <c r="C1389" s="110">
        <v>0.02846296876558259</v>
      </c>
      <c r="D1389" s="83" t="s">
        <v>3422</v>
      </c>
      <c r="E1389" s="83" t="b">
        <v>0</v>
      </c>
      <c r="F1389" s="83" t="b">
        <v>0</v>
      </c>
      <c r="G1389" s="83" t="b">
        <v>0</v>
      </c>
    </row>
    <row r="1390" spans="1:7" ht="15">
      <c r="A1390" s="84" t="s">
        <v>3456</v>
      </c>
      <c r="B1390" s="83">
        <v>3</v>
      </c>
      <c r="C1390" s="110">
        <v>0.02846296876558259</v>
      </c>
      <c r="D1390" s="83" t="s">
        <v>3422</v>
      </c>
      <c r="E1390" s="83" t="b">
        <v>1</v>
      </c>
      <c r="F1390" s="83" t="b">
        <v>0</v>
      </c>
      <c r="G1390" s="83" t="b">
        <v>0</v>
      </c>
    </row>
    <row r="1391" spans="1:7" ht="15">
      <c r="A1391" s="84" t="s">
        <v>3460</v>
      </c>
      <c r="B1391" s="83">
        <v>3</v>
      </c>
      <c r="C1391" s="110">
        <v>0.02846296876558259</v>
      </c>
      <c r="D1391" s="83" t="s">
        <v>3422</v>
      </c>
      <c r="E1391" s="83" t="b">
        <v>1</v>
      </c>
      <c r="F1391" s="83" t="b">
        <v>0</v>
      </c>
      <c r="G1391" s="83" t="b">
        <v>0</v>
      </c>
    </row>
    <row r="1392" spans="1:7" ht="15">
      <c r="A1392" s="84" t="s">
        <v>3665</v>
      </c>
      <c r="B1392" s="83">
        <v>3</v>
      </c>
      <c r="C1392" s="110">
        <v>0.02846296876558259</v>
      </c>
      <c r="D1392" s="83" t="s">
        <v>3422</v>
      </c>
      <c r="E1392" s="83" t="b">
        <v>0</v>
      </c>
      <c r="F1392" s="83" t="b">
        <v>0</v>
      </c>
      <c r="G1392" s="83" t="b">
        <v>0</v>
      </c>
    </row>
    <row r="1393" spans="1:7" ht="15">
      <c r="A1393" s="84" t="s">
        <v>3467</v>
      </c>
      <c r="B1393" s="83">
        <v>2</v>
      </c>
      <c r="C1393" s="110">
        <v>0.02203776918961763</v>
      </c>
      <c r="D1393" s="83" t="s">
        <v>3422</v>
      </c>
      <c r="E1393" s="83" t="b">
        <v>0</v>
      </c>
      <c r="F1393" s="83" t="b">
        <v>0</v>
      </c>
      <c r="G1393" s="83" t="b">
        <v>0</v>
      </c>
    </row>
    <row r="1394" spans="1:7" ht="15">
      <c r="A1394" s="84" t="s">
        <v>3545</v>
      </c>
      <c r="B1394" s="83">
        <v>2</v>
      </c>
      <c r="C1394" s="110">
        <v>0.02203776918961763</v>
      </c>
      <c r="D1394" s="83" t="s">
        <v>3422</v>
      </c>
      <c r="E1394" s="83" t="b">
        <v>1</v>
      </c>
      <c r="F1394" s="83" t="b">
        <v>0</v>
      </c>
      <c r="G1394" s="83" t="b">
        <v>0</v>
      </c>
    </row>
    <row r="1395" spans="1:7" ht="15">
      <c r="A1395" s="84" t="s">
        <v>3515</v>
      </c>
      <c r="B1395" s="83">
        <v>2</v>
      </c>
      <c r="C1395" s="110">
        <v>0.02203776918961763</v>
      </c>
      <c r="D1395" s="83" t="s">
        <v>3422</v>
      </c>
      <c r="E1395" s="83" t="b">
        <v>1</v>
      </c>
      <c r="F1395" s="83" t="b">
        <v>0</v>
      </c>
      <c r="G1395" s="83" t="b">
        <v>0</v>
      </c>
    </row>
    <row r="1396" spans="1:7" ht="15">
      <c r="A1396" s="84" t="s">
        <v>3622</v>
      </c>
      <c r="B1396" s="83">
        <v>2</v>
      </c>
      <c r="C1396" s="110">
        <v>0.02203776918961763</v>
      </c>
      <c r="D1396" s="83" t="s">
        <v>3422</v>
      </c>
      <c r="E1396" s="83" t="b">
        <v>0</v>
      </c>
      <c r="F1396" s="83" t="b">
        <v>0</v>
      </c>
      <c r="G1396" s="83" t="b">
        <v>0</v>
      </c>
    </row>
    <row r="1397" spans="1:7" ht="15">
      <c r="A1397" s="84" t="s">
        <v>3493</v>
      </c>
      <c r="B1397" s="83">
        <v>2</v>
      </c>
      <c r="C1397" s="110">
        <v>0.02203776918961763</v>
      </c>
      <c r="D1397" s="83" t="s">
        <v>3422</v>
      </c>
      <c r="E1397" s="83" t="b">
        <v>0</v>
      </c>
      <c r="F1397" s="83" t="b">
        <v>0</v>
      </c>
      <c r="G1397" s="83" t="b">
        <v>0</v>
      </c>
    </row>
    <row r="1398" spans="1:7" ht="15">
      <c r="A1398" s="84" t="s">
        <v>3613</v>
      </c>
      <c r="B1398" s="83">
        <v>2</v>
      </c>
      <c r="C1398" s="110">
        <v>0.02203776918961763</v>
      </c>
      <c r="D1398" s="83" t="s">
        <v>3422</v>
      </c>
      <c r="E1398" s="83" t="b">
        <v>0</v>
      </c>
      <c r="F1398" s="83" t="b">
        <v>0</v>
      </c>
      <c r="G1398" s="83" t="b">
        <v>0</v>
      </c>
    </row>
    <row r="1399" spans="1:7" ht="15">
      <c r="A1399" s="84" t="s">
        <v>3479</v>
      </c>
      <c r="B1399" s="83">
        <v>2</v>
      </c>
      <c r="C1399" s="110">
        <v>0.02203776918961763</v>
      </c>
      <c r="D1399" s="83" t="s">
        <v>3422</v>
      </c>
      <c r="E1399" s="83" t="b">
        <v>0</v>
      </c>
      <c r="F1399" s="83" t="b">
        <v>0</v>
      </c>
      <c r="G1399" s="83" t="b">
        <v>0</v>
      </c>
    </row>
    <row r="1400" spans="1:7" ht="15">
      <c r="A1400" s="84" t="s">
        <v>3533</v>
      </c>
      <c r="B1400" s="83">
        <v>2</v>
      </c>
      <c r="C1400" s="110">
        <v>0.02203776918961763</v>
      </c>
      <c r="D1400" s="83" t="s">
        <v>3422</v>
      </c>
      <c r="E1400" s="83" t="b">
        <v>1</v>
      </c>
      <c r="F1400" s="83" t="b">
        <v>0</v>
      </c>
      <c r="G1400" s="83" t="b">
        <v>0</v>
      </c>
    </row>
    <row r="1401" spans="1:7" ht="15">
      <c r="A1401" s="84" t="s">
        <v>3469</v>
      </c>
      <c r="B1401" s="83">
        <v>2</v>
      </c>
      <c r="C1401" s="110">
        <v>0.02203776918961763</v>
      </c>
      <c r="D1401" s="83" t="s">
        <v>3422</v>
      </c>
      <c r="E1401" s="83" t="b">
        <v>1</v>
      </c>
      <c r="F1401" s="83" t="b">
        <v>0</v>
      </c>
      <c r="G1401" s="83" t="b">
        <v>0</v>
      </c>
    </row>
    <row r="1402" spans="1:7" ht="15">
      <c r="A1402" s="84" t="s">
        <v>3735</v>
      </c>
      <c r="B1402" s="83">
        <v>2</v>
      </c>
      <c r="C1402" s="110">
        <v>0.02203776918961763</v>
      </c>
      <c r="D1402" s="83" t="s">
        <v>3422</v>
      </c>
      <c r="E1402" s="83" t="b">
        <v>0</v>
      </c>
      <c r="F1402" s="83" t="b">
        <v>0</v>
      </c>
      <c r="G1402" s="83" t="b">
        <v>0</v>
      </c>
    </row>
    <row r="1403" spans="1:7" ht="15">
      <c r="A1403" s="84" t="s">
        <v>3480</v>
      </c>
      <c r="B1403" s="83">
        <v>4</v>
      </c>
      <c r="C1403" s="110">
        <v>0.038408496181651035</v>
      </c>
      <c r="D1403" s="83" t="s">
        <v>3423</v>
      </c>
      <c r="E1403" s="83" t="b">
        <v>0</v>
      </c>
      <c r="F1403" s="83" t="b">
        <v>0</v>
      </c>
      <c r="G1403" s="83" t="b">
        <v>0</v>
      </c>
    </row>
    <row r="1404" spans="1:7" ht="15">
      <c r="A1404" s="84" t="s">
        <v>3829</v>
      </c>
      <c r="B1404" s="83">
        <v>3</v>
      </c>
      <c r="C1404" s="110">
        <v>0.033803921600570275</v>
      </c>
      <c r="D1404" s="83" t="s">
        <v>3423</v>
      </c>
      <c r="E1404" s="83" t="b">
        <v>0</v>
      </c>
      <c r="F1404" s="83" t="b">
        <v>0</v>
      </c>
      <c r="G1404" s="83" t="b">
        <v>0</v>
      </c>
    </row>
    <row r="1405" spans="1:7" ht="15">
      <c r="A1405" s="84" t="s">
        <v>3571</v>
      </c>
      <c r="B1405" s="83">
        <v>3</v>
      </c>
      <c r="C1405" s="110">
        <v>0.033803921600570275</v>
      </c>
      <c r="D1405" s="83" t="s">
        <v>3423</v>
      </c>
      <c r="E1405" s="83" t="b">
        <v>0</v>
      </c>
      <c r="F1405" s="83" t="b">
        <v>0</v>
      </c>
      <c r="G1405" s="83" t="b">
        <v>0</v>
      </c>
    </row>
    <row r="1406" spans="1:7" ht="15">
      <c r="A1406" s="84" t="s">
        <v>4110</v>
      </c>
      <c r="B1406" s="83">
        <v>2</v>
      </c>
      <c r="C1406" s="110">
        <v>0.027231714641865017</v>
      </c>
      <c r="D1406" s="83" t="s">
        <v>3423</v>
      </c>
      <c r="E1406" s="83" t="b">
        <v>0</v>
      </c>
      <c r="F1406" s="83" t="b">
        <v>0</v>
      </c>
      <c r="G1406" s="83" t="b">
        <v>0</v>
      </c>
    </row>
    <row r="1407" spans="1:7" ht="15">
      <c r="A1407" s="84" t="s">
        <v>4111</v>
      </c>
      <c r="B1407" s="83">
        <v>2</v>
      </c>
      <c r="C1407" s="110">
        <v>0.027231714641865017</v>
      </c>
      <c r="D1407" s="83" t="s">
        <v>3423</v>
      </c>
      <c r="E1407" s="83" t="b">
        <v>1</v>
      </c>
      <c r="F1407" s="83" t="b">
        <v>0</v>
      </c>
      <c r="G1407" s="83" t="b">
        <v>0</v>
      </c>
    </row>
    <row r="1408" spans="1:7" ht="15">
      <c r="A1408" s="84" t="s">
        <v>3552</v>
      </c>
      <c r="B1408" s="83">
        <v>2</v>
      </c>
      <c r="C1408" s="110">
        <v>0.027231714641865017</v>
      </c>
      <c r="D1408" s="83" t="s">
        <v>3423</v>
      </c>
      <c r="E1408" s="83" t="b">
        <v>0</v>
      </c>
      <c r="F1408" s="83" t="b">
        <v>0</v>
      </c>
      <c r="G1408" s="83" t="b">
        <v>0</v>
      </c>
    </row>
    <row r="1409" spans="1:7" ht="15">
      <c r="A1409" s="84" t="s">
        <v>3598</v>
      </c>
      <c r="B1409" s="83">
        <v>2</v>
      </c>
      <c r="C1409" s="110">
        <v>0.027231714641865017</v>
      </c>
      <c r="D1409" s="83" t="s">
        <v>3423</v>
      </c>
      <c r="E1409" s="83" t="b">
        <v>0</v>
      </c>
      <c r="F1409" s="83" t="b">
        <v>0</v>
      </c>
      <c r="G1409" s="83" t="b">
        <v>0</v>
      </c>
    </row>
    <row r="1410" spans="1:7" ht="15">
      <c r="A1410" s="84" t="s">
        <v>3466</v>
      </c>
      <c r="B1410" s="83">
        <v>3</v>
      </c>
      <c r="C1410" s="110">
        <v>0.04128815344672408</v>
      </c>
      <c r="D1410" s="83" t="s">
        <v>3424</v>
      </c>
      <c r="E1410" s="83" t="b">
        <v>0</v>
      </c>
      <c r="F1410" s="83" t="b">
        <v>0</v>
      </c>
      <c r="G1410" s="83" t="b">
        <v>0</v>
      </c>
    </row>
    <row r="1411" spans="1:7" ht="15">
      <c r="A1411" s="84" t="s">
        <v>3472</v>
      </c>
      <c r="B1411" s="83">
        <v>3</v>
      </c>
      <c r="C1411" s="110">
        <v>0.04128815344672408</v>
      </c>
      <c r="D1411" s="83" t="s">
        <v>3424</v>
      </c>
      <c r="E1411" s="83" t="b">
        <v>0</v>
      </c>
      <c r="F1411" s="83" t="b">
        <v>0</v>
      </c>
      <c r="G1411" s="83" t="b">
        <v>0</v>
      </c>
    </row>
    <row r="1412" spans="1:7" ht="15">
      <c r="A1412" s="84" t="s">
        <v>1152</v>
      </c>
      <c r="B1412" s="83">
        <v>3</v>
      </c>
      <c r="C1412" s="110">
        <v>0.04128815344672408</v>
      </c>
      <c r="D1412" s="83" t="s">
        <v>3424</v>
      </c>
      <c r="E1412" s="83" t="b">
        <v>1</v>
      </c>
      <c r="F1412" s="83" t="b">
        <v>0</v>
      </c>
      <c r="G1412" s="83" t="b">
        <v>0</v>
      </c>
    </row>
    <row r="1413" spans="1:7" ht="15">
      <c r="A1413" s="84" t="s">
        <v>3469</v>
      </c>
      <c r="B1413" s="83">
        <v>3</v>
      </c>
      <c r="C1413" s="110">
        <v>0.04128815344672408</v>
      </c>
      <c r="D1413" s="83" t="s">
        <v>3424</v>
      </c>
      <c r="E1413" s="83" t="b">
        <v>1</v>
      </c>
      <c r="F1413" s="83" t="b">
        <v>0</v>
      </c>
      <c r="G1413" s="83" t="b">
        <v>0</v>
      </c>
    </row>
    <row r="1414" spans="1:7" ht="15">
      <c r="A1414" s="84" t="s">
        <v>3464</v>
      </c>
      <c r="B1414" s="83">
        <v>2</v>
      </c>
      <c r="C1414" s="110">
        <v>0.03611525314606068</v>
      </c>
      <c r="D1414" s="83" t="s">
        <v>3424</v>
      </c>
      <c r="E1414" s="83" t="b">
        <v>1</v>
      </c>
      <c r="F1414" s="83" t="b">
        <v>0</v>
      </c>
      <c r="G1414" s="83" t="b">
        <v>0</v>
      </c>
    </row>
    <row r="1415" spans="1:7" ht="15">
      <c r="A1415" s="84" t="s">
        <v>3582</v>
      </c>
      <c r="B1415" s="83">
        <v>2</v>
      </c>
      <c r="C1415" s="110">
        <v>0.05079964317845001</v>
      </c>
      <c r="D1415" s="83" t="s">
        <v>3424</v>
      </c>
      <c r="E1415" s="83" t="b">
        <v>0</v>
      </c>
      <c r="F1415" s="83" t="b">
        <v>0</v>
      </c>
      <c r="G1415" s="83" t="b">
        <v>0</v>
      </c>
    </row>
    <row r="1416" spans="1:7" ht="15">
      <c r="A1416" s="84" t="s">
        <v>3503</v>
      </c>
      <c r="B1416" s="83">
        <v>2</v>
      </c>
      <c r="C1416" s="110">
        <v>0.05079964317845001</v>
      </c>
      <c r="D1416" s="83" t="s">
        <v>3424</v>
      </c>
      <c r="E1416" s="83" t="b">
        <v>0</v>
      </c>
      <c r="F1416" s="83" t="b">
        <v>0</v>
      </c>
      <c r="G1416" s="83" t="b">
        <v>0</v>
      </c>
    </row>
    <row r="1417" spans="1:7" ht="15">
      <c r="A1417" s="84" t="s">
        <v>3564</v>
      </c>
      <c r="B1417" s="83">
        <v>6</v>
      </c>
      <c r="C1417" s="110">
        <v>0.04933905912960133</v>
      </c>
      <c r="D1417" s="83" t="s">
        <v>3425</v>
      </c>
      <c r="E1417" s="83" t="b">
        <v>0</v>
      </c>
      <c r="F1417" s="83" t="b">
        <v>0</v>
      </c>
      <c r="G1417" s="83" t="b">
        <v>0</v>
      </c>
    </row>
    <row r="1418" spans="1:7" ht="15">
      <c r="A1418" s="84" t="s">
        <v>3850</v>
      </c>
      <c r="B1418" s="83">
        <v>2</v>
      </c>
      <c r="C1418" s="110">
        <v>0.020589676785687062</v>
      </c>
      <c r="D1418" s="83" t="s">
        <v>3425</v>
      </c>
      <c r="E1418" s="83" t="b">
        <v>1</v>
      </c>
      <c r="F1418" s="83" t="b">
        <v>0</v>
      </c>
      <c r="G1418" s="83" t="b">
        <v>0</v>
      </c>
    </row>
    <row r="1419" spans="1:7" ht="15">
      <c r="A1419" s="84" t="s">
        <v>3851</v>
      </c>
      <c r="B1419" s="83">
        <v>2</v>
      </c>
      <c r="C1419" s="110">
        <v>0.020589676785687062</v>
      </c>
      <c r="D1419" s="83" t="s">
        <v>3425</v>
      </c>
      <c r="E1419" s="83" t="b">
        <v>0</v>
      </c>
      <c r="F1419" s="83" t="b">
        <v>0</v>
      </c>
      <c r="G1419" s="83" t="b">
        <v>0</v>
      </c>
    </row>
    <row r="1420" spans="1:7" ht="15">
      <c r="A1420" s="84" t="s">
        <v>3647</v>
      </c>
      <c r="B1420" s="83">
        <v>2</v>
      </c>
      <c r="C1420" s="110">
        <v>0.020589676785687062</v>
      </c>
      <c r="D1420" s="83" t="s">
        <v>3425</v>
      </c>
      <c r="E1420" s="83" t="b">
        <v>0</v>
      </c>
      <c r="F1420" s="83" t="b">
        <v>1</v>
      </c>
      <c r="G1420" s="83" t="b">
        <v>0</v>
      </c>
    </row>
    <row r="1421" spans="1:7" ht="15">
      <c r="A1421" s="84" t="s">
        <v>3496</v>
      </c>
      <c r="B1421" s="83">
        <v>2</v>
      </c>
      <c r="C1421" s="110">
        <v>0.020589676785687062</v>
      </c>
      <c r="D1421" s="83" t="s">
        <v>3425</v>
      </c>
      <c r="E1421" s="83" t="b">
        <v>0</v>
      </c>
      <c r="F1421" s="83" t="b">
        <v>0</v>
      </c>
      <c r="G1421" s="83" t="b">
        <v>0</v>
      </c>
    </row>
    <row r="1422" spans="1:7" ht="15">
      <c r="A1422" s="84" t="s">
        <v>3465</v>
      </c>
      <c r="B1422" s="83">
        <v>2</v>
      </c>
      <c r="C1422" s="110">
        <v>0.020589676785687062</v>
      </c>
      <c r="D1422" s="83" t="s">
        <v>3425</v>
      </c>
      <c r="E1422" s="83" t="b">
        <v>1</v>
      </c>
      <c r="F1422" s="83" t="b">
        <v>0</v>
      </c>
      <c r="G1422" s="83" t="b">
        <v>0</v>
      </c>
    </row>
    <row r="1423" spans="1:7" ht="15">
      <c r="A1423" s="84" t="s">
        <v>3982</v>
      </c>
      <c r="B1423" s="83">
        <v>2</v>
      </c>
      <c r="C1423" s="110">
        <v>0.027672735507192504</v>
      </c>
      <c r="D1423" s="83" t="s">
        <v>3425</v>
      </c>
      <c r="E1423" s="83" t="b">
        <v>0</v>
      </c>
      <c r="F1423" s="83" t="b">
        <v>0</v>
      </c>
      <c r="G1423" s="83" t="b">
        <v>0</v>
      </c>
    </row>
    <row r="1424" spans="1:7" ht="15">
      <c r="A1424" s="84" t="s">
        <v>3459</v>
      </c>
      <c r="B1424" s="83">
        <v>3</v>
      </c>
      <c r="C1424" s="110">
        <v>0.04609625672805037</v>
      </c>
      <c r="D1424" s="83" t="s">
        <v>3426</v>
      </c>
      <c r="E1424" s="83" t="b">
        <v>0</v>
      </c>
      <c r="F1424" s="83" t="b">
        <v>0</v>
      </c>
      <c r="G1424" s="83" t="b">
        <v>0</v>
      </c>
    </row>
    <row r="1425" spans="1:7" ht="15">
      <c r="A1425" s="84" t="s">
        <v>3460</v>
      </c>
      <c r="B1425" s="83">
        <v>2</v>
      </c>
      <c r="C1425" s="110">
        <v>0.030730837818700247</v>
      </c>
      <c r="D1425" s="83" t="s">
        <v>3426</v>
      </c>
      <c r="E1425" s="83" t="b">
        <v>1</v>
      </c>
      <c r="F1425" s="83" t="b">
        <v>0</v>
      </c>
      <c r="G1425" s="83" t="b">
        <v>0</v>
      </c>
    </row>
    <row r="1426" spans="1:7" ht="15">
      <c r="A1426" s="84" t="s">
        <v>3517</v>
      </c>
      <c r="B1426" s="83">
        <v>2</v>
      </c>
      <c r="C1426" s="110">
        <v>0.041677383115572286</v>
      </c>
      <c r="D1426" s="83" t="s">
        <v>3426</v>
      </c>
      <c r="E1426" s="83" t="b">
        <v>0</v>
      </c>
      <c r="F1426" s="83" t="b">
        <v>0</v>
      </c>
      <c r="G1426" s="83" t="b">
        <v>0</v>
      </c>
    </row>
    <row r="1427" spans="1:7" ht="15">
      <c r="A1427" s="84" t="s">
        <v>3459</v>
      </c>
      <c r="B1427" s="83">
        <v>6</v>
      </c>
      <c r="C1427" s="110">
        <v>0.031967787150157294</v>
      </c>
      <c r="D1427" s="83" t="s">
        <v>3427</v>
      </c>
      <c r="E1427" s="83" t="b">
        <v>0</v>
      </c>
      <c r="F1427" s="83" t="b">
        <v>0</v>
      </c>
      <c r="G1427" s="83" t="b">
        <v>0</v>
      </c>
    </row>
    <row r="1428" spans="1:7" ht="15">
      <c r="A1428" s="84" t="s">
        <v>3457</v>
      </c>
      <c r="B1428" s="83">
        <v>5</v>
      </c>
      <c r="C1428" s="110">
        <v>0.02663982262513108</v>
      </c>
      <c r="D1428" s="83" t="s">
        <v>3427</v>
      </c>
      <c r="E1428" s="83" t="b">
        <v>1</v>
      </c>
      <c r="F1428" s="83" t="b">
        <v>0</v>
      </c>
      <c r="G1428" s="83" t="b">
        <v>0</v>
      </c>
    </row>
    <row r="1429" spans="1:7" ht="15">
      <c r="A1429" s="84" t="s">
        <v>3531</v>
      </c>
      <c r="B1429" s="83">
        <v>3</v>
      </c>
      <c r="C1429" s="110">
        <v>0.021873683387902267</v>
      </c>
      <c r="D1429" s="83" t="s">
        <v>3427</v>
      </c>
      <c r="E1429" s="83" t="b">
        <v>0</v>
      </c>
      <c r="F1429" s="83" t="b">
        <v>0</v>
      </c>
      <c r="G1429" s="83" t="b">
        <v>0</v>
      </c>
    </row>
    <row r="1430" spans="1:7" ht="15">
      <c r="A1430" s="84" t="s">
        <v>3847</v>
      </c>
      <c r="B1430" s="83">
        <v>3</v>
      </c>
      <c r="C1430" s="110">
        <v>0.021873683387902267</v>
      </c>
      <c r="D1430" s="83" t="s">
        <v>3427</v>
      </c>
      <c r="E1430" s="83" t="b">
        <v>0</v>
      </c>
      <c r="F1430" s="83" t="b">
        <v>0</v>
      </c>
      <c r="G1430" s="83" t="b">
        <v>0</v>
      </c>
    </row>
    <row r="1431" spans="1:7" ht="15">
      <c r="A1431" s="84" t="s">
        <v>3466</v>
      </c>
      <c r="B1431" s="83">
        <v>3</v>
      </c>
      <c r="C1431" s="110">
        <v>0.021873683387902267</v>
      </c>
      <c r="D1431" s="83" t="s">
        <v>3427</v>
      </c>
      <c r="E1431" s="83" t="b">
        <v>0</v>
      </c>
      <c r="F1431" s="83" t="b">
        <v>0</v>
      </c>
      <c r="G1431" s="83" t="b">
        <v>0</v>
      </c>
    </row>
    <row r="1432" spans="1:7" ht="15">
      <c r="A1432" s="84" t="s">
        <v>3456</v>
      </c>
      <c r="B1432" s="83">
        <v>2</v>
      </c>
      <c r="C1432" s="110">
        <v>0.017699115044247787</v>
      </c>
      <c r="D1432" s="83" t="s">
        <v>3427</v>
      </c>
      <c r="E1432" s="83" t="b">
        <v>1</v>
      </c>
      <c r="F1432" s="83" t="b">
        <v>0</v>
      </c>
      <c r="G1432" s="83" t="b">
        <v>0</v>
      </c>
    </row>
    <row r="1433" spans="1:7" ht="15">
      <c r="A1433" s="84" t="s">
        <v>3667</v>
      </c>
      <c r="B1433" s="83">
        <v>2</v>
      </c>
      <c r="C1433" s="110">
        <v>0.017699115044247787</v>
      </c>
      <c r="D1433" s="83" t="s">
        <v>3427</v>
      </c>
      <c r="E1433" s="83" t="b">
        <v>1</v>
      </c>
      <c r="F1433" s="83" t="b">
        <v>0</v>
      </c>
      <c r="G1433" s="83" t="b">
        <v>0</v>
      </c>
    </row>
    <row r="1434" spans="1:7" ht="15">
      <c r="A1434" s="84" t="s">
        <v>3465</v>
      </c>
      <c r="B1434" s="83">
        <v>2</v>
      </c>
      <c r="C1434" s="110">
        <v>0.017699115044247787</v>
      </c>
      <c r="D1434" s="83" t="s">
        <v>3427</v>
      </c>
      <c r="E1434" s="83" t="b">
        <v>1</v>
      </c>
      <c r="F1434" s="83" t="b">
        <v>0</v>
      </c>
      <c r="G1434" s="83" t="b">
        <v>0</v>
      </c>
    </row>
    <row r="1435" spans="1:7" ht="15">
      <c r="A1435" s="84" t="s">
        <v>3464</v>
      </c>
      <c r="B1435" s="83">
        <v>2</v>
      </c>
      <c r="C1435" s="110">
        <v>0.017699115044247787</v>
      </c>
      <c r="D1435" s="83" t="s">
        <v>3427</v>
      </c>
      <c r="E1435" s="83" t="b">
        <v>1</v>
      </c>
      <c r="F1435" s="83" t="b">
        <v>0</v>
      </c>
      <c r="G1435" s="83" t="b">
        <v>0</v>
      </c>
    </row>
    <row r="1436" spans="1:7" ht="15">
      <c r="A1436" s="84" t="s">
        <v>3473</v>
      </c>
      <c r="B1436" s="83">
        <v>2</v>
      </c>
      <c r="C1436" s="110">
        <v>0.017699115044247787</v>
      </c>
      <c r="D1436" s="83" t="s">
        <v>3427</v>
      </c>
      <c r="E1436" s="83" t="b">
        <v>0</v>
      </c>
      <c r="F1436" s="83" t="b">
        <v>0</v>
      </c>
      <c r="G1436" s="83" t="b">
        <v>0</v>
      </c>
    </row>
    <row r="1437" spans="1:7" ht="15">
      <c r="A1437" s="84" t="s">
        <v>3623</v>
      </c>
      <c r="B1437" s="83">
        <v>2</v>
      </c>
      <c r="C1437" s="110">
        <v>0.017699115044247787</v>
      </c>
      <c r="D1437" s="83" t="s">
        <v>3427</v>
      </c>
      <c r="E1437" s="83" t="b">
        <v>0</v>
      </c>
      <c r="F1437" s="83" t="b">
        <v>0</v>
      </c>
      <c r="G1437" s="83" t="b">
        <v>0</v>
      </c>
    </row>
    <row r="1438" spans="1:7" ht="15">
      <c r="A1438" s="84" t="s">
        <v>4133</v>
      </c>
      <c r="B1438" s="83">
        <v>2</v>
      </c>
      <c r="C1438" s="110">
        <v>0.017699115044247787</v>
      </c>
      <c r="D1438" s="83" t="s">
        <v>3427</v>
      </c>
      <c r="E1438" s="83" t="b">
        <v>0</v>
      </c>
      <c r="F1438" s="83" t="b">
        <v>1</v>
      </c>
      <c r="G1438" s="83" t="b">
        <v>0</v>
      </c>
    </row>
    <row r="1439" spans="1:7" ht="15">
      <c r="A1439" s="84" t="s">
        <v>3766</v>
      </c>
      <c r="B1439" s="83">
        <v>2</v>
      </c>
      <c r="C1439" s="110">
        <v>0.017699115044247787</v>
      </c>
      <c r="D1439" s="83" t="s">
        <v>3427</v>
      </c>
      <c r="E1439" s="83" t="b">
        <v>0</v>
      </c>
      <c r="F1439" s="83" t="b">
        <v>0</v>
      </c>
      <c r="G1439" s="83" t="b">
        <v>0</v>
      </c>
    </row>
    <row r="1440" spans="1:7" ht="15">
      <c r="A1440" s="84" t="s">
        <v>4134</v>
      </c>
      <c r="B1440" s="83">
        <v>2</v>
      </c>
      <c r="C1440" s="110">
        <v>0.017699115044247787</v>
      </c>
      <c r="D1440" s="83" t="s">
        <v>3427</v>
      </c>
      <c r="E1440" s="83" t="b">
        <v>0</v>
      </c>
      <c r="F1440" s="83" t="b">
        <v>0</v>
      </c>
      <c r="G1440" s="83" t="b">
        <v>0</v>
      </c>
    </row>
    <row r="1441" spans="1:7" ht="15">
      <c r="A1441" s="84" t="s">
        <v>3721</v>
      </c>
      <c r="B1441" s="83">
        <v>2</v>
      </c>
      <c r="C1441" s="110">
        <v>0.017699115044247787</v>
      </c>
      <c r="D1441" s="83" t="s">
        <v>3427</v>
      </c>
      <c r="E1441" s="83" t="b">
        <v>0</v>
      </c>
      <c r="F1441" s="83" t="b">
        <v>0</v>
      </c>
      <c r="G1441" s="83" t="b">
        <v>0</v>
      </c>
    </row>
    <row r="1442" spans="1:7" ht="15">
      <c r="A1442" s="84" t="s">
        <v>4135</v>
      </c>
      <c r="B1442" s="83">
        <v>2</v>
      </c>
      <c r="C1442" s="110">
        <v>0.017699115044247787</v>
      </c>
      <c r="D1442" s="83" t="s">
        <v>3427</v>
      </c>
      <c r="E1442" s="83" t="b">
        <v>0</v>
      </c>
      <c r="F1442" s="83" t="b">
        <v>1</v>
      </c>
      <c r="G1442" s="83" t="b">
        <v>0</v>
      </c>
    </row>
    <row r="1443" spans="1:7" ht="15">
      <c r="A1443" s="84" t="s">
        <v>3552</v>
      </c>
      <c r="B1443" s="83">
        <v>2</v>
      </c>
      <c r="C1443" s="110">
        <v>0.017699115044247787</v>
      </c>
      <c r="D1443" s="83" t="s">
        <v>3427</v>
      </c>
      <c r="E1443" s="83" t="b">
        <v>0</v>
      </c>
      <c r="F1443" s="83" t="b">
        <v>0</v>
      </c>
      <c r="G1443" s="83" t="b">
        <v>0</v>
      </c>
    </row>
    <row r="1444" spans="1:7" ht="15">
      <c r="A1444" s="84" t="s">
        <v>3643</v>
      </c>
      <c r="B1444" s="83">
        <v>2</v>
      </c>
      <c r="C1444" s="110">
        <v>0.017699115044247787</v>
      </c>
      <c r="D1444" s="83" t="s">
        <v>3427</v>
      </c>
      <c r="E1444" s="83" t="b">
        <v>1</v>
      </c>
      <c r="F1444" s="83" t="b">
        <v>0</v>
      </c>
      <c r="G1444" s="83" t="b">
        <v>0</v>
      </c>
    </row>
    <row r="1445" spans="1:7" ht="15">
      <c r="A1445" s="84" t="s">
        <v>3458</v>
      </c>
      <c r="B1445" s="83">
        <v>2</v>
      </c>
      <c r="C1445" s="110">
        <v>0.017699115044247787</v>
      </c>
      <c r="D1445" s="83" t="s">
        <v>3427</v>
      </c>
      <c r="E1445" s="83" t="b">
        <v>0</v>
      </c>
      <c r="F1445" s="83" t="b">
        <v>0</v>
      </c>
      <c r="G1445" s="83" t="b">
        <v>0</v>
      </c>
    </row>
    <row r="1446" spans="1:7" ht="15">
      <c r="A1446" s="84" t="s">
        <v>4136</v>
      </c>
      <c r="B1446" s="83">
        <v>2</v>
      </c>
      <c r="C1446" s="110">
        <v>0.023027079569274005</v>
      </c>
      <c r="D1446" s="83" t="s">
        <v>3427</v>
      </c>
      <c r="E1446" s="83" t="b">
        <v>0</v>
      </c>
      <c r="F1446" s="83" t="b">
        <v>0</v>
      </c>
      <c r="G1446" s="83" t="b">
        <v>0</v>
      </c>
    </row>
    <row r="1447" spans="1:7" ht="15">
      <c r="A1447" s="84" t="s">
        <v>3528</v>
      </c>
      <c r="B1447" s="83">
        <v>2</v>
      </c>
      <c r="C1447" s="110">
        <v>0.017699115044247787</v>
      </c>
      <c r="D1447" s="83" t="s">
        <v>3427</v>
      </c>
      <c r="E1447" s="83" t="b">
        <v>1</v>
      </c>
      <c r="F1447" s="83" t="b">
        <v>0</v>
      </c>
      <c r="G1447" s="83" t="b">
        <v>0</v>
      </c>
    </row>
    <row r="1448" spans="1:7" ht="15">
      <c r="A1448" s="84" t="s">
        <v>3645</v>
      </c>
      <c r="B1448" s="83">
        <v>4</v>
      </c>
      <c r="C1448" s="110">
        <v>0</v>
      </c>
      <c r="D1448" s="83" t="s">
        <v>3428</v>
      </c>
      <c r="E1448" s="83" t="b">
        <v>0</v>
      </c>
      <c r="F1448" s="83" t="b">
        <v>0</v>
      </c>
      <c r="G1448" s="83" t="b">
        <v>0</v>
      </c>
    </row>
    <row r="1449" spans="1:7" ht="15">
      <c r="A1449" s="84" t="s">
        <v>3702</v>
      </c>
      <c r="B1449" s="83">
        <v>3</v>
      </c>
      <c r="C1449" s="110">
        <v>0</v>
      </c>
      <c r="D1449" s="83" t="s">
        <v>3428</v>
      </c>
      <c r="E1449" s="83" t="b">
        <v>0</v>
      </c>
      <c r="F1449" s="83" t="b">
        <v>0</v>
      </c>
      <c r="G1449" s="83" t="b">
        <v>0</v>
      </c>
    </row>
    <row r="1450" spans="1:7" ht="15">
      <c r="A1450" s="84" t="s">
        <v>3701</v>
      </c>
      <c r="B1450" s="83">
        <v>2</v>
      </c>
      <c r="C1450" s="110">
        <v>0</v>
      </c>
      <c r="D1450" s="83" t="s">
        <v>3428</v>
      </c>
      <c r="E1450" s="83" t="b">
        <v>0</v>
      </c>
      <c r="F1450" s="83" t="b">
        <v>0</v>
      </c>
      <c r="G1450" s="83" t="b">
        <v>0</v>
      </c>
    </row>
    <row r="1451" spans="1:7" ht="15">
      <c r="A1451" s="84" t="s">
        <v>3462</v>
      </c>
      <c r="B1451" s="83">
        <v>2</v>
      </c>
      <c r="C1451" s="110">
        <v>0</v>
      </c>
      <c r="D1451" s="83" t="s">
        <v>3428</v>
      </c>
      <c r="E1451" s="83" t="b">
        <v>0</v>
      </c>
      <c r="F1451" s="83" t="b">
        <v>0</v>
      </c>
      <c r="G1451" s="83" t="b">
        <v>0</v>
      </c>
    </row>
    <row r="1452" spans="1:7" ht="15">
      <c r="A1452" s="84" t="s">
        <v>3572</v>
      </c>
      <c r="B1452" s="83">
        <v>2</v>
      </c>
      <c r="C1452" s="110">
        <v>0</v>
      </c>
      <c r="D1452" s="83" t="s">
        <v>3428</v>
      </c>
      <c r="E1452" s="83" t="b">
        <v>0</v>
      </c>
      <c r="F1452" s="83" t="b">
        <v>0</v>
      </c>
      <c r="G1452" s="83" t="b">
        <v>0</v>
      </c>
    </row>
    <row r="1453" spans="1:7" ht="15">
      <c r="A1453" s="84" t="s">
        <v>3848</v>
      </c>
      <c r="B1453" s="83">
        <v>2</v>
      </c>
      <c r="C1453" s="110">
        <v>0</v>
      </c>
      <c r="D1453" s="83" t="s">
        <v>3428</v>
      </c>
      <c r="E1453" s="83" t="b">
        <v>0</v>
      </c>
      <c r="F1453" s="83" t="b">
        <v>0</v>
      </c>
      <c r="G1453" s="83" t="b">
        <v>0</v>
      </c>
    </row>
    <row r="1454" spans="1:7" ht="15">
      <c r="A1454" s="84" t="s">
        <v>3646</v>
      </c>
      <c r="B1454" s="83">
        <v>2</v>
      </c>
      <c r="C1454" s="110">
        <v>0</v>
      </c>
      <c r="D1454" s="83" t="s">
        <v>3428</v>
      </c>
      <c r="E1454" s="83" t="b">
        <v>0</v>
      </c>
      <c r="F1454" s="83" t="b">
        <v>0</v>
      </c>
      <c r="G1454" s="83" t="b">
        <v>0</v>
      </c>
    </row>
    <row r="1455" spans="1:7" ht="15">
      <c r="A1455" s="84" t="s">
        <v>3559</v>
      </c>
      <c r="B1455" s="83">
        <v>3</v>
      </c>
      <c r="C1455" s="110">
        <v>0.04753901777493351</v>
      </c>
      <c r="D1455" s="83" t="s">
        <v>3429</v>
      </c>
      <c r="E1455" s="83" t="b">
        <v>0</v>
      </c>
      <c r="F1455" s="83" t="b">
        <v>0</v>
      </c>
      <c r="G1455" s="83" t="b">
        <v>0</v>
      </c>
    </row>
    <row r="1456" spans="1:7" ht="15">
      <c r="A1456" s="84" t="s">
        <v>3805</v>
      </c>
      <c r="B1456" s="83">
        <v>2</v>
      </c>
      <c r="C1456" s="110">
        <v>0.05684857266743394</v>
      </c>
      <c r="D1456" s="83" t="s">
        <v>3429</v>
      </c>
      <c r="E1456" s="83" t="b">
        <v>0</v>
      </c>
      <c r="F1456" s="83" t="b">
        <v>0</v>
      </c>
      <c r="G145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79939-68A8-46D8-A286-7F3E6FA4FFDC}">
  <dimension ref="A1:L4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4149</v>
      </c>
      <c r="B1" s="13" t="s">
        <v>4150</v>
      </c>
      <c r="C1" s="13" t="s">
        <v>4140</v>
      </c>
      <c r="D1" s="13" t="s">
        <v>4144</v>
      </c>
      <c r="E1" s="13" t="s">
        <v>4151</v>
      </c>
      <c r="F1" s="13" t="s">
        <v>144</v>
      </c>
      <c r="G1" s="13" t="s">
        <v>4152</v>
      </c>
      <c r="H1" s="13" t="s">
        <v>4153</v>
      </c>
      <c r="I1" s="13" t="s">
        <v>4154</v>
      </c>
      <c r="J1" s="13" t="s">
        <v>4155</v>
      </c>
      <c r="K1" s="13" t="s">
        <v>4156</v>
      </c>
      <c r="L1" s="13" t="s">
        <v>4157</v>
      </c>
    </row>
    <row r="2" spans="1:12" ht="15">
      <c r="A2" s="83" t="s">
        <v>3462</v>
      </c>
      <c r="B2" s="83" t="s">
        <v>3459</v>
      </c>
      <c r="C2" s="83">
        <v>25</v>
      </c>
      <c r="D2" s="110">
        <v>0.007602840098125324</v>
      </c>
      <c r="E2" s="110">
        <v>1.4332079909137865</v>
      </c>
      <c r="F2" s="83" t="s">
        <v>4145</v>
      </c>
      <c r="G2" s="83" t="b">
        <v>0</v>
      </c>
      <c r="H2" s="83" t="b">
        <v>0</v>
      </c>
      <c r="I2" s="83" t="b">
        <v>0</v>
      </c>
      <c r="J2" s="83" t="b">
        <v>0</v>
      </c>
      <c r="K2" s="83" t="b">
        <v>0</v>
      </c>
      <c r="L2" s="83" t="b">
        <v>0</v>
      </c>
    </row>
    <row r="3" spans="1:12" ht="15">
      <c r="A3" s="84" t="s">
        <v>3497</v>
      </c>
      <c r="B3" s="83" t="s">
        <v>3518</v>
      </c>
      <c r="C3" s="83">
        <v>9</v>
      </c>
      <c r="D3" s="110">
        <v>0.003689746236566688</v>
      </c>
      <c r="E3" s="110">
        <v>2.441077641928348</v>
      </c>
      <c r="F3" s="83" t="s">
        <v>4145</v>
      </c>
      <c r="G3" s="83" t="b">
        <v>0</v>
      </c>
      <c r="H3" s="83" t="b">
        <v>0</v>
      </c>
      <c r="I3" s="83" t="b">
        <v>0</v>
      </c>
      <c r="J3" s="83" t="b">
        <v>0</v>
      </c>
      <c r="K3" s="83" t="b">
        <v>0</v>
      </c>
      <c r="L3" s="83" t="b">
        <v>0</v>
      </c>
    </row>
    <row r="4" spans="1:12" ht="15">
      <c r="A4" s="84" t="s">
        <v>3469</v>
      </c>
      <c r="B4" s="83" t="s">
        <v>1152</v>
      </c>
      <c r="C4" s="83">
        <v>8</v>
      </c>
      <c r="D4" s="110">
        <v>0.0031879968705212317</v>
      </c>
      <c r="E4" s="110">
        <v>1.4047553585615817</v>
      </c>
      <c r="F4" s="83" t="s">
        <v>4145</v>
      </c>
      <c r="G4" s="83" t="b">
        <v>1</v>
      </c>
      <c r="H4" s="83" t="b">
        <v>0</v>
      </c>
      <c r="I4" s="83" t="b">
        <v>0</v>
      </c>
      <c r="J4" s="83" t="b">
        <v>1</v>
      </c>
      <c r="K4" s="83" t="b">
        <v>0</v>
      </c>
      <c r="L4" s="83" t="b">
        <v>0</v>
      </c>
    </row>
    <row r="5" spans="1:12" ht="15">
      <c r="A5" s="84" t="s">
        <v>1152</v>
      </c>
      <c r="B5" s="83" t="s">
        <v>3466</v>
      </c>
      <c r="C5" s="83">
        <v>8</v>
      </c>
      <c r="D5" s="110">
        <v>0.0031879968705212317</v>
      </c>
      <c r="E5" s="110">
        <v>1.2435755614914206</v>
      </c>
      <c r="F5" s="83" t="s">
        <v>4145</v>
      </c>
      <c r="G5" s="83" t="b">
        <v>1</v>
      </c>
      <c r="H5" s="83" t="b">
        <v>0</v>
      </c>
      <c r="I5" s="83" t="b">
        <v>0</v>
      </c>
      <c r="J5" s="83" t="b">
        <v>0</v>
      </c>
      <c r="K5" s="83" t="b">
        <v>0</v>
      </c>
      <c r="L5" s="83" t="b">
        <v>0</v>
      </c>
    </row>
    <row r="6" spans="1:12" ht="15">
      <c r="A6" s="84" t="s">
        <v>3456</v>
      </c>
      <c r="B6" s="83" t="s">
        <v>3458</v>
      </c>
      <c r="C6" s="83">
        <v>7</v>
      </c>
      <c r="D6" s="110">
        <v>0.002869802628440757</v>
      </c>
      <c r="E6" s="110">
        <v>0.6400311251961978</v>
      </c>
      <c r="F6" s="83" t="s">
        <v>4145</v>
      </c>
      <c r="G6" s="83" t="b">
        <v>1</v>
      </c>
      <c r="H6" s="83" t="b">
        <v>0</v>
      </c>
      <c r="I6" s="83" t="b">
        <v>0</v>
      </c>
      <c r="J6" s="83" t="b">
        <v>0</v>
      </c>
      <c r="K6" s="83" t="b">
        <v>0</v>
      </c>
      <c r="L6" s="83" t="b">
        <v>0</v>
      </c>
    </row>
    <row r="7" spans="1:12" ht="15">
      <c r="A7" s="84" t="s">
        <v>3474</v>
      </c>
      <c r="B7" s="83" t="s">
        <v>3508</v>
      </c>
      <c r="C7" s="83">
        <v>7</v>
      </c>
      <c r="D7" s="110">
        <v>0.002869802628440757</v>
      </c>
      <c r="E7" s="110">
        <v>2.0749406870057</v>
      </c>
      <c r="F7" s="83" t="s">
        <v>4145</v>
      </c>
      <c r="G7" s="83" t="b">
        <v>0</v>
      </c>
      <c r="H7" s="83" t="b">
        <v>0</v>
      </c>
      <c r="I7" s="83" t="b">
        <v>0</v>
      </c>
      <c r="J7" s="83" t="b">
        <v>0</v>
      </c>
      <c r="K7" s="83" t="b">
        <v>0</v>
      </c>
      <c r="L7" s="83" t="b">
        <v>0</v>
      </c>
    </row>
    <row r="8" spans="1:12" ht="15">
      <c r="A8" s="84" t="s">
        <v>3462</v>
      </c>
      <c r="B8" s="83" t="s">
        <v>3482</v>
      </c>
      <c r="C8" s="83">
        <v>7</v>
      </c>
      <c r="D8" s="110">
        <v>0.002869802628440757</v>
      </c>
      <c r="E8" s="110">
        <v>1.482426013583968</v>
      </c>
      <c r="F8" s="83" t="s">
        <v>4145</v>
      </c>
      <c r="G8" s="83" t="b">
        <v>0</v>
      </c>
      <c r="H8" s="83" t="b">
        <v>0</v>
      </c>
      <c r="I8" s="83" t="b">
        <v>0</v>
      </c>
      <c r="J8" s="83" t="b">
        <v>0</v>
      </c>
      <c r="K8" s="83" t="b">
        <v>0</v>
      </c>
      <c r="L8" s="83" t="b">
        <v>0</v>
      </c>
    </row>
    <row r="9" spans="1:12" ht="15">
      <c r="A9" s="84" t="s">
        <v>3532</v>
      </c>
      <c r="B9" s="83" t="s">
        <v>3459</v>
      </c>
      <c r="C9" s="83">
        <v>6</v>
      </c>
      <c r="D9" s="110">
        <v>0.00253929288922125</v>
      </c>
      <c r="E9" s="110">
        <v>1.6506919351276927</v>
      </c>
      <c r="F9" s="83" t="s">
        <v>4145</v>
      </c>
      <c r="G9" s="83" t="b">
        <v>0</v>
      </c>
      <c r="H9" s="83" t="b">
        <v>0</v>
      </c>
      <c r="I9" s="83" t="b">
        <v>0</v>
      </c>
      <c r="J9" s="83" t="b">
        <v>0</v>
      </c>
      <c r="K9" s="83" t="b">
        <v>0</v>
      </c>
      <c r="L9" s="83" t="b">
        <v>0</v>
      </c>
    </row>
    <row r="10" spans="1:12" ht="15">
      <c r="A10" s="84" t="s">
        <v>3513</v>
      </c>
      <c r="B10" s="83" t="s">
        <v>3501</v>
      </c>
      <c r="C10" s="83">
        <v>6</v>
      </c>
      <c r="D10" s="110">
        <v>0.00253929288922125</v>
      </c>
      <c r="E10" s="110">
        <v>2.2557783810858427</v>
      </c>
      <c r="F10" s="83" t="s">
        <v>4145</v>
      </c>
      <c r="G10" s="83" t="b">
        <v>0</v>
      </c>
      <c r="H10" s="83" t="b">
        <v>1</v>
      </c>
      <c r="I10" s="83" t="b">
        <v>0</v>
      </c>
      <c r="J10" s="83" t="b">
        <v>1</v>
      </c>
      <c r="K10" s="83" t="b">
        <v>0</v>
      </c>
      <c r="L10" s="83" t="b">
        <v>0</v>
      </c>
    </row>
    <row r="11" spans="1:12" ht="15">
      <c r="A11" s="84" t="s">
        <v>3474</v>
      </c>
      <c r="B11" s="83" t="s">
        <v>3459</v>
      </c>
      <c r="C11" s="83">
        <v>6</v>
      </c>
      <c r="D11" s="110">
        <v>0.00253929288922125</v>
      </c>
      <c r="E11" s="110">
        <v>1.1920540861020434</v>
      </c>
      <c r="F11" s="83" t="s">
        <v>4145</v>
      </c>
      <c r="G11" s="83" t="b">
        <v>0</v>
      </c>
      <c r="H11" s="83" t="b">
        <v>0</v>
      </c>
      <c r="I11" s="83" t="b">
        <v>0</v>
      </c>
      <c r="J11" s="83" t="b">
        <v>0</v>
      </c>
      <c r="K11" s="83" t="b">
        <v>0</v>
      </c>
      <c r="L11" s="83" t="b">
        <v>0</v>
      </c>
    </row>
    <row r="12" spans="1:12" ht="15">
      <c r="A12" s="84" t="s">
        <v>3456</v>
      </c>
      <c r="B12" s="83" t="s">
        <v>3462</v>
      </c>
      <c r="C12" s="83">
        <v>6</v>
      </c>
      <c r="D12" s="110">
        <v>0.00253929288922125</v>
      </c>
      <c r="E12" s="110">
        <v>0.7253726799486411</v>
      </c>
      <c r="F12" s="83" t="s">
        <v>4145</v>
      </c>
      <c r="G12" s="83" t="b">
        <v>1</v>
      </c>
      <c r="H12" s="83" t="b">
        <v>0</v>
      </c>
      <c r="I12" s="83" t="b">
        <v>0</v>
      </c>
      <c r="J12" s="83" t="b">
        <v>0</v>
      </c>
      <c r="K12" s="83" t="b">
        <v>0</v>
      </c>
      <c r="L12" s="83" t="b">
        <v>0</v>
      </c>
    </row>
    <row r="13" spans="1:12" ht="15">
      <c r="A13" s="84" t="s">
        <v>3610</v>
      </c>
      <c r="B13" s="83" t="s">
        <v>3611</v>
      </c>
      <c r="C13" s="83">
        <v>5</v>
      </c>
      <c r="D13" s="110">
        <v>0.0025880074321350793</v>
      </c>
      <c r="E13" s="110">
        <v>2.9339931638312424</v>
      </c>
      <c r="F13" s="83" t="s">
        <v>4145</v>
      </c>
      <c r="G13" s="83" t="b">
        <v>0</v>
      </c>
      <c r="H13" s="83" t="b">
        <v>0</v>
      </c>
      <c r="I13" s="83" t="b">
        <v>0</v>
      </c>
      <c r="J13" s="83" t="b">
        <v>0</v>
      </c>
      <c r="K13" s="83" t="b">
        <v>0</v>
      </c>
      <c r="L13" s="83" t="b">
        <v>0</v>
      </c>
    </row>
    <row r="14" spans="1:12" ht="15">
      <c r="A14" s="84" t="s">
        <v>3583</v>
      </c>
      <c r="B14" s="83" t="s">
        <v>3503</v>
      </c>
      <c r="C14" s="83">
        <v>5</v>
      </c>
      <c r="D14" s="110">
        <v>0.0021943971367126883</v>
      </c>
      <c r="E14" s="110">
        <v>2.4398385698127996</v>
      </c>
      <c r="F14" s="83" t="s">
        <v>4145</v>
      </c>
      <c r="G14" s="83" t="b">
        <v>0</v>
      </c>
      <c r="H14" s="83" t="b">
        <v>0</v>
      </c>
      <c r="I14" s="83" t="b">
        <v>0</v>
      </c>
      <c r="J14" s="83" t="b">
        <v>0</v>
      </c>
      <c r="K14" s="83" t="b">
        <v>0</v>
      </c>
      <c r="L14" s="83" t="b">
        <v>0</v>
      </c>
    </row>
    <row r="15" spans="1:12" ht="15">
      <c r="A15" s="84" t="s">
        <v>3503</v>
      </c>
      <c r="B15" s="83" t="s">
        <v>3503</v>
      </c>
      <c r="C15" s="83">
        <v>5</v>
      </c>
      <c r="D15" s="110">
        <v>0.0021943971367126883</v>
      </c>
      <c r="E15" s="110">
        <v>2.1040464678896065</v>
      </c>
      <c r="F15" s="83" t="s">
        <v>4145</v>
      </c>
      <c r="G15" s="83" t="b">
        <v>0</v>
      </c>
      <c r="H15" s="83" t="b">
        <v>0</v>
      </c>
      <c r="I15" s="83" t="b">
        <v>0</v>
      </c>
      <c r="J15" s="83" t="b">
        <v>0</v>
      </c>
      <c r="K15" s="83" t="b">
        <v>0</v>
      </c>
      <c r="L15" s="83" t="b">
        <v>0</v>
      </c>
    </row>
    <row r="16" spans="1:12" ht="15">
      <c r="A16" s="84" t="s">
        <v>3503</v>
      </c>
      <c r="B16" s="83" t="s">
        <v>3616</v>
      </c>
      <c r="C16" s="83">
        <v>5</v>
      </c>
      <c r="D16" s="110">
        <v>0.0021943971367126883</v>
      </c>
      <c r="E16" s="110">
        <v>2.5190198158604242</v>
      </c>
      <c r="F16" s="83" t="s">
        <v>4145</v>
      </c>
      <c r="G16" s="83" t="b">
        <v>0</v>
      </c>
      <c r="H16" s="83" t="b">
        <v>0</v>
      </c>
      <c r="I16" s="83" t="b">
        <v>0</v>
      </c>
      <c r="J16" s="83" t="b">
        <v>0</v>
      </c>
      <c r="K16" s="83" t="b">
        <v>0</v>
      </c>
      <c r="L16" s="83" t="b">
        <v>0</v>
      </c>
    </row>
    <row r="17" spans="1:12" ht="15">
      <c r="A17" s="84" t="s">
        <v>1152</v>
      </c>
      <c r="B17" s="83" t="s">
        <v>3472</v>
      </c>
      <c r="C17" s="83">
        <v>5</v>
      </c>
      <c r="D17" s="110">
        <v>0.0021943971367126883</v>
      </c>
      <c r="E17" s="110">
        <v>1.1452593050035347</v>
      </c>
      <c r="F17" s="83" t="s">
        <v>4145</v>
      </c>
      <c r="G17" s="83" t="b">
        <v>1</v>
      </c>
      <c r="H17" s="83" t="b">
        <v>0</v>
      </c>
      <c r="I17" s="83" t="b">
        <v>0</v>
      </c>
      <c r="J17" s="83" t="b">
        <v>0</v>
      </c>
      <c r="K17" s="83" t="b">
        <v>0</v>
      </c>
      <c r="L17" s="83" t="b">
        <v>0</v>
      </c>
    </row>
    <row r="18" spans="1:12" ht="15">
      <c r="A18" s="84" t="s">
        <v>3457</v>
      </c>
      <c r="B18" s="83" t="s">
        <v>3476</v>
      </c>
      <c r="C18" s="83">
        <v>5</v>
      </c>
      <c r="D18" s="110">
        <v>0.0021943971367126883</v>
      </c>
      <c r="E18" s="110">
        <v>1.1836390750685342</v>
      </c>
      <c r="F18" s="83" t="s">
        <v>4145</v>
      </c>
      <c r="G18" s="83" t="b">
        <v>1</v>
      </c>
      <c r="H18" s="83" t="b">
        <v>0</v>
      </c>
      <c r="I18" s="83" t="b">
        <v>0</v>
      </c>
      <c r="J18" s="83" t="b">
        <v>0</v>
      </c>
      <c r="K18" s="83" t="b">
        <v>0</v>
      </c>
      <c r="L18" s="83" t="b">
        <v>0</v>
      </c>
    </row>
    <row r="19" spans="1:12" ht="15">
      <c r="A19" s="84" t="s">
        <v>3457</v>
      </c>
      <c r="B19" s="83" t="s">
        <v>3496</v>
      </c>
      <c r="C19" s="83">
        <v>5</v>
      </c>
      <c r="D19" s="110">
        <v>0.0021943971367126883</v>
      </c>
      <c r="E19" s="110">
        <v>1.3597303341242155</v>
      </c>
      <c r="F19" s="83" t="s">
        <v>4145</v>
      </c>
      <c r="G19" s="83" t="b">
        <v>1</v>
      </c>
      <c r="H19" s="83" t="b">
        <v>0</v>
      </c>
      <c r="I19" s="83" t="b">
        <v>0</v>
      </c>
      <c r="J19" s="83" t="b">
        <v>0</v>
      </c>
      <c r="K19" s="83" t="b">
        <v>0</v>
      </c>
      <c r="L19" s="83" t="b">
        <v>0</v>
      </c>
    </row>
    <row r="20" spans="1:12" ht="15">
      <c r="A20" s="84" t="s">
        <v>3460</v>
      </c>
      <c r="B20" s="83" t="s">
        <v>3462</v>
      </c>
      <c r="C20" s="83">
        <v>5</v>
      </c>
      <c r="D20" s="110">
        <v>0.0021943971367126883</v>
      </c>
      <c r="E20" s="110">
        <v>0.908687298566472</v>
      </c>
      <c r="F20" s="83" t="s">
        <v>4145</v>
      </c>
      <c r="G20" s="83" t="b">
        <v>1</v>
      </c>
      <c r="H20" s="83" t="b">
        <v>0</v>
      </c>
      <c r="I20" s="83" t="b">
        <v>0</v>
      </c>
      <c r="J20" s="83" t="b">
        <v>0</v>
      </c>
      <c r="K20" s="83" t="b">
        <v>0</v>
      </c>
      <c r="L20" s="83" t="b">
        <v>0</v>
      </c>
    </row>
    <row r="21" spans="1:12" ht="15">
      <c r="A21" s="84" t="s">
        <v>3566</v>
      </c>
      <c r="B21" s="83" t="s">
        <v>3543</v>
      </c>
      <c r="C21" s="83">
        <v>5</v>
      </c>
      <c r="D21" s="110">
        <v>0.0021943971367126883</v>
      </c>
      <c r="E21" s="110">
        <v>2.5837451454970797</v>
      </c>
      <c r="F21" s="83" t="s">
        <v>4145</v>
      </c>
      <c r="G21" s="83" t="b">
        <v>0</v>
      </c>
      <c r="H21" s="83" t="b">
        <v>0</v>
      </c>
      <c r="I21" s="83" t="b">
        <v>0</v>
      </c>
      <c r="J21" s="83" t="b">
        <v>0</v>
      </c>
      <c r="K21" s="83" t="b">
        <v>0</v>
      </c>
      <c r="L21" s="83" t="b">
        <v>0</v>
      </c>
    </row>
    <row r="22" spans="1:12" ht="15">
      <c r="A22" s="84" t="s">
        <v>3456</v>
      </c>
      <c r="B22" s="83" t="s">
        <v>3474</v>
      </c>
      <c r="C22" s="83">
        <v>5</v>
      </c>
      <c r="D22" s="110">
        <v>0.0021943971367126883</v>
      </c>
      <c r="E22" s="110">
        <v>1.0027387574148288</v>
      </c>
      <c r="F22" s="83" t="s">
        <v>4145</v>
      </c>
      <c r="G22" s="83" t="b">
        <v>1</v>
      </c>
      <c r="H22" s="83" t="b">
        <v>0</v>
      </c>
      <c r="I22" s="83" t="b">
        <v>0</v>
      </c>
      <c r="J22" s="83" t="b">
        <v>0</v>
      </c>
      <c r="K22" s="83" t="b">
        <v>0</v>
      </c>
      <c r="L22" s="83" t="b">
        <v>0</v>
      </c>
    </row>
    <row r="23" spans="1:12" ht="15">
      <c r="A23" s="84" t="s">
        <v>3461</v>
      </c>
      <c r="B23" s="83" t="s">
        <v>3472</v>
      </c>
      <c r="C23" s="83">
        <v>5</v>
      </c>
      <c r="D23" s="110">
        <v>0.0021943971367126883</v>
      </c>
      <c r="E23" s="110">
        <v>1.2360667190247372</v>
      </c>
      <c r="F23" s="83" t="s">
        <v>4145</v>
      </c>
      <c r="G23" s="83" t="b">
        <v>1</v>
      </c>
      <c r="H23" s="83" t="b">
        <v>0</v>
      </c>
      <c r="I23" s="83" t="b">
        <v>0</v>
      </c>
      <c r="J23" s="83" t="b">
        <v>0</v>
      </c>
      <c r="K23" s="83" t="b">
        <v>0</v>
      </c>
      <c r="L23" s="83" t="b">
        <v>0</v>
      </c>
    </row>
    <row r="24" spans="1:12" ht="15">
      <c r="A24" s="84" t="s">
        <v>3465</v>
      </c>
      <c r="B24" s="83" t="s">
        <v>3476</v>
      </c>
      <c r="C24" s="83">
        <v>5</v>
      </c>
      <c r="D24" s="110">
        <v>0.0021943971367126883</v>
      </c>
      <c r="E24" s="110">
        <v>1.4656458334190852</v>
      </c>
      <c r="F24" s="83" t="s">
        <v>4145</v>
      </c>
      <c r="G24" s="83" t="b">
        <v>1</v>
      </c>
      <c r="H24" s="83" t="b">
        <v>0</v>
      </c>
      <c r="I24" s="83" t="b">
        <v>0</v>
      </c>
      <c r="J24" s="83" t="b">
        <v>0</v>
      </c>
      <c r="K24" s="83" t="b">
        <v>0</v>
      </c>
      <c r="L24" s="83" t="b">
        <v>0</v>
      </c>
    </row>
    <row r="25" spans="1:12" ht="15">
      <c r="A25" s="84" t="s">
        <v>3603</v>
      </c>
      <c r="B25" s="83" t="s">
        <v>3653</v>
      </c>
      <c r="C25" s="83">
        <v>4</v>
      </c>
      <c r="D25" s="110">
        <v>0.0018322021904843395</v>
      </c>
      <c r="E25" s="110">
        <v>2.9339931638312424</v>
      </c>
      <c r="F25" s="83" t="s">
        <v>4145</v>
      </c>
      <c r="G25" s="83" t="b">
        <v>0</v>
      </c>
      <c r="H25" s="83" t="b">
        <v>0</v>
      </c>
      <c r="I25" s="83" t="b">
        <v>0</v>
      </c>
      <c r="J25" s="83" t="b">
        <v>0</v>
      </c>
      <c r="K25" s="83" t="b">
        <v>0</v>
      </c>
      <c r="L25" s="83" t="b">
        <v>0</v>
      </c>
    </row>
    <row r="26" spans="1:12" ht="15">
      <c r="A26" s="84" t="s">
        <v>3456</v>
      </c>
      <c r="B26" s="83" t="s">
        <v>3456</v>
      </c>
      <c r="C26" s="83">
        <v>4</v>
      </c>
      <c r="D26" s="110">
        <v>0.001931065681371224</v>
      </c>
      <c r="E26" s="110">
        <v>0.39091892879771023</v>
      </c>
      <c r="F26" s="83" t="s">
        <v>4145</v>
      </c>
      <c r="G26" s="83" t="b">
        <v>1</v>
      </c>
      <c r="H26" s="83" t="b">
        <v>0</v>
      </c>
      <c r="I26" s="83" t="b">
        <v>0</v>
      </c>
      <c r="J26" s="83" t="b">
        <v>1</v>
      </c>
      <c r="K26" s="83" t="b">
        <v>0</v>
      </c>
      <c r="L26" s="83" t="b">
        <v>0</v>
      </c>
    </row>
    <row r="27" spans="1:12" ht="15">
      <c r="A27" s="84" t="s">
        <v>3463</v>
      </c>
      <c r="B27" s="83" t="s">
        <v>3483</v>
      </c>
      <c r="C27" s="83">
        <v>4</v>
      </c>
      <c r="D27" s="110">
        <v>0.0018322021904843395</v>
      </c>
      <c r="E27" s="110">
        <v>1.3886860473654181</v>
      </c>
      <c r="F27" s="83" t="s">
        <v>4145</v>
      </c>
      <c r="G27" s="83" t="b">
        <v>1</v>
      </c>
      <c r="H27" s="83" t="b">
        <v>0</v>
      </c>
      <c r="I27" s="83" t="b">
        <v>0</v>
      </c>
      <c r="J27" s="83" t="b">
        <v>0</v>
      </c>
      <c r="K27" s="83" t="b">
        <v>0</v>
      </c>
      <c r="L27" s="83" t="b">
        <v>0</v>
      </c>
    </row>
    <row r="28" spans="1:12" ht="15">
      <c r="A28" s="84" t="s">
        <v>3459</v>
      </c>
      <c r="B28" s="83" t="s">
        <v>3609</v>
      </c>
      <c r="C28" s="83">
        <v>4</v>
      </c>
      <c r="D28" s="110">
        <v>0.001931065681371224</v>
      </c>
      <c r="E28" s="110">
        <v>1.7507233201484378</v>
      </c>
      <c r="F28" s="83" t="s">
        <v>4145</v>
      </c>
      <c r="G28" s="83" t="b">
        <v>0</v>
      </c>
      <c r="H28" s="83" t="b">
        <v>0</v>
      </c>
      <c r="I28" s="83" t="b">
        <v>0</v>
      </c>
      <c r="J28" s="83" t="b">
        <v>0</v>
      </c>
      <c r="K28" s="83" t="b">
        <v>0</v>
      </c>
      <c r="L28" s="83" t="b">
        <v>0</v>
      </c>
    </row>
    <row r="29" spans="1:12" ht="15">
      <c r="A29" s="84" t="s">
        <v>3612</v>
      </c>
      <c r="B29" s="83" t="s">
        <v>3090</v>
      </c>
      <c r="C29" s="83">
        <v>4</v>
      </c>
      <c r="D29" s="110">
        <v>0.0023086097009317875</v>
      </c>
      <c r="E29" s="110">
        <v>2.757901904775561</v>
      </c>
      <c r="F29" s="83" t="s">
        <v>4145</v>
      </c>
      <c r="G29" s="83" t="b">
        <v>0</v>
      </c>
      <c r="H29" s="83" t="b">
        <v>0</v>
      </c>
      <c r="I29" s="83" t="b">
        <v>0</v>
      </c>
      <c r="J29" s="83" t="b">
        <v>0</v>
      </c>
      <c r="K29" s="83" t="b">
        <v>0</v>
      </c>
      <c r="L29" s="83" t="b">
        <v>0</v>
      </c>
    </row>
    <row r="30" spans="1:12" ht="15">
      <c r="A30" s="84" t="s">
        <v>3462</v>
      </c>
      <c r="B30" s="83" t="s">
        <v>3624</v>
      </c>
      <c r="C30" s="83">
        <v>4</v>
      </c>
      <c r="D30" s="110">
        <v>0.0018322021904843395</v>
      </c>
      <c r="E30" s="110">
        <v>1.7956904656649608</v>
      </c>
      <c r="F30" s="83" t="s">
        <v>4145</v>
      </c>
      <c r="G30" s="83" t="b">
        <v>0</v>
      </c>
      <c r="H30" s="83" t="b">
        <v>0</v>
      </c>
      <c r="I30" s="83" t="b">
        <v>0</v>
      </c>
      <c r="J30" s="83" t="b">
        <v>0</v>
      </c>
      <c r="K30" s="83" t="b">
        <v>0</v>
      </c>
      <c r="L30" s="83" t="b">
        <v>0</v>
      </c>
    </row>
    <row r="31" spans="1:12" ht="15">
      <c r="A31" s="84" t="s">
        <v>3459</v>
      </c>
      <c r="B31" s="83" t="s">
        <v>3464</v>
      </c>
      <c r="C31" s="83">
        <v>4</v>
      </c>
      <c r="D31" s="110">
        <v>0.0018322021904843395</v>
      </c>
      <c r="E31" s="110">
        <v>1.0879654884668637</v>
      </c>
      <c r="F31" s="83" t="s">
        <v>4145</v>
      </c>
      <c r="G31" s="83" t="b">
        <v>0</v>
      </c>
      <c r="H31" s="83" t="b">
        <v>0</v>
      </c>
      <c r="I31" s="83" t="b">
        <v>0</v>
      </c>
      <c r="J31" s="83" t="b">
        <v>1</v>
      </c>
      <c r="K31" s="83" t="b">
        <v>0</v>
      </c>
      <c r="L31" s="83" t="b">
        <v>0</v>
      </c>
    </row>
    <row r="32" spans="1:12" ht="15">
      <c r="A32" s="84" t="s">
        <v>3459</v>
      </c>
      <c r="B32" s="83" t="s">
        <v>3457</v>
      </c>
      <c r="C32" s="83">
        <v>4</v>
      </c>
      <c r="D32" s="110">
        <v>0.0018322021904843395</v>
      </c>
      <c r="E32" s="110">
        <v>0.7093306349902126</v>
      </c>
      <c r="F32" s="83" t="s">
        <v>4145</v>
      </c>
      <c r="G32" s="83" t="b">
        <v>0</v>
      </c>
      <c r="H32" s="83" t="b">
        <v>0</v>
      </c>
      <c r="I32" s="83" t="b">
        <v>0</v>
      </c>
      <c r="J32" s="83" t="b">
        <v>1</v>
      </c>
      <c r="K32" s="83" t="b">
        <v>0</v>
      </c>
      <c r="L32" s="83" t="b">
        <v>0</v>
      </c>
    </row>
    <row r="33" spans="1:12" ht="15">
      <c r="A33" s="84" t="s">
        <v>3599</v>
      </c>
      <c r="B33" s="83" t="s">
        <v>3588</v>
      </c>
      <c r="C33" s="83">
        <v>4</v>
      </c>
      <c r="D33" s="110">
        <v>0.0018322021904843395</v>
      </c>
      <c r="E33" s="110">
        <v>2.757901904775561</v>
      </c>
      <c r="F33" s="83" t="s">
        <v>4145</v>
      </c>
      <c r="G33" s="83" t="b">
        <v>0</v>
      </c>
      <c r="H33" s="83" t="b">
        <v>0</v>
      </c>
      <c r="I33" s="83" t="b">
        <v>0</v>
      </c>
      <c r="J33" s="83" t="b">
        <v>0</v>
      </c>
      <c r="K33" s="83" t="b">
        <v>0</v>
      </c>
      <c r="L33" s="83" t="b">
        <v>0</v>
      </c>
    </row>
    <row r="34" spans="1:12" ht="15">
      <c r="A34" s="84" t="s">
        <v>3685</v>
      </c>
      <c r="B34" s="83" t="s">
        <v>3631</v>
      </c>
      <c r="C34" s="83">
        <v>4</v>
      </c>
      <c r="D34" s="110">
        <v>0.0018322021904843395</v>
      </c>
      <c r="E34" s="110">
        <v>2.9339931638312424</v>
      </c>
      <c r="F34" s="83" t="s">
        <v>4145</v>
      </c>
      <c r="G34" s="83" t="b">
        <v>0</v>
      </c>
      <c r="H34" s="83" t="b">
        <v>0</v>
      </c>
      <c r="I34" s="83" t="b">
        <v>0</v>
      </c>
      <c r="J34" s="83" t="b">
        <v>0</v>
      </c>
      <c r="K34" s="83" t="b">
        <v>0</v>
      </c>
      <c r="L34" s="83" t="b">
        <v>0</v>
      </c>
    </row>
    <row r="35" spans="1:12" ht="15">
      <c r="A35" s="84" t="s">
        <v>3492</v>
      </c>
      <c r="B35" s="83" t="s">
        <v>3635</v>
      </c>
      <c r="C35" s="83">
        <v>4</v>
      </c>
      <c r="D35" s="110">
        <v>0.0018322021904843395</v>
      </c>
      <c r="E35" s="110">
        <v>2.3599618961035236</v>
      </c>
      <c r="F35" s="83" t="s">
        <v>4145</v>
      </c>
      <c r="G35" s="83" t="b">
        <v>0</v>
      </c>
      <c r="H35" s="83" t="b">
        <v>0</v>
      </c>
      <c r="I35" s="83" t="b">
        <v>0</v>
      </c>
      <c r="J35" s="83" t="b">
        <v>0</v>
      </c>
      <c r="K35" s="83" t="b">
        <v>1</v>
      </c>
      <c r="L35" s="83" t="b">
        <v>0</v>
      </c>
    </row>
    <row r="36" spans="1:12" ht="15">
      <c r="A36" s="84" t="s">
        <v>3487</v>
      </c>
      <c r="B36" s="83" t="s">
        <v>3526</v>
      </c>
      <c r="C36" s="83">
        <v>4</v>
      </c>
      <c r="D36" s="110">
        <v>0.0018322021904843395</v>
      </c>
      <c r="E36" s="110">
        <v>2.1558419134475986</v>
      </c>
      <c r="F36" s="83" t="s">
        <v>4145</v>
      </c>
      <c r="G36" s="83" t="b">
        <v>0</v>
      </c>
      <c r="H36" s="83" t="b">
        <v>0</v>
      </c>
      <c r="I36" s="83" t="b">
        <v>0</v>
      </c>
      <c r="J36" s="83" t="b">
        <v>0</v>
      </c>
      <c r="K36" s="83" t="b">
        <v>0</v>
      </c>
      <c r="L36" s="83" t="b">
        <v>0</v>
      </c>
    </row>
    <row r="37" spans="1:12" ht="15">
      <c r="A37" s="84" t="s">
        <v>3495</v>
      </c>
      <c r="B37" s="83" t="s">
        <v>3458</v>
      </c>
      <c r="C37" s="83">
        <v>3</v>
      </c>
      <c r="D37" s="110">
        <v>0.001448299261028418</v>
      </c>
      <c r="E37" s="110">
        <v>1.2588260741678483</v>
      </c>
      <c r="F37" s="83" t="s">
        <v>4145</v>
      </c>
      <c r="G37" s="83" t="b">
        <v>0</v>
      </c>
      <c r="H37" s="83" t="b">
        <v>0</v>
      </c>
      <c r="I37" s="83" t="b">
        <v>0</v>
      </c>
      <c r="J37" s="83" t="b">
        <v>0</v>
      </c>
      <c r="K37" s="83" t="b">
        <v>0</v>
      </c>
      <c r="L37" s="83" t="b">
        <v>0</v>
      </c>
    </row>
    <row r="38" spans="1:12" ht="15">
      <c r="A38" s="84" t="s">
        <v>1152</v>
      </c>
      <c r="B38" s="83" t="s">
        <v>3462</v>
      </c>
      <c r="C38" s="83">
        <v>3</v>
      </c>
      <c r="D38" s="110">
        <v>0.001448299261028418</v>
      </c>
      <c r="E38" s="110">
        <v>0.6868385489501156</v>
      </c>
      <c r="F38" s="83" t="s">
        <v>4145</v>
      </c>
      <c r="G38" s="83" t="b">
        <v>1</v>
      </c>
      <c r="H38" s="83" t="b">
        <v>0</v>
      </c>
      <c r="I38" s="83" t="b">
        <v>0</v>
      </c>
      <c r="J38" s="83" t="b">
        <v>0</v>
      </c>
      <c r="K38" s="83" t="b">
        <v>0</v>
      </c>
      <c r="L38" s="83" t="b">
        <v>0</v>
      </c>
    </row>
    <row r="39" spans="1:12" ht="15">
      <c r="A39" s="84" t="s">
        <v>3468</v>
      </c>
      <c r="B39" s="83" t="s">
        <v>3458</v>
      </c>
      <c r="C39" s="83">
        <v>3</v>
      </c>
      <c r="D39" s="110">
        <v>0.001448299261028418</v>
      </c>
      <c r="E39" s="110">
        <v>0.7147580298175726</v>
      </c>
      <c r="F39" s="83" t="s">
        <v>4145</v>
      </c>
      <c r="G39" s="83" t="b">
        <v>0</v>
      </c>
      <c r="H39" s="83" t="b">
        <v>0</v>
      </c>
      <c r="I39" s="83" t="b">
        <v>0</v>
      </c>
      <c r="J39" s="83" t="b">
        <v>0</v>
      </c>
      <c r="K39" s="83" t="b">
        <v>0</v>
      </c>
      <c r="L39" s="83" t="b">
        <v>0</v>
      </c>
    </row>
    <row r="40" spans="1:12" ht="15">
      <c r="A40" s="84" t="s">
        <v>3485</v>
      </c>
      <c r="B40" s="83" t="s">
        <v>3457</v>
      </c>
      <c r="C40" s="83">
        <v>3</v>
      </c>
      <c r="D40" s="110">
        <v>0.001448299261028418</v>
      </c>
      <c r="E40" s="110">
        <v>1.1392728120144058</v>
      </c>
      <c r="F40" s="83" t="s">
        <v>4145</v>
      </c>
      <c r="G40" s="83" t="b">
        <v>0</v>
      </c>
      <c r="H40" s="83" t="b">
        <v>0</v>
      </c>
      <c r="I40" s="83" t="b">
        <v>0</v>
      </c>
      <c r="J40" s="83" t="b">
        <v>1</v>
      </c>
      <c r="K40" s="83" t="b">
        <v>0</v>
      </c>
      <c r="L40" s="83" t="b">
        <v>0</v>
      </c>
    </row>
    <row r="41" spans="1:12" ht="15">
      <c r="A41" s="84" t="s">
        <v>3090</v>
      </c>
      <c r="B41" s="83" t="s">
        <v>3662</v>
      </c>
      <c r="C41" s="83">
        <v>3</v>
      </c>
      <c r="D41" s="110">
        <v>0.0017314572756988408</v>
      </c>
      <c r="E41" s="110">
        <v>2.7298731811753174</v>
      </c>
      <c r="F41" s="83" t="s">
        <v>4145</v>
      </c>
      <c r="G41" s="83" t="b">
        <v>0</v>
      </c>
      <c r="H41" s="83" t="b">
        <v>0</v>
      </c>
      <c r="I41" s="83" t="b">
        <v>0</v>
      </c>
      <c r="J41" s="83" t="b">
        <v>0</v>
      </c>
      <c r="K41" s="83" t="b">
        <v>0</v>
      </c>
      <c r="L41" s="83" t="b">
        <v>0</v>
      </c>
    </row>
    <row r="42" spans="1:12" ht="15">
      <c r="A42" s="84" t="s">
        <v>3459</v>
      </c>
      <c r="B42" s="83" t="s">
        <v>3475</v>
      </c>
      <c r="C42" s="83">
        <v>3</v>
      </c>
      <c r="D42" s="110">
        <v>0.0017314572756988408</v>
      </c>
      <c r="E42" s="110">
        <v>0.9823319070539502</v>
      </c>
      <c r="F42" s="83" t="s">
        <v>4145</v>
      </c>
      <c r="G42" s="83" t="b">
        <v>0</v>
      </c>
      <c r="H42" s="83" t="b">
        <v>0</v>
      </c>
      <c r="I42" s="83" t="b">
        <v>0</v>
      </c>
      <c r="J42" s="83" t="b">
        <v>0</v>
      </c>
      <c r="K42" s="83" t="b">
        <v>0</v>
      </c>
      <c r="L42" s="83" t="b">
        <v>0</v>
      </c>
    </row>
    <row r="43" spans="1:12" ht="15">
      <c r="A43" s="84" t="s">
        <v>3665</v>
      </c>
      <c r="B43" s="83" t="s">
        <v>3735</v>
      </c>
      <c r="C43" s="83">
        <v>3</v>
      </c>
      <c r="D43" s="110">
        <v>0.001448299261028418</v>
      </c>
      <c r="E43" s="110">
        <v>3.0309031768392987</v>
      </c>
      <c r="F43" s="83" t="s">
        <v>4145</v>
      </c>
      <c r="G43" s="83" t="b">
        <v>0</v>
      </c>
      <c r="H43" s="83" t="b">
        <v>0</v>
      </c>
      <c r="I43" s="83" t="b">
        <v>0</v>
      </c>
      <c r="J43" s="83" t="b">
        <v>0</v>
      </c>
      <c r="K43" s="83" t="b">
        <v>0</v>
      </c>
      <c r="L43" s="83" t="b">
        <v>0</v>
      </c>
    </row>
    <row r="44" spans="1:12" ht="15">
      <c r="A44" s="84" t="s">
        <v>3737</v>
      </c>
      <c r="B44" s="83" t="s">
        <v>3738</v>
      </c>
      <c r="C44" s="83">
        <v>3</v>
      </c>
      <c r="D44" s="110">
        <v>0.001448299261028418</v>
      </c>
      <c r="E44" s="110">
        <v>3.1558419134475986</v>
      </c>
      <c r="F44" s="83" t="s">
        <v>4145</v>
      </c>
      <c r="G44" s="83" t="b">
        <v>0</v>
      </c>
      <c r="H44" s="83" t="b">
        <v>0</v>
      </c>
      <c r="I44" s="83" t="b">
        <v>0</v>
      </c>
      <c r="J44" s="83" t="b">
        <v>0</v>
      </c>
      <c r="K44" s="83" t="b">
        <v>0</v>
      </c>
      <c r="L44" s="83" t="b">
        <v>0</v>
      </c>
    </row>
    <row r="45" spans="1:12" ht="15">
      <c r="A45" s="84" t="s">
        <v>3739</v>
      </c>
      <c r="B45" s="83" t="s">
        <v>3740</v>
      </c>
      <c r="C45" s="83">
        <v>3</v>
      </c>
      <c r="D45" s="110">
        <v>0.001448299261028418</v>
      </c>
      <c r="E45" s="110">
        <v>3.1558419134475986</v>
      </c>
      <c r="F45" s="83" t="s">
        <v>4145</v>
      </c>
      <c r="G45" s="83" t="b">
        <v>0</v>
      </c>
      <c r="H45" s="83" t="b">
        <v>0</v>
      </c>
      <c r="I45" s="83" t="b">
        <v>0</v>
      </c>
      <c r="J45" s="83" t="b">
        <v>0</v>
      </c>
      <c r="K45" s="83" t="b">
        <v>0</v>
      </c>
      <c r="L45" s="83" t="b">
        <v>0</v>
      </c>
    </row>
    <row r="46" spans="1:12" ht="15">
      <c r="A46" s="84" t="s">
        <v>3740</v>
      </c>
      <c r="B46" s="83" t="s">
        <v>3741</v>
      </c>
      <c r="C46" s="83">
        <v>3</v>
      </c>
      <c r="D46" s="110">
        <v>0.001448299261028418</v>
      </c>
      <c r="E46" s="110">
        <v>3.1558419134475986</v>
      </c>
      <c r="F46" s="83" t="s">
        <v>4145</v>
      </c>
      <c r="G46" s="83" t="b">
        <v>0</v>
      </c>
      <c r="H46" s="83" t="b">
        <v>0</v>
      </c>
      <c r="I46" s="83" t="b">
        <v>0</v>
      </c>
      <c r="J46" s="83" t="b">
        <v>0</v>
      </c>
      <c r="K46" s="83" t="b">
        <v>0</v>
      </c>
      <c r="L46" s="83" t="b">
        <v>0</v>
      </c>
    </row>
    <row r="47" spans="1:12" ht="15">
      <c r="A47" s="84" t="s">
        <v>3464</v>
      </c>
      <c r="B47" s="83" t="s">
        <v>3495</v>
      </c>
      <c r="C47" s="83">
        <v>3</v>
      </c>
      <c r="D47" s="110">
        <v>0.001448299261028418</v>
      </c>
      <c r="E47" s="110">
        <v>1.3957546631416906</v>
      </c>
      <c r="F47" s="83" t="s">
        <v>4145</v>
      </c>
      <c r="G47" s="83" t="b">
        <v>1</v>
      </c>
      <c r="H47" s="83" t="b">
        <v>0</v>
      </c>
      <c r="I47" s="83" t="b">
        <v>0</v>
      </c>
      <c r="J47" s="83" t="b">
        <v>0</v>
      </c>
      <c r="K47" s="83" t="b">
        <v>0</v>
      </c>
      <c r="L47" s="83" t="b">
        <v>0</v>
      </c>
    </row>
    <row r="48" spans="1:12" ht="15">
      <c r="A48" s="84" t="s">
        <v>3585</v>
      </c>
      <c r="B48" s="83" t="s">
        <v>3456</v>
      </c>
      <c r="C48" s="83">
        <v>3</v>
      </c>
      <c r="D48" s="110">
        <v>0.001448299261028418</v>
      </c>
      <c r="E48" s="110">
        <v>1.4746006760720114</v>
      </c>
      <c r="F48" s="83" t="s">
        <v>4145</v>
      </c>
      <c r="G48" s="83" t="b">
        <v>0</v>
      </c>
      <c r="H48" s="83" t="b">
        <v>0</v>
      </c>
      <c r="I48" s="83" t="b">
        <v>0</v>
      </c>
      <c r="J48" s="83" t="b">
        <v>1</v>
      </c>
      <c r="K48" s="83" t="b">
        <v>0</v>
      </c>
      <c r="L48" s="83" t="b">
        <v>0</v>
      </c>
    </row>
    <row r="49" spans="1:12" ht="15">
      <c r="A49" s="84" t="s">
        <v>3465</v>
      </c>
      <c r="B49" s="83" t="s">
        <v>3751</v>
      </c>
      <c r="C49" s="83">
        <v>3</v>
      </c>
      <c r="D49" s="110">
        <v>0.001448299261028418</v>
      </c>
      <c r="E49" s="110">
        <v>2.0888951238169855</v>
      </c>
      <c r="F49" s="83" t="s">
        <v>4145</v>
      </c>
      <c r="G49" s="83" t="b">
        <v>1</v>
      </c>
      <c r="H49" s="83" t="b">
        <v>0</v>
      </c>
      <c r="I49" s="83" t="b">
        <v>0</v>
      </c>
      <c r="J49" s="83" t="b">
        <v>1</v>
      </c>
      <c r="K49" s="83" t="b">
        <v>0</v>
      </c>
      <c r="L49" s="83" t="b">
        <v>0</v>
      </c>
    </row>
    <row r="50" spans="1:12" ht="15">
      <c r="A50" s="84" t="s">
        <v>3544</v>
      </c>
      <c r="B50" s="83" t="s">
        <v>3460</v>
      </c>
      <c r="C50" s="83">
        <v>3</v>
      </c>
      <c r="D50" s="110">
        <v>0.001448299261028418</v>
      </c>
      <c r="E50" s="110">
        <v>1.544236604213406</v>
      </c>
      <c r="F50" s="83" t="s">
        <v>4145</v>
      </c>
      <c r="G50" s="83" t="b">
        <v>0</v>
      </c>
      <c r="H50" s="83" t="b">
        <v>0</v>
      </c>
      <c r="I50" s="83" t="b">
        <v>0</v>
      </c>
      <c r="J50" s="83" t="b">
        <v>1</v>
      </c>
      <c r="K50" s="83" t="b">
        <v>0</v>
      </c>
      <c r="L50" s="83" t="b">
        <v>0</v>
      </c>
    </row>
    <row r="51" spans="1:12" ht="15">
      <c r="A51" s="84" t="s">
        <v>3474</v>
      </c>
      <c r="B51" s="83" t="s">
        <v>3490</v>
      </c>
      <c r="C51" s="83">
        <v>3</v>
      </c>
      <c r="D51" s="110">
        <v>0.001448299261028418</v>
      </c>
      <c r="E51" s="110">
        <v>1.5722653278136494</v>
      </c>
      <c r="F51" s="83" t="s">
        <v>4145</v>
      </c>
      <c r="G51" s="83" t="b">
        <v>0</v>
      </c>
      <c r="H51" s="83" t="b">
        <v>0</v>
      </c>
      <c r="I51" s="83" t="b">
        <v>0</v>
      </c>
      <c r="J51" s="83" t="b">
        <v>0</v>
      </c>
      <c r="K51" s="83" t="b">
        <v>0</v>
      </c>
      <c r="L51" s="83" t="b">
        <v>0</v>
      </c>
    </row>
    <row r="52" spans="1:12" ht="15">
      <c r="A52" s="84" t="s">
        <v>3465</v>
      </c>
      <c r="B52" s="83" t="s">
        <v>3468</v>
      </c>
      <c r="C52" s="83">
        <v>3</v>
      </c>
      <c r="D52" s="110">
        <v>0.001448299261028418</v>
      </c>
      <c r="E52" s="110">
        <v>0.9978146544696529</v>
      </c>
      <c r="F52" s="83" t="s">
        <v>4145</v>
      </c>
      <c r="G52" s="83" t="b">
        <v>1</v>
      </c>
      <c r="H52" s="83" t="b">
        <v>0</v>
      </c>
      <c r="I52" s="83" t="b">
        <v>0</v>
      </c>
      <c r="J52" s="83" t="b">
        <v>0</v>
      </c>
      <c r="K52" s="83" t="b">
        <v>0</v>
      </c>
      <c r="L52" s="83" t="b">
        <v>0</v>
      </c>
    </row>
    <row r="53" spans="1:12" ht="15">
      <c r="A53" s="84" t="s">
        <v>3545</v>
      </c>
      <c r="B53" s="83" t="s">
        <v>3515</v>
      </c>
      <c r="C53" s="83">
        <v>3</v>
      </c>
      <c r="D53" s="110">
        <v>0.001448299261028418</v>
      </c>
      <c r="E53" s="110">
        <v>2.2527519264556553</v>
      </c>
      <c r="F53" s="83" t="s">
        <v>4145</v>
      </c>
      <c r="G53" s="83" t="b">
        <v>1</v>
      </c>
      <c r="H53" s="83" t="b">
        <v>0</v>
      </c>
      <c r="I53" s="83" t="b">
        <v>0</v>
      </c>
      <c r="J53" s="83" t="b">
        <v>1</v>
      </c>
      <c r="K53" s="83" t="b">
        <v>0</v>
      </c>
      <c r="L53" s="83" t="b">
        <v>0</v>
      </c>
    </row>
    <row r="54" spans="1:12" ht="15">
      <c r="A54" s="84" t="s">
        <v>3469</v>
      </c>
      <c r="B54" s="83" t="s">
        <v>3461</v>
      </c>
      <c r="C54" s="83">
        <v>3</v>
      </c>
      <c r="D54" s="110">
        <v>0.001448299261028418</v>
      </c>
      <c r="E54" s="110">
        <v>1.08642050468913</v>
      </c>
      <c r="F54" s="83" t="s">
        <v>4145</v>
      </c>
      <c r="G54" s="83" t="b">
        <v>1</v>
      </c>
      <c r="H54" s="83" t="b">
        <v>0</v>
      </c>
      <c r="I54" s="83" t="b">
        <v>0</v>
      </c>
      <c r="J54" s="83" t="b">
        <v>1</v>
      </c>
      <c r="K54" s="83" t="b">
        <v>0</v>
      </c>
      <c r="L54" s="83" t="b">
        <v>0</v>
      </c>
    </row>
    <row r="55" spans="1:12" ht="15">
      <c r="A55" s="84" t="s">
        <v>3780</v>
      </c>
      <c r="B55" s="83" t="s">
        <v>3467</v>
      </c>
      <c r="C55" s="83">
        <v>3</v>
      </c>
      <c r="D55" s="110">
        <v>0.001448299261028418</v>
      </c>
      <c r="E55" s="110">
        <v>2.271235332149668</v>
      </c>
      <c r="F55" s="83" t="s">
        <v>4145</v>
      </c>
      <c r="G55" s="83" t="b">
        <v>0</v>
      </c>
      <c r="H55" s="83" t="b">
        <v>0</v>
      </c>
      <c r="I55" s="83" t="b">
        <v>0</v>
      </c>
      <c r="J55" s="83" t="b">
        <v>0</v>
      </c>
      <c r="K55" s="83" t="b">
        <v>0</v>
      </c>
      <c r="L55" s="83" t="b">
        <v>0</v>
      </c>
    </row>
    <row r="56" spans="1:12" ht="15">
      <c r="A56" s="84" t="s">
        <v>3543</v>
      </c>
      <c r="B56" s="83" t="s">
        <v>3599</v>
      </c>
      <c r="C56" s="83">
        <v>3</v>
      </c>
      <c r="D56" s="110">
        <v>0.001448299261028418</v>
      </c>
      <c r="E56" s="110">
        <v>2.632963168167261</v>
      </c>
      <c r="F56" s="83" t="s">
        <v>4145</v>
      </c>
      <c r="G56" s="83" t="b">
        <v>0</v>
      </c>
      <c r="H56" s="83" t="b">
        <v>0</v>
      </c>
      <c r="I56" s="83" t="b">
        <v>0</v>
      </c>
      <c r="J56" s="83" t="b">
        <v>0</v>
      </c>
      <c r="K56" s="83" t="b">
        <v>0</v>
      </c>
      <c r="L56" s="83" t="b">
        <v>0</v>
      </c>
    </row>
    <row r="57" spans="1:12" ht="15">
      <c r="A57" s="84" t="s">
        <v>3469</v>
      </c>
      <c r="B57" s="83" t="s">
        <v>3456</v>
      </c>
      <c r="C57" s="83">
        <v>3</v>
      </c>
      <c r="D57" s="110">
        <v>0.001448299261028418</v>
      </c>
      <c r="E57" s="110">
        <v>0.7342379865777677</v>
      </c>
      <c r="F57" s="83" t="s">
        <v>4145</v>
      </c>
      <c r="G57" s="83" t="b">
        <v>1</v>
      </c>
      <c r="H57" s="83" t="b">
        <v>0</v>
      </c>
      <c r="I57" s="83" t="b">
        <v>0</v>
      </c>
      <c r="J57" s="83" t="b">
        <v>1</v>
      </c>
      <c r="K57" s="83" t="b">
        <v>0</v>
      </c>
      <c r="L57" s="83" t="b">
        <v>0</v>
      </c>
    </row>
    <row r="58" spans="1:12" ht="15">
      <c r="A58" s="84" t="s">
        <v>3482</v>
      </c>
      <c r="B58" s="83" t="s">
        <v>3567</v>
      </c>
      <c r="C58" s="83">
        <v>3</v>
      </c>
      <c r="D58" s="110">
        <v>0.001448299261028418</v>
      </c>
      <c r="E58" s="110">
        <v>1.9862327819198378</v>
      </c>
      <c r="F58" s="83" t="s">
        <v>4145</v>
      </c>
      <c r="G58" s="83" t="b">
        <v>0</v>
      </c>
      <c r="H58" s="83" t="b">
        <v>0</v>
      </c>
      <c r="I58" s="83" t="b">
        <v>0</v>
      </c>
      <c r="J58" s="83" t="b">
        <v>0</v>
      </c>
      <c r="K58" s="83" t="b">
        <v>0</v>
      </c>
      <c r="L58" s="83" t="b">
        <v>0</v>
      </c>
    </row>
    <row r="59" spans="1:12" ht="15">
      <c r="A59" s="84" t="s">
        <v>3459</v>
      </c>
      <c r="B59" s="83" t="s">
        <v>1152</v>
      </c>
      <c r="C59" s="83">
        <v>3</v>
      </c>
      <c r="D59" s="110">
        <v>0.001448299261028418</v>
      </c>
      <c r="E59" s="110">
        <v>0.711970731156421</v>
      </c>
      <c r="F59" s="83" t="s">
        <v>4145</v>
      </c>
      <c r="G59" s="83" t="b">
        <v>0</v>
      </c>
      <c r="H59" s="83" t="b">
        <v>0</v>
      </c>
      <c r="I59" s="83" t="b">
        <v>0</v>
      </c>
      <c r="J59" s="83" t="b">
        <v>1</v>
      </c>
      <c r="K59" s="83" t="b">
        <v>0</v>
      </c>
      <c r="L59" s="83" t="b">
        <v>0</v>
      </c>
    </row>
    <row r="60" spans="1:12" ht="15">
      <c r="A60" s="84" t="s">
        <v>3492</v>
      </c>
      <c r="B60" s="83" t="s">
        <v>3570</v>
      </c>
      <c r="C60" s="83">
        <v>3</v>
      </c>
      <c r="D60" s="110">
        <v>0.001448299261028418</v>
      </c>
      <c r="E60" s="110">
        <v>2.2350231594952237</v>
      </c>
      <c r="F60" s="83" t="s">
        <v>4145</v>
      </c>
      <c r="G60" s="83" t="b">
        <v>0</v>
      </c>
      <c r="H60" s="83" t="b">
        <v>0</v>
      </c>
      <c r="I60" s="83" t="b">
        <v>0</v>
      </c>
      <c r="J60" s="83" t="b">
        <v>0</v>
      </c>
      <c r="K60" s="83" t="b">
        <v>0</v>
      </c>
      <c r="L60" s="83" t="b">
        <v>0</v>
      </c>
    </row>
    <row r="61" spans="1:12" ht="15">
      <c r="A61" s="84" t="s">
        <v>3535</v>
      </c>
      <c r="B61" s="83" t="s">
        <v>3468</v>
      </c>
      <c r="C61" s="83">
        <v>3</v>
      </c>
      <c r="D61" s="110">
        <v>0.001448299261028418</v>
      </c>
      <c r="E61" s="110">
        <v>1.6967846588056719</v>
      </c>
      <c r="F61" s="83" t="s">
        <v>4145</v>
      </c>
      <c r="G61" s="83" t="b">
        <v>0</v>
      </c>
      <c r="H61" s="83" t="b">
        <v>0</v>
      </c>
      <c r="I61" s="83" t="b">
        <v>0</v>
      </c>
      <c r="J61" s="83" t="b">
        <v>0</v>
      </c>
      <c r="K61" s="83" t="b">
        <v>0</v>
      </c>
      <c r="L61" s="83" t="b">
        <v>0</v>
      </c>
    </row>
    <row r="62" spans="1:12" ht="15">
      <c r="A62" s="84" t="s">
        <v>3456</v>
      </c>
      <c r="B62" s="83" t="s">
        <v>3482</v>
      </c>
      <c r="C62" s="83">
        <v>3</v>
      </c>
      <c r="D62" s="110">
        <v>0.001448299261028418</v>
      </c>
      <c r="E62" s="110">
        <v>0.8680401835173727</v>
      </c>
      <c r="F62" s="83" t="s">
        <v>4145</v>
      </c>
      <c r="G62" s="83" t="b">
        <v>1</v>
      </c>
      <c r="H62" s="83" t="b">
        <v>0</v>
      </c>
      <c r="I62" s="83" t="b">
        <v>0</v>
      </c>
      <c r="J62" s="83" t="b">
        <v>0</v>
      </c>
      <c r="K62" s="83" t="b">
        <v>0</v>
      </c>
      <c r="L62" s="83" t="b">
        <v>0</v>
      </c>
    </row>
    <row r="63" spans="1:12" ht="15">
      <c r="A63" s="84" t="s">
        <v>3487</v>
      </c>
      <c r="B63" s="83" t="s">
        <v>3477</v>
      </c>
      <c r="C63" s="83">
        <v>3</v>
      </c>
      <c r="D63" s="110">
        <v>0.001448299261028418</v>
      </c>
      <c r="E63" s="110">
        <v>1.6787206587279362</v>
      </c>
      <c r="F63" s="83" t="s">
        <v>4145</v>
      </c>
      <c r="G63" s="83" t="b">
        <v>0</v>
      </c>
      <c r="H63" s="83" t="b">
        <v>0</v>
      </c>
      <c r="I63" s="83" t="b">
        <v>0</v>
      </c>
      <c r="J63" s="83" t="b">
        <v>0</v>
      </c>
      <c r="K63" s="83" t="b">
        <v>0</v>
      </c>
      <c r="L63" s="83" t="b">
        <v>0</v>
      </c>
    </row>
    <row r="64" spans="1:12" ht="15">
      <c r="A64" s="84" t="s">
        <v>3630</v>
      </c>
      <c r="B64" s="83" t="s">
        <v>3827</v>
      </c>
      <c r="C64" s="83">
        <v>3</v>
      </c>
      <c r="D64" s="110">
        <v>0.001448299261028418</v>
      </c>
      <c r="E64" s="110">
        <v>2.9339931638312424</v>
      </c>
      <c r="F64" s="83" t="s">
        <v>4145</v>
      </c>
      <c r="G64" s="83" t="b">
        <v>1</v>
      </c>
      <c r="H64" s="83" t="b">
        <v>0</v>
      </c>
      <c r="I64" s="83" t="b">
        <v>0</v>
      </c>
      <c r="J64" s="83" t="b">
        <v>0</v>
      </c>
      <c r="K64" s="83" t="b">
        <v>0</v>
      </c>
      <c r="L64" s="83" t="b">
        <v>0</v>
      </c>
    </row>
    <row r="65" spans="1:12" ht="15">
      <c r="A65" s="84" t="s">
        <v>3829</v>
      </c>
      <c r="B65" s="83" t="s">
        <v>3571</v>
      </c>
      <c r="C65" s="83">
        <v>3</v>
      </c>
      <c r="D65" s="110">
        <v>0.001448299261028418</v>
      </c>
      <c r="E65" s="110">
        <v>2.7878651281530042</v>
      </c>
      <c r="F65" s="83" t="s">
        <v>4145</v>
      </c>
      <c r="G65" s="83" t="b">
        <v>0</v>
      </c>
      <c r="H65" s="83" t="b">
        <v>0</v>
      </c>
      <c r="I65" s="83" t="b">
        <v>0</v>
      </c>
      <c r="J65" s="83" t="b">
        <v>0</v>
      </c>
      <c r="K65" s="83" t="b">
        <v>0</v>
      </c>
      <c r="L65" s="83" t="b">
        <v>0</v>
      </c>
    </row>
    <row r="66" spans="1:12" ht="15">
      <c r="A66" s="84" t="s">
        <v>1152</v>
      </c>
      <c r="B66" s="83" t="s">
        <v>3830</v>
      </c>
      <c r="C66" s="83">
        <v>3</v>
      </c>
      <c r="D66" s="110">
        <v>0.001448299261028418</v>
      </c>
      <c r="E66" s="110">
        <v>1.908687298566472</v>
      </c>
      <c r="F66" s="83" t="s">
        <v>4145</v>
      </c>
      <c r="G66" s="83" t="b">
        <v>1</v>
      </c>
      <c r="H66" s="83" t="b">
        <v>0</v>
      </c>
      <c r="I66" s="83" t="b">
        <v>0</v>
      </c>
      <c r="J66" s="83" t="b">
        <v>0</v>
      </c>
      <c r="K66" s="83" t="b">
        <v>0</v>
      </c>
      <c r="L66" s="83" t="b">
        <v>0</v>
      </c>
    </row>
    <row r="67" spans="1:12" ht="15">
      <c r="A67" s="84" t="s">
        <v>3640</v>
      </c>
      <c r="B67" s="83" t="s">
        <v>1152</v>
      </c>
      <c r="C67" s="83">
        <v>3</v>
      </c>
      <c r="D67" s="110">
        <v>0.001448299261028418</v>
      </c>
      <c r="E67" s="110">
        <v>1.8952405748392256</v>
      </c>
      <c r="F67" s="83" t="s">
        <v>4145</v>
      </c>
      <c r="G67" s="83" t="b">
        <v>0</v>
      </c>
      <c r="H67" s="83" t="b">
        <v>0</v>
      </c>
      <c r="I67" s="83" t="b">
        <v>0</v>
      </c>
      <c r="J67" s="83" t="b">
        <v>1</v>
      </c>
      <c r="K67" s="83" t="b">
        <v>0</v>
      </c>
      <c r="L67" s="83" t="b">
        <v>0</v>
      </c>
    </row>
    <row r="68" spans="1:12" ht="15">
      <c r="A68" s="84" t="s">
        <v>3461</v>
      </c>
      <c r="B68" s="83" t="s">
        <v>3466</v>
      </c>
      <c r="C68" s="83">
        <v>3</v>
      </c>
      <c r="D68" s="110">
        <v>0.001448299261028418</v>
      </c>
      <c r="E68" s="110">
        <v>0.908414243240342</v>
      </c>
      <c r="F68" s="83" t="s">
        <v>4145</v>
      </c>
      <c r="G68" s="83" t="b">
        <v>1</v>
      </c>
      <c r="H68" s="83" t="b">
        <v>0</v>
      </c>
      <c r="I68" s="83" t="b">
        <v>0</v>
      </c>
      <c r="J68" s="83" t="b">
        <v>0</v>
      </c>
      <c r="K68" s="83" t="b">
        <v>0</v>
      </c>
      <c r="L68" s="83" t="b">
        <v>0</v>
      </c>
    </row>
    <row r="69" spans="1:12" ht="15">
      <c r="A69" s="84" t="s">
        <v>3832</v>
      </c>
      <c r="B69" s="83" t="s">
        <v>3833</v>
      </c>
      <c r="C69" s="83">
        <v>3</v>
      </c>
      <c r="D69" s="110">
        <v>0.001448299261028418</v>
      </c>
      <c r="E69" s="110">
        <v>3.1558419134475986</v>
      </c>
      <c r="F69" s="83" t="s">
        <v>4145</v>
      </c>
      <c r="G69" s="83" t="b">
        <v>0</v>
      </c>
      <c r="H69" s="83" t="b">
        <v>0</v>
      </c>
      <c r="I69" s="83" t="b">
        <v>0</v>
      </c>
      <c r="J69" s="83" t="b">
        <v>0</v>
      </c>
      <c r="K69" s="83" t="b">
        <v>0</v>
      </c>
      <c r="L69" s="83" t="b">
        <v>0</v>
      </c>
    </row>
    <row r="70" spans="1:12" ht="15">
      <c r="A70" s="84" t="s">
        <v>3833</v>
      </c>
      <c r="B70" s="83" t="s">
        <v>3834</v>
      </c>
      <c r="C70" s="83">
        <v>3</v>
      </c>
      <c r="D70" s="110">
        <v>0.001448299261028418</v>
      </c>
      <c r="E70" s="110">
        <v>3.1558419134475986</v>
      </c>
      <c r="F70" s="83" t="s">
        <v>4145</v>
      </c>
      <c r="G70" s="83" t="b">
        <v>0</v>
      </c>
      <c r="H70" s="83" t="b">
        <v>0</v>
      </c>
      <c r="I70" s="83" t="b">
        <v>0</v>
      </c>
      <c r="J70" s="83" t="b">
        <v>0</v>
      </c>
      <c r="K70" s="83" t="b">
        <v>0</v>
      </c>
      <c r="L70" s="83" t="b">
        <v>0</v>
      </c>
    </row>
    <row r="71" spans="1:12" ht="15">
      <c r="A71" s="84" t="s">
        <v>3616</v>
      </c>
      <c r="B71" s="83" t="s">
        <v>3835</v>
      </c>
      <c r="C71" s="83">
        <v>3</v>
      </c>
      <c r="D71" s="110">
        <v>0.001448299261028418</v>
      </c>
      <c r="E71" s="110">
        <v>3.0309031768392987</v>
      </c>
      <c r="F71" s="83" t="s">
        <v>4145</v>
      </c>
      <c r="G71" s="83" t="b">
        <v>0</v>
      </c>
      <c r="H71" s="83" t="b">
        <v>0</v>
      </c>
      <c r="I71" s="83" t="b">
        <v>0</v>
      </c>
      <c r="J71" s="83" t="b">
        <v>0</v>
      </c>
      <c r="K71" s="83" t="b">
        <v>0</v>
      </c>
      <c r="L71" s="83" t="b">
        <v>0</v>
      </c>
    </row>
    <row r="72" spans="1:12" ht="15">
      <c r="A72" s="84" t="s">
        <v>3695</v>
      </c>
      <c r="B72" s="83" t="s">
        <v>3498</v>
      </c>
      <c r="C72" s="83">
        <v>3</v>
      </c>
      <c r="D72" s="110">
        <v>0.001448299261028418</v>
      </c>
      <c r="E72" s="110">
        <v>2.361896395880723</v>
      </c>
      <c r="F72" s="83" t="s">
        <v>4145</v>
      </c>
      <c r="G72" s="83" t="b">
        <v>0</v>
      </c>
      <c r="H72" s="83" t="b">
        <v>0</v>
      </c>
      <c r="I72" s="83" t="b">
        <v>0</v>
      </c>
      <c r="J72" s="83" t="b">
        <v>0</v>
      </c>
      <c r="K72" s="83" t="b">
        <v>0</v>
      </c>
      <c r="L72" s="83" t="b">
        <v>0</v>
      </c>
    </row>
    <row r="73" spans="1:12" ht="15">
      <c r="A73" s="84" t="s">
        <v>3847</v>
      </c>
      <c r="B73" s="83" t="s">
        <v>3459</v>
      </c>
      <c r="C73" s="83">
        <v>3</v>
      </c>
      <c r="D73" s="110">
        <v>0.001448299261028418</v>
      </c>
      <c r="E73" s="110">
        <v>1.7756306717359926</v>
      </c>
      <c r="F73" s="83" t="s">
        <v>4145</v>
      </c>
      <c r="G73" s="83" t="b">
        <v>0</v>
      </c>
      <c r="H73" s="83" t="b">
        <v>0</v>
      </c>
      <c r="I73" s="83" t="b">
        <v>0</v>
      </c>
      <c r="J73" s="83" t="b">
        <v>0</v>
      </c>
      <c r="K73" s="83" t="b">
        <v>0</v>
      </c>
      <c r="L73" s="83" t="b">
        <v>0</v>
      </c>
    </row>
    <row r="74" spans="1:12" ht="15">
      <c r="A74" s="84" t="s">
        <v>3511</v>
      </c>
      <c r="B74" s="83" t="s">
        <v>3700</v>
      </c>
      <c r="C74" s="83">
        <v>3</v>
      </c>
      <c r="D74" s="110">
        <v>0.001448299261028418</v>
      </c>
      <c r="E74" s="110">
        <v>2.4666317464007363</v>
      </c>
      <c r="F74" s="83" t="s">
        <v>4145</v>
      </c>
      <c r="G74" s="83" t="b">
        <v>0</v>
      </c>
      <c r="H74" s="83" t="b">
        <v>0</v>
      </c>
      <c r="I74" s="83" t="b">
        <v>0</v>
      </c>
      <c r="J74" s="83" t="b">
        <v>0</v>
      </c>
      <c r="K74" s="83" t="b">
        <v>0</v>
      </c>
      <c r="L74" s="83" t="b">
        <v>0</v>
      </c>
    </row>
    <row r="75" spans="1:12" ht="15">
      <c r="A75" s="84" t="s">
        <v>3645</v>
      </c>
      <c r="B75" s="83" t="s">
        <v>3462</v>
      </c>
      <c r="C75" s="83">
        <v>2</v>
      </c>
      <c r="D75" s="110">
        <v>0.0011543048504658938</v>
      </c>
      <c r="E75" s="110">
        <v>1.757901904775561</v>
      </c>
      <c r="F75" s="83" t="s">
        <v>4145</v>
      </c>
      <c r="G75" s="83" t="b">
        <v>0</v>
      </c>
      <c r="H75" s="83" t="b">
        <v>0</v>
      </c>
      <c r="I75" s="83" t="b">
        <v>0</v>
      </c>
      <c r="J75" s="83" t="b">
        <v>0</v>
      </c>
      <c r="K75" s="83" t="b">
        <v>0</v>
      </c>
      <c r="L75" s="83" t="b">
        <v>0</v>
      </c>
    </row>
    <row r="76" spans="1:12" ht="15">
      <c r="A76" s="84" t="s">
        <v>3462</v>
      </c>
      <c r="B76" s="83" t="s">
        <v>3572</v>
      </c>
      <c r="C76" s="83">
        <v>2</v>
      </c>
      <c r="D76" s="110">
        <v>0.0011543048504658938</v>
      </c>
      <c r="E76" s="110">
        <v>1.4946604700009796</v>
      </c>
      <c r="F76" s="83" t="s">
        <v>4145</v>
      </c>
      <c r="G76" s="83" t="b">
        <v>0</v>
      </c>
      <c r="H76" s="83" t="b">
        <v>0</v>
      </c>
      <c r="I76" s="83" t="b">
        <v>0</v>
      </c>
      <c r="J76" s="83" t="b">
        <v>0</v>
      </c>
      <c r="K76" s="83" t="b">
        <v>0</v>
      </c>
      <c r="L76" s="83" t="b">
        <v>0</v>
      </c>
    </row>
    <row r="77" spans="1:12" ht="15">
      <c r="A77" s="84" t="s">
        <v>3572</v>
      </c>
      <c r="B77" s="83" t="s">
        <v>3702</v>
      </c>
      <c r="C77" s="83">
        <v>2</v>
      </c>
      <c r="D77" s="110">
        <v>0.0011543048504658938</v>
      </c>
      <c r="E77" s="110">
        <v>2.757901904775561</v>
      </c>
      <c r="F77" s="83" t="s">
        <v>4145</v>
      </c>
      <c r="G77" s="83" t="b">
        <v>0</v>
      </c>
      <c r="H77" s="83" t="b">
        <v>0</v>
      </c>
      <c r="I77" s="83" t="b">
        <v>0</v>
      </c>
      <c r="J77" s="83" t="b">
        <v>0</v>
      </c>
      <c r="K77" s="83" t="b">
        <v>0</v>
      </c>
      <c r="L77" s="83" t="b">
        <v>0</v>
      </c>
    </row>
    <row r="78" spans="1:12" ht="15">
      <c r="A78" s="84" t="s">
        <v>3702</v>
      </c>
      <c r="B78" s="83" t="s">
        <v>3848</v>
      </c>
      <c r="C78" s="83">
        <v>2</v>
      </c>
      <c r="D78" s="110">
        <v>0.0011543048504658938</v>
      </c>
      <c r="E78" s="110">
        <v>3.1558419134475986</v>
      </c>
      <c r="F78" s="83" t="s">
        <v>4145</v>
      </c>
      <c r="G78" s="83" t="b">
        <v>0</v>
      </c>
      <c r="H78" s="83" t="b">
        <v>0</v>
      </c>
      <c r="I78" s="83" t="b">
        <v>0</v>
      </c>
      <c r="J78" s="83" t="b">
        <v>0</v>
      </c>
      <c r="K78" s="83" t="b">
        <v>0</v>
      </c>
      <c r="L78" s="83" t="b">
        <v>0</v>
      </c>
    </row>
    <row r="79" spans="1:12" ht="15">
      <c r="A79" s="84" t="s">
        <v>3646</v>
      </c>
      <c r="B79" s="83" t="s">
        <v>3645</v>
      </c>
      <c r="C79" s="83">
        <v>2</v>
      </c>
      <c r="D79" s="110">
        <v>0.0011543048504658938</v>
      </c>
      <c r="E79" s="110">
        <v>2.7298731811753174</v>
      </c>
      <c r="F79" s="83" t="s">
        <v>4145</v>
      </c>
      <c r="G79" s="83" t="b">
        <v>0</v>
      </c>
      <c r="H79" s="83" t="b">
        <v>0</v>
      </c>
      <c r="I79" s="83" t="b">
        <v>0</v>
      </c>
      <c r="J79" s="83" t="b">
        <v>0</v>
      </c>
      <c r="K79" s="83" t="b">
        <v>0</v>
      </c>
      <c r="L79" s="83" t="b">
        <v>0</v>
      </c>
    </row>
    <row r="80" spans="1:12" ht="15">
      <c r="A80" s="84" t="s">
        <v>3465</v>
      </c>
      <c r="B80" s="83" t="s">
        <v>3648</v>
      </c>
      <c r="C80" s="83">
        <v>2</v>
      </c>
      <c r="D80" s="110">
        <v>0.0010352029728540317</v>
      </c>
      <c r="E80" s="110">
        <v>1.7878651281530042</v>
      </c>
      <c r="F80" s="83" t="s">
        <v>4145</v>
      </c>
      <c r="G80" s="83" t="b">
        <v>1</v>
      </c>
      <c r="H80" s="83" t="b">
        <v>0</v>
      </c>
      <c r="I80" s="83" t="b">
        <v>0</v>
      </c>
      <c r="J80" s="83" t="b">
        <v>0</v>
      </c>
      <c r="K80" s="83" t="b">
        <v>0</v>
      </c>
      <c r="L80" s="83" t="b">
        <v>0</v>
      </c>
    </row>
    <row r="81" spans="1:12" ht="15">
      <c r="A81" s="84" t="s">
        <v>3457</v>
      </c>
      <c r="B81" s="83" t="s">
        <v>3483</v>
      </c>
      <c r="C81" s="83">
        <v>2</v>
      </c>
      <c r="D81" s="110">
        <v>0.0010352029728540317</v>
      </c>
      <c r="E81" s="110">
        <v>0.8526458560271098</v>
      </c>
      <c r="F81" s="83" t="s">
        <v>4145</v>
      </c>
      <c r="G81" s="83" t="b">
        <v>1</v>
      </c>
      <c r="H81" s="83" t="b">
        <v>0</v>
      </c>
      <c r="I81" s="83" t="b">
        <v>0</v>
      </c>
      <c r="J81" s="83" t="b">
        <v>0</v>
      </c>
      <c r="K81" s="83" t="b">
        <v>0</v>
      </c>
      <c r="L81" s="83" t="b">
        <v>0</v>
      </c>
    </row>
    <row r="82" spans="1:12" ht="15">
      <c r="A82" s="84" t="s">
        <v>3489</v>
      </c>
      <c r="B82" s="83" t="s">
        <v>3470</v>
      </c>
      <c r="C82" s="83">
        <v>2</v>
      </c>
      <c r="D82" s="110">
        <v>0.0010352029728540317</v>
      </c>
      <c r="E82" s="110">
        <v>1.4050764635535875</v>
      </c>
      <c r="F82" s="83" t="s">
        <v>4145</v>
      </c>
      <c r="G82" s="83" t="b">
        <v>1</v>
      </c>
      <c r="H82" s="83" t="b">
        <v>0</v>
      </c>
      <c r="I82" s="83" t="b">
        <v>0</v>
      </c>
      <c r="J82" s="83" t="b">
        <v>0</v>
      </c>
      <c r="K82" s="83" t="b">
        <v>0</v>
      </c>
      <c r="L82" s="83" t="b">
        <v>0</v>
      </c>
    </row>
    <row r="83" spans="1:12" ht="15">
      <c r="A83" s="84" t="s">
        <v>3556</v>
      </c>
      <c r="B83" s="83" t="s">
        <v>3650</v>
      </c>
      <c r="C83" s="83">
        <v>2</v>
      </c>
      <c r="D83" s="110">
        <v>0.0010352029728540317</v>
      </c>
      <c r="E83" s="110">
        <v>2.553781922119636</v>
      </c>
      <c r="F83" s="83" t="s">
        <v>4145</v>
      </c>
      <c r="G83" s="83" t="b">
        <v>0</v>
      </c>
      <c r="H83" s="83" t="b">
        <v>0</v>
      </c>
      <c r="I83" s="83" t="b">
        <v>0</v>
      </c>
      <c r="J83" s="83" t="b">
        <v>0</v>
      </c>
      <c r="K83" s="83" t="b">
        <v>1</v>
      </c>
      <c r="L83" s="83" t="b">
        <v>0</v>
      </c>
    </row>
    <row r="84" spans="1:12" ht="15">
      <c r="A84" s="84" t="s">
        <v>3574</v>
      </c>
      <c r="B84" s="83" t="s">
        <v>1152</v>
      </c>
      <c r="C84" s="83">
        <v>2</v>
      </c>
      <c r="D84" s="110">
        <v>0.0010352029728540317</v>
      </c>
      <c r="E84" s="110">
        <v>1.5430580567278631</v>
      </c>
      <c r="F84" s="83" t="s">
        <v>4145</v>
      </c>
      <c r="G84" s="83" t="b">
        <v>0</v>
      </c>
      <c r="H84" s="83" t="b">
        <v>0</v>
      </c>
      <c r="I84" s="83" t="b">
        <v>0</v>
      </c>
      <c r="J84" s="83" t="b">
        <v>1</v>
      </c>
      <c r="K84" s="83" t="b">
        <v>0</v>
      </c>
      <c r="L84" s="83" t="b">
        <v>0</v>
      </c>
    </row>
    <row r="85" spans="1:12" ht="15">
      <c r="A85" s="84" t="s">
        <v>3862</v>
      </c>
      <c r="B85" s="83" t="s">
        <v>3512</v>
      </c>
      <c r="C85" s="83">
        <v>2</v>
      </c>
      <c r="D85" s="110">
        <v>0.0011543048504658938</v>
      </c>
      <c r="E85" s="110">
        <v>2.6787206587279364</v>
      </c>
      <c r="F85" s="83" t="s">
        <v>4145</v>
      </c>
      <c r="G85" s="83" t="b">
        <v>0</v>
      </c>
      <c r="H85" s="83" t="b">
        <v>0</v>
      </c>
      <c r="I85" s="83" t="b">
        <v>0</v>
      </c>
      <c r="J85" s="83" t="b">
        <v>0</v>
      </c>
      <c r="K85" s="83" t="b">
        <v>0</v>
      </c>
      <c r="L85" s="83" t="b">
        <v>0</v>
      </c>
    </row>
    <row r="86" spans="1:12" ht="15">
      <c r="A86" s="84" t="s">
        <v>3468</v>
      </c>
      <c r="B86" s="83" t="s">
        <v>3465</v>
      </c>
      <c r="C86" s="83">
        <v>2</v>
      </c>
      <c r="D86" s="110">
        <v>0.0010352029728540317</v>
      </c>
      <c r="E86" s="110">
        <v>0.8847751411610607</v>
      </c>
      <c r="F86" s="83" t="s">
        <v>4145</v>
      </c>
      <c r="G86" s="83" t="b">
        <v>0</v>
      </c>
      <c r="H86" s="83" t="b">
        <v>0</v>
      </c>
      <c r="I86" s="83" t="b">
        <v>0</v>
      </c>
      <c r="J86" s="83" t="b">
        <v>1</v>
      </c>
      <c r="K86" s="83" t="b">
        <v>0</v>
      </c>
      <c r="L86" s="83" t="b">
        <v>0</v>
      </c>
    </row>
    <row r="87" spans="1:12" ht="15">
      <c r="A87" s="84" t="s">
        <v>3464</v>
      </c>
      <c r="B87" s="83" t="s">
        <v>1152</v>
      </c>
      <c r="C87" s="83">
        <v>2</v>
      </c>
      <c r="D87" s="110">
        <v>0.0010352029728540317</v>
      </c>
      <c r="E87" s="110">
        <v>0.7530075830445119</v>
      </c>
      <c r="F87" s="83" t="s">
        <v>4145</v>
      </c>
      <c r="G87" s="83" t="b">
        <v>1</v>
      </c>
      <c r="H87" s="83" t="b">
        <v>0</v>
      </c>
      <c r="I87" s="83" t="b">
        <v>0</v>
      </c>
      <c r="J87" s="83" t="b">
        <v>1</v>
      </c>
      <c r="K87" s="83" t="b">
        <v>0</v>
      </c>
      <c r="L87" s="83" t="b">
        <v>0</v>
      </c>
    </row>
    <row r="88" spans="1:12" ht="15">
      <c r="A88" s="84" t="s">
        <v>3536</v>
      </c>
      <c r="B88" s="83" t="s">
        <v>3468</v>
      </c>
      <c r="C88" s="83">
        <v>2</v>
      </c>
      <c r="D88" s="110">
        <v>0.0010352029728540317</v>
      </c>
      <c r="E88" s="110">
        <v>1.4627014527723037</v>
      </c>
      <c r="F88" s="83" t="s">
        <v>4145</v>
      </c>
      <c r="G88" s="83" t="b">
        <v>0</v>
      </c>
      <c r="H88" s="83" t="b">
        <v>0</v>
      </c>
      <c r="I88" s="83" t="b">
        <v>0</v>
      </c>
      <c r="J88" s="83" t="b">
        <v>0</v>
      </c>
      <c r="K88" s="83" t="b">
        <v>0</v>
      </c>
      <c r="L88" s="83" t="b">
        <v>0</v>
      </c>
    </row>
    <row r="89" spans="1:12" ht="15">
      <c r="A89" s="84" t="s">
        <v>3521</v>
      </c>
      <c r="B89" s="83" t="s">
        <v>3478</v>
      </c>
      <c r="C89" s="83">
        <v>2</v>
      </c>
      <c r="D89" s="110">
        <v>0.0010352029728540317</v>
      </c>
      <c r="E89" s="110">
        <v>1.7244781492886114</v>
      </c>
      <c r="F89" s="83" t="s">
        <v>4145</v>
      </c>
      <c r="G89" s="83" t="b">
        <v>1</v>
      </c>
      <c r="H89" s="83" t="b">
        <v>0</v>
      </c>
      <c r="I89" s="83" t="b">
        <v>0</v>
      </c>
      <c r="J89" s="83" t="b">
        <v>0</v>
      </c>
      <c r="K89" s="83" t="b">
        <v>0</v>
      </c>
      <c r="L89" s="83" t="b">
        <v>0</v>
      </c>
    </row>
    <row r="90" spans="1:12" ht="15">
      <c r="A90" s="84" t="s">
        <v>3457</v>
      </c>
      <c r="B90" s="83" t="s">
        <v>3501</v>
      </c>
      <c r="C90" s="83">
        <v>2</v>
      </c>
      <c r="D90" s="110">
        <v>0.0010352029728540317</v>
      </c>
      <c r="E90" s="110">
        <v>0.993975008823579</v>
      </c>
      <c r="F90" s="83" t="s">
        <v>4145</v>
      </c>
      <c r="G90" s="83" t="b">
        <v>1</v>
      </c>
      <c r="H90" s="83" t="b">
        <v>0</v>
      </c>
      <c r="I90" s="83" t="b">
        <v>0</v>
      </c>
      <c r="J90" s="83" t="b">
        <v>1</v>
      </c>
      <c r="K90" s="83" t="b">
        <v>0</v>
      </c>
      <c r="L90" s="83" t="b">
        <v>0</v>
      </c>
    </row>
    <row r="91" spans="1:12" ht="15">
      <c r="A91" s="84" t="s">
        <v>3500</v>
      </c>
      <c r="B91" s="83" t="s">
        <v>3488</v>
      </c>
      <c r="C91" s="83">
        <v>2</v>
      </c>
      <c r="D91" s="110">
        <v>0.0010352029728540317</v>
      </c>
      <c r="E91" s="110">
        <v>1.716509219617336</v>
      </c>
      <c r="F91" s="83" t="s">
        <v>4145</v>
      </c>
      <c r="G91" s="83" t="b">
        <v>0</v>
      </c>
      <c r="H91" s="83" t="b">
        <v>0</v>
      </c>
      <c r="I91" s="83" t="b">
        <v>0</v>
      </c>
      <c r="J91" s="83" t="b">
        <v>0</v>
      </c>
      <c r="K91" s="83" t="b">
        <v>0</v>
      </c>
      <c r="L91" s="83" t="b">
        <v>0</v>
      </c>
    </row>
    <row r="92" spans="1:12" ht="15">
      <c r="A92" s="84" t="s">
        <v>3457</v>
      </c>
      <c r="B92" s="83" t="s">
        <v>3495</v>
      </c>
      <c r="C92" s="83">
        <v>2</v>
      </c>
      <c r="D92" s="110">
        <v>0.0010352029728540317</v>
      </c>
      <c r="E92" s="110">
        <v>0.9617903254521778</v>
      </c>
      <c r="F92" s="83" t="s">
        <v>4145</v>
      </c>
      <c r="G92" s="83" t="b">
        <v>1</v>
      </c>
      <c r="H92" s="83" t="b">
        <v>0</v>
      </c>
      <c r="I92" s="83" t="b">
        <v>0</v>
      </c>
      <c r="J92" s="83" t="b">
        <v>0</v>
      </c>
      <c r="K92" s="83" t="b">
        <v>0</v>
      </c>
      <c r="L92" s="83" t="b">
        <v>0</v>
      </c>
    </row>
    <row r="93" spans="1:12" ht="15">
      <c r="A93" s="84" t="s">
        <v>3611</v>
      </c>
      <c r="B93" s="83" t="s">
        <v>3090</v>
      </c>
      <c r="C93" s="83">
        <v>2</v>
      </c>
      <c r="D93" s="110">
        <v>0.0011543048504658938</v>
      </c>
      <c r="E93" s="110">
        <v>2.45687190911158</v>
      </c>
      <c r="F93" s="83" t="s">
        <v>4145</v>
      </c>
      <c r="G93" s="83" t="b">
        <v>0</v>
      </c>
      <c r="H93" s="83" t="b">
        <v>0</v>
      </c>
      <c r="I93" s="83" t="b">
        <v>0</v>
      </c>
      <c r="J93" s="83" t="b">
        <v>0</v>
      </c>
      <c r="K93" s="83" t="b">
        <v>0</v>
      </c>
      <c r="L93" s="83" t="b">
        <v>0</v>
      </c>
    </row>
    <row r="94" spans="1:12" ht="15">
      <c r="A94" s="84" t="s">
        <v>3662</v>
      </c>
      <c r="B94" s="83" t="s">
        <v>3612</v>
      </c>
      <c r="C94" s="83">
        <v>2</v>
      </c>
      <c r="D94" s="110">
        <v>0.0011543048504658938</v>
      </c>
      <c r="E94" s="110">
        <v>2.632963168167261</v>
      </c>
      <c r="F94" s="83" t="s">
        <v>4145</v>
      </c>
      <c r="G94" s="83" t="b">
        <v>0</v>
      </c>
      <c r="H94" s="83" t="b">
        <v>0</v>
      </c>
      <c r="I94" s="83" t="b">
        <v>0</v>
      </c>
      <c r="J94" s="83" t="b">
        <v>0</v>
      </c>
      <c r="K94" s="83" t="b">
        <v>0</v>
      </c>
      <c r="L94" s="83" t="b">
        <v>0</v>
      </c>
    </row>
    <row r="95" spans="1:12" ht="15">
      <c r="A95" s="84" t="s">
        <v>3662</v>
      </c>
      <c r="B95" s="83" t="s">
        <v>3888</v>
      </c>
      <c r="C95" s="83">
        <v>2</v>
      </c>
      <c r="D95" s="110">
        <v>0.0011543048504658938</v>
      </c>
      <c r="E95" s="110">
        <v>3.0309031768392987</v>
      </c>
      <c r="F95" s="83" t="s">
        <v>4145</v>
      </c>
      <c r="G95" s="83" t="b">
        <v>0</v>
      </c>
      <c r="H95" s="83" t="b">
        <v>0</v>
      </c>
      <c r="I95" s="83" t="b">
        <v>0</v>
      </c>
      <c r="J95" s="83" t="b">
        <v>0</v>
      </c>
      <c r="K95" s="83" t="b">
        <v>0</v>
      </c>
      <c r="L95" s="83" t="b">
        <v>0</v>
      </c>
    </row>
    <row r="96" spans="1:12" ht="15">
      <c r="A96" s="84" t="s">
        <v>3888</v>
      </c>
      <c r="B96" s="83" t="s">
        <v>3512</v>
      </c>
      <c r="C96" s="83">
        <v>2</v>
      </c>
      <c r="D96" s="110">
        <v>0.0011543048504658938</v>
      </c>
      <c r="E96" s="110">
        <v>2.6787206587279364</v>
      </c>
      <c r="F96" s="83" t="s">
        <v>4145</v>
      </c>
      <c r="G96" s="83" t="b">
        <v>0</v>
      </c>
      <c r="H96" s="83" t="b">
        <v>0</v>
      </c>
      <c r="I96" s="83" t="b">
        <v>0</v>
      </c>
      <c r="J96" s="83" t="b">
        <v>0</v>
      </c>
      <c r="K96" s="83" t="b">
        <v>0</v>
      </c>
      <c r="L96" s="83" t="b">
        <v>0</v>
      </c>
    </row>
    <row r="97" spans="1:12" ht="15">
      <c r="A97" s="84" t="s">
        <v>3512</v>
      </c>
      <c r="B97" s="83" t="s">
        <v>3612</v>
      </c>
      <c r="C97" s="83">
        <v>2</v>
      </c>
      <c r="D97" s="110">
        <v>0.0011543048504658938</v>
      </c>
      <c r="E97" s="110">
        <v>2.2350231594952237</v>
      </c>
      <c r="F97" s="83" t="s">
        <v>4145</v>
      </c>
      <c r="G97" s="83" t="b">
        <v>0</v>
      </c>
      <c r="H97" s="83" t="b">
        <v>0</v>
      </c>
      <c r="I97" s="83" t="b">
        <v>0</v>
      </c>
      <c r="J97" s="83" t="b">
        <v>0</v>
      </c>
      <c r="K97" s="83" t="b">
        <v>0</v>
      </c>
      <c r="L97" s="83" t="b">
        <v>0</v>
      </c>
    </row>
    <row r="98" spans="1:12" ht="15">
      <c r="A98" s="84" t="s">
        <v>3890</v>
      </c>
      <c r="B98" s="83" t="s">
        <v>3891</v>
      </c>
      <c r="C98" s="83">
        <v>2</v>
      </c>
      <c r="D98" s="110">
        <v>0.0011543048504658938</v>
      </c>
      <c r="E98" s="110">
        <v>3.33193317250328</v>
      </c>
      <c r="F98" s="83" t="s">
        <v>4145</v>
      </c>
      <c r="G98" s="83" t="b">
        <v>0</v>
      </c>
      <c r="H98" s="83" t="b">
        <v>0</v>
      </c>
      <c r="I98" s="83" t="b">
        <v>0</v>
      </c>
      <c r="J98" s="83" t="b">
        <v>0</v>
      </c>
      <c r="K98" s="83" t="b">
        <v>0</v>
      </c>
      <c r="L98" s="83" t="b">
        <v>0</v>
      </c>
    </row>
    <row r="99" spans="1:12" ht="15">
      <c r="A99" s="84" t="s">
        <v>3891</v>
      </c>
      <c r="B99" s="83" t="s">
        <v>3892</v>
      </c>
      <c r="C99" s="83">
        <v>2</v>
      </c>
      <c r="D99" s="110">
        <v>0.0011543048504658938</v>
      </c>
      <c r="E99" s="110">
        <v>3.33193317250328</v>
      </c>
      <c r="F99" s="83" t="s">
        <v>4145</v>
      </c>
      <c r="G99" s="83" t="b">
        <v>0</v>
      </c>
      <c r="H99" s="83" t="b">
        <v>0</v>
      </c>
      <c r="I99" s="83" t="b">
        <v>0</v>
      </c>
      <c r="J99" s="83" t="b">
        <v>0</v>
      </c>
      <c r="K99" s="83" t="b">
        <v>0</v>
      </c>
      <c r="L99" s="83" t="b">
        <v>0</v>
      </c>
    </row>
    <row r="100" spans="1:12" ht="15">
      <c r="A100" s="84" t="s">
        <v>3892</v>
      </c>
      <c r="B100" s="83" t="s">
        <v>3893</v>
      </c>
      <c r="C100" s="83">
        <v>2</v>
      </c>
      <c r="D100" s="110">
        <v>0.0011543048504658938</v>
      </c>
      <c r="E100" s="110">
        <v>3.33193317250328</v>
      </c>
      <c r="F100" s="83" t="s">
        <v>4145</v>
      </c>
      <c r="G100" s="83" t="b">
        <v>0</v>
      </c>
      <c r="H100" s="83" t="b">
        <v>0</v>
      </c>
      <c r="I100" s="83" t="b">
        <v>0</v>
      </c>
      <c r="J100" s="83" t="b">
        <v>0</v>
      </c>
      <c r="K100" s="83" t="b">
        <v>0</v>
      </c>
      <c r="L100" s="83" t="b">
        <v>0</v>
      </c>
    </row>
    <row r="101" spans="1:12" ht="15">
      <c r="A101" s="84" t="s">
        <v>3504</v>
      </c>
      <c r="B101" s="83" t="s">
        <v>3475</v>
      </c>
      <c r="C101" s="83">
        <v>2</v>
      </c>
      <c r="D101" s="110">
        <v>0.0011543048504658938</v>
      </c>
      <c r="E101" s="110">
        <v>1.5501777978508111</v>
      </c>
      <c r="F101" s="83" t="s">
        <v>4145</v>
      </c>
      <c r="G101" s="83" t="b">
        <v>0</v>
      </c>
      <c r="H101" s="83" t="b">
        <v>0</v>
      </c>
      <c r="I101" s="83" t="b">
        <v>0</v>
      </c>
      <c r="J101" s="83" t="b">
        <v>0</v>
      </c>
      <c r="K101" s="83" t="b">
        <v>0</v>
      </c>
      <c r="L101" s="83" t="b">
        <v>0</v>
      </c>
    </row>
    <row r="102" spans="1:12" ht="15">
      <c r="A102" s="84" t="s">
        <v>3898</v>
      </c>
      <c r="B102" s="83" t="s">
        <v>3475</v>
      </c>
      <c r="C102" s="83">
        <v>2</v>
      </c>
      <c r="D102" s="110">
        <v>0.0011543048504658938</v>
      </c>
      <c r="E102" s="110">
        <v>2.290540487345055</v>
      </c>
      <c r="F102" s="83" t="s">
        <v>4145</v>
      </c>
      <c r="G102" s="83" t="b">
        <v>0</v>
      </c>
      <c r="H102" s="83" t="b">
        <v>0</v>
      </c>
      <c r="I102" s="83" t="b">
        <v>0</v>
      </c>
      <c r="J102" s="83" t="b">
        <v>0</v>
      </c>
      <c r="K102" s="83" t="b">
        <v>0</v>
      </c>
      <c r="L102" s="83" t="b">
        <v>0</v>
      </c>
    </row>
    <row r="103" spans="1:12" ht="15">
      <c r="A103" s="84" t="s">
        <v>3518</v>
      </c>
      <c r="B103" s="83" t="s">
        <v>3904</v>
      </c>
      <c r="C103" s="83">
        <v>2</v>
      </c>
      <c r="D103" s="110">
        <v>0.0011543048504658938</v>
      </c>
      <c r="E103" s="110">
        <v>2.6787206587279364</v>
      </c>
      <c r="F103" s="83" t="s">
        <v>4145</v>
      </c>
      <c r="G103" s="83" t="b">
        <v>0</v>
      </c>
      <c r="H103" s="83" t="b">
        <v>0</v>
      </c>
      <c r="I103" s="83" t="b">
        <v>0</v>
      </c>
      <c r="J103" s="83" t="b">
        <v>0</v>
      </c>
      <c r="K103" s="83" t="b">
        <v>0</v>
      </c>
      <c r="L103" s="83" t="b">
        <v>0</v>
      </c>
    </row>
    <row r="104" spans="1:12" ht="15">
      <c r="A104" s="84" t="s">
        <v>3464</v>
      </c>
      <c r="B104" s="83" t="s">
        <v>3472</v>
      </c>
      <c r="C104" s="83">
        <v>2</v>
      </c>
      <c r="D104" s="110">
        <v>0.0010352029728540317</v>
      </c>
      <c r="E104" s="110">
        <v>0.9033934418652912</v>
      </c>
      <c r="F104" s="83" t="s">
        <v>4145</v>
      </c>
      <c r="G104" s="83" t="b">
        <v>1</v>
      </c>
      <c r="H104" s="83" t="b">
        <v>0</v>
      </c>
      <c r="I104" s="83" t="b">
        <v>0</v>
      </c>
      <c r="J104" s="83" t="b">
        <v>0</v>
      </c>
      <c r="K104" s="83" t="b">
        <v>0</v>
      </c>
      <c r="L104" s="83" t="b">
        <v>0</v>
      </c>
    </row>
    <row r="105" spans="1:12" ht="15">
      <c r="A105" s="84" t="s">
        <v>3909</v>
      </c>
      <c r="B105" s="83" t="s">
        <v>3910</v>
      </c>
      <c r="C105" s="83">
        <v>2</v>
      </c>
      <c r="D105" s="110">
        <v>0.0010352029728540317</v>
      </c>
      <c r="E105" s="110">
        <v>3.33193317250328</v>
      </c>
      <c r="F105" s="83" t="s">
        <v>4145</v>
      </c>
      <c r="G105" s="83" t="b">
        <v>0</v>
      </c>
      <c r="H105" s="83" t="b">
        <v>0</v>
      </c>
      <c r="I105" s="83" t="b">
        <v>0</v>
      </c>
      <c r="J105" s="83" t="b">
        <v>0</v>
      </c>
      <c r="K105" s="83" t="b">
        <v>0</v>
      </c>
      <c r="L105" s="83" t="b">
        <v>0</v>
      </c>
    </row>
    <row r="106" spans="1:12" ht="15">
      <c r="A106" s="84" t="s">
        <v>3668</v>
      </c>
      <c r="B106" s="83" t="s">
        <v>3582</v>
      </c>
      <c r="C106" s="83">
        <v>2</v>
      </c>
      <c r="D106" s="110">
        <v>0.0010352029728540317</v>
      </c>
      <c r="E106" s="110">
        <v>2.632963168167261</v>
      </c>
      <c r="F106" s="83" t="s">
        <v>4145</v>
      </c>
      <c r="G106" s="83" t="b">
        <v>0</v>
      </c>
      <c r="H106" s="83" t="b">
        <v>0</v>
      </c>
      <c r="I106" s="83" t="b">
        <v>0</v>
      </c>
      <c r="J106" s="83" t="b">
        <v>0</v>
      </c>
      <c r="K106" s="83" t="b">
        <v>0</v>
      </c>
      <c r="L106" s="83" t="b">
        <v>0</v>
      </c>
    </row>
    <row r="107" spans="1:12" ht="15">
      <c r="A107" s="84" t="s">
        <v>3457</v>
      </c>
      <c r="B107" s="83" t="s">
        <v>3466</v>
      </c>
      <c r="C107" s="83">
        <v>2</v>
      </c>
      <c r="D107" s="110">
        <v>0.0010352029728540317</v>
      </c>
      <c r="E107" s="110">
        <v>0.5397166370634209</v>
      </c>
      <c r="F107" s="83" t="s">
        <v>4145</v>
      </c>
      <c r="G107" s="83" t="b">
        <v>1</v>
      </c>
      <c r="H107" s="83" t="b">
        <v>0</v>
      </c>
      <c r="I107" s="83" t="b">
        <v>0</v>
      </c>
      <c r="J107" s="83" t="b">
        <v>0</v>
      </c>
      <c r="K107" s="83" t="b">
        <v>0</v>
      </c>
      <c r="L107" s="83" t="b">
        <v>0</v>
      </c>
    </row>
    <row r="108" spans="1:12" ht="15">
      <c r="A108" s="84" t="s">
        <v>3473</v>
      </c>
      <c r="B108" s="83" t="s">
        <v>3743</v>
      </c>
      <c r="C108" s="83">
        <v>2</v>
      </c>
      <c r="D108" s="110">
        <v>0.0010352029728540317</v>
      </c>
      <c r="E108" s="110">
        <v>2.076660667399974</v>
      </c>
      <c r="F108" s="83" t="s">
        <v>4145</v>
      </c>
      <c r="G108" s="83" t="b">
        <v>0</v>
      </c>
      <c r="H108" s="83" t="b">
        <v>0</v>
      </c>
      <c r="I108" s="83" t="b">
        <v>0</v>
      </c>
      <c r="J108" s="83" t="b">
        <v>0</v>
      </c>
      <c r="K108" s="83" t="b">
        <v>0</v>
      </c>
      <c r="L108" s="83" t="b">
        <v>0</v>
      </c>
    </row>
    <row r="109" spans="1:12" ht="15">
      <c r="A109" s="84" t="s">
        <v>3614</v>
      </c>
      <c r="B109" s="83" t="s">
        <v>3746</v>
      </c>
      <c r="C109" s="83">
        <v>2</v>
      </c>
      <c r="D109" s="110">
        <v>0.0010352029728540317</v>
      </c>
      <c r="E109" s="110">
        <v>2.757901904775561</v>
      </c>
      <c r="F109" s="83" t="s">
        <v>4145</v>
      </c>
      <c r="G109" s="83" t="b">
        <v>0</v>
      </c>
      <c r="H109" s="83" t="b">
        <v>0</v>
      </c>
      <c r="I109" s="83" t="b">
        <v>0</v>
      </c>
      <c r="J109" s="83" t="b">
        <v>0</v>
      </c>
      <c r="K109" s="83" t="b">
        <v>0</v>
      </c>
      <c r="L109" s="83" t="b">
        <v>0</v>
      </c>
    </row>
    <row r="110" spans="1:12" ht="15">
      <c r="A110" s="84" t="s">
        <v>3470</v>
      </c>
      <c r="B110" s="83" t="s">
        <v>3585</v>
      </c>
      <c r="C110" s="83">
        <v>2</v>
      </c>
      <c r="D110" s="110">
        <v>0.0010352029728540317</v>
      </c>
      <c r="E110" s="110">
        <v>1.8134192326253924</v>
      </c>
      <c r="F110" s="83" t="s">
        <v>4145</v>
      </c>
      <c r="G110" s="83" t="b">
        <v>0</v>
      </c>
      <c r="H110" s="83" t="b">
        <v>0</v>
      </c>
      <c r="I110" s="83" t="b">
        <v>0</v>
      </c>
      <c r="J110" s="83" t="b">
        <v>0</v>
      </c>
      <c r="K110" s="83" t="b">
        <v>0</v>
      </c>
      <c r="L110" s="83" t="b">
        <v>0</v>
      </c>
    </row>
    <row r="111" spans="1:12" ht="15">
      <c r="A111" s="84" t="s">
        <v>3545</v>
      </c>
      <c r="B111" s="83" t="s">
        <v>3586</v>
      </c>
      <c r="C111" s="83">
        <v>2</v>
      </c>
      <c r="D111" s="110">
        <v>0.0010352029728540317</v>
      </c>
      <c r="E111" s="110">
        <v>2.33193317250328</v>
      </c>
      <c r="F111" s="83" t="s">
        <v>4145</v>
      </c>
      <c r="G111" s="83" t="b">
        <v>1</v>
      </c>
      <c r="H111" s="83" t="b">
        <v>0</v>
      </c>
      <c r="I111" s="83" t="b">
        <v>0</v>
      </c>
      <c r="J111" s="83" t="b">
        <v>1</v>
      </c>
      <c r="K111" s="83" t="b">
        <v>0</v>
      </c>
      <c r="L111" s="83" t="b">
        <v>0</v>
      </c>
    </row>
    <row r="112" spans="1:12" ht="15">
      <c r="A112" s="84" t="s">
        <v>3660</v>
      </c>
      <c r="B112" s="83" t="s">
        <v>3921</v>
      </c>
      <c r="C112" s="83">
        <v>2</v>
      </c>
      <c r="D112" s="110">
        <v>0.0010352029728540317</v>
      </c>
      <c r="E112" s="110">
        <v>3.0309031768392987</v>
      </c>
      <c r="F112" s="83" t="s">
        <v>4145</v>
      </c>
      <c r="G112" s="83" t="b">
        <v>0</v>
      </c>
      <c r="H112" s="83" t="b">
        <v>0</v>
      </c>
      <c r="I112" s="83" t="b">
        <v>0</v>
      </c>
      <c r="J112" s="83" t="b">
        <v>0</v>
      </c>
      <c r="K112" s="83" t="b">
        <v>0</v>
      </c>
      <c r="L112" s="83" t="b">
        <v>0</v>
      </c>
    </row>
    <row r="113" spans="1:12" ht="15">
      <c r="A113" s="84" t="s">
        <v>3921</v>
      </c>
      <c r="B113" s="83" t="s">
        <v>3922</v>
      </c>
      <c r="C113" s="83">
        <v>2</v>
      </c>
      <c r="D113" s="110">
        <v>0.0010352029728540317</v>
      </c>
      <c r="E113" s="110">
        <v>3.33193317250328</v>
      </c>
      <c r="F113" s="83" t="s">
        <v>4145</v>
      </c>
      <c r="G113" s="83" t="b">
        <v>0</v>
      </c>
      <c r="H113" s="83" t="b">
        <v>0</v>
      </c>
      <c r="I113" s="83" t="b">
        <v>0</v>
      </c>
      <c r="J113" s="83" t="b">
        <v>0</v>
      </c>
      <c r="K113" s="83" t="b">
        <v>0</v>
      </c>
      <c r="L113" s="83" t="b">
        <v>0</v>
      </c>
    </row>
    <row r="114" spans="1:12" ht="15">
      <c r="A114" s="84" t="s">
        <v>3922</v>
      </c>
      <c r="B114" s="83" t="s">
        <v>3675</v>
      </c>
      <c r="C114" s="83">
        <v>2</v>
      </c>
      <c r="D114" s="110">
        <v>0.0010352029728540317</v>
      </c>
      <c r="E114" s="110">
        <v>3.0309031768392987</v>
      </c>
      <c r="F114" s="83" t="s">
        <v>4145</v>
      </c>
      <c r="G114" s="83" t="b">
        <v>0</v>
      </c>
      <c r="H114" s="83" t="b">
        <v>0</v>
      </c>
      <c r="I114" s="83" t="b">
        <v>0</v>
      </c>
      <c r="J114" s="83" t="b">
        <v>0</v>
      </c>
      <c r="K114" s="83" t="b">
        <v>0</v>
      </c>
      <c r="L114" s="83" t="b">
        <v>0</v>
      </c>
    </row>
    <row r="115" spans="1:12" ht="15">
      <c r="A115" s="84" t="s">
        <v>3532</v>
      </c>
      <c r="B115" s="83" t="s">
        <v>3490</v>
      </c>
      <c r="C115" s="83">
        <v>2</v>
      </c>
      <c r="D115" s="110">
        <v>0.0010352029728540317</v>
      </c>
      <c r="E115" s="110">
        <v>1.8548119177836175</v>
      </c>
      <c r="F115" s="83" t="s">
        <v>4145</v>
      </c>
      <c r="G115" s="83" t="b">
        <v>0</v>
      </c>
      <c r="H115" s="83" t="b">
        <v>0</v>
      </c>
      <c r="I115" s="83" t="b">
        <v>0</v>
      </c>
      <c r="J115" s="83" t="b">
        <v>0</v>
      </c>
      <c r="K115" s="83" t="b">
        <v>0</v>
      </c>
      <c r="L115" s="83" t="b">
        <v>0</v>
      </c>
    </row>
    <row r="116" spans="1:12" ht="15">
      <c r="A116" s="84" t="s">
        <v>3580</v>
      </c>
      <c r="B116" s="83" t="s">
        <v>3923</v>
      </c>
      <c r="C116" s="83">
        <v>2</v>
      </c>
      <c r="D116" s="110">
        <v>0.0010352029728540317</v>
      </c>
      <c r="E116" s="110">
        <v>2.8548119177836173</v>
      </c>
      <c r="F116" s="83" t="s">
        <v>4145</v>
      </c>
      <c r="G116" s="83" t="b">
        <v>0</v>
      </c>
      <c r="H116" s="83" t="b">
        <v>0</v>
      </c>
      <c r="I116" s="83" t="b">
        <v>0</v>
      </c>
      <c r="J116" s="83" t="b">
        <v>0</v>
      </c>
      <c r="K116" s="83" t="b">
        <v>0</v>
      </c>
      <c r="L116" s="83" t="b">
        <v>0</v>
      </c>
    </row>
    <row r="117" spans="1:12" ht="15">
      <c r="A117" s="84" t="s">
        <v>3923</v>
      </c>
      <c r="B117" s="83" t="s">
        <v>3618</v>
      </c>
      <c r="C117" s="83">
        <v>2</v>
      </c>
      <c r="D117" s="110">
        <v>0.0010352029728540317</v>
      </c>
      <c r="E117" s="110">
        <v>3.0309031768392987</v>
      </c>
      <c r="F117" s="83" t="s">
        <v>4145</v>
      </c>
      <c r="G117" s="83" t="b">
        <v>0</v>
      </c>
      <c r="H117" s="83" t="b">
        <v>0</v>
      </c>
      <c r="I117" s="83" t="b">
        <v>0</v>
      </c>
      <c r="J117" s="83" t="b">
        <v>1</v>
      </c>
      <c r="K117" s="83" t="b">
        <v>0</v>
      </c>
      <c r="L117" s="83" t="b">
        <v>0</v>
      </c>
    </row>
    <row r="118" spans="1:12" ht="15">
      <c r="A118" s="84" t="s">
        <v>3618</v>
      </c>
      <c r="B118" s="83" t="s">
        <v>3468</v>
      </c>
      <c r="C118" s="83">
        <v>2</v>
      </c>
      <c r="D118" s="110">
        <v>0.0010352029728540317</v>
      </c>
      <c r="E118" s="110">
        <v>1.763731448436285</v>
      </c>
      <c r="F118" s="83" t="s">
        <v>4145</v>
      </c>
      <c r="G118" s="83" t="b">
        <v>1</v>
      </c>
      <c r="H118" s="83" t="b">
        <v>0</v>
      </c>
      <c r="I118" s="83" t="b">
        <v>0</v>
      </c>
      <c r="J118" s="83" t="b">
        <v>0</v>
      </c>
      <c r="K118" s="83" t="b">
        <v>0</v>
      </c>
      <c r="L118" s="83" t="b">
        <v>0</v>
      </c>
    </row>
    <row r="119" spans="1:12" ht="15">
      <c r="A119" s="84" t="s">
        <v>3468</v>
      </c>
      <c r="B119" s="83" t="s">
        <v>3457</v>
      </c>
      <c r="C119" s="83">
        <v>2</v>
      </c>
      <c r="D119" s="110">
        <v>0.0010352029728540317</v>
      </c>
      <c r="E119" s="110">
        <v>0.6495624299867229</v>
      </c>
      <c r="F119" s="83" t="s">
        <v>4145</v>
      </c>
      <c r="G119" s="83" t="b">
        <v>0</v>
      </c>
      <c r="H119" s="83" t="b">
        <v>0</v>
      </c>
      <c r="I119" s="83" t="b">
        <v>0</v>
      </c>
      <c r="J119" s="83" t="b">
        <v>1</v>
      </c>
      <c r="K119" s="83" t="b">
        <v>0</v>
      </c>
      <c r="L119" s="83" t="b">
        <v>0</v>
      </c>
    </row>
    <row r="120" spans="1:12" ht="15">
      <c r="A120" s="84" t="s">
        <v>3457</v>
      </c>
      <c r="B120" s="83" t="s">
        <v>3747</v>
      </c>
      <c r="C120" s="83">
        <v>2</v>
      </c>
      <c r="D120" s="110">
        <v>0.0010352029728540317</v>
      </c>
      <c r="E120" s="110">
        <v>1.6307971064107534</v>
      </c>
      <c r="F120" s="83" t="s">
        <v>4145</v>
      </c>
      <c r="G120" s="83" t="b">
        <v>1</v>
      </c>
      <c r="H120" s="83" t="b">
        <v>0</v>
      </c>
      <c r="I120" s="83" t="b">
        <v>0</v>
      </c>
      <c r="J120" s="83" t="b">
        <v>0</v>
      </c>
      <c r="K120" s="83" t="b">
        <v>0</v>
      </c>
      <c r="L120" s="83" t="b">
        <v>0</v>
      </c>
    </row>
    <row r="121" spans="1:12" ht="15">
      <c r="A121" s="84" t="s">
        <v>3747</v>
      </c>
      <c r="B121" s="83" t="s">
        <v>3465</v>
      </c>
      <c r="C121" s="83">
        <v>2</v>
      </c>
      <c r="D121" s="110">
        <v>0.0010352029728540317</v>
      </c>
      <c r="E121" s="110">
        <v>1.9517219307916738</v>
      </c>
      <c r="F121" s="83" t="s">
        <v>4145</v>
      </c>
      <c r="G121" s="83" t="b">
        <v>0</v>
      </c>
      <c r="H121" s="83" t="b">
        <v>0</v>
      </c>
      <c r="I121" s="83" t="b">
        <v>0</v>
      </c>
      <c r="J121" s="83" t="b">
        <v>1</v>
      </c>
      <c r="K121" s="83" t="b">
        <v>0</v>
      </c>
      <c r="L121" s="83" t="b">
        <v>0</v>
      </c>
    </row>
    <row r="122" spans="1:12" ht="15">
      <c r="A122" s="84" t="s">
        <v>3465</v>
      </c>
      <c r="B122" s="83" t="s">
        <v>3607</v>
      </c>
      <c r="C122" s="83">
        <v>2</v>
      </c>
      <c r="D122" s="110">
        <v>0.0010352029728540317</v>
      </c>
      <c r="E122" s="110">
        <v>1.690955115144948</v>
      </c>
      <c r="F122" s="83" t="s">
        <v>4145</v>
      </c>
      <c r="G122" s="83" t="b">
        <v>1</v>
      </c>
      <c r="H122" s="83" t="b">
        <v>0</v>
      </c>
      <c r="I122" s="83" t="b">
        <v>0</v>
      </c>
      <c r="J122" s="83" t="b">
        <v>0</v>
      </c>
      <c r="K122" s="83" t="b">
        <v>0</v>
      </c>
      <c r="L122" s="83" t="b">
        <v>0</v>
      </c>
    </row>
    <row r="123" spans="1:12" ht="15">
      <c r="A123" s="84" t="s">
        <v>3607</v>
      </c>
      <c r="B123" s="83" t="s">
        <v>3924</v>
      </c>
      <c r="C123" s="83">
        <v>2</v>
      </c>
      <c r="D123" s="110">
        <v>0.0010352029728540317</v>
      </c>
      <c r="E123" s="110">
        <v>2.9339931638312424</v>
      </c>
      <c r="F123" s="83" t="s">
        <v>4145</v>
      </c>
      <c r="G123" s="83" t="b">
        <v>0</v>
      </c>
      <c r="H123" s="83" t="b">
        <v>0</v>
      </c>
      <c r="I123" s="83" t="b">
        <v>0</v>
      </c>
      <c r="J123" s="83" t="b">
        <v>0</v>
      </c>
      <c r="K123" s="83" t="b">
        <v>0</v>
      </c>
      <c r="L123" s="83" t="b">
        <v>0</v>
      </c>
    </row>
    <row r="124" spans="1:12" ht="15">
      <c r="A124" s="84" t="s">
        <v>3924</v>
      </c>
      <c r="B124" s="83" t="s">
        <v>3925</v>
      </c>
      <c r="C124" s="83">
        <v>2</v>
      </c>
      <c r="D124" s="110">
        <v>0.0010352029728540317</v>
      </c>
      <c r="E124" s="110">
        <v>3.33193317250328</v>
      </c>
      <c r="F124" s="83" t="s">
        <v>4145</v>
      </c>
      <c r="G124" s="83" t="b">
        <v>0</v>
      </c>
      <c r="H124" s="83" t="b">
        <v>0</v>
      </c>
      <c r="I124" s="83" t="b">
        <v>0</v>
      </c>
      <c r="J124" s="83" t="b">
        <v>1</v>
      </c>
      <c r="K124" s="83" t="b">
        <v>0</v>
      </c>
      <c r="L124" s="83" t="b">
        <v>0</v>
      </c>
    </row>
    <row r="125" spans="1:12" ht="15">
      <c r="A125" s="84" t="s">
        <v>3925</v>
      </c>
      <c r="B125" s="83" t="s">
        <v>3479</v>
      </c>
      <c r="C125" s="83">
        <v>2</v>
      </c>
      <c r="D125" s="110">
        <v>0.0010352029728540317</v>
      </c>
      <c r="E125" s="110">
        <v>2.45687190911158</v>
      </c>
      <c r="F125" s="83" t="s">
        <v>4145</v>
      </c>
      <c r="G125" s="83" t="b">
        <v>1</v>
      </c>
      <c r="H125" s="83" t="b">
        <v>0</v>
      </c>
      <c r="I125" s="83" t="b">
        <v>0</v>
      </c>
      <c r="J125" s="83" t="b">
        <v>0</v>
      </c>
      <c r="K125" s="83" t="b">
        <v>0</v>
      </c>
      <c r="L125" s="83" t="b">
        <v>0</v>
      </c>
    </row>
    <row r="126" spans="1:12" ht="15">
      <c r="A126" s="84" t="s">
        <v>3479</v>
      </c>
      <c r="B126" s="83" t="s">
        <v>3926</v>
      </c>
      <c r="C126" s="83">
        <v>2</v>
      </c>
      <c r="D126" s="110">
        <v>0.0010352029728540317</v>
      </c>
      <c r="E126" s="110">
        <v>2.45687190911158</v>
      </c>
      <c r="F126" s="83" t="s">
        <v>4145</v>
      </c>
      <c r="G126" s="83" t="b">
        <v>0</v>
      </c>
      <c r="H126" s="83" t="b">
        <v>0</v>
      </c>
      <c r="I126" s="83" t="b">
        <v>0</v>
      </c>
      <c r="J126" s="83" t="b">
        <v>1</v>
      </c>
      <c r="K126" s="83" t="b">
        <v>0</v>
      </c>
      <c r="L126" s="83" t="b">
        <v>0</v>
      </c>
    </row>
    <row r="127" spans="1:12" ht="15">
      <c r="A127" s="84" t="s">
        <v>3928</v>
      </c>
      <c r="B127" s="83" t="s">
        <v>3929</v>
      </c>
      <c r="C127" s="83">
        <v>2</v>
      </c>
      <c r="D127" s="110">
        <v>0.0010352029728540317</v>
      </c>
      <c r="E127" s="110">
        <v>3.33193317250328</v>
      </c>
      <c r="F127" s="83" t="s">
        <v>4145</v>
      </c>
      <c r="G127" s="83" t="b">
        <v>0</v>
      </c>
      <c r="H127" s="83" t="b">
        <v>0</v>
      </c>
      <c r="I127" s="83" t="b">
        <v>0</v>
      </c>
      <c r="J127" s="83" t="b">
        <v>0</v>
      </c>
      <c r="K127" s="83" t="b">
        <v>0</v>
      </c>
      <c r="L127" s="83" t="b">
        <v>0</v>
      </c>
    </row>
    <row r="128" spans="1:12" ht="15">
      <c r="A128" s="84" t="s">
        <v>3943</v>
      </c>
      <c r="B128" s="83" t="s">
        <v>3944</v>
      </c>
      <c r="C128" s="83">
        <v>2</v>
      </c>
      <c r="D128" s="110">
        <v>0.0011543048504658938</v>
      </c>
      <c r="E128" s="110">
        <v>3.33193317250328</v>
      </c>
      <c r="F128" s="83" t="s">
        <v>4145</v>
      </c>
      <c r="G128" s="83" t="b">
        <v>0</v>
      </c>
      <c r="H128" s="83" t="b">
        <v>0</v>
      </c>
      <c r="I128" s="83" t="b">
        <v>0</v>
      </c>
      <c r="J128" s="83" t="b">
        <v>0</v>
      </c>
      <c r="K128" s="83" t="b">
        <v>0</v>
      </c>
      <c r="L128" s="83" t="b">
        <v>0</v>
      </c>
    </row>
    <row r="129" spans="1:12" ht="15">
      <c r="A129" s="84" t="s">
        <v>3458</v>
      </c>
      <c r="B129" s="83" t="s">
        <v>3456</v>
      </c>
      <c r="C129" s="83">
        <v>2</v>
      </c>
      <c r="D129" s="110">
        <v>0.0010352029728540317</v>
      </c>
      <c r="E129" s="110">
        <v>0.32078581172748244</v>
      </c>
      <c r="F129" s="83" t="s">
        <v>4145</v>
      </c>
      <c r="G129" s="83" t="b">
        <v>0</v>
      </c>
      <c r="H129" s="83" t="b">
        <v>0</v>
      </c>
      <c r="I129" s="83" t="b">
        <v>0</v>
      </c>
      <c r="J129" s="83" t="b">
        <v>1</v>
      </c>
      <c r="K129" s="83" t="b">
        <v>0</v>
      </c>
      <c r="L129" s="83" t="b">
        <v>0</v>
      </c>
    </row>
    <row r="130" spans="1:12" ht="15">
      <c r="A130" s="84" t="s">
        <v>3677</v>
      </c>
      <c r="B130" s="83" t="s">
        <v>3657</v>
      </c>
      <c r="C130" s="83">
        <v>2</v>
      </c>
      <c r="D130" s="110">
        <v>0.0010352029728540317</v>
      </c>
      <c r="E130" s="110">
        <v>2.8548119177836173</v>
      </c>
      <c r="F130" s="83" t="s">
        <v>4145</v>
      </c>
      <c r="G130" s="83" t="b">
        <v>1</v>
      </c>
      <c r="H130" s="83" t="b">
        <v>0</v>
      </c>
      <c r="I130" s="83" t="b">
        <v>0</v>
      </c>
      <c r="J130" s="83" t="b">
        <v>0</v>
      </c>
      <c r="K130" s="83" t="b">
        <v>0</v>
      </c>
      <c r="L130" s="83" t="b">
        <v>0</v>
      </c>
    </row>
    <row r="131" spans="1:12" ht="15">
      <c r="A131" s="84" t="s">
        <v>3476</v>
      </c>
      <c r="B131" s="83" t="s">
        <v>3471</v>
      </c>
      <c r="C131" s="83">
        <v>2</v>
      </c>
      <c r="D131" s="110">
        <v>0.0010352029728540317</v>
      </c>
      <c r="E131" s="110">
        <v>1.3107438734333419</v>
      </c>
      <c r="F131" s="83" t="s">
        <v>4145</v>
      </c>
      <c r="G131" s="83" t="b">
        <v>0</v>
      </c>
      <c r="H131" s="83" t="b">
        <v>0</v>
      </c>
      <c r="I131" s="83" t="b">
        <v>0</v>
      </c>
      <c r="J131" s="83" t="b">
        <v>1</v>
      </c>
      <c r="K131" s="83" t="b">
        <v>0</v>
      </c>
      <c r="L131" s="83" t="b">
        <v>0</v>
      </c>
    </row>
    <row r="132" spans="1:12" ht="15">
      <c r="A132" s="84" t="s">
        <v>3585</v>
      </c>
      <c r="B132" s="83" t="s">
        <v>3949</v>
      </c>
      <c r="C132" s="83">
        <v>2</v>
      </c>
      <c r="D132" s="110">
        <v>0.0010352029728540317</v>
      </c>
      <c r="E132" s="110">
        <v>2.8548119177836173</v>
      </c>
      <c r="F132" s="83" t="s">
        <v>4145</v>
      </c>
      <c r="G132" s="83" t="b">
        <v>0</v>
      </c>
      <c r="H132" s="83" t="b">
        <v>0</v>
      </c>
      <c r="I132" s="83" t="b">
        <v>0</v>
      </c>
      <c r="J132" s="83" t="b">
        <v>0</v>
      </c>
      <c r="K132" s="83" t="b">
        <v>0</v>
      </c>
      <c r="L132" s="83" t="b">
        <v>0</v>
      </c>
    </row>
    <row r="133" spans="1:12" ht="15">
      <c r="A133" s="84" t="s">
        <v>3949</v>
      </c>
      <c r="B133" s="83" t="s">
        <v>3458</v>
      </c>
      <c r="C133" s="83">
        <v>2</v>
      </c>
      <c r="D133" s="110">
        <v>0.0010352029728540317</v>
      </c>
      <c r="E133" s="110">
        <v>1.781704819448186</v>
      </c>
      <c r="F133" s="83" t="s">
        <v>4145</v>
      </c>
      <c r="G133" s="83" t="b">
        <v>0</v>
      </c>
      <c r="H133" s="83" t="b">
        <v>0</v>
      </c>
      <c r="I133" s="83" t="b">
        <v>0</v>
      </c>
      <c r="J133" s="83" t="b">
        <v>0</v>
      </c>
      <c r="K133" s="83" t="b">
        <v>0</v>
      </c>
      <c r="L133" s="83" t="b">
        <v>0</v>
      </c>
    </row>
    <row r="134" spans="1:12" ht="15">
      <c r="A134" s="84" t="s">
        <v>3458</v>
      </c>
      <c r="B134" s="83" t="s">
        <v>3509</v>
      </c>
      <c r="C134" s="83">
        <v>2</v>
      </c>
      <c r="D134" s="110">
        <v>0.0010352029728540317</v>
      </c>
      <c r="E134" s="110">
        <v>1.2750283211668074</v>
      </c>
      <c r="F134" s="83" t="s">
        <v>4145</v>
      </c>
      <c r="G134" s="83" t="b">
        <v>0</v>
      </c>
      <c r="H134" s="83" t="b">
        <v>0</v>
      </c>
      <c r="I134" s="83" t="b">
        <v>0</v>
      </c>
      <c r="J134" s="83" t="b">
        <v>0</v>
      </c>
      <c r="K134" s="83" t="b">
        <v>0</v>
      </c>
      <c r="L134" s="83" t="b">
        <v>0</v>
      </c>
    </row>
    <row r="135" spans="1:12" ht="15">
      <c r="A135" s="84" t="s">
        <v>3457</v>
      </c>
      <c r="B135" s="83" t="s">
        <v>3456</v>
      </c>
      <c r="C135" s="83">
        <v>2</v>
      </c>
      <c r="D135" s="110">
        <v>0.0010352029728540317</v>
      </c>
      <c r="E135" s="110">
        <v>0.2505858646991474</v>
      </c>
      <c r="F135" s="83" t="s">
        <v>4145</v>
      </c>
      <c r="G135" s="83" t="b">
        <v>1</v>
      </c>
      <c r="H135" s="83" t="b">
        <v>0</v>
      </c>
      <c r="I135" s="83" t="b">
        <v>0</v>
      </c>
      <c r="J135" s="83" t="b">
        <v>1</v>
      </c>
      <c r="K135" s="83" t="b">
        <v>0</v>
      </c>
      <c r="L135" s="83" t="b">
        <v>0</v>
      </c>
    </row>
    <row r="136" spans="1:12" ht="15">
      <c r="A136" s="84" t="s">
        <v>3506</v>
      </c>
      <c r="B136" s="83" t="s">
        <v>3468</v>
      </c>
      <c r="C136" s="83">
        <v>2</v>
      </c>
      <c r="D136" s="110">
        <v>0.0010352029728540317</v>
      </c>
      <c r="E136" s="110">
        <v>1.3243987546060223</v>
      </c>
      <c r="F136" s="83" t="s">
        <v>4145</v>
      </c>
      <c r="G136" s="83" t="b">
        <v>0</v>
      </c>
      <c r="H136" s="83" t="b">
        <v>0</v>
      </c>
      <c r="I136" s="83" t="b">
        <v>0</v>
      </c>
      <c r="J136" s="83" t="b">
        <v>0</v>
      </c>
      <c r="K136" s="83" t="b">
        <v>0</v>
      </c>
      <c r="L136" s="83" t="b">
        <v>0</v>
      </c>
    </row>
    <row r="137" spans="1:12" ht="15">
      <c r="A137" s="84" t="s">
        <v>3457</v>
      </c>
      <c r="B137" s="83" t="s">
        <v>3958</v>
      </c>
      <c r="C137" s="83">
        <v>2</v>
      </c>
      <c r="D137" s="110">
        <v>0.0010352029728540317</v>
      </c>
      <c r="E137" s="110">
        <v>1.8068883654664347</v>
      </c>
      <c r="F137" s="83" t="s">
        <v>4145</v>
      </c>
      <c r="G137" s="83" t="b">
        <v>1</v>
      </c>
      <c r="H137" s="83" t="b">
        <v>0</v>
      </c>
      <c r="I137" s="83" t="b">
        <v>0</v>
      </c>
      <c r="J137" s="83" t="b">
        <v>0</v>
      </c>
      <c r="K137" s="83" t="b">
        <v>0</v>
      </c>
      <c r="L137" s="83" t="b">
        <v>0</v>
      </c>
    </row>
    <row r="138" spans="1:12" ht="15">
      <c r="A138" s="84" t="s">
        <v>3456</v>
      </c>
      <c r="B138" s="83" t="s">
        <v>3587</v>
      </c>
      <c r="C138" s="83">
        <v>2</v>
      </c>
      <c r="D138" s="110">
        <v>0.0010352029728540317</v>
      </c>
      <c r="E138" s="110">
        <v>1.2482514252289787</v>
      </c>
      <c r="F138" s="83" t="s">
        <v>4145</v>
      </c>
      <c r="G138" s="83" t="b">
        <v>1</v>
      </c>
      <c r="H138" s="83" t="b">
        <v>0</v>
      </c>
      <c r="I138" s="83" t="b">
        <v>0</v>
      </c>
      <c r="J138" s="83" t="b">
        <v>0</v>
      </c>
      <c r="K138" s="83" t="b">
        <v>0</v>
      </c>
      <c r="L138" s="83" t="b">
        <v>0</v>
      </c>
    </row>
    <row r="139" spans="1:12" ht="15">
      <c r="A139" s="84" t="s">
        <v>3963</v>
      </c>
      <c r="B139" s="83" t="s">
        <v>3458</v>
      </c>
      <c r="C139" s="83">
        <v>2</v>
      </c>
      <c r="D139" s="110">
        <v>0.0010352029728540317</v>
      </c>
      <c r="E139" s="110">
        <v>1.781704819448186</v>
      </c>
      <c r="F139" s="83" t="s">
        <v>4145</v>
      </c>
      <c r="G139" s="83" t="b">
        <v>0</v>
      </c>
      <c r="H139" s="83" t="b">
        <v>0</v>
      </c>
      <c r="I139" s="83" t="b">
        <v>0</v>
      </c>
      <c r="J139" s="83" t="b">
        <v>0</v>
      </c>
      <c r="K139" s="83" t="b">
        <v>0</v>
      </c>
      <c r="L139" s="83" t="b">
        <v>0</v>
      </c>
    </row>
    <row r="140" spans="1:12" ht="15">
      <c r="A140" s="84" t="s">
        <v>3462</v>
      </c>
      <c r="B140" s="83" t="s">
        <v>3508</v>
      </c>
      <c r="C140" s="83">
        <v>2</v>
      </c>
      <c r="D140" s="110">
        <v>0.0010352029728540317</v>
      </c>
      <c r="E140" s="110">
        <v>1.1522377891787734</v>
      </c>
      <c r="F140" s="83" t="s">
        <v>4145</v>
      </c>
      <c r="G140" s="83" t="b">
        <v>0</v>
      </c>
      <c r="H140" s="83" t="b">
        <v>0</v>
      </c>
      <c r="I140" s="83" t="b">
        <v>0</v>
      </c>
      <c r="J140" s="83" t="b">
        <v>0</v>
      </c>
      <c r="K140" s="83" t="b">
        <v>0</v>
      </c>
      <c r="L140" s="83" t="b">
        <v>0</v>
      </c>
    </row>
    <row r="141" spans="1:12" ht="15">
      <c r="A141" s="84" t="s">
        <v>3463</v>
      </c>
      <c r="B141" s="83" t="s">
        <v>3529</v>
      </c>
      <c r="C141" s="83">
        <v>2</v>
      </c>
      <c r="D141" s="110">
        <v>0.0010352029728540317</v>
      </c>
      <c r="E141" s="110">
        <v>1.4398385698127996</v>
      </c>
      <c r="F141" s="83" t="s">
        <v>4145</v>
      </c>
      <c r="G141" s="83" t="b">
        <v>1</v>
      </c>
      <c r="H141" s="83" t="b">
        <v>0</v>
      </c>
      <c r="I141" s="83" t="b">
        <v>0</v>
      </c>
      <c r="J141" s="83" t="b">
        <v>0</v>
      </c>
      <c r="K141" s="83" t="b">
        <v>0</v>
      </c>
      <c r="L141" s="83" t="b">
        <v>0</v>
      </c>
    </row>
    <row r="142" spans="1:12" ht="15">
      <c r="A142" s="84" t="s">
        <v>3978</v>
      </c>
      <c r="B142" s="83" t="s">
        <v>3456</v>
      </c>
      <c r="C142" s="83">
        <v>2</v>
      </c>
      <c r="D142" s="110">
        <v>0.0010352029728540317</v>
      </c>
      <c r="E142" s="110">
        <v>1.7756306717359926</v>
      </c>
      <c r="F142" s="83" t="s">
        <v>4145</v>
      </c>
      <c r="G142" s="83" t="b">
        <v>0</v>
      </c>
      <c r="H142" s="83" t="b">
        <v>1</v>
      </c>
      <c r="I142" s="83" t="b">
        <v>0</v>
      </c>
      <c r="J142" s="83" t="b">
        <v>1</v>
      </c>
      <c r="K142" s="83" t="b">
        <v>0</v>
      </c>
      <c r="L142" s="83" t="b">
        <v>0</v>
      </c>
    </row>
    <row r="143" spans="1:12" ht="15">
      <c r="A143" s="84" t="s">
        <v>3622</v>
      </c>
      <c r="B143" s="83" t="s">
        <v>3493</v>
      </c>
      <c r="C143" s="83">
        <v>2</v>
      </c>
      <c r="D143" s="110">
        <v>0.0010352029728540317</v>
      </c>
      <c r="E143" s="110">
        <v>2.0589319004395423</v>
      </c>
      <c r="F143" s="83" t="s">
        <v>4145</v>
      </c>
      <c r="G143" s="83" t="b">
        <v>0</v>
      </c>
      <c r="H143" s="83" t="b">
        <v>0</v>
      </c>
      <c r="I143" s="83" t="b">
        <v>0</v>
      </c>
      <c r="J143" s="83" t="b">
        <v>0</v>
      </c>
      <c r="K143" s="83" t="b">
        <v>0</v>
      </c>
      <c r="L143" s="83" t="b">
        <v>0</v>
      </c>
    </row>
    <row r="144" spans="1:12" ht="15">
      <c r="A144" s="84" t="s">
        <v>3465</v>
      </c>
      <c r="B144" s="83" t="s">
        <v>3564</v>
      </c>
      <c r="C144" s="83">
        <v>2</v>
      </c>
      <c r="D144" s="110">
        <v>0.0010352029728540317</v>
      </c>
      <c r="E144" s="110">
        <v>1.5448270794667098</v>
      </c>
      <c r="F144" s="83" t="s">
        <v>4145</v>
      </c>
      <c r="G144" s="83" t="b">
        <v>1</v>
      </c>
      <c r="H144" s="83" t="b">
        <v>0</v>
      </c>
      <c r="I144" s="83" t="b">
        <v>0</v>
      </c>
      <c r="J144" s="83" t="b">
        <v>0</v>
      </c>
      <c r="K144" s="83" t="b">
        <v>0</v>
      </c>
      <c r="L144" s="83" t="b">
        <v>0</v>
      </c>
    </row>
    <row r="145" spans="1:12" ht="15">
      <c r="A145" s="84" t="s">
        <v>3485</v>
      </c>
      <c r="B145" s="83" t="s">
        <v>3550</v>
      </c>
      <c r="C145" s="83">
        <v>2</v>
      </c>
      <c r="D145" s="110">
        <v>0.0010352029728540317</v>
      </c>
      <c r="E145" s="110">
        <v>1.8584462024387116</v>
      </c>
      <c r="F145" s="83" t="s">
        <v>4145</v>
      </c>
      <c r="G145" s="83" t="b">
        <v>0</v>
      </c>
      <c r="H145" s="83" t="b">
        <v>0</v>
      </c>
      <c r="I145" s="83" t="b">
        <v>0</v>
      </c>
      <c r="J145" s="83" t="b">
        <v>0</v>
      </c>
      <c r="K145" s="83" t="b">
        <v>0</v>
      </c>
      <c r="L145" s="83" t="b">
        <v>0</v>
      </c>
    </row>
    <row r="146" spans="1:12" ht="15">
      <c r="A146" s="84" t="s">
        <v>3485</v>
      </c>
      <c r="B146" s="83" t="s">
        <v>3683</v>
      </c>
      <c r="C146" s="83">
        <v>2</v>
      </c>
      <c r="D146" s="110">
        <v>0.0010352029728540317</v>
      </c>
      <c r="E146" s="110">
        <v>2.226422987733306</v>
      </c>
      <c r="F146" s="83" t="s">
        <v>4145</v>
      </c>
      <c r="G146" s="83" t="b">
        <v>0</v>
      </c>
      <c r="H146" s="83" t="b">
        <v>0</v>
      </c>
      <c r="I146" s="83" t="b">
        <v>0</v>
      </c>
      <c r="J146" s="83" t="b">
        <v>0</v>
      </c>
      <c r="K146" s="83" t="b">
        <v>0</v>
      </c>
      <c r="L146" s="83" t="b">
        <v>0</v>
      </c>
    </row>
    <row r="147" spans="1:12" ht="15">
      <c r="A147" s="84" t="s">
        <v>3456</v>
      </c>
      <c r="B147" s="83" t="s">
        <v>3783</v>
      </c>
      <c r="C147" s="83">
        <v>2</v>
      </c>
      <c r="D147" s="110">
        <v>0.0010352029728540317</v>
      </c>
      <c r="E147" s="110">
        <v>1.470100174845335</v>
      </c>
      <c r="F147" s="83" t="s">
        <v>4145</v>
      </c>
      <c r="G147" s="83" t="b">
        <v>1</v>
      </c>
      <c r="H147" s="83" t="b">
        <v>0</v>
      </c>
      <c r="I147" s="83" t="b">
        <v>0</v>
      </c>
      <c r="J147" s="83" t="b">
        <v>0</v>
      </c>
      <c r="K147" s="83" t="b">
        <v>0</v>
      </c>
      <c r="L147" s="83" t="b">
        <v>0</v>
      </c>
    </row>
    <row r="148" spans="1:12" ht="15">
      <c r="A148" s="84" t="s">
        <v>3783</v>
      </c>
      <c r="B148" s="83" t="s">
        <v>4007</v>
      </c>
      <c r="C148" s="83">
        <v>2</v>
      </c>
      <c r="D148" s="110">
        <v>0.0010352029728540317</v>
      </c>
      <c r="E148" s="110">
        <v>3.1558419134475986</v>
      </c>
      <c r="F148" s="83" t="s">
        <v>4145</v>
      </c>
      <c r="G148" s="83" t="b">
        <v>0</v>
      </c>
      <c r="H148" s="83" t="b">
        <v>0</v>
      </c>
      <c r="I148" s="83" t="b">
        <v>0</v>
      </c>
      <c r="J148" s="83" t="b">
        <v>0</v>
      </c>
      <c r="K148" s="83" t="b">
        <v>1</v>
      </c>
      <c r="L148" s="83" t="b">
        <v>0</v>
      </c>
    </row>
    <row r="149" spans="1:12" ht="15">
      <c r="A149" s="84" t="s">
        <v>4007</v>
      </c>
      <c r="B149" s="83" t="s">
        <v>3786</v>
      </c>
      <c r="C149" s="83">
        <v>2</v>
      </c>
      <c r="D149" s="110">
        <v>0.0010352029728540317</v>
      </c>
      <c r="E149" s="110">
        <v>3.1558419134475986</v>
      </c>
      <c r="F149" s="83" t="s">
        <v>4145</v>
      </c>
      <c r="G149" s="83" t="b">
        <v>0</v>
      </c>
      <c r="H149" s="83" t="b">
        <v>1</v>
      </c>
      <c r="I149" s="83" t="b">
        <v>0</v>
      </c>
      <c r="J149" s="83" t="b">
        <v>0</v>
      </c>
      <c r="K149" s="83" t="b">
        <v>0</v>
      </c>
      <c r="L149" s="83" t="b">
        <v>0</v>
      </c>
    </row>
    <row r="150" spans="1:12" ht="15">
      <c r="A150" s="84" t="s">
        <v>3465</v>
      </c>
      <c r="B150" s="83" t="s">
        <v>3592</v>
      </c>
      <c r="C150" s="83">
        <v>2</v>
      </c>
      <c r="D150" s="110">
        <v>0.0010352029728540317</v>
      </c>
      <c r="E150" s="110">
        <v>1.6117738690973231</v>
      </c>
      <c r="F150" s="83" t="s">
        <v>4145</v>
      </c>
      <c r="G150" s="83" t="b">
        <v>1</v>
      </c>
      <c r="H150" s="83" t="b">
        <v>0</v>
      </c>
      <c r="I150" s="83" t="b">
        <v>0</v>
      </c>
      <c r="J150" s="83" t="b">
        <v>0</v>
      </c>
      <c r="K150" s="83" t="b">
        <v>0</v>
      </c>
      <c r="L150" s="83" t="b">
        <v>0</v>
      </c>
    </row>
    <row r="151" spans="1:12" ht="15">
      <c r="A151" s="84" t="s">
        <v>3460</v>
      </c>
      <c r="B151" s="83" t="s">
        <v>3525</v>
      </c>
      <c r="C151" s="83">
        <v>2</v>
      </c>
      <c r="D151" s="110">
        <v>0.0010352029728540317</v>
      </c>
      <c r="E151" s="110">
        <v>1.3646192542161963</v>
      </c>
      <c r="F151" s="83" t="s">
        <v>4145</v>
      </c>
      <c r="G151" s="83" t="b">
        <v>1</v>
      </c>
      <c r="H151" s="83" t="b">
        <v>0</v>
      </c>
      <c r="I151" s="83" t="b">
        <v>0</v>
      </c>
      <c r="J151" s="83" t="b">
        <v>0</v>
      </c>
      <c r="K151" s="83" t="b">
        <v>0</v>
      </c>
      <c r="L151" s="83" t="b">
        <v>0</v>
      </c>
    </row>
    <row r="152" spans="1:12" ht="15">
      <c r="A152" s="84" t="s">
        <v>3525</v>
      </c>
      <c r="B152" s="83" t="s">
        <v>4010</v>
      </c>
      <c r="C152" s="83">
        <v>2</v>
      </c>
      <c r="D152" s="110">
        <v>0.0010352029728540317</v>
      </c>
      <c r="E152" s="110">
        <v>2.7878651281530042</v>
      </c>
      <c r="F152" s="83" t="s">
        <v>4145</v>
      </c>
      <c r="G152" s="83" t="b">
        <v>0</v>
      </c>
      <c r="H152" s="83" t="b">
        <v>0</v>
      </c>
      <c r="I152" s="83" t="b">
        <v>0</v>
      </c>
      <c r="J152" s="83" t="b">
        <v>0</v>
      </c>
      <c r="K152" s="83" t="b">
        <v>0</v>
      </c>
      <c r="L152" s="83" t="b">
        <v>0</v>
      </c>
    </row>
    <row r="153" spans="1:12" ht="15">
      <c r="A153" s="84" t="s">
        <v>3627</v>
      </c>
      <c r="B153" s="83" t="s">
        <v>4019</v>
      </c>
      <c r="C153" s="83">
        <v>2</v>
      </c>
      <c r="D153" s="110">
        <v>0.0010352029728540317</v>
      </c>
      <c r="E153" s="110">
        <v>2.9339931638312424</v>
      </c>
      <c r="F153" s="83" t="s">
        <v>4145</v>
      </c>
      <c r="G153" s="83" t="b">
        <v>0</v>
      </c>
      <c r="H153" s="83" t="b">
        <v>0</v>
      </c>
      <c r="I153" s="83" t="b">
        <v>0</v>
      </c>
      <c r="J153" s="83" t="b">
        <v>0</v>
      </c>
      <c r="K153" s="83" t="b">
        <v>0</v>
      </c>
      <c r="L153" s="83" t="b">
        <v>0</v>
      </c>
    </row>
    <row r="154" spans="1:12" ht="15">
      <c r="A154" s="84" t="s">
        <v>3525</v>
      </c>
      <c r="B154" s="83" t="s">
        <v>3460</v>
      </c>
      <c r="C154" s="83">
        <v>2</v>
      </c>
      <c r="D154" s="110">
        <v>0.0010352029728540317</v>
      </c>
      <c r="E154" s="110">
        <v>1.4261372921354114</v>
      </c>
      <c r="F154" s="83" t="s">
        <v>4145</v>
      </c>
      <c r="G154" s="83" t="b">
        <v>0</v>
      </c>
      <c r="H154" s="83" t="b">
        <v>0</v>
      </c>
      <c r="I154" s="83" t="b">
        <v>0</v>
      </c>
      <c r="J154" s="83" t="b">
        <v>1</v>
      </c>
      <c r="K154" s="83" t="b">
        <v>0</v>
      </c>
      <c r="L154" s="83" t="b">
        <v>0</v>
      </c>
    </row>
    <row r="155" spans="1:12" ht="15">
      <c r="A155" s="84" t="s">
        <v>3655</v>
      </c>
      <c r="B155" s="83" t="s">
        <v>4030</v>
      </c>
      <c r="C155" s="83">
        <v>2</v>
      </c>
      <c r="D155" s="110">
        <v>0.0011543048504658938</v>
      </c>
      <c r="E155" s="110">
        <v>3.0309031768392987</v>
      </c>
      <c r="F155" s="83" t="s">
        <v>4145</v>
      </c>
      <c r="G155" s="83" t="b">
        <v>0</v>
      </c>
      <c r="H155" s="83" t="b">
        <v>0</v>
      </c>
      <c r="I155" s="83" t="b">
        <v>0</v>
      </c>
      <c r="J155" s="83" t="b">
        <v>0</v>
      </c>
      <c r="K155" s="83" t="b">
        <v>0</v>
      </c>
      <c r="L155" s="83" t="b">
        <v>0</v>
      </c>
    </row>
    <row r="156" spans="1:12" ht="15">
      <c r="A156" s="84" t="s">
        <v>3466</v>
      </c>
      <c r="B156" s="83" t="s">
        <v>3458</v>
      </c>
      <c r="C156" s="83">
        <v>2</v>
      </c>
      <c r="D156" s="110">
        <v>0.0010352029728540317</v>
      </c>
      <c r="E156" s="110">
        <v>0.8039812141593381</v>
      </c>
      <c r="F156" s="83" t="s">
        <v>4145</v>
      </c>
      <c r="G156" s="83" t="b">
        <v>0</v>
      </c>
      <c r="H156" s="83" t="b">
        <v>0</v>
      </c>
      <c r="I156" s="83" t="b">
        <v>0</v>
      </c>
      <c r="J156" s="83" t="b">
        <v>0</v>
      </c>
      <c r="K156" s="83" t="b">
        <v>0</v>
      </c>
      <c r="L156" s="83" t="b">
        <v>0</v>
      </c>
    </row>
    <row r="157" spans="1:12" ht="15">
      <c r="A157" s="84" t="s">
        <v>3539</v>
      </c>
      <c r="B157" s="83" t="s">
        <v>3460</v>
      </c>
      <c r="C157" s="83">
        <v>2</v>
      </c>
      <c r="D157" s="110">
        <v>0.0010352029728540317</v>
      </c>
      <c r="E157" s="110">
        <v>1.4261372921354114</v>
      </c>
      <c r="F157" s="83" t="s">
        <v>4145</v>
      </c>
      <c r="G157" s="83" t="b">
        <v>0</v>
      </c>
      <c r="H157" s="83" t="b">
        <v>0</v>
      </c>
      <c r="I157" s="83" t="b">
        <v>0</v>
      </c>
      <c r="J157" s="83" t="b">
        <v>1</v>
      </c>
      <c r="K157" s="83" t="b">
        <v>0</v>
      </c>
      <c r="L157" s="83" t="b">
        <v>0</v>
      </c>
    </row>
    <row r="158" spans="1:12" ht="15">
      <c r="A158" s="84" t="s">
        <v>3464</v>
      </c>
      <c r="B158" s="83" t="s">
        <v>3483</v>
      </c>
      <c r="C158" s="83">
        <v>2</v>
      </c>
      <c r="D158" s="110">
        <v>0.0010352029728540317</v>
      </c>
      <c r="E158" s="110">
        <v>1.1105189346609414</v>
      </c>
      <c r="F158" s="83" t="s">
        <v>4145</v>
      </c>
      <c r="G158" s="83" t="b">
        <v>1</v>
      </c>
      <c r="H158" s="83" t="b">
        <v>0</v>
      </c>
      <c r="I158" s="83" t="b">
        <v>0</v>
      </c>
      <c r="J158" s="83" t="b">
        <v>0</v>
      </c>
      <c r="K158" s="83" t="b">
        <v>0</v>
      </c>
      <c r="L158" s="83" t="b">
        <v>0</v>
      </c>
    </row>
    <row r="159" spans="1:12" ht="15">
      <c r="A159" s="84" t="s">
        <v>3464</v>
      </c>
      <c r="B159" s="83" t="s">
        <v>3462</v>
      </c>
      <c r="C159" s="83">
        <v>2</v>
      </c>
      <c r="D159" s="110">
        <v>0.0010352029728540317</v>
      </c>
      <c r="E159" s="110">
        <v>0.6668214354282285</v>
      </c>
      <c r="F159" s="83" t="s">
        <v>4145</v>
      </c>
      <c r="G159" s="83" t="b">
        <v>1</v>
      </c>
      <c r="H159" s="83" t="b">
        <v>0</v>
      </c>
      <c r="I159" s="83" t="b">
        <v>0</v>
      </c>
      <c r="J159" s="83" t="b">
        <v>0</v>
      </c>
      <c r="K159" s="83" t="b">
        <v>0</v>
      </c>
      <c r="L159" s="83" t="b">
        <v>0</v>
      </c>
    </row>
    <row r="160" spans="1:12" ht="15">
      <c r="A160" s="84" t="s">
        <v>3459</v>
      </c>
      <c r="B160" s="83" t="s">
        <v>3474</v>
      </c>
      <c r="C160" s="83">
        <v>2</v>
      </c>
      <c r="D160" s="110">
        <v>0.0010352029728540317</v>
      </c>
      <c r="E160" s="110">
        <v>0.806240647998269</v>
      </c>
      <c r="F160" s="83" t="s">
        <v>4145</v>
      </c>
      <c r="G160" s="83" t="b">
        <v>0</v>
      </c>
      <c r="H160" s="83" t="b">
        <v>0</v>
      </c>
      <c r="I160" s="83" t="b">
        <v>0</v>
      </c>
      <c r="J160" s="83" t="b">
        <v>0</v>
      </c>
      <c r="K160" s="83" t="b">
        <v>0</v>
      </c>
      <c r="L160" s="83" t="b">
        <v>0</v>
      </c>
    </row>
    <row r="161" spans="1:12" ht="15">
      <c r="A161" s="84" t="s">
        <v>3469</v>
      </c>
      <c r="B161" s="83" t="s">
        <v>3464</v>
      </c>
      <c r="C161" s="83">
        <v>2</v>
      </c>
      <c r="D161" s="110">
        <v>0.0010352029728540317</v>
      </c>
      <c r="E161" s="110">
        <v>1.0537513879357618</v>
      </c>
      <c r="F161" s="83" t="s">
        <v>4145</v>
      </c>
      <c r="G161" s="83" t="b">
        <v>1</v>
      </c>
      <c r="H161" s="83" t="b">
        <v>0</v>
      </c>
      <c r="I161" s="83" t="b">
        <v>0</v>
      </c>
      <c r="J161" s="83" t="b">
        <v>1</v>
      </c>
      <c r="K161" s="83" t="b">
        <v>0</v>
      </c>
      <c r="L161" s="83" t="b">
        <v>0</v>
      </c>
    </row>
    <row r="162" spans="1:12" ht="15">
      <c r="A162" s="84" t="s">
        <v>3568</v>
      </c>
      <c r="B162" s="83" t="s">
        <v>3802</v>
      </c>
      <c r="C162" s="83">
        <v>2</v>
      </c>
      <c r="D162" s="110">
        <v>0.0010352029728540317</v>
      </c>
      <c r="E162" s="110">
        <v>2.9339931638312424</v>
      </c>
      <c r="F162" s="83" t="s">
        <v>4145</v>
      </c>
      <c r="G162" s="83" t="b">
        <v>0</v>
      </c>
      <c r="H162" s="83" t="b">
        <v>0</v>
      </c>
      <c r="I162" s="83" t="b">
        <v>0</v>
      </c>
      <c r="J162" s="83" t="b">
        <v>0</v>
      </c>
      <c r="K162" s="83" t="b">
        <v>0</v>
      </c>
      <c r="L162" s="83" t="b">
        <v>0</v>
      </c>
    </row>
    <row r="163" spans="1:12" ht="15">
      <c r="A163" s="84" t="s">
        <v>3457</v>
      </c>
      <c r="B163" s="83" t="s">
        <v>3472</v>
      </c>
      <c r="C163" s="83">
        <v>2</v>
      </c>
      <c r="D163" s="110">
        <v>0.0010352029728540317</v>
      </c>
      <c r="E163" s="110">
        <v>0.6455203632314598</v>
      </c>
      <c r="F163" s="83" t="s">
        <v>4145</v>
      </c>
      <c r="G163" s="83" t="b">
        <v>1</v>
      </c>
      <c r="H163" s="83" t="b">
        <v>0</v>
      </c>
      <c r="I163" s="83" t="b">
        <v>0</v>
      </c>
      <c r="J163" s="83" t="b">
        <v>0</v>
      </c>
      <c r="K163" s="83" t="b">
        <v>0</v>
      </c>
      <c r="L163" s="83" t="b">
        <v>0</v>
      </c>
    </row>
    <row r="164" spans="1:12" ht="15">
      <c r="A164" s="84" t="s">
        <v>3459</v>
      </c>
      <c r="B164" s="83" t="s">
        <v>3461</v>
      </c>
      <c r="C164" s="83">
        <v>2</v>
      </c>
      <c r="D164" s="110">
        <v>0.0010352029728540317</v>
      </c>
      <c r="E164" s="110">
        <v>0.6435133505005693</v>
      </c>
      <c r="F164" s="83" t="s">
        <v>4145</v>
      </c>
      <c r="G164" s="83" t="b">
        <v>0</v>
      </c>
      <c r="H164" s="83" t="b">
        <v>0</v>
      </c>
      <c r="I164" s="83" t="b">
        <v>0</v>
      </c>
      <c r="J164" s="83" t="b">
        <v>1</v>
      </c>
      <c r="K164" s="83" t="b">
        <v>0</v>
      </c>
      <c r="L164" s="83" t="b">
        <v>0</v>
      </c>
    </row>
    <row r="165" spans="1:12" ht="15">
      <c r="A165" s="84" t="s">
        <v>3482</v>
      </c>
      <c r="B165" s="83" t="s">
        <v>3547</v>
      </c>
      <c r="C165" s="83">
        <v>2</v>
      </c>
      <c r="D165" s="110">
        <v>0.0010352029728540317</v>
      </c>
      <c r="E165" s="110">
        <v>1.8101415228641566</v>
      </c>
      <c r="F165" s="83" t="s">
        <v>4145</v>
      </c>
      <c r="G165" s="83" t="b">
        <v>0</v>
      </c>
      <c r="H165" s="83" t="b">
        <v>0</v>
      </c>
      <c r="I165" s="83" t="b">
        <v>0</v>
      </c>
      <c r="J165" s="83" t="b">
        <v>1</v>
      </c>
      <c r="K165" s="83" t="b">
        <v>0</v>
      </c>
      <c r="L165" s="83" t="b">
        <v>0</v>
      </c>
    </row>
    <row r="166" spans="1:12" ht="15">
      <c r="A166" s="84" t="s">
        <v>3457</v>
      </c>
      <c r="B166" s="83" t="s">
        <v>3554</v>
      </c>
      <c r="C166" s="83">
        <v>2</v>
      </c>
      <c r="D166" s="110">
        <v>0.0010352029728540317</v>
      </c>
      <c r="E166" s="110">
        <v>1.262820321116159</v>
      </c>
      <c r="F166" s="83" t="s">
        <v>4145</v>
      </c>
      <c r="G166" s="83" t="b">
        <v>1</v>
      </c>
      <c r="H166" s="83" t="b">
        <v>0</v>
      </c>
      <c r="I166" s="83" t="b">
        <v>0</v>
      </c>
      <c r="J166" s="83" t="b">
        <v>0</v>
      </c>
      <c r="K166" s="83" t="b">
        <v>0</v>
      </c>
      <c r="L166" s="83" t="b">
        <v>0</v>
      </c>
    </row>
    <row r="167" spans="1:12" ht="15">
      <c r="A167" s="84" t="s">
        <v>3486</v>
      </c>
      <c r="B167" s="83" t="s">
        <v>3476</v>
      </c>
      <c r="C167" s="83">
        <v>2</v>
      </c>
      <c r="D167" s="110">
        <v>0.0010352029728540317</v>
      </c>
      <c r="E167" s="110">
        <v>1.4978305167904862</v>
      </c>
      <c r="F167" s="83" t="s">
        <v>4145</v>
      </c>
      <c r="G167" s="83" t="b">
        <v>1</v>
      </c>
      <c r="H167" s="83" t="b">
        <v>0</v>
      </c>
      <c r="I167" s="83" t="b">
        <v>0</v>
      </c>
      <c r="J167" s="83" t="b">
        <v>0</v>
      </c>
      <c r="K167" s="83" t="b">
        <v>0</v>
      </c>
      <c r="L167" s="83" t="b">
        <v>0</v>
      </c>
    </row>
    <row r="168" spans="1:12" ht="15">
      <c r="A168" s="84" t="s">
        <v>3456</v>
      </c>
      <c r="B168" s="83" t="s">
        <v>3473</v>
      </c>
      <c r="C168" s="83">
        <v>2</v>
      </c>
      <c r="D168" s="110">
        <v>0.0010352029728540317</v>
      </c>
      <c r="E168" s="110">
        <v>0.6919489244616914</v>
      </c>
      <c r="F168" s="83" t="s">
        <v>4145</v>
      </c>
      <c r="G168" s="83" t="b">
        <v>1</v>
      </c>
      <c r="H168" s="83" t="b">
        <v>0</v>
      </c>
      <c r="I168" s="83" t="b">
        <v>0</v>
      </c>
      <c r="J168" s="83" t="b">
        <v>0</v>
      </c>
      <c r="K168" s="83" t="b">
        <v>0</v>
      </c>
      <c r="L168" s="83" t="b">
        <v>0</v>
      </c>
    </row>
    <row r="169" spans="1:12" ht="15">
      <c r="A169" s="84" t="s">
        <v>3456</v>
      </c>
      <c r="B169" s="83" t="s">
        <v>4053</v>
      </c>
      <c r="C169" s="83">
        <v>2</v>
      </c>
      <c r="D169" s="110">
        <v>0.0010352029728540317</v>
      </c>
      <c r="E169" s="110">
        <v>1.6461914339010162</v>
      </c>
      <c r="F169" s="83" t="s">
        <v>4145</v>
      </c>
      <c r="G169" s="83" t="b">
        <v>1</v>
      </c>
      <c r="H169" s="83" t="b">
        <v>0</v>
      </c>
      <c r="I169" s="83" t="b">
        <v>0</v>
      </c>
      <c r="J169" s="83" t="b">
        <v>0</v>
      </c>
      <c r="K169" s="83" t="b">
        <v>0</v>
      </c>
      <c r="L169" s="83" t="b">
        <v>0</v>
      </c>
    </row>
    <row r="170" spans="1:12" ht="15">
      <c r="A170" s="84" t="s">
        <v>4053</v>
      </c>
      <c r="B170" s="83" t="s">
        <v>3692</v>
      </c>
      <c r="C170" s="83">
        <v>2</v>
      </c>
      <c r="D170" s="110">
        <v>0.0010352029728540317</v>
      </c>
      <c r="E170" s="110">
        <v>3.1558419134475986</v>
      </c>
      <c r="F170" s="83" t="s">
        <v>4145</v>
      </c>
      <c r="G170" s="83" t="b">
        <v>0</v>
      </c>
      <c r="H170" s="83" t="b">
        <v>0</v>
      </c>
      <c r="I170" s="83" t="b">
        <v>0</v>
      </c>
      <c r="J170" s="83" t="b">
        <v>0</v>
      </c>
      <c r="K170" s="83" t="b">
        <v>0</v>
      </c>
      <c r="L170" s="83" t="b">
        <v>0</v>
      </c>
    </row>
    <row r="171" spans="1:12" ht="15">
      <c r="A171" s="84" t="s">
        <v>3692</v>
      </c>
      <c r="B171" s="83" t="s">
        <v>3524</v>
      </c>
      <c r="C171" s="83">
        <v>2</v>
      </c>
      <c r="D171" s="110">
        <v>0.0010352029728540317</v>
      </c>
      <c r="E171" s="110">
        <v>2.502629399672255</v>
      </c>
      <c r="F171" s="83" t="s">
        <v>4145</v>
      </c>
      <c r="G171" s="83" t="b">
        <v>0</v>
      </c>
      <c r="H171" s="83" t="b">
        <v>0</v>
      </c>
      <c r="I171" s="83" t="b">
        <v>0</v>
      </c>
      <c r="J171" s="83" t="b">
        <v>0</v>
      </c>
      <c r="K171" s="83" t="b">
        <v>0</v>
      </c>
      <c r="L171" s="83" t="b">
        <v>0</v>
      </c>
    </row>
    <row r="172" spans="1:12" ht="15">
      <c r="A172" s="84" t="s">
        <v>3524</v>
      </c>
      <c r="B172" s="83" t="s">
        <v>3811</v>
      </c>
      <c r="C172" s="83">
        <v>2</v>
      </c>
      <c r="D172" s="110">
        <v>0.0010352029728540317</v>
      </c>
      <c r="E172" s="110">
        <v>2.6787206587279364</v>
      </c>
      <c r="F172" s="83" t="s">
        <v>4145</v>
      </c>
      <c r="G172" s="83" t="b">
        <v>0</v>
      </c>
      <c r="H172" s="83" t="b">
        <v>0</v>
      </c>
      <c r="I172" s="83" t="b">
        <v>0</v>
      </c>
      <c r="J172" s="83" t="b">
        <v>0</v>
      </c>
      <c r="K172" s="83" t="b">
        <v>0</v>
      </c>
      <c r="L172" s="83" t="b">
        <v>0</v>
      </c>
    </row>
    <row r="173" spans="1:12" ht="15">
      <c r="A173" s="84" t="s">
        <v>3811</v>
      </c>
      <c r="B173" s="83" t="s">
        <v>4054</v>
      </c>
      <c r="C173" s="83">
        <v>2</v>
      </c>
      <c r="D173" s="110">
        <v>0.0010352029728540317</v>
      </c>
      <c r="E173" s="110">
        <v>3.1558419134475986</v>
      </c>
      <c r="F173" s="83" t="s">
        <v>4145</v>
      </c>
      <c r="G173" s="83" t="b">
        <v>0</v>
      </c>
      <c r="H173" s="83" t="b">
        <v>0</v>
      </c>
      <c r="I173" s="83" t="b">
        <v>0</v>
      </c>
      <c r="J173" s="83" t="b">
        <v>0</v>
      </c>
      <c r="K173" s="83" t="b">
        <v>0</v>
      </c>
      <c r="L173" s="83" t="b">
        <v>0</v>
      </c>
    </row>
    <row r="174" spans="1:12" ht="15">
      <c r="A174" s="84" t="s">
        <v>4054</v>
      </c>
      <c r="B174" s="83" t="s">
        <v>3681</v>
      </c>
      <c r="C174" s="83">
        <v>2</v>
      </c>
      <c r="D174" s="110">
        <v>0.0010352029728540317</v>
      </c>
      <c r="E174" s="110">
        <v>3.1558419134475986</v>
      </c>
      <c r="F174" s="83" t="s">
        <v>4145</v>
      </c>
      <c r="G174" s="83" t="b">
        <v>0</v>
      </c>
      <c r="H174" s="83" t="b">
        <v>0</v>
      </c>
      <c r="I174" s="83" t="b">
        <v>0</v>
      </c>
      <c r="J174" s="83" t="b">
        <v>0</v>
      </c>
      <c r="K174" s="83" t="b">
        <v>0</v>
      </c>
      <c r="L174" s="83" t="b">
        <v>0</v>
      </c>
    </row>
    <row r="175" spans="1:12" ht="15">
      <c r="A175" s="84" t="s">
        <v>3681</v>
      </c>
      <c r="B175" s="83" t="s">
        <v>4055</v>
      </c>
      <c r="C175" s="83">
        <v>2</v>
      </c>
      <c r="D175" s="110">
        <v>0.0010352029728540317</v>
      </c>
      <c r="E175" s="110">
        <v>3.0309031768392987</v>
      </c>
      <c r="F175" s="83" t="s">
        <v>4145</v>
      </c>
      <c r="G175" s="83" t="b">
        <v>0</v>
      </c>
      <c r="H175" s="83" t="b">
        <v>0</v>
      </c>
      <c r="I175" s="83" t="b">
        <v>0</v>
      </c>
      <c r="J175" s="83" t="b">
        <v>0</v>
      </c>
      <c r="K175" s="83" t="b">
        <v>0</v>
      </c>
      <c r="L175" s="83" t="b">
        <v>0</v>
      </c>
    </row>
    <row r="176" spans="1:12" ht="15">
      <c r="A176" s="84" t="s">
        <v>4055</v>
      </c>
      <c r="B176" s="83" t="s">
        <v>3768</v>
      </c>
      <c r="C176" s="83">
        <v>2</v>
      </c>
      <c r="D176" s="110">
        <v>0.0010352029728540317</v>
      </c>
      <c r="E176" s="110">
        <v>3.1558419134475986</v>
      </c>
      <c r="F176" s="83" t="s">
        <v>4145</v>
      </c>
      <c r="G176" s="83" t="b">
        <v>0</v>
      </c>
      <c r="H176" s="83" t="b">
        <v>0</v>
      </c>
      <c r="I176" s="83" t="b">
        <v>0</v>
      </c>
      <c r="J176" s="83" t="b">
        <v>0</v>
      </c>
      <c r="K176" s="83" t="b">
        <v>0</v>
      </c>
      <c r="L176" s="83" t="b">
        <v>0</v>
      </c>
    </row>
    <row r="177" spans="1:12" ht="15">
      <c r="A177" s="84" t="s">
        <v>3768</v>
      </c>
      <c r="B177" s="83" t="s">
        <v>3462</v>
      </c>
      <c r="C177" s="83">
        <v>2</v>
      </c>
      <c r="D177" s="110">
        <v>0.0010352029728540317</v>
      </c>
      <c r="E177" s="110">
        <v>1.757901904775561</v>
      </c>
      <c r="F177" s="83" t="s">
        <v>4145</v>
      </c>
      <c r="G177" s="83" t="b">
        <v>0</v>
      </c>
      <c r="H177" s="83" t="b">
        <v>0</v>
      </c>
      <c r="I177" s="83" t="b">
        <v>0</v>
      </c>
      <c r="J177" s="83" t="b">
        <v>0</v>
      </c>
      <c r="K177" s="83" t="b">
        <v>0</v>
      </c>
      <c r="L177" s="83" t="b">
        <v>0</v>
      </c>
    </row>
    <row r="178" spans="1:12" ht="15">
      <c r="A178" s="84" t="s">
        <v>3462</v>
      </c>
      <c r="B178" s="83" t="s">
        <v>3483</v>
      </c>
      <c r="C178" s="83">
        <v>2</v>
      </c>
      <c r="D178" s="110">
        <v>0.0010352029728540317</v>
      </c>
      <c r="E178" s="110">
        <v>0.9383579692336924</v>
      </c>
      <c r="F178" s="83" t="s">
        <v>4145</v>
      </c>
      <c r="G178" s="83" t="b">
        <v>0</v>
      </c>
      <c r="H178" s="83" t="b">
        <v>0</v>
      </c>
      <c r="I178" s="83" t="b">
        <v>0</v>
      </c>
      <c r="J178" s="83" t="b">
        <v>0</v>
      </c>
      <c r="K178" s="83" t="b">
        <v>0</v>
      </c>
      <c r="L178" s="83" t="b">
        <v>0</v>
      </c>
    </row>
    <row r="179" spans="1:12" ht="15">
      <c r="A179" s="84" t="s">
        <v>3483</v>
      </c>
      <c r="B179" s="83" t="s">
        <v>3680</v>
      </c>
      <c r="C179" s="83">
        <v>2</v>
      </c>
      <c r="D179" s="110">
        <v>0.0010352029728540317</v>
      </c>
      <c r="E179" s="110">
        <v>2.1558419134475986</v>
      </c>
      <c r="F179" s="83" t="s">
        <v>4145</v>
      </c>
      <c r="G179" s="83" t="b">
        <v>0</v>
      </c>
      <c r="H179" s="83" t="b">
        <v>0</v>
      </c>
      <c r="I179" s="83" t="b">
        <v>0</v>
      </c>
      <c r="J179" s="83" t="b">
        <v>0</v>
      </c>
      <c r="K179" s="83" t="b">
        <v>0</v>
      </c>
      <c r="L179" s="83" t="b">
        <v>0</v>
      </c>
    </row>
    <row r="180" spans="1:12" ht="15">
      <c r="A180" s="84" t="s">
        <v>3680</v>
      </c>
      <c r="B180" s="83" t="s">
        <v>4056</v>
      </c>
      <c r="C180" s="83">
        <v>2</v>
      </c>
      <c r="D180" s="110">
        <v>0.0010352029728540317</v>
      </c>
      <c r="E180" s="110">
        <v>3.0309031768392987</v>
      </c>
      <c r="F180" s="83" t="s">
        <v>4145</v>
      </c>
      <c r="G180" s="83" t="b">
        <v>0</v>
      </c>
      <c r="H180" s="83" t="b">
        <v>0</v>
      </c>
      <c r="I180" s="83" t="b">
        <v>0</v>
      </c>
      <c r="J180" s="83" t="b">
        <v>0</v>
      </c>
      <c r="K180" s="83" t="b">
        <v>0</v>
      </c>
      <c r="L180" s="83" t="b">
        <v>0</v>
      </c>
    </row>
    <row r="181" spans="1:12" ht="15">
      <c r="A181" s="84" t="s">
        <v>4056</v>
      </c>
      <c r="B181" s="83" t="s">
        <v>3617</v>
      </c>
      <c r="C181" s="83">
        <v>2</v>
      </c>
      <c r="D181" s="110">
        <v>0.0010352029728540317</v>
      </c>
      <c r="E181" s="110">
        <v>2.9339931638312424</v>
      </c>
      <c r="F181" s="83" t="s">
        <v>4145</v>
      </c>
      <c r="G181" s="83" t="b">
        <v>0</v>
      </c>
      <c r="H181" s="83" t="b">
        <v>0</v>
      </c>
      <c r="I181" s="83" t="b">
        <v>0</v>
      </c>
      <c r="J181" s="83" t="b">
        <v>0</v>
      </c>
      <c r="K181" s="83" t="b">
        <v>0</v>
      </c>
      <c r="L181" s="83" t="b">
        <v>0</v>
      </c>
    </row>
    <row r="182" spans="1:12" ht="15">
      <c r="A182" s="84" t="s">
        <v>3493</v>
      </c>
      <c r="B182" s="83" t="s">
        <v>4059</v>
      </c>
      <c r="C182" s="83">
        <v>2</v>
      </c>
      <c r="D182" s="110">
        <v>0.0010352029728540317</v>
      </c>
      <c r="E182" s="110">
        <v>2.486835132489023</v>
      </c>
      <c r="F182" s="83" t="s">
        <v>4145</v>
      </c>
      <c r="G182" s="83" t="b">
        <v>0</v>
      </c>
      <c r="H182" s="83" t="b">
        <v>0</v>
      </c>
      <c r="I182" s="83" t="b">
        <v>0</v>
      </c>
      <c r="J182" s="83" t="b">
        <v>0</v>
      </c>
      <c r="K182" s="83" t="b">
        <v>0</v>
      </c>
      <c r="L182" s="83" t="b">
        <v>0</v>
      </c>
    </row>
    <row r="183" spans="1:12" ht="15">
      <c r="A183" s="84" t="s">
        <v>3815</v>
      </c>
      <c r="B183" s="83" t="s">
        <v>4064</v>
      </c>
      <c r="C183" s="83">
        <v>2</v>
      </c>
      <c r="D183" s="110">
        <v>0.0010352029728540317</v>
      </c>
      <c r="E183" s="110">
        <v>3.33193317250328</v>
      </c>
      <c r="F183" s="83" t="s">
        <v>4145</v>
      </c>
      <c r="G183" s="83" t="b">
        <v>0</v>
      </c>
      <c r="H183" s="83" t="b">
        <v>0</v>
      </c>
      <c r="I183" s="83" t="b">
        <v>0</v>
      </c>
      <c r="J183" s="83" t="b">
        <v>0</v>
      </c>
      <c r="K183" s="83" t="b">
        <v>0</v>
      </c>
      <c r="L183" s="83" t="b">
        <v>0</v>
      </c>
    </row>
    <row r="184" spans="1:12" ht="15">
      <c r="A184" s="84" t="s">
        <v>3570</v>
      </c>
      <c r="B184" s="83" t="s">
        <v>3514</v>
      </c>
      <c r="C184" s="83">
        <v>2</v>
      </c>
      <c r="D184" s="110">
        <v>0.0010352029728540317</v>
      </c>
      <c r="E184" s="110">
        <v>2.2527519264556553</v>
      </c>
      <c r="F184" s="83" t="s">
        <v>4145</v>
      </c>
      <c r="G184" s="83" t="b">
        <v>0</v>
      </c>
      <c r="H184" s="83" t="b">
        <v>0</v>
      </c>
      <c r="I184" s="83" t="b">
        <v>0</v>
      </c>
      <c r="J184" s="83" t="b">
        <v>1</v>
      </c>
      <c r="K184" s="83" t="b">
        <v>0</v>
      </c>
      <c r="L184" s="83" t="b">
        <v>0</v>
      </c>
    </row>
    <row r="185" spans="1:12" ht="15">
      <c r="A185" s="84" t="s">
        <v>3493</v>
      </c>
      <c r="B185" s="83" t="s">
        <v>3456</v>
      </c>
      <c r="C185" s="83">
        <v>2</v>
      </c>
      <c r="D185" s="110">
        <v>0.0010352029728540317</v>
      </c>
      <c r="E185" s="110">
        <v>0.9305326317217358</v>
      </c>
      <c r="F185" s="83" t="s">
        <v>4145</v>
      </c>
      <c r="G185" s="83" t="b">
        <v>0</v>
      </c>
      <c r="H185" s="83" t="b">
        <v>0</v>
      </c>
      <c r="I185" s="83" t="b">
        <v>0</v>
      </c>
      <c r="J185" s="83" t="b">
        <v>1</v>
      </c>
      <c r="K185" s="83" t="b">
        <v>0</v>
      </c>
      <c r="L185" s="83" t="b">
        <v>0</v>
      </c>
    </row>
    <row r="186" spans="1:12" ht="15">
      <c r="A186" s="84" t="s">
        <v>3456</v>
      </c>
      <c r="B186" s="83" t="s">
        <v>3496</v>
      </c>
      <c r="C186" s="83">
        <v>2</v>
      </c>
      <c r="D186" s="110">
        <v>0.0010352029728540317</v>
      </c>
      <c r="E186" s="110">
        <v>0.8010933938867595</v>
      </c>
      <c r="F186" s="83" t="s">
        <v>4145</v>
      </c>
      <c r="G186" s="83" t="b">
        <v>1</v>
      </c>
      <c r="H186" s="83" t="b">
        <v>0</v>
      </c>
      <c r="I186" s="83" t="b">
        <v>0</v>
      </c>
      <c r="J186" s="83" t="b">
        <v>0</v>
      </c>
      <c r="K186" s="83" t="b">
        <v>0</v>
      </c>
      <c r="L186" s="83" t="b">
        <v>0</v>
      </c>
    </row>
    <row r="187" spans="1:12" ht="15">
      <c r="A187" s="84" t="s">
        <v>3457</v>
      </c>
      <c r="B187" s="83" t="s">
        <v>3502</v>
      </c>
      <c r="C187" s="83">
        <v>2</v>
      </c>
      <c r="D187" s="110">
        <v>0.0010352029728540317</v>
      </c>
      <c r="E187" s="110">
        <v>0.993975008823579</v>
      </c>
      <c r="F187" s="83" t="s">
        <v>4145</v>
      </c>
      <c r="G187" s="83" t="b">
        <v>1</v>
      </c>
      <c r="H187" s="83" t="b">
        <v>0</v>
      </c>
      <c r="I187" s="83" t="b">
        <v>0</v>
      </c>
      <c r="J187" s="83" t="b">
        <v>0</v>
      </c>
      <c r="K187" s="83" t="b">
        <v>0</v>
      </c>
      <c r="L187" s="83" t="b">
        <v>0</v>
      </c>
    </row>
    <row r="188" spans="1:12" ht="15">
      <c r="A188" s="84" t="s">
        <v>3502</v>
      </c>
      <c r="B188" s="83" t="s">
        <v>3456</v>
      </c>
      <c r="C188" s="83">
        <v>2</v>
      </c>
      <c r="D188" s="110">
        <v>0.0010352029728540317</v>
      </c>
      <c r="E188" s="110">
        <v>1.0352679822417488</v>
      </c>
      <c r="F188" s="83" t="s">
        <v>4145</v>
      </c>
      <c r="G188" s="83" t="b">
        <v>0</v>
      </c>
      <c r="H188" s="83" t="b">
        <v>0</v>
      </c>
      <c r="I188" s="83" t="b">
        <v>0</v>
      </c>
      <c r="J188" s="83" t="b">
        <v>1</v>
      </c>
      <c r="K188" s="83" t="b">
        <v>0</v>
      </c>
      <c r="L188" s="83" t="b">
        <v>0</v>
      </c>
    </row>
    <row r="189" spans="1:12" ht="15">
      <c r="A189" s="84" t="s">
        <v>3495</v>
      </c>
      <c r="B189" s="83" t="s">
        <v>3464</v>
      </c>
      <c r="C189" s="83">
        <v>2</v>
      </c>
      <c r="D189" s="110">
        <v>0.0010352029728540317</v>
      </c>
      <c r="E189" s="110">
        <v>1.5722653278136494</v>
      </c>
      <c r="F189" s="83" t="s">
        <v>4145</v>
      </c>
      <c r="G189" s="83" t="b">
        <v>0</v>
      </c>
      <c r="H189" s="83" t="b">
        <v>0</v>
      </c>
      <c r="I189" s="83" t="b">
        <v>0</v>
      </c>
      <c r="J189" s="83" t="b">
        <v>1</v>
      </c>
      <c r="K189" s="83" t="b">
        <v>0</v>
      </c>
      <c r="L189" s="83" t="b">
        <v>0</v>
      </c>
    </row>
    <row r="190" spans="1:12" ht="15">
      <c r="A190" s="84" t="s">
        <v>3473</v>
      </c>
      <c r="B190" s="83" t="s">
        <v>3471</v>
      </c>
      <c r="C190" s="83">
        <v>2</v>
      </c>
      <c r="D190" s="110">
        <v>0.0010352029728540317</v>
      </c>
      <c r="E190" s="110">
        <v>1.106623890777417</v>
      </c>
      <c r="F190" s="83" t="s">
        <v>4145</v>
      </c>
      <c r="G190" s="83" t="b">
        <v>0</v>
      </c>
      <c r="H190" s="83" t="b">
        <v>0</v>
      </c>
      <c r="I190" s="83" t="b">
        <v>0</v>
      </c>
      <c r="J190" s="83" t="b">
        <v>1</v>
      </c>
      <c r="K190" s="83" t="b">
        <v>0</v>
      </c>
      <c r="L190" s="83" t="b">
        <v>0</v>
      </c>
    </row>
    <row r="191" spans="1:12" ht="15">
      <c r="A191" s="84" t="s">
        <v>3526</v>
      </c>
      <c r="B191" s="83" t="s">
        <v>3458</v>
      </c>
      <c r="C191" s="83">
        <v>2</v>
      </c>
      <c r="D191" s="110">
        <v>0.0010352029728540317</v>
      </c>
      <c r="E191" s="110">
        <v>1.3045835647285233</v>
      </c>
      <c r="F191" s="83" t="s">
        <v>4145</v>
      </c>
      <c r="G191" s="83" t="b">
        <v>0</v>
      </c>
      <c r="H191" s="83" t="b">
        <v>0</v>
      </c>
      <c r="I191" s="83" t="b">
        <v>0</v>
      </c>
      <c r="J191" s="83" t="b">
        <v>0</v>
      </c>
      <c r="K191" s="83" t="b">
        <v>0</v>
      </c>
      <c r="L191" s="83" t="b">
        <v>0</v>
      </c>
    </row>
    <row r="192" spans="1:12" ht="15">
      <c r="A192" s="84" t="s">
        <v>3796</v>
      </c>
      <c r="B192" s="83" t="s">
        <v>3460</v>
      </c>
      <c r="C192" s="83">
        <v>2</v>
      </c>
      <c r="D192" s="110">
        <v>0.0010352029728540317</v>
      </c>
      <c r="E192" s="110">
        <v>1.7941140774300057</v>
      </c>
      <c r="F192" s="83" t="s">
        <v>4145</v>
      </c>
      <c r="G192" s="83" t="b">
        <v>0</v>
      </c>
      <c r="H192" s="83" t="b">
        <v>0</v>
      </c>
      <c r="I192" s="83" t="b">
        <v>0</v>
      </c>
      <c r="J192" s="83" t="b">
        <v>1</v>
      </c>
      <c r="K192" s="83" t="b">
        <v>0</v>
      </c>
      <c r="L192" s="83" t="b">
        <v>0</v>
      </c>
    </row>
    <row r="193" spans="1:12" ht="15">
      <c r="A193" s="84" t="s">
        <v>3460</v>
      </c>
      <c r="B193" s="83" t="s">
        <v>3527</v>
      </c>
      <c r="C193" s="83">
        <v>2</v>
      </c>
      <c r="D193" s="110">
        <v>0.0010352029728540317</v>
      </c>
      <c r="E193" s="110">
        <v>1.5107472898944345</v>
      </c>
      <c r="F193" s="83" t="s">
        <v>4145</v>
      </c>
      <c r="G193" s="83" t="b">
        <v>1</v>
      </c>
      <c r="H193" s="83" t="b">
        <v>0</v>
      </c>
      <c r="I193" s="83" t="b">
        <v>0</v>
      </c>
      <c r="J193" s="83" t="b">
        <v>0</v>
      </c>
      <c r="K193" s="83" t="b">
        <v>0</v>
      </c>
      <c r="L193" s="83" t="b">
        <v>0</v>
      </c>
    </row>
    <row r="194" spans="1:12" ht="15">
      <c r="A194" s="84" t="s">
        <v>3596</v>
      </c>
      <c r="B194" s="83" t="s">
        <v>3498</v>
      </c>
      <c r="C194" s="83">
        <v>2</v>
      </c>
      <c r="D194" s="110">
        <v>0.0010352029728540317</v>
      </c>
      <c r="E194" s="110">
        <v>2.009713877769361</v>
      </c>
      <c r="F194" s="83" t="s">
        <v>4145</v>
      </c>
      <c r="G194" s="83" t="b">
        <v>0</v>
      </c>
      <c r="H194" s="83" t="b">
        <v>0</v>
      </c>
      <c r="I194" s="83" t="b">
        <v>0</v>
      </c>
      <c r="J194" s="83" t="b">
        <v>0</v>
      </c>
      <c r="K194" s="83" t="b">
        <v>0</v>
      </c>
      <c r="L194" s="83" t="b">
        <v>0</v>
      </c>
    </row>
    <row r="195" spans="1:12" ht="15">
      <c r="A195" s="84" t="s">
        <v>3499</v>
      </c>
      <c r="B195" s="83" t="s">
        <v>3456</v>
      </c>
      <c r="C195" s="83">
        <v>2</v>
      </c>
      <c r="D195" s="110">
        <v>0.0010352029728540317</v>
      </c>
      <c r="E195" s="110">
        <v>1.0352679822417488</v>
      </c>
      <c r="F195" s="83" t="s">
        <v>4145</v>
      </c>
      <c r="G195" s="83" t="b">
        <v>0</v>
      </c>
      <c r="H195" s="83" t="b">
        <v>0</v>
      </c>
      <c r="I195" s="83" t="b">
        <v>0</v>
      </c>
      <c r="J195" s="83" t="b">
        <v>1</v>
      </c>
      <c r="K195" s="83" t="b">
        <v>0</v>
      </c>
      <c r="L195" s="83" t="b">
        <v>0</v>
      </c>
    </row>
    <row r="196" spans="1:12" ht="15">
      <c r="A196" s="84" t="s">
        <v>3587</v>
      </c>
      <c r="B196" s="83" t="s">
        <v>3470</v>
      </c>
      <c r="C196" s="83">
        <v>2</v>
      </c>
      <c r="D196" s="110">
        <v>0.0010352029728540317</v>
      </c>
      <c r="E196" s="110">
        <v>1.8200498115244055</v>
      </c>
      <c r="F196" s="83" t="s">
        <v>4145</v>
      </c>
      <c r="G196" s="83" t="b">
        <v>0</v>
      </c>
      <c r="H196" s="83" t="b">
        <v>0</v>
      </c>
      <c r="I196" s="83" t="b">
        <v>0</v>
      </c>
      <c r="J196" s="83" t="b">
        <v>0</v>
      </c>
      <c r="K196" s="83" t="b">
        <v>0</v>
      </c>
      <c r="L196" s="83" t="b">
        <v>0</v>
      </c>
    </row>
    <row r="197" spans="1:12" ht="15">
      <c r="A197" s="84" t="s">
        <v>3464</v>
      </c>
      <c r="B197" s="83" t="s">
        <v>3476</v>
      </c>
      <c r="C197" s="83">
        <v>2</v>
      </c>
      <c r="D197" s="110">
        <v>0.0010352029728540317</v>
      </c>
      <c r="E197" s="110">
        <v>1.043572145030328</v>
      </c>
      <c r="F197" s="83" t="s">
        <v>4145</v>
      </c>
      <c r="G197" s="83" t="b">
        <v>1</v>
      </c>
      <c r="H197" s="83" t="b">
        <v>0</v>
      </c>
      <c r="I197" s="83" t="b">
        <v>0</v>
      </c>
      <c r="J197" s="83" t="b">
        <v>0</v>
      </c>
      <c r="K197" s="83" t="b">
        <v>0</v>
      </c>
      <c r="L197" s="83" t="b">
        <v>0</v>
      </c>
    </row>
    <row r="198" spans="1:12" ht="15">
      <c r="A198" s="84" t="s">
        <v>3492</v>
      </c>
      <c r="B198" s="83" t="s">
        <v>4092</v>
      </c>
      <c r="C198" s="83">
        <v>2</v>
      </c>
      <c r="D198" s="110">
        <v>0.0010352029728540317</v>
      </c>
      <c r="E198" s="110">
        <v>2.45687190911158</v>
      </c>
      <c r="F198" s="83" t="s">
        <v>4145</v>
      </c>
      <c r="G198" s="83" t="b">
        <v>0</v>
      </c>
      <c r="H198" s="83" t="b">
        <v>0</v>
      </c>
      <c r="I198" s="83" t="b">
        <v>0</v>
      </c>
      <c r="J198" s="83" t="b">
        <v>0</v>
      </c>
      <c r="K198" s="83" t="b">
        <v>0</v>
      </c>
      <c r="L198" s="83" t="b">
        <v>0</v>
      </c>
    </row>
    <row r="199" spans="1:12" ht="15">
      <c r="A199" s="84" t="s">
        <v>3476</v>
      </c>
      <c r="B199" s="83" t="s">
        <v>3456</v>
      </c>
      <c r="C199" s="83">
        <v>2</v>
      </c>
      <c r="D199" s="110">
        <v>0.0010352029728540317</v>
      </c>
      <c r="E199" s="110">
        <v>0.9005694083442927</v>
      </c>
      <c r="F199" s="83" t="s">
        <v>4145</v>
      </c>
      <c r="G199" s="83" t="b">
        <v>0</v>
      </c>
      <c r="H199" s="83" t="b">
        <v>0</v>
      </c>
      <c r="I199" s="83" t="b">
        <v>0</v>
      </c>
      <c r="J199" s="83" t="b">
        <v>1</v>
      </c>
      <c r="K199" s="83" t="b">
        <v>0</v>
      </c>
      <c r="L199" s="83" t="b">
        <v>0</v>
      </c>
    </row>
    <row r="200" spans="1:12" ht="15">
      <c r="A200" s="84" t="s">
        <v>3469</v>
      </c>
      <c r="B200" s="83" t="s">
        <v>3457</v>
      </c>
      <c r="C200" s="83">
        <v>2</v>
      </c>
      <c r="D200" s="110">
        <v>0.0010352029728540317</v>
      </c>
      <c r="E200" s="110">
        <v>0.675116534459111</v>
      </c>
      <c r="F200" s="83" t="s">
        <v>4145</v>
      </c>
      <c r="G200" s="83" t="b">
        <v>1</v>
      </c>
      <c r="H200" s="83" t="b">
        <v>0</v>
      </c>
      <c r="I200" s="83" t="b">
        <v>0</v>
      </c>
      <c r="J200" s="83" t="b">
        <v>1</v>
      </c>
      <c r="K200" s="83" t="b">
        <v>0</v>
      </c>
      <c r="L200" s="83" t="b">
        <v>0</v>
      </c>
    </row>
    <row r="201" spans="1:12" ht="15">
      <c r="A201" s="84" t="s">
        <v>3466</v>
      </c>
      <c r="B201" s="83" t="s">
        <v>3457</v>
      </c>
      <c r="C201" s="83">
        <v>2</v>
      </c>
      <c r="D201" s="110">
        <v>0.0010352029728540317</v>
      </c>
      <c r="E201" s="110">
        <v>0.9148768733841696</v>
      </c>
      <c r="F201" s="83" t="s">
        <v>4145</v>
      </c>
      <c r="G201" s="83" t="b">
        <v>0</v>
      </c>
      <c r="H201" s="83" t="b">
        <v>0</v>
      </c>
      <c r="I201" s="83" t="b">
        <v>0</v>
      </c>
      <c r="J201" s="83" t="b">
        <v>1</v>
      </c>
      <c r="K201" s="83" t="b">
        <v>0</v>
      </c>
      <c r="L201" s="83" t="b">
        <v>0</v>
      </c>
    </row>
    <row r="202" spans="1:12" ht="15">
      <c r="A202" s="84" t="s">
        <v>4096</v>
      </c>
      <c r="B202" s="83" t="s">
        <v>3458</v>
      </c>
      <c r="C202" s="83">
        <v>2</v>
      </c>
      <c r="D202" s="110">
        <v>0.0010352029728540317</v>
      </c>
      <c r="E202" s="110">
        <v>1.781704819448186</v>
      </c>
      <c r="F202" s="83" t="s">
        <v>4145</v>
      </c>
      <c r="G202" s="83" t="b">
        <v>0</v>
      </c>
      <c r="H202" s="83" t="b">
        <v>0</v>
      </c>
      <c r="I202" s="83" t="b">
        <v>0</v>
      </c>
      <c r="J202" s="83" t="b">
        <v>0</v>
      </c>
      <c r="K202" s="83" t="b">
        <v>0</v>
      </c>
      <c r="L202" s="83" t="b">
        <v>0</v>
      </c>
    </row>
    <row r="203" spans="1:12" ht="15">
      <c r="A203" s="84" t="s">
        <v>3489</v>
      </c>
      <c r="B203" s="83" t="s">
        <v>3467</v>
      </c>
      <c r="C203" s="83">
        <v>2</v>
      </c>
      <c r="D203" s="110">
        <v>0.0010352029728540317</v>
      </c>
      <c r="E203" s="110">
        <v>1.4583219755068126</v>
      </c>
      <c r="F203" s="83" t="s">
        <v>4145</v>
      </c>
      <c r="G203" s="83" t="b">
        <v>1</v>
      </c>
      <c r="H203" s="83" t="b">
        <v>0</v>
      </c>
      <c r="I203" s="83" t="b">
        <v>0</v>
      </c>
      <c r="J203" s="83" t="b">
        <v>0</v>
      </c>
      <c r="K203" s="83" t="b">
        <v>0</v>
      </c>
      <c r="L203" s="83" t="b">
        <v>0</v>
      </c>
    </row>
    <row r="204" spans="1:12" ht="15">
      <c r="A204" s="84" t="s">
        <v>3594</v>
      </c>
      <c r="B204" s="83" t="s">
        <v>3546</v>
      </c>
      <c r="C204" s="83">
        <v>2</v>
      </c>
      <c r="D204" s="110">
        <v>0.0011543048504658938</v>
      </c>
      <c r="E204" s="110">
        <v>2.33193317250328</v>
      </c>
      <c r="F204" s="83" t="s">
        <v>4145</v>
      </c>
      <c r="G204" s="83" t="b">
        <v>1</v>
      </c>
      <c r="H204" s="83" t="b">
        <v>0</v>
      </c>
      <c r="I204" s="83" t="b">
        <v>0</v>
      </c>
      <c r="J204" s="83" t="b">
        <v>0</v>
      </c>
      <c r="K204" s="83" t="b">
        <v>0</v>
      </c>
      <c r="L204" s="83" t="b">
        <v>0</v>
      </c>
    </row>
    <row r="205" spans="1:12" ht="15">
      <c r="A205" s="84" t="s">
        <v>3491</v>
      </c>
      <c r="B205" s="83" t="s">
        <v>3823</v>
      </c>
      <c r="C205" s="83">
        <v>2</v>
      </c>
      <c r="D205" s="110">
        <v>0.0010352029728540317</v>
      </c>
      <c r="E205" s="110">
        <v>2.310743873433342</v>
      </c>
      <c r="F205" s="83" t="s">
        <v>4145</v>
      </c>
      <c r="G205" s="83" t="b">
        <v>1</v>
      </c>
      <c r="H205" s="83" t="b">
        <v>0</v>
      </c>
      <c r="I205" s="83" t="b">
        <v>0</v>
      </c>
      <c r="J205" s="83" t="b">
        <v>0</v>
      </c>
      <c r="K205" s="83" t="b">
        <v>0</v>
      </c>
      <c r="L205" s="83" t="b">
        <v>0</v>
      </c>
    </row>
    <row r="206" spans="1:12" ht="15">
      <c r="A206" s="84" t="s">
        <v>4100</v>
      </c>
      <c r="B206" s="83" t="s">
        <v>4101</v>
      </c>
      <c r="C206" s="83">
        <v>2</v>
      </c>
      <c r="D206" s="110">
        <v>0.0010352029728540317</v>
      </c>
      <c r="E206" s="110">
        <v>3.33193317250328</v>
      </c>
      <c r="F206" s="83" t="s">
        <v>4145</v>
      </c>
      <c r="G206" s="83" t="b">
        <v>0</v>
      </c>
      <c r="H206" s="83" t="b">
        <v>0</v>
      </c>
      <c r="I206" s="83" t="b">
        <v>0</v>
      </c>
      <c r="J206" s="83" t="b">
        <v>0</v>
      </c>
      <c r="K206" s="83" t="b">
        <v>0</v>
      </c>
      <c r="L206" s="83" t="b">
        <v>0</v>
      </c>
    </row>
    <row r="207" spans="1:12" ht="15">
      <c r="A207" s="84" t="s">
        <v>3521</v>
      </c>
      <c r="B207" s="83" t="s">
        <v>3495</v>
      </c>
      <c r="C207" s="83">
        <v>2</v>
      </c>
      <c r="D207" s="110">
        <v>0.0010352029728540317</v>
      </c>
      <c r="E207" s="110">
        <v>1.8336226187136795</v>
      </c>
      <c r="F207" s="83" t="s">
        <v>4145</v>
      </c>
      <c r="G207" s="83" t="b">
        <v>1</v>
      </c>
      <c r="H207" s="83" t="b">
        <v>0</v>
      </c>
      <c r="I207" s="83" t="b">
        <v>0</v>
      </c>
      <c r="J207" s="83" t="b">
        <v>0</v>
      </c>
      <c r="K207" s="83" t="b">
        <v>0</v>
      </c>
      <c r="L207" s="83" t="b">
        <v>0</v>
      </c>
    </row>
    <row r="208" spans="1:12" ht="15">
      <c r="A208" s="84" t="s">
        <v>3499</v>
      </c>
      <c r="B208" s="83" t="s">
        <v>3487</v>
      </c>
      <c r="C208" s="83">
        <v>2</v>
      </c>
      <c r="D208" s="110">
        <v>0.0010352029728540317</v>
      </c>
      <c r="E208" s="110">
        <v>1.716509219617336</v>
      </c>
      <c r="F208" s="83" t="s">
        <v>4145</v>
      </c>
      <c r="G208" s="83" t="b">
        <v>0</v>
      </c>
      <c r="H208" s="83" t="b">
        <v>0</v>
      </c>
      <c r="I208" s="83" t="b">
        <v>0</v>
      </c>
      <c r="J208" s="83" t="b">
        <v>0</v>
      </c>
      <c r="K208" s="83" t="b">
        <v>0</v>
      </c>
      <c r="L208" s="83" t="b">
        <v>0</v>
      </c>
    </row>
    <row r="209" spans="1:12" ht="15">
      <c r="A209" s="84" t="s">
        <v>3477</v>
      </c>
      <c r="B209" s="83" t="s">
        <v>3698</v>
      </c>
      <c r="C209" s="83">
        <v>2</v>
      </c>
      <c r="D209" s="110">
        <v>0.0010352029728540317</v>
      </c>
      <c r="E209" s="110">
        <v>2.101484251125006</v>
      </c>
      <c r="F209" s="83" t="s">
        <v>4145</v>
      </c>
      <c r="G209" s="83" t="b">
        <v>0</v>
      </c>
      <c r="H209" s="83" t="b">
        <v>0</v>
      </c>
      <c r="I209" s="83" t="b">
        <v>0</v>
      </c>
      <c r="J209" s="83" t="b">
        <v>0</v>
      </c>
      <c r="K209" s="83" t="b">
        <v>0</v>
      </c>
      <c r="L209" s="83" t="b">
        <v>0</v>
      </c>
    </row>
    <row r="210" spans="1:12" ht="15">
      <c r="A210" s="84" t="s">
        <v>3823</v>
      </c>
      <c r="B210" s="83" t="s">
        <v>3477</v>
      </c>
      <c r="C210" s="83">
        <v>2</v>
      </c>
      <c r="D210" s="110">
        <v>0.0010352029728540317</v>
      </c>
      <c r="E210" s="110">
        <v>2.201599404008274</v>
      </c>
      <c r="F210" s="83" t="s">
        <v>4145</v>
      </c>
      <c r="G210" s="83" t="b">
        <v>0</v>
      </c>
      <c r="H210" s="83" t="b">
        <v>0</v>
      </c>
      <c r="I210" s="83" t="b">
        <v>0</v>
      </c>
      <c r="J210" s="83" t="b">
        <v>0</v>
      </c>
      <c r="K210" s="83" t="b">
        <v>0</v>
      </c>
      <c r="L210" s="83" t="b">
        <v>0</v>
      </c>
    </row>
    <row r="211" spans="1:12" ht="15">
      <c r="A211" s="84" t="s">
        <v>3465</v>
      </c>
      <c r="B211" s="83" t="s">
        <v>3487</v>
      </c>
      <c r="C211" s="83">
        <v>2</v>
      </c>
      <c r="D211" s="110">
        <v>0.0010352029728540317</v>
      </c>
      <c r="E211" s="110">
        <v>1.2138338604252854</v>
      </c>
      <c r="F211" s="83" t="s">
        <v>4145</v>
      </c>
      <c r="G211" s="83" t="b">
        <v>1</v>
      </c>
      <c r="H211" s="83" t="b">
        <v>0</v>
      </c>
      <c r="I211" s="83" t="b">
        <v>0</v>
      </c>
      <c r="J211" s="83" t="b">
        <v>0</v>
      </c>
      <c r="K211" s="83" t="b">
        <v>0</v>
      </c>
      <c r="L211" s="83" t="b">
        <v>0</v>
      </c>
    </row>
    <row r="212" spans="1:12" ht="15">
      <c r="A212" s="84" t="s">
        <v>1152</v>
      </c>
      <c r="B212" s="83" t="s">
        <v>3471</v>
      </c>
      <c r="C212" s="83">
        <v>2</v>
      </c>
      <c r="D212" s="110">
        <v>0.0010352029728540317</v>
      </c>
      <c r="E212" s="110">
        <v>0.7625592628882341</v>
      </c>
      <c r="F212" s="83" t="s">
        <v>4145</v>
      </c>
      <c r="G212" s="83" t="b">
        <v>1</v>
      </c>
      <c r="H212" s="83" t="b">
        <v>0</v>
      </c>
      <c r="I212" s="83" t="b">
        <v>0</v>
      </c>
      <c r="J212" s="83" t="b">
        <v>1</v>
      </c>
      <c r="K212" s="83" t="b">
        <v>0</v>
      </c>
      <c r="L212" s="83" t="b">
        <v>0</v>
      </c>
    </row>
    <row r="213" spans="1:12" ht="15">
      <c r="A213" s="84" t="s">
        <v>4110</v>
      </c>
      <c r="B213" s="83" t="s">
        <v>4111</v>
      </c>
      <c r="C213" s="83">
        <v>2</v>
      </c>
      <c r="D213" s="110">
        <v>0.0010352029728540317</v>
      </c>
      <c r="E213" s="110">
        <v>3.33193317250328</v>
      </c>
      <c r="F213" s="83" t="s">
        <v>4145</v>
      </c>
      <c r="G213" s="83" t="b">
        <v>0</v>
      </c>
      <c r="H213" s="83" t="b">
        <v>0</v>
      </c>
      <c r="I213" s="83" t="b">
        <v>0</v>
      </c>
      <c r="J213" s="83" t="b">
        <v>1</v>
      </c>
      <c r="K213" s="83" t="b">
        <v>0</v>
      </c>
      <c r="L213" s="83" t="b">
        <v>0</v>
      </c>
    </row>
    <row r="214" spans="1:12" ht="15">
      <c r="A214" s="84" t="s">
        <v>3639</v>
      </c>
      <c r="B214" s="83" t="s">
        <v>1152</v>
      </c>
      <c r="C214" s="83">
        <v>2</v>
      </c>
      <c r="D214" s="110">
        <v>0.0010352029728540317</v>
      </c>
      <c r="E214" s="110">
        <v>1.8440880523918444</v>
      </c>
      <c r="F214" s="83" t="s">
        <v>4145</v>
      </c>
      <c r="G214" s="83" t="b">
        <v>0</v>
      </c>
      <c r="H214" s="83" t="b">
        <v>0</v>
      </c>
      <c r="I214" s="83" t="b">
        <v>0</v>
      </c>
      <c r="J214" s="83" t="b">
        <v>1</v>
      </c>
      <c r="K214" s="83" t="b">
        <v>0</v>
      </c>
      <c r="L214" s="83" t="b">
        <v>0</v>
      </c>
    </row>
    <row r="215" spans="1:12" ht="15">
      <c r="A215" s="84" t="s">
        <v>3466</v>
      </c>
      <c r="B215" s="83" t="s">
        <v>3597</v>
      </c>
      <c r="C215" s="83">
        <v>2</v>
      </c>
      <c r="D215" s="110">
        <v>0.0010352029728540317</v>
      </c>
      <c r="E215" s="110">
        <v>1.8770883124947697</v>
      </c>
      <c r="F215" s="83" t="s">
        <v>4145</v>
      </c>
      <c r="G215" s="83" t="b">
        <v>0</v>
      </c>
      <c r="H215" s="83" t="b">
        <v>0</v>
      </c>
      <c r="I215" s="83" t="b">
        <v>0</v>
      </c>
      <c r="J215" s="83" t="b">
        <v>0</v>
      </c>
      <c r="K215" s="83" t="b">
        <v>0</v>
      </c>
      <c r="L215" s="83" t="b">
        <v>0</v>
      </c>
    </row>
    <row r="216" spans="1:12" ht="15">
      <c r="A216" s="84" t="s">
        <v>3463</v>
      </c>
      <c r="B216" s="83" t="s">
        <v>3479</v>
      </c>
      <c r="C216" s="83">
        <v>2</v>
      </c>
      <c r="D216" s="110">
        <v>0.0010352029728540317</v>
      </c>
      <c r="E216" s="110">
        <v>1.166837297749062</v>
      </c>
      <c r="F216" s="83" t="s">
        <v>4145</v>
      </c>
      <c r="G216" s="83" t="b">
        <v>1</v>
      </c>
      <c r="H216" s="83" t="b">
        <v>0</v>
      </c>
      <c r="I216" s="83" t="b">
        <v>0</v>
      </c>
      <c r="J216" s="83" t="b">
        <v>0</v>
      </c>
      <c r="K216" s="83" t="b">
        <v>0</v>
      </c>
      <c r="L216" s="83" t="b">
        <v>0</v>
      </c>
    </row>
    <row r="217" spans="1:12" ht="15">
      <c r="A217" s="84" t="s">
        <v>4113</v>
      </c>
      <c r="B217" s="83" t="s">
        <v>3832</v>
      </c>
      <c r="C217" s="83">
        <v>2</v>
      </c>
      <c r="D217" s="110">
        <v>0.0010352029728540317</v>
      </c>
      <c r="E217" s="110">
        <v>3.33193317250328</v>
      </c>
      <c r="F217" s="83" t="s">
        <v>4145</v>
      </c>
      <c r="G217" s="83" t="b">
        <v>0</v>
      </c>
      <c r="H217" s="83" t="b">
        <v>0</v>
      </c>
      <c r="I217" s="83" t="b">
        <v>0</v>
      </c>
      <c r="J217" s="83" t="b">
        <v>0</v>
      </c>
      <c r="K217" s="83" t="b">
        <v>0</v>
      </c>
      <c r="L217" s="83" t="b">
        <v>0</v>
      </c>
    </row>
    <row r="218" spans="1:12" ht="15">
      <c r="A218" s="84" t="s">
        <v>3738</v>
      </c>
      <c r="B218" s="83" t="s">
        <v>3583</v>
      </c>
      <c r="C218" s="83">
        <v>2</v>
      </c>
      <c r="D218" s="110">
        <v>0.0010352029728540317</v>
      </c>
      <c r="E218" s="110">
        <v>2.6787206587279364</v>
      </c>
      <c r="F218" s="83" t="s">
        <v>4145</v>
      </c>
      <c r="G218" s="83" t="b">
        <v>0</v>
      </c>
      <c r="H218" s="83" t="b">
        <v>0</v>
      </c>
      <c r="I218" s="83" t="b">
        <v>0</v>
      </c>
      <c r="J218" s="83" t="b">
        <v>0</v>
      </c>
      <c r="K218" s="83" t="b">
        <v>0</v>
      </c>
      <c r="L218" s="83" t="b">
        <v>0</v>
      </c>
    </row>
    <row r="219" spans="1:12" ht="15">
      <c r="A219" s="84" t="s">
        <v>4114</v>
      </c>
      <c r="B219" s="83" t="s">
        <v>4115</v>
      </c>
      <c r="C219" s="83">
        <v>2</v>
      </c>
      <c r="D219" s="110">
        <v>0.0010352029728540317</v>
      </c>
      <c r="E219" s="110">
        <v>3.33193317250328</v>
      </c>
      <c r="F219" s="83" t="s">
        <v>4145</v>
      </c>
      <c r="G219" s="83" t="b">
        <v>0</v>
      </c>
      <c r="H219" s="83" t="b">
        <v>0</v>
      </c>
      <c r="I219" s="83" t="b">
        <v>0</v>
      </c>
      <c r="J219" s="83" t="b">
        <v>0</v>
      </c>
      <c r="K219" s="83" t="b">
        <v>0</v>
      </c>
      <c r="L219" s="83" t="b">
        <v>0</v>
      </c>
    </row>
    <row r="220" spans="1:12" ht="15">
      <c r="A220" s="84" t="s">
        <v>4116</v>
      </c>
      <c r="B220" s="83" t="s">
        <v>3582</v>
      </c>
      <c r="C220" s="83">
        <v>2</v>
      </c>
      <c r="D220" s="110">
        <v>0.0011543048504658938</v>
      </c>
      <c r="E220" s="110">
        <v>2.9339931638312424</v>
      </c>
      <c r="F220" s="83" t="s">
        <v>4145</v>
      </c>
      <c r="G220" s="83" t="b">
        <v>0</v>
      </c>
      <c r="H220" s="83" t="b">
        <v>0</v>
      </c>
      <c r="I220" s="83" t="b">
        <v>0</v>
      </c>
      <c r="J220" s="83" t="b">
        <v>0</v>
      </c>
      <c r="K220" s="83" t="b">
        <v>0</v>
      </c>
      <c r="L220" s="83" t="b">
        <v>0</v>
      </c>
    </row>
    <row r="221" spans="1:12" ht="15">
      <c r="A221" s="84" t="s">
        <v>3582</v>
      </c>
      <c r="B221" s="83" t="s">
        <v>3831</v>
      </c>
      <c r="C221" s="83">
        <v>2</v>
      </c>
      <c r="D221" s="110">
        <v>0.0011543048504658938</v>
      </c>
      <c r="E221" s="110">
        <v>2.6787206587279364</v>
      </c>
      <c r="F221" s="83" t="s">
        <v>4145</v>
      </c>
      <c r="G221" s="83" t="b">
        <v>0</v>
      </c>
      <c r="H221" s="83" t="b">
        <v>0</v>
      </c>
      <c r="I221" s="83" t="b">
        <v>0</v>
      </c>
      <c r="J221" s="83" t="b">
        <v>0</v>
      </c>
      <c r="K221" s="83" t="b">
        <v>0</v>
      </c>
      <c r="L221" s="83" t="b">
        <v>0</v>
      </c>
    </row>
    <row r="222" spans="1:12" ht="15">
      <c r="A222" s="84" t="s">
        <v>3456</v>
      </c>
      <c r="B222" s="83" t="s">
        <v>3819</v>
      </c>
      <c r="C222" s="83">
        <v>2</v>
      </c>
      <c r="D222" s="110">
        <v>0.0010352029728540317</v>
      </c>
      <c r="E222" s="110">
        <v>1.470100174845335</v>
      </c>
      <c r="F222" s="83" t="s">
        <v>4145</v>
      </c>
      <c r="G222" s="83" t="b">
        <v>1</v>
      </c>
      <c r="H222" s="83" t="b">
        <v>0</v>
      </c>
      <c r="I222" s="83" t="b">
        <v>0</v>
      </c>
      <c r="J222" s="83" t="b">
        <v>0</v>
      </c>
      <c r="K222" s="83" t="b">
        <v>0</v>
      </c>
      <c r="L222" s="83" t="b">
        <v>0</v>
      </c>
    </row>
    <row r="223" spans="1:12" ht="15">
      <c r="A223" s="84" t="s">
        <v>4118</v>
      </c>
      <c r="B223" s="83" t="s">
        <v>3628</v>
      </c>
      <c r="C223" s="83">
        <v>2</v>
      </c>
      <c r="D223" s="110">
        <v>0.0011543048504658938</v>
      </c>
      <c r="E223" s="110">
        <v>2.9339931638312424</v>
      </c>
      <c r="F223" s="83" t="s">
        <v>4145</v>
      </c>
      <c r="G223" s="83" t="b">
        <v>0</v>
      </c>
      <c r="H223" s="83" t="b">
        <v>0</v>
      </c>
      <c r="I223" s="83" t="b">
        <v>0</v>
      </c>
      <c r="J223" s="83" t="b">
        <v>0</v>
      </c>
      <c r="K223" s="83" t="b">
        <v>0</v>
      </c>
      <c r="L223" s="83" t="b">
        <v>0</v>
      </c>
    </row>
    <row r="224" spans="1:12" ht="15">
      <c r="A224" s="84" t="s">
        <v>3628</v>
      </c>
      <c r="B224" s="83" t="s">
        <v>3632</v>
      </c>
      <c r="C224" s="83">
        <v>2</v>
      </c>
      <c r="D224" s="110">
        <v>0.0011543048504658938</v>
      </c>
      <c r="E224" s="110">
        <v>2.536053155159205</v>
      </c>
      <c r="F224" s="83" t="s">
        <v>4145</v>
      </c>
      <c r="G224" s="83" t="b">
        <v>0</v>
      </c>
      <c r="H224" s="83" t="b">
        <v>0</v>
      </c>
      <c r="I224" s="83" t="b">
        <v>0</v>
      </c>
      <c r="J224" s="83" t="b">
        <v>0</v>
      </c>
      <c r="K224" s="83" t="b">
        <v>0</v>
      </c>
      <c r="L224" s="83" t="b">
        <v>0</v>
      </c>
    </row>
    <row r="225" spans="1:12" ht="15">
      <c r="A225" s="84" t="s">
        <v>3632</v>
      </c>
      <c r="B225" s="83" t="s">
        <v>4119</v>
      </c>
      <c r="C225" s="83">
        <v>2</v>
      </c>
      <c r="D225" s="110">
        <v>0.0011543048504658938</v>
      </c>
      <c r="E225" s="110">
        <v>2.9339931638312424</v>
      </c>
      <c r="F225" s="83" t="s">
        <v>4145</v>
      </c>
      <c r="G225" s="83" t="b">
        <v>0</v>
      </c>
      <c r="H225" s="83" t="b">
        <v>0</v>
      </c>
      <c r="I225" s="83" t="b">
        <v>0</v>
      </c>
      <c r="J225" s="83" t="b">
        <v>0</v>
      </c>
      <c r="K225" s="83" t="b">
        <v>0</v>
      </c>
      <c r="L225" s="83" t="b">
        <v>0</v>
      </c>
    </row>
    <row r="226" spans="1:12" ht="15">
      <c r="A226" s="84" t="s">
        <v>4119</v>
      </c>
      <c r="B226" s="83" t="s">
        <v>4120</v>
      </c>
      <c r="C226" s="83">
        <v>2</v>
      </c>
      <c r="D226" s="110">
        <v>0.0011543048504658938</v>
      </c>
      <c r="E226" s="110">
        <v>3.33193317250328</v>
      </c>
      <c r="F226" s="83" t="s">
        <v>4145</v>
      </c>
      <c r="G226" s="83" t="b">
        <v>0</v>
      </c>
      <c r="H226" s="83" t="b">
        <v>0</v>
      </c>
      <c r="I226" s="83" t="b">
        <v>0</v>
      </c>
      <c r="J226" s="83" t="b">
        <v>0</v>
      </c>
      <c r="K226" s="83" t="b">
        <v>0</v>
      </c>
      <c r="L226" s="83" t="b">
        <v>0</v>
      </c>
    </row>
    <row r="227" spans="1:12" ht="15">
      <c r="A227" s="84" t="s">
        <v>3839</v>
      </c>
      <c r="B227" s="83" t="s">
        <v>3555</v>
      </c>
      <c r="C227" s="83">
        <v>2</v>
      </c>
      <c r="D227" s="110">
        <v>0.0011543048504658938</v>
      </c>
      <c r="E227" s="110">
        <v>2.7878651281530042</v>
      </c>
      <c r="F227" s="83" t="s">
        <v>4145</v>
      </c>
      <c r="G227" s="83" t="b">
        <v>0</v>
      </c>
      <c r="H227" s="83" t="b">
        <v>0</v>
      </c>
      <c r="I227" s="83" t="b">
        <v>0</v>
      </c>
      <c r="J227" s="83" t="b">
        <v>0</v>
      </c>
      <c r="K227" s="83" t="b">
        <v>0</v>
      </c>
      <c r="L227" s="83" t="b">
        <v>0</v>
      </c>
    </row>
    <row r="228" spans="1:12" ht="15">
      <c r="A228" s="84" t="s">
        <v>3463</v>
      </c>
      <c r="B228" s="83" t="s">
        <v>4124</v>
      </c>
      <c r="C228" s="83">
        <v>2</v>
      </c>
      <c r="D228" s="110">
        <v>0.0011543048504658938</v>
      </c>
      <c r="E228" s="110">
        <v>2.041898561140762</v>
      </c>
      <c r="F228" s="83" t="s">
        <v>4145</v>
      </c>
      <c r="G228" s="83" t="b">
        <v>1</v>
      </c>
      <c r="H228" s="83" t="b">
        <v>0</v>
      </c>
      <c r="I228" s="83" t="b">
        <v>0</v>
      </c>
      <c r="J228" s="83" t="b">
        <v>0</v>
      </c>
      <c r="K228" s="83" t="b">
        <v>0</v>
      </c>
      <c r="L228" s="83" t="b">
        <v>0</v>
      </c>
    </row>
    <row r="229" spans="1:12" ht="15">
      <c r="A229" s="84" t="s">
        <v>3485</v>
      </c>
      <c r="B229" s="83" t="s">
        <v>3699</v>
      </c>
      <c r="C229" s="83">
        <v>2</v>
      </c>
      <c r="D229" s="110">
        <v>0.0010352029728540317</v>
      </c>
      <c r="E229" s="110">
        <v>2.101484251125006</v>
      </c>
      <c r="F229" s="83" t="s">
        <v>4145</v>
      </c>
      <c r="G229" s="83" t="b">
        <v>0</v>
      </c>
      <c r="H229" s="83" t="b">
        <v>0</v>
      </c>
      <c r="I229" s="83" t="b">
        <v>0</v>
      </c>
      <c r="J229" s="83" t="b">
        <v>1</v>
      </c>
      <c r="K229" s="83" t="b">
        <v>0</v>
      </c>
      <c r="L229" s="83" t="b">
        <v>0</v>
      </c>
    </row>
    <row r="230" spans="1:12" ht="15">
      <c r="A230" s="84" t="s">
        <v>3485</v>
      </c>
      <c r="B230" s="83" t="s">
        <v>3824</v>
      </c>
      <c r="C230" s="83">
        <v>2</v>
      </c>
      <c r="D230" s="110">
        <v>0.0010352029728540317</v>
      </c>
      <c r="E230" s="110">
        <v>2.226422987733306</v>
      </c>
      <c r="F230" s="83" t="s">
        <v>4145</v>
      </c>
      <c r="G230" s="83" t="b">
        <v>0</v>
      </c>
      <c r="H230" s="83" t="b">
        <v>0</v>
      </c>
      <c r="I230" s="83" t="b">
        <v>0</v>
      </c>
      <c r="J230" s="83" t="b">
        <v>0</v>
      </c>
      <c r="K230" s="83" t="b">
        <v>0</v>
      </c>
      <c r="L230" s="83" t="b">
        <v>0</v>
      </c>
    </row>
    <row r="231" spans="1:12" ht="15">
      <c r="A231" s="84" t="s">
        <v>3497</v>
      </c>
      <c r="B231" s="83" t="s">
        <v>3477</v>
      </c>
      <c r="C231" s="83">
        <v>2</v>
      </c>
      <c r="D231" s="110">
        <v>0.0010352029728540317</v>
      </c>
      <c r="E231" s="110">
        <v>1.5325926230496982</v>
      </c>
      <c r="F231" s="83" t="s">
        <v>4145</v>
      </c>
      <c r="G231" s="83" t="b">
        <v>0</v>
      </c>
      <c r="H231" s="83" t="b">
        <v>0</v>
      </c>
      <c r="I231" s="83" t="b">
        <v>0</v>
      </c>
      <c r="J231" s="83" t="b">
        <v>0</v>
      </c>
      <c r="K231" s="83" t="b">
        <v>0</v>
      </c>
      <c r="L231" s="83" t="b">
        <v>0</v>
      </c>
    </row>
    <row r="232" spans="1:12" ht="15">
      <c r="A232" s="84" t="s">
        <v>3642</v>
      </c>
      <c r="B232" s="83" t="s">
        <v>3500</v>
      </c>
      <c r="C232" s="83">
        <v>2</v>
      </c>
      <c r="D232" s="110">
        <v>0.0010352029728540317</v>
      </c>
      <c r="E232" s="110">
        <v>2.1210798071883867</v>
      </c>
      <c r="F232" s="83" t="s">
        <v>4145</v>
      </c>
      <c r="G232" s="83" t="b">
        <v>0</v>
      </c>
      <c r="H232" s="83" t="b">
        <v>0</v>
      </c>
      <c r="I232" s="83" t="b">
        <v>0</v>
      </c>
      <c r="J232" s="83" t="b">
        <v>0</v>
      </c>
      <c r="K232" s="83" t="b">
        <v>0</v>
      </c>
      <c r="L232" s="83" t="b">
        <v>0</v>
      </c>
    </row>
    <row r="233" spans="1:12" ht="15">
      <c r="A233" s="84" t="s">
        <v>4129</v>
      </c>
      <c r="B233" s="83" t="s">
        <v>4130</v>
      </c>
      <c r="C233" s="83">
        <v>2</v>
      </c>
      <c r="D233" s="110">
        <v>0.0010352029728540317</v>
      </c>
      <c r="E233" s="110">
        <v>3.33193317250328</v>
      </c>
      <c r="F233" s="83" t="s">
        <v>4145</v>
      </c>
      <c r="G233" s="83" t="b">
        <v>0</v>
      </c>
      <c r="H233" s="83" t="b">
        <v>0</v>
      </c>
      <c r="I233" s="83" t="b">
        <v>0</v>
      </c>
      <c r="J233" s="83" t="b">
        <v>0</v>
      </c>
      <c r="K233" s="83" t="b">
        <v>0</v>
      </c>
      <c r="L233" s="83" t="b">
        <v>0</v>
      </c>
    </row>
    <row r="234" spans="1:12" ht="15">
      <c r="A234" s="84" t="s">
        <v>3467</v>
      </c>
      <c r="B234" s="83" t="s">
        <v>3844</v>
      </c>
      <c r="C234" s="83">
        <v>2</v>
      </c>
      <c r="D234" s="110">
        <v>0.0011543048504658938</v>
      </c>
      <c r="E234" s="110">
        <v>2.1346526143776607</v>
      </c>
      <c r="F234" s="83" t="s">
        <v>4145</v>
      </c>
      <c r="G234" s="83" t="b">
        <v>0</v>
      </c>
      <c r="H234" s="83" t="b">
        <v>0</v>
      </c>
      <c r="I234" s="83" t="b">
        <v>0</v>
      </c>
      <c r="J234" s="83" t="b">
        <v>0</v>
      </c>
      <c r="K234" s="83" t="b">
        <v>0</v>
      </c>
      <c r="L234" s="83" t="b">
        <v>0</v>
      </c>
    </row>
    <row r="235" spans="1:12" ht="15">
      <c r="A235" s="84" t="s">
        <v>3844</v>
      </c>
      <c r="B235" s="83" t="s">
        <v>3484</v>
      </c>
      <c r="C235" s="83">
        <v>2</v>
      </c>
      <c r="D235" s="110">
        <v>0.0011543048504658938</v>
      </c>
      <c r="E235" s="110">
        <v>2.342928556804743</v>
      </c>
      <c r="F235" s="83" t="s">
        <v>4145</v>
      </c>
      <c r="G235" s="83" t="b">
        <v>0</v>
      </c>
      <c r="H235" s="83" t="b">
        <v>0</v>
      </c>
      <c r="I235" s="83" t="b">
        <v>0</v>
      </c>
      <c r="J235" s="83" t="b">
        <v>1</v>
      </c>
      <c r="K235" s="83" t="b">
        <v>0</v>
      </c>
      <c r="L235" s="83" t="b">
        <v>0</v>
      </c>
    </row>
    <row r="236" spans="1:12" ht="15">
      <c r="A236" s="84" t="s">
        <v>3470</v>
      </c>
      <c r="B236" s="83" t="s">
        <v>3602</v>
      </c>
      <c r="C236" s="83">
        <v>2</v>
      </c>
      <c r="D236" s="110">
        <v>0.0010352029728540317</v>
      </c>
      <c r="E236" s="110">
        <v>1.716509219617336</v>
      </c>
      <c r="F236" s="83" t="s">
        <v>4145</v>
      </c>
      <c r="G236" s="83" t="b">
        <v>0</v>
      </c>
      <c r="H236" s="83" t="b">
        <v>0</v>
      </c>
      <c r="I236" s="83" t="b">
        <v>0</v>
      </c>
      <c r="J236" s="83" t="b">
        <v>0</v>
      </c>
      <c r="K236" s="83" t="b">
        <v>0</v>
      </c>
      <c r="L236" s="83" t="b">
        <v>0</v>
      </c>
    </row>
    <row r="237" spans="1:12" ht="15">
      <c r="A237" s="84" t="s">
        <v>3473</v>
      </c>
      <c r="B237" s="83" t="s">
        <v>3623</v>
      </c>
      <c r="C237" s="83">
        <v>2</v>
      </c>
      <c r="D237" s="110">
        <v>0.0010352029728540317</v>
      </c>
      <c r="E237" s="110">
        <v>1.8548119177836175</v>
      </c>
      <c r="F237" s="83" t="s">
        <v>4145</v>
      </c>
      <c r="G237" s="83" t="b">
        <v>0</v>
      </c>
      <c r="H237" s="83" t="b">
        <v>0</v>
      </c>
      <c r="I237" s="83" t="b">
        <v>0</v>
      </c>
      <c r="J237" s="83" t="b">
        <v>0</v>
      </c>
      <c r="K237" s="83" t="b">
        <v>0</v>
      </c>
      <c r="L237" s="83" t="b">
        <v>0</v>
      </c>
    </row>
    <row r="238" spans="1:12" ht="15">
      <c r="A238" s="84" t="s">
        <v>3623</v>
      </c>
      <c r="B238" s="83" t="s">
        <v>4133</v>
      </c>
      <c r="C238" s="83">
        <v>2</v>
      </c>
      <c r="D238" s="110">
        <v>0.0010352029728540317</v>
      </c>
      <c r="E238" s="110">
        <v>2.9339931638312424</v>
      </c>
      <c r="F238" s="83" t="s">
        <v>4145</v>
      </c>
      <c r="G238" s="83" t="b">
        <v>0</v>
      </c>
      <c r="H238" s="83" t="b">
        <v>0</v>
      </c>
      <c r="I238" s="83" t="b">
        <v>0</v>
      </c>
      <c r="J238" s="83" t="b">
        <v>0</v>
      </c>
      <c r="K238" s="83" t="b">
        <v>1</v>
      </c>
      <c r="L238" s="83" t="b">
        <v>0</v>
      </c>
    </row>
    <row r="239" spans="1:12" ht="15">
      <c r="A239" s="84" t="s">
        <v>4133</v>
      </c>
      <c r="B239" s="83" t="s">
        <v>3766</v>
      </c>
      <c r="C239" s="83">
        <v>2</v>
      </c>
      <c r="D239" s="110">
        <v>0.0010352029728540317</v>
      </c>
      <c r="E239" s="110">
        <v>3.1558419134475986</v>
      </c>
      <c r="F239" s="83" t="s">
        <v>4145</v>
      </c>
      <c r="G239" s="83" t="b">
        <v>0</v>
      </c>
      <c r="H239" s="83" t="b">
        <v>1</v>
      </c>
      <c r="I239" s="83" t="b">
        <v>0</v>
      </c>
      <c r="J239" s="83" t="b">
        <v>0</v>
      </c>
      <c r="K239" s="83" t="b">
        <v>0</v>
      </c>
      <c r="L239" s="83" t="b">
        <v>0</v>
      </c>
    </row>
    <row r="240" spans="1:12" ht="15">
      <c r="A240" s="84" t="s">
        <v>3766</v>
      </c>
      <c r="B240" s="83" t="s">
        <v>4134</v>
      </c>
      <c r="C240" s="83">
        <v>2</v>
      </c>
      <c r="D240" s="110">
        <v>0.0010352029728540317</v>
      </c>
      <c r="E240" s="110">
        <v>3.1558419134475986</v>
      </c>
      <c r="F240" s="83" t="s">
        <v>4145</v>
      </c>
      <c r="G240" s="83" t="b">
        <v>0</v>
      </c>
      <c r="H240" s="83" t="b">
        <v>0</v>
      </c>
      <c r="I240" s="83" t="b">
        <v>0</v>
      </c>
      <c r="J240" s="83" t="b">
        <v>0</v>
      </c>
      <c r="K240" s="83" t="b">
        <v>0</v>
      </c>
      <c r="L240" s="83" t="b">
        <v>0</v>
      </c>
    </row>
    <row r="241" spans="1:12" ht="15">
      <c r="A241" s="84" t="s">
        <v>4134</v>
      </c>
      <c r="B241" s="83" t="s">
        <v>3721</v>
      </c>
      <c r="C241" s="83">
        <v>2</v>
      </c>
      <c r="D241" s="110">
        <v>0.0010352029728540317</v>
      </c>
      <c r="E241" s="110">
        <v>3.1558419134475986</v>
      </c>
      <c r="F241" s="83" t="s">
        <v>4145</v>
      </c>
      <c r="G241" s="83" t="b">
        <v>0</v>
      </c>
      <c r="H241" s="83" t="b">
        <v>0</v>
      </c>
      <c r="I241" s="83" t="b">
        <v>0</v>
      </c>
      <c r="J241" s="83" t="b">
        <v>0</v>
      </c>
      <c r="K241" s="83" t="b">
        <v>0</v>
      </c>
      <c r="L241" s="83" t="b">
        <v>0</v>
      </c>
    </row>
    <row r="242" spans="1:12" ht="15">
      <c r="A242" s="84" t="s">
        <v>3721</v>
      </c>
      <c r="B242" s="83" t="s">
        <v>4135</v>
      </c>
      <c r="C242" s="83">
        <v>2</v>
      </c>
      <c r="D242" s="110">
        <v>0.0010352029728540317</v>
      </c>
      <c r="E242" s="110">
        <v>3.1558419134475986</v>
      </c>
      <c r="F242" s="83" t="s">
        <v>4145</v>
      </c>
      <c r="G242" s="83" t="b">
        <v>0</v>
      </c>
      <c r="H242" s="83" t="b">
        <v>0</v>
      </c>
      <c r="I242" s="83" t="b">
        <v>0</v>
      </c>
      <c r="J242" s="83" t="b">
        <v>0</v>
      </c>
      <c r="K242" s="83" t="b">
        <v>1</v>
      </c>
      <c r="L242" s="83" t="b">
        <v>0</v>
      </c>
    </row>
    <row r="243" spans="1:12" ht="15">
      <c r="A243" s="84" t="s">
        <v>4135</v>
      </c>
      <c r="B243" s="83" t="s">
        <v>3847</v>
      </c>
      <c r="C243" s="83">
        <v>2</v>
      </c>
      <c r="D243" s="110">
        <v>0.0010352029728540317</v>
      </c>
      <c r="E243" s="110">
        <v>3.1558419134475986</v>
      </c>
      <c r="F243" s="83" t="s">
        <v>4145</v>
      </c>
      <c r="G243" s="83" t="b">
        <v>0</v>
      </c>
      <c r="H243" s="83" t="b">
        <v>1</v>
      </c>
      <c r="I243" s="83" t="b">
        <v>0</v>
      </c>
      <c r="J243" s="83" t="b">
        <v>0</v>
      </c>
      <c r="K243" s="83" t="b">
        <v>0</v>
      </c>
      <c r="L243" s="83" t="b">
        <v>0</v>
      </c>
    </row>
    <row r="244" spans="1:12" ht="15">
      <c r="A244" s="84" t="s">
        <v>3457</v>
      </c>
      <c r="B244" s="83" t="s">
        <v>3552</v>
      </c>
      <c r="C244" s="83">
        <v>2</v>
      </c>
      <c r="D244" s="110">
        <v>0.0010352029728540317</v>
      </c>
      <c r="E244" s="110">
        <v>1.262820321116159</v>
      </c>
      <c r="F244" s="83" t="s">
        <v>4145</v>
      </c>
      <c r="G244" s="83" t="b">
        <v>1</v>
      </c>
      <c r="H244" s="83" t="b">
        <v>0</v>
      </c>
      <c r="I244" s="83" t="b">
        <v>0</v>
      </c>
      <c r="J244" s="83" t="b">
        <v>0</v>
      </c>
      <c r="K244" s="83" t="b">
        <v>0</v>
      </c>
      <c r="L244" s="83" t="b">
        <v>0</v>
      </c>
    </row>
    <row r="245" spans="1:12" ht="15">
      <c r="A245" s="84" t="s">
        <v>4137</v>
      </c>
      <c r="B245" s="83" t="s">
        <v>3515</v>
      </c>
      <c r="C245" s="83">
        <v>2</v>
      </c>
      <c r="D245" s="110">
        <v>0.0010352029728540317</v>
      </c>
      <c r="E245" s="110">
        <v>2.6787206587279364</v>
      </c>
      <c r="F245" s="83" t="s">
        <v>4145</v>
      </c>
      <c r="G245" s="83" t="b">
        <v>0</v>
      </c>
      <c r="H245" s="83" t="b">
        <v>0</v>
      </c>
      <c r="I245" s="83" t="b">
        <v>0</v>
      </c>
      <c r="J245" s="83" t="b">
        <v>1</v>
      </c>
      <c r="K245" s="83" t="b">
        <v>0</v>
      </c>
      <c r="L245" s="83" t="b">
        <v>0</v>
      </c>
    </row>
    <row r="246" spans="1:12" ht="15">
      <c r="A246" s="84" t="s">
        <v>3527</v>
      </c>
      <c r="B246" s="83" t="s">
        <v>3846</v>
      </c>
      <c r="C246" s="83">
        <v>2</v>
      </c>
      <c r="D246" s="110">
        <v>0.0010352029728540317</v>
      </c>
      <c r="E246" s="110">
        <v>2.6787206587279364</v>
      </c>
      <c r="F246" s="83" t="s">
        <v>4145</v>
      </c>
      <c r="G246" s="83" t="b">
        <v>0</v>
      </c>
      <c r="H246" s="83" t="b">
        <v>0</v>
      </c>
      <c r="I246" s="83" t="b">
        <v>0</v>
      </c>
      <c r="J246" s="83" t="b">
        <v>1</v>
      </c>
      <c r="K246" s="83" t="b">
        <v>0</v>
      </c>
      <c r="L246" s="83" t="b">
        <v>0</v>
      </c>
    </row>
    <row r="247" spans="1:12" ht="15">
      <c r="A247" s="84" t="s">
        <v>3511</v>
      </c>
      <c r="B247" s="83" t="s">
        <v>3699</v>
      </c>
      <c r="C247" s="83">
        <v>2</v>
      </c>
      <c r="D247" s="110">
        <v>0.0010352029728540317</v>
      </c>
      <c r="E247" s="110">
        <v>2.290540487345055</v>
      </c>
      <c r="F247" s="83" t="s">
        <v>4145</v>
      </c>
      <c r="G247" s="83" t="b">
        <v>0</v>
      </c>
      <c r="H247" s="83" t="b">
        <v>0</v>
      </c>
      <c r="I247" s="83" t="b">
        <v>0</v>
      </c>
      <c r="J247" s="83" t="b">
        <v>1</v>
      </c>
      <c r="K247" s="83" t="b">
        <v>0</v>
      </c>
      <c r="L247" s="83" t="b">
        <v>0</v>
      </c>
    </row>
    <row r="248" spans="1:12" ht="15">
      <c r="A248" s="84" t="s">
        <v>3479</v>
      </c>
      <c r="B248" s="83" t="s">
        <v>3494</v>
      </c>
      <c r="C248" s="83">
        <v>2</v>
      </c>
      <c r="D248" s="110">
        <v>0.0010352029728540317</v>
      </c>
      <c r="E248" s="110">
        <v>1.6117738690973231</v>
      </c>
      <c r="F248" s="83" t="s">
        <v>4145</v>
      </c>
      <c r="G248" s="83" t="b">
        <v>0</v>
      </c>
      <c r="H248" s="83" t="b">
        <v>0</v>
      </c>
      <c r="I248" s="83" t="b">
        <v>0</v>
      </c>
      <c r="J248" s="83" t="b">
        <v>0</v>
      </c>
      <c r="K248" s="83" t="b">
        <v>0</v>
      </c>
      <c r="L248" s="83" t="b">
        <v>0</v>
      </c>
    </row>
    <row r="249" spans="1:12" ht="15">
      <c r="A249" s="84" t="s">
        <v>3494</v>
      </c>
      <c r="B249" s="83" t="s">
        <v>3504</v>
      </c>
      <c r="C249" s="83">
        <v>2</v>
      </c>
      <c r="D249" s="110">
        <v>0.0010352029728540317</v>
      </c>
      <c r="E249" s="110">
        <v>1.8926004786730173</v>
      </c>
      <c r="F249" s="83" t="s">
        <v>4145</v>
      </c>
      <c r="G249" s="83" t="b">
        <v>0</v>
      </c>
      <c r="H249" s="83" t="b">
        <v>0</v>
      </c>
      <c r="I249" s="83" t="b">
        <v>0</v>
      </c>
      <c r="J249" s="83" t="b">
        <v>0</v>
      </c>
      <c r="K249" s="83" t="b">
        <v>0</v>
      </c>
      <c r="L249" s="83" t="b">
        <v>0</v>
      </c>
    </row>
    <row r="250" spans="1:12" ht="15">
      <c r="A250" s="84" t="s">
        <v>3504</v>
      </c>
      <c r="B250" s="83" t="s">
        <v>3643</v>
      </c>
      <c r="C250" s="83">
        <v>2</v>
      </c>
      <c r="D250" s="110">
        <v>0.0010352029728540317</v>
      </c>
      <c r="E250" s="110">
        <v>2.290540487345055</v>
      </c>
      <c r="F250" s="83" t="s">
        <v>4145</v>
      </c>
      <c r="G250" s="83" t="b">
        <v>0</v>
      </c>
      <c r="H250" s="83" t="b">
        <v>0</v>
      </c>
      <c r="I250" s="83" t="b">
        <v>0</v>
      </c>
      <c r="J250" s="83" t="b">
        <v>1</v>
      </c>
      <c r="K250" s="83" t="b">
        <v>0</v>
      </c>
      <c r="L250" s="83" t="b">
        <v>0</v>
      </c>
    </row>
    <row r="251" spans="1:12" ht="15">
      <c r="A251" s="84" t="s">
        <v>3643</v>
      </c>
      <c r="B251" s="83" t="s">
        <v>3457</v>
      </c>
      <c r="C251" s="83">
        <v>2</v>
      </c>
      <c r="D251" s="110">
        <v>0.0010352029728540317</v>
      </c>
      <c r="E251" s="110">
        <v>1.4946604700009796</v>
      </c>
      <c r="F251" s="83" t="s">
        <v>4145</v>
      </c>
      <c r="G251" s="83" t="b">
        <v>1</v>
      </c>
      <c r="H251" s="83" t="b">
        <v>0</v>
      </c>
      <c r="I251" s="83" t="b">
        <v>0</v>
      </c>
      <c r="J251" s="83" t="b">
        <v>1</v>
      </c>
      <c r="K251" s="83" t="b">
        <v>0</v>
      </c>
      <c r="L251" s="83" t="b">
        <v>0</v>
      </c>
    </row>
    <row r="252" spans="1:12" ht="15">
      <c r="A252" s="84" t="s">
        <v>3626</v>
      </c>
      <c r="B252" s="83" t="s">
        <v>3511</v>
      </c>
      <c r="C252" s="83">
        <v>2</v>
      </c>
      <c r="D252" s="110">
        <v>0.0010352029728540317</v>
      </c>
      <c r="E252" s="110">
        <v>2.290540487345055</v>
      </c>
      <c r="F252" s="83" t="s">
        <v>4145</v>
      </c>
      <c r="G252" s="83" t="b">
        <v>0</v>
      </c>
      <c r="H252" s="83" t="b">
        <v>0</v>
      </c>
      <c r="I252" s="83" t="b">
        <v>0</v>
      </c>
      <c r="J252" s="83" t="b">
        <v>0</v>
      </c>
      <c r="K252" s="83" t="b">
        <v>0</v>
      </c>
      <c r="L252" s="83" t="b">
        <v>0</v>
      </c>
    </row>
    <row r="253" spans="1:12" ht="15">
      <c r="A253" s="84" t="s">
        <v>3611</v>
      </c>
      <c r="B253" s="83" t="s">
        <v>3100</v>
      </c>
      <c r="C253" s="83">
        <v>2</v>
      </c>
      <c r="D253" s="110">
        <v>0.0011543048504658938</v>
      </c>
      <c r="E253" s="110">
        <v>2.9339931638312424</v>
      </c>
      <c r="F253" s="83" t="s">
        <v>4145</v>
      </c>
      <c r="G253" s="83" t="b">
        <v>0</v>
      </c>
      <c r="H253" s="83" t="b">
        <v>0</v>
      </c>
      <c r="I253" s="83" t="b">
        <v>0</v>
      </c>
      <c r="J253" s="83" t="b">
        <v>0</v>
      </c>
      <c r="K253" s="83" t="b">
        <v>0</v>
      </c>
      <c r="L253" s="83" t="b">
        <v>0</v>
      </c>
    </row>
    <row r="254" spans="1:12" ht="15">
      <c r="A254" s="84" t="s">
        <v>3462</v>
      </c>
      <c r="B254" s="83" t="s">
        <v>3459</v>
      </c>
      <c r="C254" s="83">
        <v>14</v>
      </c>
      <c r="D254" s="110">
        <v>0.007958871032463092</v>
      </c>
      <c r="E254" s="110">
        <v>1.6074550232146685</v>
      </c>
      <c r="F254" s="83" t="s">
        <v>3414</v>
      </c>
      <c r="G254" s="83" t="b">
        <v>0</v>
      </c>
      <c r="H254" s="83" t="b">
        <v>0</v>
      </c>
      <c r="I254" s="83" t="b">
        <v>0</v>
      </c>
      <c r="J254" s="83" t="b">
        <v>0</v>
      </c>
      <c r="K254" s="83" t="b">
        <v>0</v>
      </c>
      <c r="L254" s="83" t="b">
        <v>0</v>
      </c>
    </row>
    <row r="255" spans="1:12" ht="15">
      <c r="A255" s="84" t="s">
        <v>3462</v>
      </c>
      <c r="B255" s="83" t="s">
        <v>3482</v>
      </c>
      <c r="C255" s="83">
        <v>7</v>
      </c>
      <c r="D255" s="110">
        <v>0.004849823773004726</v>
      </c>
      <c r="E255" s="110">
        <v>1.5231341375146326</v>
      </c>
      <c r="F255" s="83" t="s">
        <v>3414</v>
      </c>
      <c r="G255" s="83" t="b">
        <v>0</v>
      </c>
      <c r="H255" s="83" t="b">
        <v>0</v>
      </c>
      <c r="I255" s="83" t="b">
        <v>0</v>
      </c>
      <c r="J255" s="83" t="b">
        <v>0</v>
      </c>
      <c r="K255" s="83" t="b">
        <v>0</v>
      </c>
      <c r="L255" s="83" t="b">
        <v>0</v>
      </c>
    </row>
    <row r="256" spans="1:12" ht="15">
      <c r="A256" s="84" t="s">
        <v>3566</v>
      </c>
      <c r="B256" s="83" t="s">
        <v>3543</v>
      </c>
      <c r="C256" s="83">
        <v>5</v>
      </c>
      <c r="D256" s="110">
        <v>0.003765952559211691</v>
      </c>
      <c r="E256" s="110">
        <v>2.466125870418199</v>
      </c>
      <c r="F256" s="83" t="s">
        <v>3414</v>
      </c>
      <c r="G256" s="83" t="b">
        <v>0</v>
      </c>
      <c r="H256" s="83" t="b">
        <v>0</v>
      </c>
      <c r="I256" s="83" t="b">
        <v>0</v>
      </c>
      <c r="J256" s="83" t="b">
        <v>0</v>
      </c>
      <c r="K256" s="83" t="b">
        <v>0</v>
      </c>
      <c r="L256" s="83" t="b">
        <v>0</v>
      </c>
    </row>
    <row r="257" spans="1:12" ht="15">
      <c r="A257" s="84" t="s">
        <v>3465</v>
      </c>
      <c r="B257" s="83" t="s">
        <v>3476</v>
      </c>
      <c r="C257" s="83">
        <v>5</v>
      </c>
      <c r="D257" s="110">
        <v>0.003765952559211691</v>
      </c>
      <c r="E257" s="110">
        <v>1.5615305284289385</v>
      </c>
      <c r="F257" s="83" t="s">
        <v>3414</v>
      </c>
      <c r="G257" s="83" t="b">
        <v>1</v>
      </c>
      <c r="H257" s="83" t="b">
        <v>0</v>
      </c>
      <c r="I257" s="83" t="b">
        <v>0</v>
      </c>
      <c r="J257" s="83" t="b">
        <v>0</v>
      </c>
      <c r="K257" s="83" t="b">
        <v>0</v>
      </c>
      <c r="L257" s="83" t="b">
        <v>0</v>
      </c>
    </row>
    <row r="258" spans="1:12" ht="15">
      <c r="A258" s="84" t="s">
        <v>3456</v>
      </c>
      <c r="B258" s="83" t="s">
        <v>3462</v>
      </c>
      <c r="C258" s="83">
        <v>5</v>
      </c>
      <c r="D258" s="110">
        <v>0.003765952559211691</v>
      </c>
      <c r="E258" s="110">
        <v>0.8670923337204247</v>
      </c>
      <c r="F258" s="83" t="s">
        <v>3414</v>
      </c>
      <c r="G258" s="83" t="b">
        <v>1</v>
      </c>
      <c r="H258" s="83" t="b">
        <v>0</v>
      </c>
      <c r="I258" s="83" t="b">
        <v>0</v>
      </c>
      <c r="J258" s="83" t="b">
        <v>0</v>
      </c>
      <c r="K258" s="83" t="b">
        <v>0</v>
      </c>
      <c r="L258" s="83" t="b">
        <v>0</v>
      </c>
    </row>
    <row r="259" spans="1:12" ht="15">
      <c r="A259" s="84" t="s">
        <v>3599</v>
      </c>
      <c r="B259" s="83" t="s">
        <v>3588</v>
      </c>
      <c r="C259" s="83">
        <v>4</v>
      </c>
      <c r="D259" s="110">
        <v>0.0031728777235495373</v>
      </c>
      <c r="E259" s="110">
        <v>2.545307116465824</v>
      </c>
      <c r="F259" s="83" t="s">
        <v>3414</v>
      </c>
      <c r="G259" s="83" t="b">
        <v>0</v>
      </c>
      <c r="H259" s="83" t="b">
        <v>0</v>
      </c>
      <c r="I259" s="83" t="b">
        <v>0</v>
      </c>
      <c r="J259" s="83" t="b">
        <v>0</v>
      </c>
      <c r="K259" s="83" t="b">
        <v>0</v>
      </c>
      <c r="L259" s="83" t="b">
        <v>0</v>
      </c>
    </row>
    <row r="260" spans="1:12" ht="15">
      <c r="A260" s="84" t="s">
        <v>3685</v>
      </c>
      <c r="B260" s="83" t="s">
        <v>3631</v>
      </c>
      <c r="C260" s="83">
        <v>4</v>
      </c>
      <c r="D260" s="110">
        <v>0.0031728777235495373</v>
      </c>
      <c r="E260" s="110">
        <v>2.624488362513449</v>
      </c>
      <c r="F260" s="83" t="s">
        <v>3414</v>
      </c>
      <c r="G260" s="83" t="b">
        <v>0</v>
      </c>
      <c r="H260" s="83" t="b">
        <v>0</v>
      </c>
      <c r="I260" s="83" t="b">
        <v>0</v>
      </c>
      <c r="J260" s="83" t="b">
        <v>0</v>
      </c>
      <c r="K260" s="83" t="b">
        <v>0</v>
      </c>
      <c r="L260" s="83" t="b">
        <v>0</v>
      </c>
    </row>
    <row r="261" spans="1:12" ht="15">
      <c r="A261" s="84" t="s">
        <v>3492</v>
      </c>
      <c r="B261" s="83" t="s">
        <v>3635</v>
      </c>
      <c r="C261" s="83">
        <v>4</v>
      </c>
      <c r="D261" s="110">
        <v>0.0031728777235495373</v>
      </c>
      <c r="E261" s="110">
        <v>2.1126050015345745</v>
      </c>
      <c r="F261" s="83" t="s">
        <v>3414</v>
      </c>
      <c r="G261" s="83" t="b">
        <v>0</v>
      </c>
      <c r="H261" s="83" t="b">
        <v>0</v>
      </c>
      <c r="I261" s="83" t="b">
        <v>0</v>
      </c>
      <c r="J261" s="83" t="b">
        <v>0</v>
      </c>
      <c r="K261" s="83" t="b">
        <v>1</v>
      </c>
      <c r="L261" s="83" t="b">
        <v>0</v>
      </c>
    </row>
    <row r="262" spans="1:12" ht="15">
      <c r="A262" s="84" t="s">
        <v>3513</v>
      </c>
      <c r="B262" s="83" t="s">
        <v>3501</v>
      </c>
      <c r="C262" s="83">
        <v>4</v>
      </c>
      <c r="D262" s="110">
        <v>0.0031728777235495373</v>
      </c>
      <c r="E262" s="110">
        <v>2.369215857410143</v>
      </c>
      <c r="F262" s="83" t="s">
        <v>3414</v>
      </c>
      <c r="G262" s="83" t="b">
        <v>0</v>
      </c>
      <c r="H262" s="83" t="b">
        <v>1</v>
      </c>
      <c r="I262" s="83" t="b">
        <v>0</v>
      </c>
      <c r="J262" s="83" t="b">
        <v>1</v>
      </c>
      <c r="K262" s="83" t="b">
        <v>0</v>
      </c>
      <c r="L262" s="83" t="b">
        <v>0</v>
      </c>
    </row>
    <row r="263" spans="1:12" ht="15">
      <c r="A263" s="84" t="s">
        <v>3457</v>
      </c>
      <c r="B263" s="83" t="s">
        <v>3476</v>
      </c>
      <c r="C263" s="83">
        <v>4</v>
      </c>
      <c r="D263" s="110">
        <v>0.0031728777235495373</v>
      </c>
      <c r="E263" s="110">
        <v>1.247911405456937</v>
      </c>
      <c r="F263" s="83" t="s">
        <v>3414</v>
      </c>
      <c r="G263" s="83" t="b">
        <v>1</v>
      </c>
      <c r="H263" s="83" t="b">
        <v>0</v>
      </c>
      <c r="I263" s="83" t="b">
        <v>0</v>
      </c>
      <c r="J263" s="83" t="b">
        <v>0</v>
      </c>
      <c r="K263" s="83" t="b">
        <v>0</v>
      </c>
      <c r="L263" s="83" t="b">
        <v>0</v>
      </c>
    </row>
    <row r="264" spans="1:12" ht="15">
      <c r="A264" s="84" t="s">
        <v>3487</v>
      </c>
      <c r="B264" s="83" t="s">
        <v>3526</v>
      </c>
      <c r="C264" s="83">
        <v>4</v>
      </c>
      <c r="D264" s="110">
        <v>0.0031728777235495373</v>
      </c>
      <c r="E264" s="110">
        <v>2.03342375548695</v>
      </c>
      <c r="F264" s="83" t="s">
        <v>3414</v>
      </c>
      <c r="G264" s="83" t="b">
        <v>0</v>
      </c>
      <c r="H264" s="83" t="b">
        <v>0</v>
      </c>
      <c r="I264" s="83" t="b">
        <v>0</v>
      </c>
      <c r="J264" s="83" t="b">
        <v>0</v>
      </c>
      <c r="K264" s="83" t="b">
        <v>0</v>
      </c>
      <c r="L264" s="83" t="b">
        <v>0</v>
      </c>
    </row>
    <row r="265" spans="1:12" ht="15">
      <c r="A265" s="84" t="s">
        <v>3630</v>
      </c>
      <c r="B265" s="83" t="s">
        <v>3827</v>
      </c>
      <c r="C265" s="83">
        <v>3</v>
      </c>
      <c r="D265" s="110">
        <v>0.00253447704930193</v>
      </c>
      <c r="E265" s="110">
        <v>2.624488362513449</v>
      </c>
      <c r="F265" s="83" t="s">
        <v>3414</v>
      </c>
      <c r="G265" s="83" t="b">
        <v>1</v>
      </c>
      <c r="H265" s="83" t="b">
        <v>0</v>
      </c>
      <c r="I265" s="83" t="b">
        <v>0</v>
      </c>
      <c r="J265" s="83" t="b">
        <v>0</v>
      </c>
      <c r="K265" s="83" t="b">
        <v>0</v>
      </c>
      <c r="L265" s="83" t="b">
        <v>0</v>
      </c>
    </row>
    <row r="266" spans="1:12" ht="15">
      <c r="A266" s="84" t="s">
        <v>3543</v>
      </c>
      <c r="B266" s="83" t="s">
        <v>3599</v>
      </c>
      <c r="C266" s="83">
        <v>3</v>
      </c>
      <c r="D266" s="110">
        <v>0.00253447704930193</v>
      </c>
      <c r="E266" s="110">
        <v>2.5964596389132053</v>
      </c>
      <c r="F266" s="83" t="s">
        <v>3414</v>
      </c>
      <c r="G266" s="83" t="b">
        <v>0</v>
      </c>
      <c r="H266" s="83" t="b">
        <v>0</v>
      </c>
      <c r="I266" s="83" t="b">
        <v>0</v>
      </c>
      <c r="J266" s="83" t="b">
        <v>0</v>
      </c>
      <c r="K266" s="83" t="b">
        <v>0</v>
      </c>
      <c r="L266" s="83" t="b">
        <v>0</v>
      </c>
    </row>
    <row r="267" spans="1:12" ht="15">
      <c r="A267" s="84" t="s">
        <v>3535</v>
      </c>
      <c r="B267" s="83" t="s">
        <v>3468</v>
      </c>
      <c r="C267" s="83">
        <v>3</v>
      </c>
      <c r="D267" s="110">
        <v>0.00253447704930193</v>
      </c>
      <c r="E267" s="110">
        <v>1.9084850188786497</v>
      </c>
      <c r="F267" s="83" t="s">
        <v>3414</v>
      </c>
      <c r="G267" s="83" t="b">
        <v>0</v>
      </c>
      <c r="H267" s="83" t="b">
        <v>0</v>
      </c>
      <c r="I267" s="83" t="b">
        <v>0</v>
      </c>
      <c r="J267" s="83" t="b">
        <v>0</v>
      </c>
      <c r="K267" s="83" t="b">
        <v>0</v>
      </c>
      <c r="L267" s="83" t="b">
        <v>0</v>
      </c>
    </row>
    <row r="268" spans="1:12" ht="15">
      <c r="A268" s="84" t="s">
        <v>3460</v>
      </c>
      <c r="B268" s="83" t="s">
        <v>3462</v>
      </c>
      <c r="C268" s="83">
        <v>3</v>
      </c>
      <c r="D268" s="110">
        <v>0.00253447704930193</v>
      </c>
      <c r="E268" s="110">
        <v>1.043183592776106</v>
      </c>
      <c r="F268" s="83" t="s">
        <v>3414</v>
      </c>
      <c r="G268" s="83" t="b">
        <v>1</v>
      </c>
      <c r="H268" s="83" t="b">
        <v>0</v>
      </c>
      <c r="I268" s="83" t="b">
        <v>0</v>
      </c>
      <c r="J268" s="83" t="b">
        <v>0</v>
      </c>
      <c r="K268" s="83" t="b">
        <v>0</v>
      </c>
      <c r="L268" s="83" t="b">
        <v>0</v>
      </c>
    </row>
    <row r="269" spans="1:12" ht="15">
      <c r="A269" s="84" t="s">
        <v>3459</v>
      </c>
      <c r="B269" s="83" t="s">
        <v>3464</v>
      </c>
      <c r="C269" s="83">
        <v>3</v>
      </c>
      <c r="D269" s="110">
        <v>0.00253447704930193</v>
      </c>
      <c r="E269" s="110">
        <v>1.458156940746924</v>
      </c>
      <c r="F269" s="83" t="s">
        <v>3414</v>
      </c>
      <c r="G269" s="83" t="b">
        <v>0</v>
      </c>
      <c r="H269" s="83" t="b">
        <v>0</v>
      </c>
      <c r="I269" s="83" t="b">
        <v>0</v>
      </c>
      <c r="J269" s="83" t="b">
        <v>1</v>
      </c>
      <c r="K269" s="83" t="b">
        <v>0</v>
      </c>
      <c r="L269" s="83" t="b">
        <v>0</v>
      </c>
    </row>
    <row r="270" spans="1:12" ht="15">
      <c r="A270" s="84" t="s">
        <v>3780</v>
      </c>
      <c r="B270" s="83" t="s">
        <v>3467</v>
      </c>
      <c r="C270" s="83">
        <v>3</v>
      </c>
      <c r="D270" s="110">
        <v>0.00253447704930193</v>
      </c>
      <c r="E270" s="110">
        <v>2.209515014542631</v>
      </c>
      <c r="F270" s="83" t="s">
        <v>3414</v>
      </c>
      <c r="G270" s="83" t="b">
        <v>0</v>
      </c>
      <c r="H270" s="83" t="b">
        <v>0</v>
      </c>
      <c r="I270" s="83" t="b">
        <v>0</v>
      </c>
      <c r="J270" s="83" t="b">
        <v>0</v>
      </c>
      <c r="K270" s="83" t="b">
        <v>0</v>
      </c>
      <c r="L270" s="83" t="b">
        <v>0</v>
      </c>
    </row>
    <row r="271" spans="1:12" ht="15">
      <c r="A271" s="84" t="s">
        <v>3469</v>
      </c>
      <c r="B271" s="83" t="s">
        <v>3456</v>
      </c>
      <c r="C271" s="83">
        <v>3</v>
      </c>
      <c r="D271" s="110">
        <v>0.00253447704930193</v>
      </c>
      <c r="E271" s="110">
        <v>0.9790660931643571</v>
      </c>
      <c r="F271" s="83" t="s">
        <v>3414</v>
      </c>
      <c r="G271" s="83" t="b">
        <v>1</v>
      </c>
      <c r="H271" s="83" t="b">
        <v>0</v>
      </c>
      <c r="I271" s="83" t="b">
        <v>0</v>
      </c>
      <c r="J271" s="83" t="b">
        <v>1</v>
      </c>
      <c r="K271" s="83" t="b">
        <v>0</v>
      </c>
      <c r="L271" s="83" t="b">
        <v>0</v>
      </c>
    </row>
    <row r="272" spans="1:12" ht="15">
      <c r="A272" s="84" t="s">
        <v>3482</v>
      </c>
      <c r="B272" s="83" t="s">
        <v>3567</v>
      </c>
      <c r="C272" s="83">
        <v>3</v>
      </c>
      <c r="D272" s="110">
        <v>0.00253447704930193</v>
      </c>
      <c r="E272" s="110">
        <v>1.7002090764515672</v>
      </c>
      <c r="F272" s="83" t="s">
        <v>3414</v>
      </c>
      <c r="G272" s="83" t="b">
        <v>0</v>
      </c>
      <c r="H272" s="83" t="b">
        <v>0</v>
      </c>
      <c r="I272" s="83" t="b">
        <v>0</v>
      </c>
      <c r="J272" s="83" t="b">
        <v>0</v>
      </c>
      <c r="K272" s="83" t="b">
        <v>0</v>
      </c>
      <c r="L272" s="83" t="b">
        <v>0</v>
      </c>
    </row>
    <row r="273" spans="1:12" ht="15">
      <c r="A273" s="84" t="s">
        <v>3474</v>
      </c>
      <c r="B273" s="83" t="s">
        <v>3459</v>
      </c>
      <c r="C273" s="83">
        <v>3</v>
      </c>
      <c r="D273" s="110">
        <v>0.00253447704930193</v>
      </c>
      <c r="E273" s="110">
        <v>1.5752703398432673</v>
      </c>
      <c r="F273" s="83" t="s">
        <v>3414</v>
      </c>
      <c r="G273" s="83" t="b">
        <v>0</v>
      </c>
      <c r="H273" s="83" t="b">
        <v>0</v>
      </c>
      <c r="I273" s="83" t="b">
        <v>0</v>
      </c>
      <c r="J273" s="83" t="b">
        <v>0</v>
      </c>
      <c r="K273" s="83" t="b">
        <v>0</v>
      </c>
      <c r="L273" s="83" t="b">
        <v>0</v>
      </c>
    </row>
    <row r="274" spans="1:12" ht="15">
      <c r="A274" s="84" t="s">
        <v>3492</v>
      </c>
      <c r="B274" s="83" t="s">
        <v>3570</v>
      </c>
      <c r="C274" s="83">
        <v>3</v>
      </c>
      <c r="D274" s="110">
        <v>0.00253447704930193</v>
      </c>
      <c r="E274" s="110">
        <v>1.9876662649262746</v>
      </c>
      <c r="F274" s="83" t="s">
        <v>3414</v>
      </c>
      <c r="G274" s="83" t="b">
        <v>0</v>
      </c>
      <c r="H274" s="83" t="b">
        <v>0</v>
      </c>
      <c r="I274" s="83" t="b">
        <v>0</v>
      </c>
      <c r="J274" s="83" t="b">
        <v>0</v>
      </c>
      <c r="K274" s="83" t="b">
        <v>0</v>
      </c>
      <c r="L274" s="83" t="b">
        <v>0</v>
      </c>
    </row>
    <row r="275" spans="1:12" ht="15">
      <c r="A275" s="84" t="s">
        <v>3456</v>
      </c>
      <c r="B275" s="83" t="s">
        <v>3482</v>
      </c>
      <c r="C275" s="83">
        <v>3</v>
      </c>
      <c r="D275" s="110">
        <v>0.00253447704930193</v>
      </c>
      <c r="E275" s="110">
        <v>0.7572173435480006</v>
      </c>
      <c r="F275" s="83" t="s">
        <v>3414</v>
      </c>
      <c r="G275" s="83" t="b">
        <v>1</v>
      </c>
      <c r="H275" s="83" t="b">
        <v>0</v>
      </c>
      <c r="I275" s="83" t="b">
        <v>0</v>
      </c>
      <c r="J275" s="83" t="b">
        <v>0</v>
      </c>
      <c r="K275" s="83" t="b">
        <v>0</v>
      </c>
      <c r="L275" s="83" t="b">
        <v>0</v>
      </c>
    </row>
    <row r="276" spans="1:12" ht="15">
      <c r="A276" s="84" t="s">
        <v>3457</v>
      </c>
      <c r="B276" s="83" t="s">
        <v>3496</v>
      </c>
      <c r="C276" s="83">
        <v>3</v>
      </c>
      <c r="D276" s="110">
        <v>0.00253447704930193</v>
      </c>
      <c r="E276" s="110">
        <v>1.3534215902269109</v>
      </c>
      <c r="F276" s="83" t="s">
        <v>3414</v>
      </c>
      <c r="G276" s="83" t="b">
        <v>1</v>
      </c>
      <c r="H276" s="83" t="b">
        <v>0</v>
      </c>
      <c r="I276" s="83" t="b">
        <v>0</v>
      </c>
      <c r="J276" s="83" t="b">
        <v>0</v>
      </c>
      <c r="K276" s="83" t="b">
        <v>0</v>
      </c>
      <c r="L276" s="83" t="b">
        <v>0</v>
      </c>
    </row>
    <row r="277" spans="1:12" ht="15">
      <c r="A277" s="84" t="s">
        <v>3487</v>
      </c>
      <c r="B277" s="83" t="s">
        <v>3477</v>
      </c>
      <c r="C277" s="83">
        <v>3</v>
      </c>
      <c r="D277" s="110">
        <v>0.00253447704930193</v>
      </c>
      <c r="E277" s="110">
        <v>1.4825162866063686</v>
      </c>
      <c r="F277" s="83" t="s">
        <v>3414</v>
      </c>
      <c r="G277" s="83" t="b">
        <v>0</v>
      </c>
      <c r="H277" s="83" t="b">
        <v>0</v>
      </c>
      <c r="I277" s="83" t="b">
        <v>0</v>
      </c>
      <c r="J277" s="83" t="b">
        <v>0</v>
      </c>
      <c r="K277" s="83" t="b">
        <v>0</v>
      </c>
      <c r="L277" s="83" t="b">
        <v>0</v>
      </c>
    </row>
    <row r="278" spans="1:12" ht="15">
      <c r="A278" s="84" t="s">
        <v>4096</v>
      </c>
      <c r="B278" s="83" t="s">
        <v>3458</v>
      </c>
      <c r="C278" s="83">
        <v>2</v>
      </c>
      <c r="D278" s="110">
        <v>0.00183512122085282</v>
      </c>
      <c r="E278" s="110">
        <v>2.478360326835211</v>
      </c>
      <c r="F278" s="83" t="s">
        <v>3414</v>
      </c>
      <c r="G278" s="83" t="b">
        <v>0</v>
      </c>
      <c r="H278" s="83" t="b">
        <v>0</v>
      </c>
      <c r="I278" s="83" t="b">
        <v>0</v>
      </c>
      <c r="J278" s="83" t="b">
        <v>0</v>
      </c>
      <c r="K278" s="83" t="b">
        <v>0</v>
      </c>
      <c r="L278" s="83" t="b">
        <v>0</v>
      </c>
    </row>
    <row r="279" spans="1:12" ht="15">
      <c r="A279" s="84" t="s">
        <v>3456</v>
      </c>
      <c r="B279" s="83" t="s">
        <v>3496</v>
      </c>
      <c r="C279" s="83">
        <v>2</v>
      </c>
      <c r="D279" s="110">
        <v>0.00183512122085282</v>
      </c>
      <c r="E279" s="110">
        <v>0.8115750058705934</v>
      </c>
      <c r="F279" s="83" t="s">
        <v>3414</v>
      </c>
      <c r="G279" s="83" t="b">
        <v>1</v>
      </c>
      <c r="H279" s="83" t="b">
        <v>0</v>
      </c>
      <c r="I279" s="83" t="b">
        <v>0</v>
      </c>
      <c r="J279" s="83" t="b">
        <v>0</v>
      </c>
      <c r="K279" s="83" t="b">
        <v>0</v>
      </c>
      <c r="L279" s="83" t="b">
        <v>0</v>
      </c>
    </row>
    <row r="280" spans="1:12" ht="15">
      <c r="A280" s="84" t="s">
        <v>3460</v>
      </c>
      <c r="B280" s="83" t="s">
        <v>3525</v>
      </c>
      <c r="C280" s="83">
        <v>2</v>
      </c>
      <c r="D280" s="110">
        <v>0.00183512122085282</v>
      </c>
      <c r="E280" s="110">
        <v>1.4313637641589874</v>
      </c>
      <c r="F280" s="83" t="s">
        <v>3414</v>
      </c>
      <c r="G280" s="83" t="b">
        <v>1</v>
      </c>
      <c r="H280" s="83" t="b">
        <v>0</v>
      </c>
      <c r="I280" s="83" t="b">
        <v>0</v>
      </c>
      <c r="J280" s="83" t="b">
        <v>0</v>
      </c>
      <c r="K280" s="83" t="b">
        <v>0</v>
      </c>
      <c r="L280" s="83" t="b">
        <v>0</v>
      </c>
    </row>
    <row r="281" spans="1:12" ht="15">
      <c r="A281" s="84" t="s">
        <v>3525</v>
      </c>
      <c r="B281" s="83" t="s">
        <v>4010</v>
      </c>
      <c r="C281" s="83">
        <v>2</v>
      </c>
      <c r="D281" s="110">
        <v>0.00183512122085282</v>
      </c>
      <c r="E281" s="110">
        <v>2.624488362513449</v>
      </c>
      <c r="F281" s="83" t="s">
        <v>3414</v>
      </c>
      <c r="G281" s="83" t="b">
        <v>0</v>
      </c>
      <c r="H281" s="83" t="b">
        <v>0</v>
      </c>
      <c r="I281" s="83" t="b">
        <v>0</v>
      </c>
      <c r="J281" s="83" t="b">
        <v>0</v>
      </c>
      <c r="K281" s="83" t="b">
        <v>0</v>
      </c>
      <c r="L281" s="83" t="b">
        <v>0</v>
      </c>
    </row>
    <row r="282" spans="1:12" ht="15">
      <c r="A282" s="84" t="s">
        <v>3485</v>
      </c>
      <c r="B282" s="83" t="s">
        <v>3550</v>
      </c>
      <c r="C282" s="83">
        <v>2</v>
      </c>
      <c r="D282" s="110">
        <v>0.00183512122085282</v>
      </c>
      <c r="E282" s="110">
        <v>1.6654469701923553</v>
      </c>
      <c r="F282" s="83" t="s">
        <v>3414</v>
      </c>
      <c r="G282" s="83" t="b">
        <v>0</v>
      </c>
      <c r="H282" s="83" t="b">
        <v>0</v>
      </c>
      <c r="I282" s="83" t="b">
        <v>0</v>
      </c>
      <c r="J282" s="83" t="b">
        <v>0</v>
      </c>
      <c r="K282" s="83" t="b">
        <v>0</v>
      </c>
      <c r="L282" s="83" t="b">
        <v>0</v>
      </c>
    </row>
    <row r="283" spans="1:12" ht="15">
      <c r="A283" s="84" t="s">
        <v>3456</v>
      </c>
      <c r="B283" s="83" t="s">
        <v>3474</v>
      </c>
      <c r="C283" s="83">
        <v>2</v>
      </c>
      <c r="D283" s="110">
        <v>0.00183512122085282</v>
      </c>
      <c r="E283" s="110">
        <v>1.0334237554869496</v>
      </c>
      <c r="F283" s="83" t="s">
        <v>3414</v>
      </c>
      <c r="G283" s="83" t="b">
        <v>1</v>
      </c>
      <c r="H283" s="83" t="b">
        <v>0</v>
      </c>
      <c r="I283" s="83" t="b">
        <v>0</v>
      </c>
      <c r="J283" s="83" t="b">
        <v>0</v>
      </c>
      <c r="K283" s="83" t="b">
        <v>0</v>
      </c>
      <c r="L283" s="83" t="b">
        <v>0</v>
      </c>
    </row>
    <row r="284" spans="1:12" ht="15">
      <c r="A284" s="84" t="s">
        <v>3485</v>
      </c>
      <c r="B284" s="83" t="s">
        <v>3683</v>
      </c>
      <c r="C284" s="83">
        <v>2</v>
      </c>
      <c r="D284" s="110">
        <v>0.00183512122085282</v>
      </c>
      <c r="E284" s="110">
        <v>2.03342375548695</v>
      </c>
      <c r="F284" s="83" t="s">
        <v>3414</v>
      </c>
      <c r="G284" s="83" t="b">
        <v>0</v>
      </c>
      <c r="H284" s="83" t="b">
        <v>0</v>
      </c>
      <c r="I284" s="83" t="b">
        <v>0</v>
      </c>
      <c r="J284" s="83" t="b">
        <v>0</v>
      </c>
      <c r="K284" s="83" t="b">
        <v>0</v>
      </c>
      <c r="L284" s="83" t="b">
        <v>0</v>
      </c>
    </row>
    <row r="285" spans="1:12" ht="15">
      <c r="A285" s="84" t="s">
        <v>3456</v>
      </c>
      <c r="B285" s="83" t="s">
        <v>3783</v>
      </c>
      <c r="C285" s="83">
        <v>2</v>
      </c>
      <c r="D285" s="110">
        <v>0.00183512122085282</v>
      </c>
      <c r="E285" s="110">
        <v>1.334453751150931</v>
      </c>
      <c r="F285" s="83" t="s">
        <v>3414</v>
      </c>
      <c r="G285" s="83" t="b">
        <v>1</v>
      </c>
      <c r="H285" s="83" t="b">
        <v>0</v>
      </c>
      <c r="I285" s="83" t="b">
        <v>0</v>
      </c>
      <c r="J285" s="83" t="b">
        <v>0</v>
      </c>
      <c r="K285" s="83" t="b">
        <v>0</v>
      </c>
      <c r="L285" s="83" t="b">
        <v>0</v>
      </c>
    </row>
    <row r="286" spans="1:12" ht="15">
      <c r="A286" s="84" t="s">
        <v>3783</v>
      </c>
      <c r="B286" s="83" t="s">
        <v>4007</v>
      </c>
      <c r="C286" s="83">
        <v>2</v>
      </c>
      <c r="D286" s="110">
        <v>0.00183512122085282</v>
      </c>
      <c r="E286" s="110">
        <v>2.846337112129805</v>
      </c>
      <c r="F286" s="83" t="s">
        <v>3414</v>
      </c>
      <c r="G286" s="83" t="b">
        <v>0</v>
      </c>
      <c r="H286" s="83" t="b">
        <v>0</v>
      </c>
      <c r="I286" s="83" t="b">
        <v>0</v>
      </c>
      <c r="J286" s="83" t="b">
        <v>0</v>
      </c>
      <c r="K286" s="83" t="b">
        <v>1</v>
      </c>
      <c r="L286" s="83" t="b">
        <v>0</v>
      </c>
    </row>
    <row r="287" spans="1:12" ht="15">
      <c r="A287" s="84" t="s">
        <v>4007</v>
      </c>
      <c r="B287" s="83" t="s">
        <v>3786</v>
      </c>
      <c r="C287" s="83">
        <v>2</v>
      </c>
      <c r="D287" s="110">
        <v>0.00183512122085282</v>
      </c>
      <c r="E287" s="110">
        <v>2.846337112129805</v>
      </c>
      <c r="F287" s="83" t="s">
        <v>3414</v>
      </c>
      <c r="G287" s="83" t="b">
        <v>0</v>
      </c>
      <c r="H287" s="83" t="b">
        <v>1</v>
      </c>
      <c r="I287" s="83" t="b">
        <v>0</v>
      </c>
      <c r="J287" s="83" t="b">
        <v>0</v>
      </c>
      <c r="K287" s="83" t="b">
        <v>0</v>
      </c>
      <c r="L287" s="83" t="b">
        <v>0</v>
      </c>
    </row>
    <row r="288" spans="1:12" ht="15">
      <c r="A288" s="84" t="s">
        <v>3585</v>
      </c>
      <c r="B288" s="83" t="s">
        <v>3456</v>
      </c>
      <c r="C288" s="83">
        <v>2</v>
      </c>
      <c r="D288" s="110">
        <v>0.00183512122085282</v>
      </c>
      <c r="E288" s="110">
        <v>1.3148581950875502</v>
      </c>
      <c r="F288" s="83" t="s">
        <v>3414</v>
      </c>
      <c r="G288" s="83" t="b">
        <v>0</v>
      </c>
      <c r="H288" s="83" t="b">
        <v>0</v>
      </c>
      <c r="I288" s="83" t="b">
        <v>0</v>
      </c>
      <c r="J288" s="83" t="b">
        <v>1</v>
      </c>
      <c r="K288" s="83" t="b">
        <v>0</v>
      </c>
      <c r="L288" s="83" t="b">
        <v>0</v>
      </c>
    </row>
    <row r="289" spans="1:12" ht="15">
      <c r="A289" s="84" t="s">
        <v>3627</v>
      </c>
      <c r="B289" s="83" t="s">
        <v>4019</v>
      </c>
      <c r="C289" s="83">
        <v>2</v>
      </c>
      <c r="D289" s="110">
        <v>0.00183512122085282</v>
      </c>
      <c r="E289" s="110">
        <v>2.624488362513449</v>
      </c>
      <c r="F289" s="83" t="s">
        <v>3414</v>
      </c>
      <c r="G289" s="83" t="b">
        <v>0</v>
      </c>
      <c r="H289" s="83" t="b">
        <v>0</v>
      </c>
      <c r="I289" s="83" t="b">
        <v>0</v>
      </c>
      <c r="J289" s="83" t="b">
        <v>0</v>
      </c>
      <c r="K289" s="83" t="b">
        <v>0</v>
      </c>
      <c r="L289" s="83" t="b">
        <v>0</v>
      </c>
    </row>
    <row r="290" spans="1:12" ht="15">
      <c r="A290" s="84" t="s">
        <v>3482</v>
      </c>
      <c r="B290" s="83" t="s">
        <v>3547</v>
      </c>
      <c r="C290" s="83">
        <v>2</v>
      </c>
      <c r="D290" s="110">
        <v>0.00183512122085282</v>
      </c>
      <c r="E290" s="110">
        <v>1.670245853074124</v>
      </c>
      <c r="F290" s="83" t="s">
        <v>3414</v>
      </c>
      <c r="G290" s="83" t="b">
        <v>0</v>
      </c>
      <c r="H290" s="83" t="b">
        <v>0</v>
      </c>
      <c r="I290" s="83" t="b">
        <v>0</v>
      </c>
      <c r="J290" s="83" t="b">
        <v>1</v>
      </c>
      <c r="K290" s="83" t="b">
        <v>0</v>
      </c>
      <c r="L290" s="83" t="b">
        <v>0</v>
      </c>
    </row>
    <row r="291" spans="1:12" ht="15">
      <c r="A291" s="84" t="s">
        <v>3457</v>
      </c>
      <c r="B291" s="83" t="s">
        <v>3554</v>
      </c>
      <c r="C291" s="83">
        <v>2</v>
      </c>
      <c r="D291" s="110">
        <v>0.00183512122085282</v>
      </c>
      <c r="E291" s="110">
        <v>1.3991790807875861</v>
      </c>
      <c r="F291" s="83" t="s">
        <v>3414</v>
      </c>
      <c r="G291" s="83" t="b">
        <v>1</v>
      </c>
      <c r="H291" s="83" t="b">
        <v>0</v>
      </c>
      <c r="I291" s="83" t="b">
        <v>0</v>
      </c>
      <c r="J291" s="83" t="b">
        <v>0</v>
      </c>
      <c r="K291" s="83" t="b">
        <v>0</v>
      </c>
      <c r="L291" s="83" t="b">
        <v>0</v>
      </c>
    </row>
    <row r="292" spans="1:12" ht="15">
      <c r="A292" s="84" t="s">
        <v>3463</v>
      </c>
      <c r="B292" s="83" t="s">
        <v>3483</v>
      </c>
      <c r="C292" s="83">
        <v>2</v>
      </c>
      <c r="D292" s="110">
        <v>0.00183512122085282</v>
      </c>
      <c r="E292" s="110">
        <v>1.1139433523068367</v>
      </c>
      <c r="F292" s="83" t="s">
        <v>3414</v>
      </c>
      <c r="G292" s="83" t="b">
        <v>1</v>
      </c>
      <c r="H292" s="83" t="b">
        <v>0</v>
      </c>
      <c r="I292" s="83" t="b">
        <v>0</v>
      </c>
      <c r="J292" s="83" t="b">
        <v>0</v>
      </c>
      <c r="K292" s="83" t="b">
        <v>0</v>
      </c>
      <c r="L292" s="83" t="b">
        <v>0</v>
      </c>
    </row>
    <row r="293" spans="1:12" ht="15">
      <c r="A293" s="84" t="s">
        <v>3486</v>
      </c>
      <c r="B293" s="83" t="s">
        <v>3476</v>
      </c>
      <c r="C293" s="83">
        <v>2</v>
      </c>
      <c r="D293" s="110">
        <v>0.00183512122085282</v>
      </c>
      <c r="E293" s="110">
        <v>1.7919794498072126</v>
      </c>
      <c r="F293" s="83" t="s">
        <v>3414</v>
      </c>
      <c r="G293" s="83" t="b">
        <v>1</v>
      </c>
      <c r="H293" s="83" t="b">
        <v>0</v>
      </c>
      <c r="I293" s="83" t="b">
        <v>0</v>
      </c>
      <c r="J293" s="83" t="b">
        <v>0</v>
      </c>
      <c r="K293" s="83" t="b">
        <v>0</v>
      </c>
      <c r="L293" s="83" t="b">
        <v>0</v>
      </c>
    </row>
    <row r="294" spans="1:12" ht="15">
      <c r="A294" s="84" t="s">
        <v>3456</v>
      </c>
      <c r="B294" s="83" t="s">
        <v>3473</v>
      </c>
      <c r="C294" s="83">
        <v>2</v>
      </c>
      <c r="D294" s="110">
        <v>0.00183512122085282</v>
      </c>
      <c r="E294" s="110">
        <v>0.7323937598229685</v>
      </c>
      <c r="F294" s="83" t="s">
        <v>3414</v>
      </c>
      <c r="G294" s="83" t="b">
        <v>1</v>
      </c>
      <c r="H294" s="83" t="b">
        <v>0</v>
      </c>
      <c r="I294" s="83" t="b">
        <v>0</v>
      </c>
      <c r="J294" s="83" t="b">
        <v>0</v>
      </c>
      <c r="K294" s="83" t="b">
        <v>0</v>
      </c>
      <c r="L294" s="83" t="b">
        <v>0</v>
      </c>
    </row>
    <row r="295" spans="1:12" ht="15">
      <c r="A295" s="84" t="s">
        <v>3456</v>
      </c>
      <c r="B295" s="83" t="s">
        <v>4053</v>
      </c>
      <c r="C295" s="83">
        <v>2</v>
      </c>
      <c r="D295" s="110">
        <v>0.00183512122085282</v>
      </c>
      <c r="E295" s="110">
        <v>1.5105450102066122</v>
      </c>
      <c r="F295" s="83" t="s">
        <v>3414</v>
      </c>
      <c r="G295" s="83" t="b">
        <v>1</v>
      </c>
      <c r="H295" s="83" t="b">
        <v>0</v>
      </c>
      <c r="I295" s="83" t="b">
        <v>0</v>
      </c>
      <c r="J295" s="83" t="b">
        <v>0</v>
      </c>
      <c r="K295" s="83" t="b">
        <v>0</v>
      </c>
      <c r="L295" s="83" t="b">
        <v>0</v>
      </c>
    </row>
    <row r="296" spans="1:12" ht="15">
      <c r="A296" s="84" t="s">
        <v>4053</v>
      </c>
      <c r="B296" s="83" t="s">
        <v>3692</v>
      </c>
      <c r="C296" s="83">
        <v>2</v>
      </c>
      <c r="D296" s="110">
        <v>0.00183512122085282</v>
      </c>
      <c r="E296" s="110">
        <v>3.0224283711854865</v>
      </c>
      <c r="F296" s="83" t="s">
        <v>3414</v>
      </c>
      <c r="G296" s="83" t="b">
        <v>0</v>
      </c>
      <c r="H296" s="83" t="b">
        <v>0</v>
      </c>
      <c r="I296" s="83" t="b">
        <v>0</v>
      </c>
      <c r="J296" s="83" t="b">
        <v>0</v>
      </c>
      <c r="K296" s="83" t="b">
        <v>0</v>
      </c>
      <c r="L296" s="83" t="b">
        <v>0</v>
      </c>
    </row>
    <row r="297" spans="1:12" ht="15">
      <c r="A297" s="84" t="s">
        <v>3692</v>
      </c>
      <c r="B297" s="83" t="s">
        <v>3524</v>
      </c>
      <c r="C297" s="83">
        <v>2</v>
      </c>
      <c r="D297" s="110">
        <v>0.00183512122085282</v>
      </c>
      <c r="E297" s="110">
        <v>3.0224283711854865</v>
      </c>
      <c r="F297" s="83" t="s">
        <v>3414</v>
      </c>
      <c r="G297" s="83" t="b">
        <v>0</v>
      </c>
      <c r="H297" s="83" t="b">
        <v>0</v>
      </c>
      <c r="I297" s="83" t="b">
        <v>0</v>
      </c>
      <c r="J297" s="83" t="b">
        <v>0</v>
      </c>
      <c r="K297" s="83" t="b">
        <v>0</v>
      </c>
      <c r="L297" s="83" t="b">
        <v>0</v>
      </c>
    </row>
    <row r="298" spans="1:12" ht="15">
      <c r="A298" s="84" t="s">
        <v>3524</v>
      </c>
      <c r="B298" s="83" t="s">
        <v>3811</v>
      </c>
      <c r="C298" s="83">
        <v>2</v>
      </c>
      <c r="D298" s="110">
        <v>0.00183512122085282</v>
      </c>
      <c r="E298" s="110">
        <v>3.0224283711854865</v>
      </c>
      <c r="F298" s="83" t="s">
        <v>3414</v>
      </c>
      <c r="G298" s="83" t="b">
        <v>0</v>
      </c>
      <c r="H298" s="83" t="b">
        <v>0</v>
      </c>
      <c r="I298" s="83" t="b">
        <v>0</v>
      </c>
      <c r="J298" s="83" t="b">
        <v>0</v>
      </c>
      <c r="K298" s="83" t="b">
        <v>0</v>
      </c>
      <c r="L298" s="83" t="b">
        <v>0</v>
      </c>
    </row>
    <row r="299" spans="1:12" ht="15">
      <c r="A299" s="84" t="s">
        <v>3811</v>
      </c>
      <c r="B299" s="83" t="s">
        <v>4054</v>
      </c>
      <c r="C299" s="83">
        <v>2</v>
      </c>
      <c r="D299" s="110">
        <v>0.00183512122085282</v>
      </c>
      <c r="E299" s="110">
        <v>2.846337112129805</v>
      </c>
      <c r="F299" s="83" t="s">
        <v>3414</v>
      </c>
      <c r="G299" s="83" t="b">
        <v>0</v>
      </c>
      <c r="H299" s="83" t="b">
        <v>0</v>
      </c>
      <c r="I299" s="83" t="b">
        <v>0</v>
      </c>
      <c r="J299" s="83" t="b">
        <v>0</v>
      </c>
      <c r="K299" s="83" t="b">
        <v>0</v>
      </c>
      <c r="L299" s="83" t="b">
        <v>0</v>
      </c>
    </row>
    <row r="300" spans="1:12" ht="15">
      <c r="A300" s="84" t="s">
        <v>4054</v>
      </c>
      <c r="B300" s="83" t="s">
        <v>3681</v>
      </c>
      <c r="C300" s="83">
        <v>2</v>
      </c>
      <c r="D300" s="110">
        <v>0.00183512122085282</v>
      </c>
      <c r="E300" s="110">
        <v>2.846337112129805</v>
      </c>
      <c r="F300" s="83" t="s">
        <v>3414</v>
      </c>
      <c r="G300" s="83" t="b">
        <v>0</v>
      </c>
      <c r="H300" s="83" t="b">
        <v>0</v>
      </c>
      <c r="I300" s="83" t="b">
        <v>0</v>
      </c>
      <c r="J300" s="83" t="b">
        <v>0</v>
      </c>
      <c r="K300" s="83" t="b">
        <v>0</v>
      </c>
      <c r="L300" s="83" t="b">
        <v>0</v>
      </c>
    </row>
    <row r="301" spans="1:12" ht="15">
      <c r="A301" s="84" t="s">
        <v>3681</v>
      </c>
      <c r="B301" s="83" t="s">
        <v>4055</v>
      </c>
      <c r="C301" s="83">
        <v>2</v>
      </c>
      <c r="D301" s="110">
        <v>0.00183512122085282</v>
      </c>
      <c r="E301" s="110">
        <v>2.846337112129805</v>
      </c>
      <c r="F301" s="83" t="s">
        <v>3414</v>
      </c>
      <c r="G301" s="83" t="b">
        <v>0</v>
      </c>
      <c r="H301" s="83" t="b">
        <v>0</v>
      </c>
      <c r="I301" s="83" t="b">
        <v>0</v>
      </c>
      <c r="J301" s="83" t="b">
        <v>0</v>
      </c>
      <c r="K301" s="83" t="b">
        <v>0</v>
      </c>
      <c r="L301" s="83" t="b">
        <v>0</v>
      </c>
    </row>
    <row r="302" spans="1:12" ht="15">
      <c r="A302" s="84" t="s">
        <v>4055</v>
      </c>
      <c r="B302" s="83" t="s">
        <v>3768</v>
      </c>
      <c r="C302" s="83">
        <v>2</v>
      </c>
      <c r="D302" s="110">
        <v>0.00183512122085282</v>
      </c>
      <c r="E302" s="110">
        <v>3.0224283711854865</v>
      </c>
      <c r="F302" s="83" t="s">
        <v>3414</v>
      </c>
      <c r="G302" s="83" t="b">
        <v>0</v>
      </c>
      <c r="H302" s="83" t="b">
        <v>0</v>
      </c>
      <c r="I302" s="83" t="b">
        <v>0</v>
      </c>
      <c r="J302" s="83" t="b">
        <v>0</v>
      </c>
      <c r="K302" s="83" t="b">
        <v>0</v>
      </c>
      <c r="L302" s="83" t="b">
        <v>0</v>
      </c>
    </row>
    <row r="303" spans="1:12" ht="15">
      <c r="A303" s="84" t="s">
        <v>3768</v>
      </c>
      <c r="B303" s="83" t="s">
        <v>3462</v>
      </c>
      <c r="C303" s="83">
        <v>2</v>
      </c>
      <c r="D303" s="110">
        <v>0.00183512122085282</v>
      </c>
      <c r="E303" s="110">
        <v>1.9810356860272615</v>
      </c>
      <c r="F303" s="83" t="s">
        <v>3414</v>
      </c>
      <c r="G303" s="83" t="b">
        <v>0</v>
      </c>
      <c r="H303" s="83" t="b">
        <v>0</v>
      </c>
      <c r="I303" s="83" t="b">
        <v>0</v>
      </c>
      <c r="J303" s="83" t="b">
        <v>0</v>
      </c>
      <c r="K303" s="83" t="b">
        <v>0</v>
      </c>
      <c r="L303" s="83" t="b">
        <v>0</v>
      </c>
    </row>
    <row r="304" spans="1:12" ht="15">
      <c r="A304" s="84" t="s">
        <v>3462</v>
      </c>
      <c r="B304" s="83" t="s">
        <v>3483</v>
      </c>
      <c r="C304" s="83">
        <v>2</v>
      </c>
      <c r="D304" s="110">
        <v>0.00183512122085282</v>
      </c>
      <c r="E304" s="110">
        <v>1.130333768495006</v>
      </c>
      <c r="F304" s="83" t="s">
        <v>3414</v>
      </c>
      <c r="G304" s="83" t="b">
        <v>0</v>
      </c>
      <c r="H304" s="83" t="b">
        <v>0</v>
      </c>
      <c r="I304" s="83" t="b">
        <v>0</v>
      </c>
      <c r="J304" s="83" t="b">
        <v>0</v>
      </c>
      <c r="K304" s="83" t="b">
        <v>0</v>
      </c>
      <c r="L304" s="83" t="b">
        <v>0</v>
      </c>
    </row>
    <row r="305" spans="1:12" ht="15">
      <c r="A305" s="84" t="s">
        <v>3483</v>
      </c>
      <c r="B305" s="83" t="s">
        <v>3680</v>
      </c>
      <c r="C305" s="83">
        <v>2</v>
      </c>
      <c r="D305" s="110">
        <v>0.00183512122085282</v>
      </c>
      <c r="E305" s="110">
        <v>2.1059744226355614</v>
      </c>
      <c r="F305" s="83" t="s">
        <v>3414</v>
      </c>
      <c r="G305" s="83" t="b">
        <v>0</v>
      </c>
      <c r="H305" s="83" t="b">
        <v>0</v>
      </c>
      <c r="I305" s="83" t="b">
        <v>0</v>
      </c>
      <c r="J305" s="83" t="b">
        <v>0</v>
      </c>
      <c r="K305" s="83" t="b">
        <v>0</v>
      </c>
      <c r="L305" s="83" t="b">
        <v>0</v>
      </c>
    </row>
    <row r="306" spans="1:12" ht="15">
      <c r="A306" s="84" t="s">
        <v>3680</v>
      </c>
      <c r="B306" s="83" t="s">
        <v>4056</v>
      </c>
      <c r="C306" s="83">
        <v>2</v>
      </c>
      <c r="D306" s="110">
        <v>0.00183512122085282</v>
      </c>
      <c r="E306" s="110">
        <v>2.846337112129805</v>
      </c>
      <c r="F306" s="83" t="s">
        <v>3414</v>
      </c>
      <c r="G306" s="83" t="b">
        <v>0</v>
      </c>
      <c r="H306" s="83" t="b">
        <v>0</v>
      </c>
      <c r="I306" s="83" t="b">
        <v>0</v>
      </c>
      <c r="J306" s="83" t="b">
        <v>0</v>
      </c>
      <c r="K306" s="83" t="b">
        <v>0</v>
      </c>
      <c r="L306" s="83" t="b">
        <v>0</v>
      </c>
    </row>
    <row r="307" spans="1:12" ht="15">
      <c r="A307" s="84" t="s">
        <v>4056</v>
      </c>
      <c r="B307" s="83" t="s">
        <v>3617</v>
      </c>
      <c r="C307" s="83">
        <v>2</v>
      </c>
      <c r="D307" s="110">
        <v>0.00183512122085282</v>
      </c>
      <c r="E307" s="110">
        <v>2.846337112129805</v>
      </c>
      <c r="F307" s="83" t="s">
        <v>3414</v>
      </c>
      <c r="G307" s="83" t="b">
        <v>0</v>
      </c>
      <c r="H307" s="83" t="b">
        <v>0</v>
      </c>
      <c r="I307" s="83" t="b">
        <v>0</v>
      </c>
      <c r="J307" s="83" t="b">
        <v>0</v>
      </c>
      <c r="K307" s="83" t="b">
        <v>0</v>
      </c>
      <c r="L307" s="83" t="b">
        <v>0</v>
      </c>
    </row>
    <row r="308" spans="1:12" ht="15">
      <c r="A308" s="84" t="s">
        <v>3493</v>
      </c>
      <c r="B308" s="83" t="s">
        <v>4059</v>
      </c>
      <c r="C308" s="83">
        <v>2</v>
      </c>
      <c r="D308" s="110">
        <v>0.00183512122085282</v>
      </c>
      <c r="E308" s="110">
        <v>2.2095150145426308</v>
      </c>
      <c r="F308" s="83" t="s">
        <v>3414</v>
      </c>
      <c r="G308" s="83" t="b">
        <v>0</v>
      </c>
      <c r="H308" s="83" t="b">
        <v>0</v>
      </c>
      <c r="I308" s="83" t="b">
        <v>0</v>
      </c>
      <c r="J308" s="83" t="b">
        <v>0</v>
      </c>
      <c r="K308" s="83" t="b">
        <v>0</v>
      </c>
      <c r="L308" s="83" t="b">
        <v>0</v>
      </c>
    </row>
    <row r="309" spans="1:12" ht="15">
      <c r="A309" s="84" t="s">
        <v>3815</v>
      </c>
      <c r="B309" s="83" t="s">
        <v>4064</v>
      </c>
      <c r="C309" s="83">
        <v>2</v>
      </c>
      <c r="D309" s="110">
        <v>0.00183512122085282</v>
      </c>
      <c r="E309" s="110">
        <v>3.0224283711854865</v>
      </c>
      <c r="F309" s="83" t="s">
        <v>3414</v>
      </c>
      <c r="G309" s="83" t="b">
        <v>0</v>
      </c>
      <c r="H309" s="83" t="b">
        <v>0</v>
      </c>
      <c r="I309" s="83" t="b">
        <v>0</v>
      </c>
      <c r="J309" s="83" t="b">
        <v>0</v>
      </c>
      <c r="K309" s="83" t="b">
        <v>0</v>
      </c>
      <c r="L309" s="83" t="b">
        <v>0</v>
      </c>
    </row>
    <row r="310" spans="1:12" ht="15">
      <c r="A310" s="84" t="s">
        <v>3570</v>
      </c>
      <c r="B310" s="83" t="s">
        <v>3514</v>
      </c>
      <c r="C310" s="83">
        <v>2</v>
      </c>
      <c r="D310" s="110">
        <v>0.00183512122085282</v>
      </c>
      <c r="E310" s="110">
        <v>2.1473671077937864</v>
      </c>
      <c r="F310" s="83" t="s">
        <v>3414</v>
      </c>
      <c r="G310" s="83" t="b">
        <v>0</v>
      </c>
      <c r="H310" s="83" t="b">
        <v>0</v>
      </c>
      <c r="I310" s="83" t="b">
        <v>0</v>
      </c>
      <c r="J310" s="83" t="b">
        <v>1</v>
      </c>
      <c r="K310" s="83" t="b">
        <v>0</v>
      </c>
      <c r="L310" s="83" t="b">
        <v>0</v>
      </c>
    </row>
    <row r="311" spans="1:12" ht="15">
      <c r="A311" s="84" t="s">
        <v>3456</v>
      </c>
      <c r="B311" s="83" t="s">
        <v>3456</v>
      </c>
      <c r="C311" s="83">
        <v>2</v>
      </c>
      <c r="D311" s="110">
        <v>0.00183512122085282</v>
      </c>
      <c r="E311" s="110">
        <v>0.10400482977265701</v>
      </c>
      <c r="F311" s="83" t="s">
        <v>3414</v>
      </c>
      <c r="G311" s="83" t="b">
        <v>1</v>
      </c>
      <c r="H311" s="83" t="b">
        <v>0</v>
      </c>
      <c r="I311" s="83" t="b">
        <v>0</v>
      </c>
      <c r="J311" s="83" t="b">
        <v>1</v>
      </c>
      <c r="K311" s="83" t="b">
        <v>0</v>
      </c>
      <c r="L311" s="83" t="b">
        <v>0</v>
      </c>
    </row>
    <row r="312" spans="1:12" ht="15">
      <c r="A312" s="84" t="s">
        <v>3493</v>
      </c>
      <c r="B312" s="83" t="s">
        <v>3456</v>
      </c>
      <c r="C312" s="83">
        <v>2</v>
      </c>
      <c r="D312" s="110">
        <v>0.00183512122085282</v>
      </c>
      <c r="E312" s="110">
        <v>0.8029748341086759</v>
      </c>
      <c r="F312" s="83" t="s">
        <v>3414</v>
      </c>
      <c r="G312" s="83" t="b">
        <v>0</v>
      </c>
      <c r="H312" s="83" t="b">
        <v>0</v>
      </c>
      <c r="I312" s="83" t="b">
        <v>0</v>
      </c>
      <c r="J312" s="83" t="b">
        <v>1</v>
      </c>
      <c r="K312" s="83" t="b">
        <v>0</v>
      </c>
      <c r="L312" s="83" t="b">
        <v>0</v>
      </c>
    </row>
    <row r="313" spans="1:12" ht="15">
      <c r="A313" s="84" t="s">
        <v>3502</v>
      </c>
      <c r="B313" s="83" t="s">
        <v>3456</v>
      </c>
      <c r="C313" s="83">
        <v>2</v>
      </c>
      <c r="D313" s="110">
        <v>0.00183512122085282</v>
      </c>
      <c r="E313" s="110">
        <v>0.9626756769761876</v>
      </c>
      <c r="F313" s="83" t="s">
        <v>3414</v>
      </c>
      <c r="G313" s="83" t="b">
        <v>0</v>
      </c>
      <c r="H313" s="83" t="b">
        <v>0</v>
      </c>
      <c r="I313" s="83" t="b">
        <v>0</v>
      </c>
      <c r="J313" s="83" t="b">
        <v>1</v>
      </c>
      <c r="K313" s="83" t="b">
        <v>0</v>
      </c>
      <c r="L313" s="83" t="b">
        <v>0</v>
      </c>
    </row>
    <row r="314" spans="1:12" ht="15">
      <c r="A314" s="84" t="s">
        <v>3603</v>
      </c>
      <c r="B314" s="83" t="s">
        <v>3653</v>
      </c>
      <c r="C314" s="83">
        <v>2</v>
      </c>
      <c r="D314" s="110">
        <v>0.00183512122085282</v>
      </c>
      <c r="E314" s="110">
        <v>2.846337112129805</v>
      </c>
      <c r="F314" s="83" t="s">
        <v>3414</v>
      </c>
      <c r="G314" s="83" t="b">
        <v>0</v>
      </c>
      <c r="H314" s="83" t="b">
        <v>0</v>
      </c>
      <c r="I314" s="83" t="b">
        <v>0</v>
      </c>
      <c r="J314" s="83" t="b">
        <v>0</v>
      </c>
      <c r="K314" s="83" t="b">
        <v>0</v>
      </c>
      <c r="L314" s="83" t="b">
        <v>0</v>
      </c>
    </row>
    <row r="315" spans="1:12" ht="15">
      <c r="A315" s="84" t="s">
        <v>3473</v>
      </c>
      <c r="B315" s="83" t="s">
        <v>3471</v>
      </c>
      <c r="C315" s="83">
        <v>2</v>
      </c>
      <c r="D315" s="110">
        <v>0.00183512122085282</v>
      </c>
      <c r="E315" s="110">
        <v>1.209515014542631</v>
      </c>
      <c r="F315" s="83" t="s">
        <v>3414</v>
      </c>
      <c r="G315" s="83" t="b">
        <v>0</v>
      </c>
      <c r="H315" s="83" t="b">
        <v>0</v>
      </c>
      <c r="I315" s="83" t="b">
        <v>0</v>
      </c>
      <c r="J315" s="83" t="b">
        <v>1</v>
      </c>
      <c r="K315" s="83" t="b">
        <v>0</v>
      </c>
      <c r="L315" s="83" t="b">
        <v>0</v>
      </c>
    </row>
    <row r="316" spans="1:12" ht="15">
      <c r="A316" s="84" t="s">
        <v>3596</v>
      </c>
      <c r="B316" s="83" t="s">
        <v>3498</v>
      </c>
      <c r="C316" s="83">
        <v>2</v>
      </c>
      <c r="D316" s="110">
        <v>0.00183512122085282</v>
      </c>
      <c r="E316" s="110">
        <v>2.119338384193543</v>
      </c>
      <c r="F316" s="83" t="s">
        <v>3414</v>
      </c>
      <c r="G316" s="83" t="b">
        <v>0</v>
      </c>
      <c r="H316" s="83" t="b">
        <v>0</v>
      </c>
      <c r="I316" s="83" t="b">
        <v>0</v>
      </c>
      <c r="J316" s="83" t="b">
        <v>0</v>
      </c>
      <c r="K316" s="83" t="b">
        <v>0</v>
      </c>
      <c r="L316" s="83" t="b">
        <v>0</v>
      </c>
    </row>
    <row r="317" spans="1:12" ht="15">
      <c r="A317" s="84" t="s">
        <v>3499</v>
      </c>
      <c r="B317" s="83" t="s">
        <v>3456</v>
      </c>
      <c r="C317" s="83">
        <v>2</v>
      </c>
      <c r="D317" s="110">
        <v>0.00183512122085282</v>
      </c>
      <c r="E317" s="110">
        <v>0.8755255012572876</v>
      </c>
      <c r="F317" s="83" t="s">
        <v>3414</v>
      </c>
      <c r="G317" s="83" t="b">
        <v>0</v>
      </c>
      <c r="H317" s="83" t="b">
        <v>0</v>
      </c>
      <c r="I317" s="83" t="b">
        <v>0</v>
      </c>
      <c r="J317" s="83" t="b">
        <v>1</v>
      </c>
      <c r="K317" s="83" t="b">
        <v>0</v>
      </c>
      <c r="L317" s="83" t="b">
        <v>0</v>
      </c>
    </row>
    <row r="318" spans="1:12" ht="15">
      <c r="A318" s="84" t="s">
        <v>3587</v>
      </c>
      <c r="B318" s="83" t="s">
        <v>3470</v>
      </c>
      <c r="C318" s="83">
        <v>2</v>
      </c>
      <c r="D318" s="110">
        <v>0.00183512122085282</v>
      </c>
      <c r="E318" s="110">
        <v>1.7436747702326576</v>
      </c>
      <c r="F318" s="83" t="s">
        <v>3414</v>
      </c>
      <c r="G318" s="83" t="b">
        <v>0</v>
      </c>
      <c r="H318" s="83" t="b">
        <v>0</v>
      </c>
      <c r="I318" s="83" t="b">
        <v>0</v>
      </c>
      <c r="J318" s="83" t="b">
        <v>0</v>
      </c>
      <c r="K318" s="83" t="b">
        <v>0</v>
      </c>
      <c r="L318" s="83" t="b">
        <v>0</v>
      </c>
    </row>
    <row r="319" spans="1:12" ht="15">
      <c r="A319" s="84" t="s">
        <v>3464</v>
      </c>
      <c r="B319" s="83" t="s">
        <v>3476</v>
      </c>
      <c r="C319" s="83">
        <v>2</v>
      </c>
      <c r="D319" s="110">
        <v>0.00183512122085282</v>
      </c>
      <c r="E319" s="110">
        <v>1.2800960888283381</v>
      </c>
      <c r="F319" s="83" t="s">
        <v>3414</v>
      </c>
      <c r="G319" s="83" t="b">
        <v>1</v>
      </c>
      <c r="H319" s="83" t="b">
        <v>0</v>
      </c>
      <c r="I319" s="83" t="b">
        <v>0</v>
      </c>
      <c r="J319" s="83" t="b">
        <v>0</v>
      </c>
      <c r="K319" s="83" t="b">
        <v>0</v>
      </c>
      <c r="L319" s="83" t="b">
        <v>0</v>
      </c>
    </row>
    <row r="320" spans="1:12" ht="15">
      <c r="A320" s="84" t="s">
        <v>3492</v>
      </c>
      <c r="B320" s="83" t="s">
        <v>4092</v>
      </c>
      <c r="C320" s="83">
        <v>2</v>
      </c>
      <c r="D320" s="110">
        <v>0.00183512122085282</v>
      </c>
      <c r="E320" s="110">
        <v>2.2095150145426308</v>
      </c>
      <c r="F320" s="83" t="s">
        <v>3414</v>
      </c>
      <c r="G320" s="83" t="b">
        <v>0</v>
      </c>
      <c r="H320" s="83" t="b">
        <v>0</v>
      </c>
      <c r="I320" s="83" t="b">
        <v>0</v>
      </c>
      <c r="J320" s="83" t="b">
        <v>0</v>
      </c>
      <c r="K320" s="83" t="b">
        <v>0</v>
      </c>
      <c r="L320" s="83" t="b">
        <v>0</v>
      </c>
    </row>
    <row r="321" spans="1:12" ht="15">
      <c r="A321" s="84" t="s">
        <v>3476</v>
      </c>
      <c r="B321" s="83" t="s">
        <v>3456</v>
      </c>
      <c r="C321" s="83">
        <v>2</v>
      </c>
      <c r="D321" s="110">
        <v>0.00183512122085282</v>
      </c>
      <c r="E321" s="110">
        <v>0.8377369403678877</v>
      </c>
      <c r="F321" s="83" t="s">
        <v>3414</v>
      </c>
      <c r="G321" s="83" t="b">
        <v>0</v>
      </c>
      <c r="H321" s="83" t="b">
        <v>0</v>
      </c>
      <c r="I321" s="83" t="b">
        <v>0</v>
      </c>
      <c r="J321" s="83" t="b">
        <v>1</v>
      </c>
      <c r="K321" s="83" t="b">
        <v>0</v>
      </c>
      <c r="L321" s="83" t="b">
        <v>0</v>
      </c>
    </row>
    <row r="322" spans="1:12" ht="15">
      <c r="A322" s="84" t="s">
        <v>3469</v>
      </c>
      <c r="B322" s="83" t="s">
        <v>3457</v>
      </c>
      <c r="C322" s="83">
        <v>2</v>
      </c>
      <c r="D322" s="110">
        <v>0.00183512122085282</v>
      </c>
      <c r="E322" s="110">
        <v>1.0955716622357943</v>
      </c>
      <c r="F322" s="83" t="s">
        <v>3414</v>
      </c>
      <c r="G322" s="83" t="b">
        <v>1</v>
      </c>
      <c r="H322" s="83" t="b">
        <v>0</v>
      </c>
      <c r="I322" s="83" t="b">
        <v>0</v>
      </c>
      <c r="J322" s="83" t="b">
        <v>1</v>
      </c>
      <c r="K322" s="83" t="b">
        <v>0</v>
      </c>
      <c r="L322" s="83" t="b">
        <v>0</v>
      </c>
    </row>
    <row r="323" spans="1:12" ht="15">
      <c r="A323" s="84" t="s">
        <v>3489</v>
      </c>
      <c r="B323" s="83" t="s">
        <v>3467</v>
      </c>
      <c r="C323" s="83">
        <v>2</v>
      </c>
      <c r="D323" s="110">
        <v>0.00183512122085282</v>
      </c>
      <c r="E323" s="110">
        <v>1.6074550232146685</v>
      </c>
      <c r="F323" s="83" t="s">
        <v>3414</v>
      </c>
      <c r="G323" s="83" t="b">
        <v>1</v>
      </c>
      <c r="H323" s="83" t="b">
        <v>0</v>
      </c>
      <c r="I323" s="83" t="b">
        <v>0</v>
      </c>
      <c r="J323" s="83" t="b">
        <v>0</v>
      </c>
      <c r="K323" s="83" t="b">
        <v>0</v>
      </c>
      <c r="L323" s="83" t="b">
        <v>0</v>
      </c>
    </row>
    <row r="324" spans="1:12" ht="15">
      <c r="A324" s="84" t="s">
        <v>3594</v>
      </c>
      <c r="B324" s="83" t="s">
        <v>3546</v>
      </c>
      <c r="C324" s="83">
        <v>2</v>
      </c>
      <c r="D324" s="110">
        <v>0.0020838035799308715</v>
      </c>
      <c r="E324" s="110">
        <v>2.0804203181631733</v>
      </c>
      <c r="F324" s="83" t="s">
        <v>3414</v>
      </c>
      <c r="G324" s="83" t="b">
        <v>1</v>
      </c>
      <c r="H324" s="83" t="b">
        <v>0</v>
      </c>
      <c r="I324" s="83" t="b">
        <v>0</v>
      </c>
      <c r="J324" s="83" t="b">
        <v>0</v>
      </c>
      <c r="K324" s="83" t="b">
        <v>0</v>
      </c>
      <c r="L324" s="83" t="b">
        <v>0</v>
      </c>
    </row>
    <row r="325" spans="1:12" ht="15">
      <c r="A325" s="84" t="s">
        <v>3491</v>
      </c>
      <c r="B325" s="83" t="s">
        <v>3823</v>
      </c>
      <c r="C325" s="83">
        <v>2</v>
      </c>
      <c r="D325" s="110">
        <v>0.00183512122085282</v>
      </c>
      <c r="E325" s="110">
        <v>2.2442771208018426</v>
      </c>
      <c r="F325" s="83" t="s">
        <v>3414</v>
      </c>
      <c r="G325" s="83" t="b">
        <v>1</v>
      </c>
      <c r="H325" s="83" t="b">
        <v>0</v>
      </c>
      <c r="I325" s="83" t="b">
        <v>0</v>
      </c>
      <c r="J325" s="83" t="b">
        <v>0</v>
      </c>
      <c r="K325" s="83" t="b">
        <v>0</v>
      </c>
      <c r="L325" s="83" t="b">
        <v>0</v>
      </c>
    </row>
    <row r="326" spans="1:12" ht="15">
      <c r="A326" s="84" t="s">
        <v>3499</v>
      </c>
      <c r="B326" s="83" t="s">
        <v>3487</v>
      </c>
      <c r="C326" s="83">
        <v>2</v>
      </c>
      <c r="D326" s="110">
        <v>0.00183512122085282</v>
      </c>
      <c r="E326" s="110">
        <v>1.469152325048387</v>
      </c>
      <c r="F326" s="83" t="s">
        <v>3414</v>
      </c>
      <c r="G326" s="83" t="b">
        <v>0</v>
      </c>
      <c r="H326" s="83" t="b">
        <v>0</v>
      </c>
      <c r="I326" s="83" t="b">
        <v>0</v>
      </c>
      <c r="J326" s="83" t="b">
        <v>0</v>
      </c>
      <c r="K326" s="83" t="b">
        <v>0</v>
      </c>
      <c r="L326" s="83" t="b">
        <v>0</v>
      </c>
    </row>
    <row r="327" spans="1:12" ht="15">
      <c r="A327" s="84" t="s">
        <v>3477</v>
      </c>
      <c r="B327" s="83" t="s">
        <v>3698</v>
      </c>
      <c r="C327" s="83">
        <v>2</v>
      </c>
      <c r="D327" s="110">
        <v>0.00183512122085282</v>
      </c>
      <c r="E327" s="110">
        <v>1.8463371121298051</v>
      </c>
      <c r="F327" s="83" t="s">
        <v>3414</v>
      </c>
      <c r="G327" s="83" t="b">
        <v>0</v>
      </c>
      <c r="H327" s="83" t="b">
        <v>0</v>
      </c>
      <c r="I327" s="83" t="b">
        <v>0</v>
      </c>
      <c r="J327" s="83" t="b">
        <v>0</v>
      </c>
      <c r="K327" s="83" t="b">
        <v>0</v>
      </c>
      <c r="L327" s="83" t="b">
        <v>0</v>
      </c>
    </row>
    <row r="328" spans="1:12" ht="15">
      <c r="A328" s="84" t="s">
        <v>3823</v>
      </c>
      <c r="B328" s="83" t="s">
        <v>3477</v>
      </c>
      <c r="C328" s="83">
        <v>2</v>
      </c>
      <c r="D328" s="110">
        <v>0.00183512122085282</v>
      </c>
      <c r="E328" s="110">
        <v>1.9432471251378616</v>
      </c>
      <c r="F328" s="83" t="s">
        <v>3414</v>
      </c>
      <c r="G328" s="83" t="b">
        <v>0</v>
      </c>
      <c r="H328" s="83" t="b">
        <v>0</v>
      </c>
      <c r="I328" s="83" t="b">
        <v>0</v>
      </c>
      <c r="J328" s="83" t="b">
        <v>0</v>
      </c>
      <c r="K328" s="83" t="b">
        <v>0</v>
      </c>
      <c r="L328" s="83" t="b">
        <v>0</v>
      </c>
    </row>
    <row r="329" spans="1:12" ht="15">
      <c r="A329" s="84" t="s">
        <v>3465</v>
      </c>
      <c r="B329" s="83" t="s">
        <v>3487</v>
      </c>
      <c r="C329" s="83">
        <v>2</v>
      </c>
      <c r="D329" s="110">
        <v>0.00183512122085282</v>
      </c>
      <c r="E329" s="110">
        <v>1.2800960888283381</v>
      </c>
      <c r="F329" s="83" t="s">
        <v>3414</v>
      </c>
      <c r="G329" s="83" t="b">
        <v>1</v>
      </c>
      <c r="H329" s="83" t="b">
        <v>0</v>
      </c>
      <c r="I329" s="83" t="b">
        <v>0</v>
      </c>
      <c r="J329" s="83" t="b">
        <v>0</v>
      </c>
      <c r="K329" s="83" t="b">
        <v>0</v>
      </c>
      <c r="L329" s="83" t="b">
        <v>0</v>
      </c>
    </row>
    <row r="330" spans="1:12" ht="15">
      <c r="A330" s="84" t="s">
        <v>1152</v>
      </c>
      <c r="B330" s="83" t="s">
        <v>3471</v>
      </c>
      <c r="C330" s="83">
        <v>2</v>
      </c>
      <c r="D330" s="110">
        <v>0.00183512122085282</v>
      </c>
      <c r="E330" s="110">
        <v>1.0224283711854867</v>
      </c>
      <c r="F330" s="83" t="s">
        <v>3414</v>
      </c>
      <c r="G330" s="83" t="b">
        <v>1</v>
      </c>
      <c r="H330" s="83" t="b">
        <v>0</v>
      </c>
      <c r="I330" s="83" t="b">
        <v>0</v>
      </c>
      <c r="J330" s="83" t="b">
        <v>1</v>
      </c>
      <c r="K330" s="83" t="b">
        <v>0</v>
      </c>
      <c r="L330" s="83" t="b">
        <v>0</v>
      </c>
    </row>
    <row r="331" spans="1:12" ht="15">
      <c r="A331" s="84" t="s">
        <v>3456</v>
      </c>
      <c r="B331" s="83" t="s">
        <v>3819</v>
      </c>
      <c r="C331" s="83">
        <v>2</v>
      </c>
      <c r="D331" s="110">
        <v>0.00183512122085282</v>
      </c>
      <c r="E331" s="110">
        <v>1.334453751150931</v>
      </c>
      <c r="F331" s="83" t="s">
        <v>3414</v>
      </c>
      <c r="G331" s="83" t="b">
        <v>1</v>
      </c>
      <c r="H331" s="83" t="b">
        <v>0</v>
      </c>
      <c r="I331" s="83" t="b">
        <v>0</v>
      </c>
      <c r="J331" s="83" t="b">
        <v>0</v>
      </c>
      <c r="K331" s="83" t="b">
        <v>0</v>
      </c>
      <c r="L331" s="83" t="b">
        <v>0</v>
      </c>
    </row>
    <row r="332" spans="1:12" ht="15">
      <c r="A332" s="84" t="s">
        <v>4118</v>
      </c>
      <c r="B332" s="83" t="s">
        <v>3628</v>
      </c>
      <c r="C332" s="83">
        <v>2</v>
      </c>
      <c r="D332" s="110">
        <v>0.0020838035799308715</v>
      </c>
      <c r="E332" s="110">
        <v>2.721398375521505</v>
      </c>
      <c r="F332" s="83" t="s">
        <v>3414</v>
      </c>
      <c r="G332" s="83" t="b">
        <v>0</v>
      </c>
      <c r="H332" s="83" t="b">
        <v>0</v>
      </c>
      <c r="I332" s="83" t="b">
        <v>0</v>
      </c>
      <c r="J332" s="83" t="b">
        <v>0</v>
      </c>
      <c r="K332" s="83" t="b">
        <v>0</v>
      </c>
      <c r="L332" s="83" t="b">
        <v>0</v>
      </c>
    </row>
    <row r="333" spans="1:12" ht="15">
      <c r="A333" s="84" t="s">
        <v>3628</v>
      </c>
      <c r="B333" s="83" t="s">
        <v>3632</v>
      </c>
      <c r="C333" s="83">
        <v>2</v>
      </c>
      <c r="D333" s="110">
        <v>0.0020838035799308715</v>
      </c>
      <c r="E333" s="110">
        <v>2.3234583668494677</v>
      </c>
      <c r="F333" s="83" t="s">
        <v>3414</v>
      </c>
      <c r="G333" s="83" t="b">
        <v>0</v>
      </c>
      <c r="H333" s="83" t="b">
        <v>0</v>
      </c>
      <c r="I333" s="83" t="b">
        <v>0</v>
      </c>
      <c r="J333" s="83" t="b">
        <v>0</v>
      </c>
      <c r="K333" s="83" t="b">
        <v>0</v>
      </c>
      <c r="L333" s="83" t="b">
        <v>0</v>
      </c>
    </row>
    <row r="334" spans="1:12" ht="15">
      <c r="A334" s="84" t="s">
        <v>3632</v>
      </c>
      <c r="B334" s="83" t="s">
        <v>4119</v>
      </c>
      <c r="C334" s="83">
        <v>2</v>
      </c>
      <c r="D334" s="110">
        <v>0.0020838035799308715</v>
      </c>
      <c r="E334" s="110">
        <v>2.624488362513449</v>
      </c>
      <c r="F334" s="83" t="s">
        <v>3414</v>
      </c>
      <c r="G334" s="83" t="b">
        <v>0</v>
      </c>
      <c r="H334" s="83" t="b">
        <v>0</v>
      </c>
      <c r="I334" s="83" t="b">
        <v>0</v>
      </c>
      <c r="J334" s="83" t="b">
        <v>0</v>
      </c>
      <c r="K334" s="83" t="b">
        <v>0</v>
      </c>
      <c r="L334" s="83" t="b">
        <v>0</v>
      </c>
    </row>
    <row r="335" spans="1:12" ht="15">
      <c r="A335" s="84" t="s">
        <v>4119</v>
      </c>
      <c r="B335" s="83" t="s">
        <v>4120</v>
      </c>
      <c r="C335" s="83">
        <v>2</v>
      </c>
      <c r="D335" s="110">
        <v>0.0020838035799308715</v>
      </c>
      <c r="E335" s="110">
        <v>3.0224283711854865</v>
      </c>
      <c r="F335" s="83" t="s">
        <v>3414</v>
      </c>
      <c r="G335" s="83" t="b">
        <v>0</v>
      </c>
      <c r="H335" s="83" t="b">
        <v>0</v>
      </c>
      <c r="I335" s="83" t="b">
        <v>0</v>
      </c>
      <c r="J335" s="83" t="b">
        <v>0</v>
      </c>
      <c r="K335" s="83" t="b">
        <v>0</v>
      </c>
      <c r="L335" s="83" t="b">
        <v>0</v>
      </c>
    </row>
    <row r="336" spans="1:12" ht="15">
      <c r="A336" s="84" t="s">
        <v>3839</v>
      </c>
      <c r="B336" s="83" t="s">
        <v>3555</v>
      </c>
      <c r="C336" s="83">
        <v>2</v>
      </c>
      <c r="D336" s="110">
        <v>0.0020838035799308715</v>
      </c>
      <c r="E336" s="110">
        <v>2.846337112129805</v>
      </c>
      <c r="F336" s="83" t="s">
        <v>3414</v>
      </c>
      <c r="G336" s="83" t="b">
        <v>0</v>
      </c>
      <c r="H336" s="83" t="b">
        <v>0</v>
      </c>
      <c r="I336" s="83" t="b">
        <v>0</v>
      </c>
      <c r="J336" s="83" t="b">
        <v>0</v>
      </c>
      <c r="K336" s="83" t="b">
        <v>0</v>
      </c>
      <c r="L336" s="83" t="b">
        <v>0</v>
      </c>
    </row>
    <row r="337" spans="1:12" ht="15">
      <c r="A337" s="84" t="s">
        <v>3463</v>
      </c>
      <c r="B337" s="83" t="s">
        <v>4124</v>
      </c>
      <c r="C337" s="83">
        <v>2</v>
      </c>
      <c r="D337" s="110">
        <v>0.0020838035799308715</v>
      </c>
      <c r="E337" s="110">
        <v>1.8920946026904804</v>
      </c>
      <c r="F337" s="83" t="s">
        <v>3414</v>
      </c>
      <c r="G337" s="83" t="b">
        <v>1</v>
      </c>
      <c r="H337" s="83" t="b">
        <v>0</v>
      </c>
      <c r="I337" s="83" t="b">
        <v>0</v>
      </c>
      <c r="J337" s="83" t="b">
        <v>0</v>
      </c>
      <c r="K337" s="83" t="b">
        <v>0</v>
      </c>
      <c r="L337" s="83" t="b">
        <v>0</v>
      </c>
    </row>
    <row r="338" spans="1:12" ht="15">
      <c r="A338" s="84" t="s">
        <v>3485</v>
      </c>
      <c r="B338" s="83" t="s">
        <v>3699</v>
      </c>
      <c r="C338" s="83">
        <v>2</v>
      </c>
      <c r="D338" s="110">
        <v>0.00183512122085282</v>
      </c>
      <c r="E338" s="110">
        <v>2.2095150145426308</v>
      </c>
      <c r="F338" s="83" t="s">
        <v>3414</v>
      </c>
      <c r="G338" s="83" t="b">
        <v>0</v>
      </c>
      <c r="H338" s="83" t="b">
        <v>0</v>
      </c>
      <c r="I338" s="83" t="b">
        <v>0</v>
      </c>
      <c r="J338" s="83" t="b">
        <v>1</v>
      </c>
      <c r="K338" s="83" t="b">
        <v>0</v>
      </c>
      <c r="L338" s="83" t="b">
        <v>0</v>
      </c>
    </row>
    <row r="339" spans="1:12" ht="15">
      <c r="A339" s="84" t="s">
        <v>3485</v>
      </c>
      <c r="B339" s="83" t="s">
        <v>3824</v>
      </c>
      <c r="C339" s="83">
        <v>2</v>
      </c>
      <c r="D339" s="110">
        <v>0.00183512122085282</v>
      </c>
      <c r="E339" s="110">
        <v>2.03342375548695</v>
      </c>
      <c r="F339" s="83" t="s">
        <v>3414</v>
      </c>
      <c r="G339" s="83" t="b">
        <v>0</v>
      </c>
      <c r="H339" s="83" t="b">
        <v>0</v>
      </c>
      <c r="I339" s="83" t="b">
        <v>0</v>
      </c>
      <c r="J339" s="83" t="b">
        <v>0</v>
      </c>
      <c r="K339" s="83" t="b">
        <v>0</v>
      </c>
      <c r="L339" s="83" t="b">
        <v>0</v>
      </c>
    </row>
    <row r="340" spans="1:12" ht="15">
      <c r="A340" s="84" t="s">
        <v>3497</v>
      </c>
      <c r="B340" s="83" t="s">
        <v>3477</v>
      </c>
      <c r="C340" s="83">
        <v>2</v>
      </c>
      <c r="D340" s="110">
        <v>0.00183512122085282</v>
      </c>
      <c r="E340" s="110">
        <v>2.119338384193543</v>
      </c>
      <c r="F340" s="83" t="s">
        <v>3414</v>
      </c>
      <c r="G340" s="83" t="b">
        <v>0</v>
      </c>
      <c r="H340" s="83" t="b">
        <v>0</v>
      </c>
      <c r="I340" s="83" t="b">
        <v>0</v>
      </c>
      <c r="J340" s="83" t="b">
        <v>0</v>
      </c>
      <c r="K340" s="83" t="b">
        <v>0</v>
      </c>
      <c r="L340" s="83" t="b">
        <v>0</v>
      </c>
    </row>
    <row r="341" spans="1:12" ht="15">
      <c r="A341" s="84" t="s">
        <v>3642</v>
      </c>
      <c r="B341" s="83" t="s">
        <v>3500</v>
      </c>
      <c r="C341" s="83">
        <v>2</v>
      </c>
      <c r="D341" s="110">
        <v>0.00183512122085282</v>
      </c>
      <c r="E341" s="110">
        <v>1.9712758487381052</v>
      </c>
      <c r="F341" s="83" t="s">
        <v>3414</v>
      </c>
      <c r="G341" s="83" t="b">
        <v>0</v>
      </c>
      <c r="H341" s="83" t="b">
        <v>0</v>
      </c>
      <c r="I341" s="83" t="b">
        <v>0</v>
      </c>
      <c r="J341" s="83" t="b">
        <v>0</v>
      </c>
      <c r="K341" s="83" t="b">
        <v>0</v>
      </c>
      <c r="L341" s="83" t="b">
        <v>0</v>
      </c>
    </row>
    <row r="342" spans="1:12" ht="15">
      <c r="A342" s="84" t="s">
        <v>4129</v>
      </c>
      <c r="B342" s="83" t="s">
        <v>4130</v>
      </c>
      <c r="C342" s="83">
        <v>2</v>
      </c>
      <c r="D342" s="110">
        <v>0.00183512122085282</v>
      </c>
      <c r="E342" s="110">
        <v>3.0224283711854865</v>
      </c>
      <c r="F342" s="83" t="s">
        <v>3414</v>
      </c>
      <c r="G342" s="83" t="b">
        <v>0</v>
      </c>
      <c r="H342" s="83" t="b">
        <v>0</v>
      </c>
      <c r="I342" s="83" t="b">
        <v>0</v>
      </c>
      <c r="J342" s="83" t="b">
        <v>0</v>
      </c>
      <c r="K342" s="83" t="b">
        <v>0</v>
      </c>
      <c r="L342" s="83" t="b">
        <v>0</v>
      </c>
    </row>
    <row r="343" spans="1:12" ht="15">
      <c r="A343" s="84" t="s">
        <v>3467</v>
      </c>
      <c r="B343" s="83" t="s">
        <v>3844</v>
      </c>
      <c r="C343" s="83">
        <v>2</v>
      </c>
      <c r="D343" s="110">
        <v>0.0020838035799308715</v>
      </c>
      <c r="E343" s="110">
        <v>2.0012390721155486</v>
      </c>
      <c r="F343" s="83" t="s">
        <v>3414</v>
      </c>
      <c r="G343" s="83" t="b">
        <v>0</v>
      </c>
      <c r="H343" s="83" t="b">
        <v>0</v>
      </c>
      <c r="I343" s="83" t="b">
        <v>0</v>
      </c>
      <c r="J343" s="83" t="b">
        <v>0</v>
      </c>
      <c r="K343" s="83" t="b">
        <v>0</v>
      </c>
      <c r="L343" s="83" t="b">
        <v>0</v>
      </c>
    </row>
    <row r="344" spans="1:12" ht="15">
      <c r="A344" s="84" t="s">
        <v>3844</v>
      </c>
      <c r="B344" s="83" t="s">
        <v>3484</v>
      </c>
      <c r="C344" s="83">
        <v>2</v>
      </c>
      <c r="D344" s="110">
        <v>0.0020838035799308715</v>
      </c>
      <c r="E344" s="110">
        <v>2.4483971034577676</v>
      </c>
      <c r="F344" s="83" t="s">
        <v>3414</v>
      </c>
      <c r="G344" s="83" t="b">
        <v>0</v>
      </c>
      <c r="H344" s="83" t="b">
        <v>0</v>
      </c>
      <c r="I344" s="83" t="b">
        <v>0</v>
      </c>
      <c r="J344" s="83" t="b">
        <v>1</v>
      </c>
      <c r="K344" s="83" t="b">
        <v>0</v>
      </c>
      <c r="L344" s="83" t="b">
        <v>0</v>
      </c>
    </row>
    <row r="345" spans="1:12" ht="15">
      <c r="A345" s="84" t="s">
        <v>3470</v>
      </c>
      <c r="B345" s="83" t="s">
        <v>3602</v>
      </c>
      <c r="C345" s="83">
        <v>2</v>
      </c>
      <c r="D345" s="110">
        <v>0.00183512122085282</v>
      </c>
      <c r="E345" s="110">
        <v>1.6607005351678936</v>
      </c>
      <c r="F345" s="83" t="s">
        <v>3414</v>
      </c>
      <c r="G345" s="83" t="b">
        <v>0</v>
      </c>
      <c r="H345" s="83" t="b">
        <v>0</v>
      </c>
      <c r="I345" s="83" t="b">
        <v>0</v>
      </c>
      <c r="J345" s="83" t="b">
        <v>0</v>
      </c>
      <c r="K345" s="83" t="b">
        <v>0</v>
      </c>
      <c r="L345" s="83" t="b">
        <v>0</v>
      </c>
    </row>
    <row r="346" spans="1:12" ht="15">
      <c r="A346" s="84" t="s">
        <v>1152</v>
      </c>
      <c r="B346" s="83" t="s">
        <v>3466</v>
      </c>
      <c r="C346" s="83">
        <v>7</v>
      </c>
      <c r="D346" s="110">
        <v>0.03233352709200846</v>
      </c>
      <c r="E346" s="110">
        <v>0.7537205156061615</v>
      </c>
      <c r="F346" s="83" t="s">
        <v>3415</v>
      </c>
      <c r="G346" s="83" t="b">
        <v>1</v>
      </c>
      <c r="H346" s="83" t="b">
        <v>0</v>
      </c>
      <c r="I346" s="83" t="b">
        <v>0</v>
      </c>
      <c r="J346" s="83" t="b">
        <v>0</v>
      </c>
      <c r="K346" s="83" t="b">
        <v>0</v>
      </c>
      <c r="L346" s="83" t="b">
        <v>0</v>
      </c>
    </row>
    <row r="347" spans="1:12" ht="15">
      <c r="A347" s="84" t="s">
        <v>3469</v>
      </c>
      <c r="B347" s="83" t="s">
        <v>1152</v>
      </c>
      <c r="C347" s="83">
        <v>4</v>
      </c>
      <c r="D347" s="110">
        <v>0.023288935822884778</v>
      </c>
      <c r="E347" s="110">
        <v>0.8184458452428166</v>
      </c>
      <c r="F347" s="83" t="s">
        <v>3415</v>
      </c>
      <c r="G347" s="83" t="b">
        <v>1</v>
      </c>
      <c r="H347" s="83" t="b">
        <v>0</v>
      </c>
      <c r="I347" s="83" t="b">
        <v>0</v>
      </c>
      <c r="J347" s="83" t="b">
        <v>1</v>
      </c>
      <c r="K347" s="83" t="b">
        <v>0</v>
      </c>
      <c r="L347" s="83" t="b">
        <v>0</v>
      </c>
    </row>
    <row r="348" spans="1:12" ht="15">
      <c r="A348" s="84" t="s">
        <v>3583</v>
      </c>
      <c r="B348" s="83" t="s">
        <v>3503</v>
      </c>
      <c r="C348" s="83">
        <v>4</v>
      </c>
      <c r="D348" s="110">
        <v>0.023288935822884778</v>
      </c>
      <c r="E348" s="110">
        <v>1.0603543887881413</v>
      </c>
      <c r="F348" s="83" t="s">
        <v>3415</v>
      </c>
      <c r="G348" s="83" t="b">
        <v>0</v>
      </c>
      <c r="H348" s="83" t="b">
        <v>0</v>
      </c>
      <c r="I348" s="83" t="b">
        <v>0</v>
      </c>
      <c r="J348" s="83" t="b">
        <v>0</v>
      </c>
      <c r="K348" s="83" t="b">
        <v>0</v>
      </c>
      <c r="L348" s="83" t="b">
        <v>0</v>
      </c>
    </row>
    <row r="349" spans="1:12" ht="15">
      <c r="A349" s="84" t="s">
        <v>3503</v>
      </c>
      <c r="B349" s="83" t="s">
        <v>3503</v>
      </c>
      <c r="C349" s="83">
        <v>4</v>
      </c>
      <c r="D349" s="110">
        <v>0.023288935822884778</v>
      </c>
      <c r="E349" s="110">
        <v>0.7179317079659351</v>
      </c>
      <c r="F349" s="83" t="s">
        <v>3415</v>
      </c>
      <c r="G349" s="83" t="b">
        <v>0</v>
      </c>
      <c r="H349" s="83" t="b">
        <v>0</v>
      </c>
      <c r="I349" s="83" t="b">
        <v>0</v>
      </c>
      <c r="J349" s="83" t="b">
        <v>0</v>
      </c>
      <c r="K349" s="83" t="b">
        <v>0</v>
      </c>
      <c r="L349" s="83" t="b">
        <v>0</v>
      </c>
    </row>
    <row r="350" spans="1:12" ht="15">
      <c r="A350" s="84" t="s">
        <v>3503</v>
      </c>
      <c r="B350" s="83" t="s">
        <v>3616</v>
      </c>
      <c r="C350" s="83">
        <v>4</v>
      </c>
      <c r="D350" s="110">
        <v>0.023288935822884778</v>
      </c>
      <c r="E350" s="110">
        <v>1.1572644017961977</v>
      </c>
      <c r="F350" s="83" t="s">
        <v>3415</v>
      </c>
      <c r="G350" s="83" t="b">
        <v>0</v>
      </c>
      <c r="H350" s="83" t="b">
        <v>0</v>
      </c>
      <c r="I350" s="83" t="b">
        <v>0</v>
      </c>
      <c r="J350" s="83" t="b">
        <v>0</v>
      </c>
      <c r="K350" s="83" t="b">
        <v>0</v>
      </c>
      <c r="L350" s="83" t="b">
        <v>0</v>
      </c>
    </row>
    <row r="351" spans="1:12" ht="15">
      <c r="A351" s="84" t="s">
        <v>3461</v>
      </c>
      <c r="B351" s="83" t="s">
        <v>3472</v>
      </c>
      <c r="C351" s="83">
        <v>3</v>
      </c>
      <c r="D351" s="110">
        <v>0.01932222765837596</v>
      </c>
      <c r="E351" s="110">
        <v>0.9945371042984978</v>
      </c>
      <c r="F351" s="83" t="s">
        <v>3415</v>
      </c>
      <c r="G351" s="83" t="b">
        <v>1</v>
      </c>
      <c r="H351" s="83" t="b">
        <v>0</v>
      </c>
      <c r="I351" s="83" t="b">
        <v>0</v>
      </c>
      <c r="J351" s="83" t="b">
        <v>0</v>
      </c>
      <c r="K351" s="83" t="b">
        <v>0</v>
      </c>
      <c r="L351" s="83" t="b">
        <v>0</v>
      </c>
    </row>
    <row r="352" spans="1:12" ht="15">
      <c r="A352" s="84" t="s">
        <v>1152</v>
      </c>
      <c r="B352" s="83" t="s">
        <v>3472</v>
      </c>
      <c r="C352" s="83">
        <v>3</v>
      </c>
      <c r="D352" s="110">
        <v>0.01932222765837596</v>
      </c>
      <c r="E352" s="110">
        <v>0.5965970956264602</v>
      </c>
      <c r="F352" s="83" t="s">
        <v>3415</v>
      </c>
      <c r="G352" s="83" t="b">
        <v>1</v>
      </c>
      <c r="H352" s="83" t="b">
        <v>0</v>
      </c>
      <c r="I352" s="83" t="b">
        <v>0</v>
      </c>
      <c r="J352" s="83" t="b">
        <v>0</v>
      </c>
      <c r="K352" s="83" t="b">
        <v>0</v>
      </c>
      <c r="L352" s="83" t="b">
        <v>0</v>
      </c>
    </row>
    <row r="353" spans="1:12" ht="15">
      <c r="A353" s="84" t="s">
        <v>3461</v>
      </c>
      <c r="B353" s="83" t="s">
        <v>3466</v>
      </c>
      <c r="C353" s="83">
        <v>3</v>
      </c>
      <c r="D353" s="110">
        <v>0.01932222765837596</v>
      </c>
      <c r="E353" s="110">
        <v>0.7836837389836047</v>
      </c>
      <c r="F353" s="83" t="s">
        <v>3415</v>
      </c>
      <c r="G353" s="83" t="b">
        <v>1</v>
      </c>
      <c r="H353" s="83" t="b">
        <v>0</v>
      </c>
      <c r="I353" s="83" t="b">
        <v>0</v>
      </c>
      <c r="J353" s="83" t="b">
        <v>0</v>
      </c>
      <c r="K353" s="83" t="b">
        <v>0</v>
      </c>
      <c r="L353" s="83" t="b">
        <v>0</v>
      </c>
    </row>
    <row r="354" spans="1:12" ht="15">
      <c r="A354" s="84" t="s">
        <v>1152</v>
      </c>
      <c r="B354" s="83" t="s">
        <v>3830</v>
      </c>
      <c r="C354" s="83">
        <v>3</v>
      </c>
      <c r="D354" s="110">
        <v>0.01932222765837596</v>
      </c>
      <c r="E354" s="110">
        <v>1.0225658278987413</v>
      </c>
      <c r="F354" s="83" t="s">
        <v>3415</v>
      </c>
      <c r="G354" s="83" t="b">
        <v>1</v>
      </c>
      <c r="H354" s="83" t="b">
        <v>0</v>
      </c>
      <c r="I354" s="83" t="b">
        <v>0</v>
      </c>
      <c r="J354" s="83" t="b">
        <v>0</v>
      </c>
      <c r="K354" s="83" t="b">
        <v>0</v>
      </c>
      <c r="L354" s="83" t="b">
        <v>0</v>
      </c>
    </row>
    <row r="355" spans="1:12" ht="15">
      <c r="A355" s="84" t="s">
        <v>3640</v>
      </c>
      <c r="B355" s="83" t="s">
        <v>1152</v>
      </c>
      <c r="C355" s="83">
        <v>3</v>
      </c>
      <c r="D355" s="110">
        <v>0.01932222765837596</v>
      </c>
      <c r="E355" s="110">
        <v>0.9945371042984978</v>
      </c>
      <c r="F355" s="83" t="s">
        <v>3415</v>
      </c>
      <c r="G355" s="83" t="b">
        <v>0</v>
      </c>
      <c r="H355" s="83" t="b">
        <v>0</v>
      </c>
      <c r="I355" s="83" t="b">
        <v>0</v>
      </c>
      <c r="J355" s="83" t="b">
        <v>1</v>
      </c>
      <c r="K355" s="83" t="b">
        <v>0</v>
      </c>
      <c r="L355" s="83" t="b">
        <v>0</v>
      </c>
    </row>
    <row r="356" spans="1:12" ht="15">
      <c r="A356" s="84" t="s">
        <v>3832</v>
      </c>
      <c r="B356" s="83" t="s">
        <v>3833</v>
      </c>
      <c r="C356" s="83">
        <v>3</v>
      </c>
      <c r="D356" s="110">
        <v>0.01932222765837596</v>
      </c>
      <c r="E356" s="110">
        <v>1.7215358322347603</v>
      </c>
      <c r="F356" s="83" t="s">
        <v>3415</v>
      </c>
      <c r="G356" s="83" t="b">
        <v>0</v>
      </c>
      <c r="H356" s="83" t="b">
        <v>0</v>
      </c>
      <c r="I356" s="83" t="b">
        <v>0</v>
      </c>
      <c r="J356" s="83" t="b">
        <v>0</v>
      </c>
      <c r="K356" s="83" t="b">
        <v>0</v>
      </c>
      <c r="L356" s="83" t="b">
        <v>0</v>
      </c>
    </row>
    <row r="357" spans="1:12" ht="15">
      <c r="A357" s="84" t="s">
        <v>3833</v>
      </c>
      <c r="B357" s="83" t="s">
        <v>3834</v>
      </c>
      <c r="C357" s="83">
        <v>3</v>
      </c>
      <c r="D357" s="110">
        <v>0.01932222765837596</v>
      </c>
      <c r="E357" s="110">
        <v>1.7215358322347603</v>
      </c>
      <c r="F357" s="83" t="s">
        <v>3415</v>
      </c>
      <c r="G357" s="83" t="b">
        <v>0</v>
      </c>
      <c r="H357" s="83" t="b">
        <v>0</v>
      </c>
      <c r="I357" s="83" t="b">
        <v>0</v>
      </c>
      <c r="J357" s="83" t="b">
        <v>0</v>
      </c>
      <c r="K357" s="83" t="b">
        <v>0</v>
      </c>
      <c r="L357" s="83" t="b">
        <v>0</v>
      </c>
    </row>
    <row r="358" spans="1:12" ht="15">
      <c r="A358" s="84" t="s">
        <v>3616</v>
      </c>
      <c r="B358" s="83" t="s">
        <v>3835</v>
      </c>
      <c r="C358" s="83">
        <v>3</v>
      </c>
      <c r="D358" s="110">
        <v>0.01932222765837596</v>
      </c>
      <c r="E358" s="110">
        <v>1.5965970956264601</v>
      </c>
      <c r="F358" s="83" t="s">
        <v>3415</v>
      </c>
      <c r="G358" s="83" t="b">
        <v>0</v>
      </c>
      <c r="H358" s="83" t="b">
        <v>0</v>
      </c>
      <c r="I358" s="83" t="b">
        <v>0</v>
      </c>
      <c r="J358" s="83" t="b">
        <v>0</v>
      </c>
      <c r="K358" s="83" t="b">
        <v>0</v>
      </c>
      <c r="L358" s="83" t="b">
        <v>0</v>
      </c>
    </row>
    <row r="359" spans="1:12" ht="15">
      <c r="A359" s="84" t="s">
        <v>3469</v>
      </c>
      <c r="B359" s="83" t="s">
        <v>3461</v>
      </c>
      <c r="C359" s="83">
        <v>2</v>
      </c>
      <c r="D359" s="110">
        <v>0.01462496291801646</v>
      </c>
      <c r="E359" s="110">
        <v>1.1194758409067977</v>
      </c>
      <c r="F359" s="83" t="s">
        <v>3415</v>
      </c>
      <c r="G359" s="83" t="b">
        <v>1</v>
      </c>
      <c r="H359" s="83" t="b">
        <v>0</v>
      </c>
      <c r="I359" s="83" t="b">
        <v>0</v>
      </c>
      <c r="J359" s="83" t="b">
        <v>1</v>
      </c>
      <c r="K359" s="83" t="b">
        <v>0</v>
      </c>
      <c r="L359" s="83" t="b">
        <v>0</v>
      </c>
    </row>
    <row r="360" spans="1:12" ht="15">
      <c r="A360" s="84" t="s">
        <v>3639</v>
      </c>
      <c r="B360" s="83" t="s">
        <v>1152</v>
      </c>
      <c r="C360" s="83">
        <v>2</v>
      </c>
      <c r="D360" s="110">
        <v>0.01462496291801646</v>
      </c>
      <c r="E360" s="110">
        <v>0.9433845818511165</v>
      </c>
      <c r="F360" s="83" t="s">
        <v>3415</v>
      </c>
      <c r="G360" s="83" t="b">
        <v>0</v>
      </c>
      <c r="H360" s="83" t="b">
        <v>0</v>
      </c>
      <c r="I360" s="83" t="b">
        <v>0</v>
      </c>
      <c r="J360" s="83" t="b">
        <v>1</v>
      </c>
      <c r="K360" s="83" t="b">
        <v>0</v>
      </c>
      <c r="L360" s="83" t="b">
        <v>0</v>
      </c>
    </row>
    <row r="361" spans="1:12" ht="15">
      <c r="A361" s="84" t="s">
        <v>3466</v>
      </c>
      <c r="B361" s="83" t="s">
        <v>3597</v>
      </c>
      <c r="C361" s="83">
        <v>2</v>
      </c>
      <c r="D361" s="110">
        <v>0.01462496291801646</v>
      </c>
      <c r="E361" s="110">
        <v>1.2444145775150977</v>
      </c>
      <c r="F361" s="83" t="s">
        <v>3415</v>
      </c>
      <c r="G361" s="83" t="b">
        <v>0</v>
      </c>
      <c r="H361" s="83" t="b">
        <v>0</v>
      </c>
      <c r="I361" s="83" t="b">
        <v>0</v>
      </c>
      <c r="J361" s="83" t="b">
        <v>0</v>
      </c>
      <c r="K361" s="83" t="b">
        <v>0</v>
      </c>
      <c r="L361" s="83" t="b">
        <v>0</v>
      </c>
    </row>
    <row r="362" spans="1:12" ht="15">
      <c r="A362" s="84" t="s">
        <v>3462</v>
      </c>
      <c r="B362" s="83" t="s">
        <v>3459</v>
      </c>
      <c r="C362" s="83">
        <v>2</v>
      </c>
      <c r="D362" s="110">
        <v>0.01462496291801646</v>
      </c>
      <c r="E362" s="110">
        <v>1.5965970956264601</v>
      </c>
      <c r="F362" s="83" t="s">
        <v>3415</v>
      </c>
      <c r="G362" s="83" t="b">
        <v>0</v>
      </c>
      <c r="H362" s="83" t="b">
        <v>0</v>
      </c>
      <c r="I362" s="83" t="b">
        <v>0</v>
      </c>
      <c r="J362" s="83" t="b">
        <v>0</v>
      </c>
      <c r="K362" s="83" t="b">
        <v>0</v>
      </c>
      <c r="L362" s="83" t="b">
        <v>0</v>
      </c>
    </row>
    <row r="363" spans="1:12" ht="15">
      <c r="A363" s="84" t="s">
        <v>4113</v>
      </c>
      <c r="B363" s="83" t="s">
        <v>3832</v>
      </c>
      <c r="C363" s="83">
        <v>2</v>
      </c>
      <c r="D363" s="110">
        <v>0.01462496291801646</v>
      </c>
      <c r="E363" s="110">
        <v>1.8976270912904414</v>
      </c>
      <c r="F363" s="83" t="s">
        <v>3415</v>
      </c>
      <c r="G363" s="83" t="b">
        <v>0</v>
      </c>
      <c r="H363" s="83" t="b">
        <v>0</v>
      </c>
      <c r="I363" s="83" t="b">
        <v>0</v>
      </c>
      <c r="J363" s="83" t="b">
        <v>0</v>
      </c>
      <c r="K363" s="83" t="b">
        <v>0</v>
      </c>
      <c r="L363" s="83" t="b">
        <v>0</v>
      </c>
    </row>
    <row r="364" spans="1:12" ht="15">
      <c r="A364" s="84" t="s">
        <v>3739</v>
      </c>
      <c r="B364" s="83" t="s">
        <v>3740</v>
      </c>
      <c r="C364" s="83">
        <v>2</v>
      </c>
      <c r="D364" s="110">
        <v>0.01462496291801646</v>
      </c>
      <c r="E364" s="110">
        <v>1.8976270912904414</v>
      </c>
      <c r="F364" s="83" t="s">
        <v>3415</v>
      </c>
      <c r="G364" s="83" t="b">
        <v>0</v>
      </c>
      <c r="H364" s="83" t="b">
        <v>0</v>
      </c>
      <c r="I364" s="83" t="b">
        <v>0</v>
      </c>
      <c r="J364" s="83" t="b">
        <v>0</v>
      </c>
      <c r="K364" s="83" t="b">
        <v>0</v>
      </c>
      <c r="L364" s="83" t="b">
        <v>0</v>
      </c>
    </row>
    <row r="365" spans="1:12" ht="15">
      <c r="A365" s="84" t="s">
        <v>3740</v>
      </c>
      <c r="B365" s="83" t="s">
        <v>3741</v>
      </c>
      <c r="C365" s="83">
        <v>2</v>
      </c>
      <c r="D365" s="110">
        <v>0.01462496291801646</v>
      </c>
      <c r="E365" s="110">
        <v>1.8976270912904414</v>
      </c>
      <c r="F365" s="83" t="s">
        <v>3415</v>
      </c>
      <c r="G365" s="83" t="b">
        <v>0</v>
      </c>
      <c r="H365" s="83" t="b">
        <v>0</v>
      </c>
      <c r="I365" s="83" t="b">
        <v>0</v>
      </c>
      <c r="J365" s="83" t="b">
        <v>0</v>
      </c>
      <c r="K365" s="83" t="b">
        <v>0</v>
      </c>
      <c r="L365" s="83" t="b">
        <v>0</v>
      </c>
    </row>
    <row r="366" spans="1:12" ht="15">
      <c r="A366" s="84" t="s">
        <v>3737</v>
      </c>
      <c r="B366" s="83" t="s">
        <v>3738</v>
      </c>
      <c r="C366" s="83">
        <v>2</v>
      </c>
      <c r="D366" s="110">
        <v>0.01462496291801646</v>
      </c>
      <c r="E366" s="110">
        <v>1.8976270912904414</v>
      </c>
      <c r="F366" s="83" t="s">
        <v>3415</v>
      </c>
      <c r="G366" s="83" t="b">
        <v>0</v>
      </c>
      <c r="H366" s="83" t="b">
        <v>0</v>
      </c>
      <c r="I366" s="83" t="b">
        <v>0</v>
      </c>
      <c r="J366" s="83" t="b">
        <v>0</v>
      </c>
      <c r="K366" s="83" t="b">
        <v>0</v>
      </c>
      <c r="L366" s="83" t="b">
        <v>0</v>
      </c>
    </row>
    <row r="367" spans="1:12" ht="15">
      <c r="A367" s="84" t="s">
        <v>3738</v>
      </c>
      <c r="B367" s="83" t="s">
        <v>3583</v>
      </c>
      <c r="C367" s="83">
        <v>2</v>
      </c>
      <c r="D367" s="110">
        <v>0.01462496291801646</v>
      </c>
      <c r="E367" s="110">
        <v>1.4996870826184039</v>
      </c>
      <c r="F367" s="83" t="s">
        <v>3415</v>
      </c>
      <c r="G367" s="83" t="b">
        <v>0</v>
      </c>
      <c r="H367" s="83" t="b">
        <v>0</v>
      </c>
      <c r="I367" s="83" t="b">
        <v>0</v>
      </c>
      <c r="J367" s="83" t="b">
        <v>0</v>
      </c>
      <c r="K367" s="83" t="b">
        <v>0</v>
      </c>
      <c r="L367" s="83" t="b">
        <v>0</v>
      </c>
    </row>
    <row r="368" spans="1:12" ht="15">
      <c r="A368" s="84" t="s">
        <v>4114</v>
      </c>
      <c r="B368" s="83" t="s">
        <v>4115</v>
      </c>
      <c r="C368" s="83">
        <v>2</v>
      </c>
      <c r="D368" s="110">
        <v>0.01462496291801646</v>
      </c>
      <c r="E368" s="110">
        <v>1.8976270912904414</v>
      </c>
      <c r="F368" s="83" t="s">
        <v>3415</v>
      </c>
      <c r="G368" s="83" t="b">
        <v>0</v>
      </c>
      <c r="H368" s="83" t="b">
        <v>0</v>
      </c>
      <c r="I368" s="83" t="b">
        <v>0</v>
      </c>
      <c r="J368" s="83" t="b">
        <v>0</v>
      </c>
      <c r="K368" s="83" t="b">
        <v>0</v>
      </c>
      <c r="L368" s="83" t="b">
        <v>0</v>
      </c>
    </row>
    <row r="369" spans="1:12" ht="15">
      <c r="A369" s="84" t="s">
        <v>4116</v>
      </c>
      <c r="B369" s="83" t="s">
        <v>3582</v>
      </c>
      <c r="C369" s="83">
        <v>2</v>
      </c>
      <c r="D369" s="110">
        <v>0.01760545792459053</v>
      </c>
      <c r="E369" s="110">
        <v>1.7215358322347603</v>
      </c>
      <c r="F369" s="83" t="s">
        <v>3415</v>
      </c>
      <c r="G369" s="83" t="b">
        <v>0</v>
      </c>
      <c r="H369" s="83" t="b">
        <v>0</v>
      </c>
      <c r="I369" s="83" t="b">
        <v>0</v>
      </c>
      <c r="J369" s="83" t="b">
        <v>0</v>
      </c>
      <c r="K369" s="83" t="b">
        <v>0</v>
      </c>
      <c r="L369" s="83" t="b">
        <v>0</v>
      </c>
    </row>
    <row r="370" spans="1:12" ht="15">
      <c r="A370" s="84" t="s">
        <v>3582</v>
      </c>
      <c r="B370" s="83" t="s">
        <v>3831</v>
      </c>
      <c r="C370" s="83">
        <v>2</v>
      </c>
      <c r="D370" s="110">
        <v>0.01760545792459053</v>
      </c>
      <c r="E370" s="110">
        <v>1.420505836570779</v>
      </c>
      <c r="F370" s="83" t="s">
        <v>3415</v>
      </c>
      <c r="G370" s="83" t="b">
        <v>0</v>
      </c>
      <c r="H370" s="83" t="b">
        <v>0</v>
      </c>
      <c r="I370" s="83" t="b">
        <v>0</v>
      </c>
      <c r="J370" s="83" t="b">
        <v>0</v>
      </c>
      <c r="K370" s="83" t="b">
        <v>0</v>
      </c>
      <c r="L370" s="83" t="b">
        <v>0</v>
      </c>
    </row>
    <row r="371" spans="1:12" ht="15">
      <c r="A371" s="84" t="s">
        <v>3456</v>
      </c>
      <c r="B371" s="83" t="s">
        <v>3458</v>
      </c>
      <c r="C371" s="83">
        <v>6</v>
      </c>
      <c r="D371" s="110">
        <v>0.014430567595775231</v>
      </c>
      <c r="E371" s="110">
        <v>0.85392290496834</v>
      </c>
      <c r="F371" s="83" t="s">
        <v>3416</v>
      </c>
      <c r="G371" s="83" t="b">
        <v>1</v>
      </c>
      <c r="H371" s="83" t="b">
        <v>0</v>
      </c>
      <c r="I371" s="83" t="b">
        <v>0</v>
      </c>
      <c r="J371" s="83" t="b">
        <v>0</v>
      </c>
      <c r="K371" s="83" t="b">
        <v>0</v>
      </c>
      <c r="L371" s="83" t="b">
        <v>0</v>
      </c>
    </row>
    <row r="372" spans="1:12" ht="15">
      <c r="A372" s="84" t="s">
        <v>3474</v>
      </c>
      <c r="B372" s="83" t="s">
        <v>3490</v>
      </c>
      <c r="C372" s="83">
        <v>2</v>
      </c>
      <c r="D372" s="110">
        <v>0.00676160537331429</v>
      </c>
      <c r="E372" s="110">
        <v>1.462397997898956</v>
      </c>
      <c r="F372" s="83" t="s">
        <v>3416</v>
      </c>
      <c r="G372" s="83" t="b">
        <v>0</v>
      </c>
      <c r="H372" s="83" t="b">
        <v>0</v>
      </c>
      <c r="I372" s="83" t="b">
        <v>0</v>
      </c>
      <c r="J372" s="83" t="b">
        <v>0</v>
      </c>
      <c r="K372" s="83" t="b">
        <v>0</v>
      </c>
      <c r="L372" s="83" t="b">
        <v>0</v>
      </c>
    </row>
    <row r="373" spans="1:12" ht="15">
      <c r="A373" s="84" t="s">
        <v>3677</v>
      </c>
      <c r="B373" s="83" t="s">
        <v>3657</v>
      </c>
      <c r="C373" s="83">
        <v>2</v>
      </c>
      <c r="D373" s="110">
        <v>0.00676160537331429</v>
      </c>
      <c r="E373" s="110">
        <v>2.1314047788575317</v>
      </c>
      <c r="F373" s="83" t="s">
        <v>3416</v>
      </c>
      <c r="G373" s="83" t="b">
        <v>1</v>
      </c>
      <c r="H373" s="83" t="b">
        <v>0</v>
      </c>
      <c r="I373" s="83" t="b">
        <v>0</v>
      </c>
      <c r="J373" s="83" t="b">
        <v>0</v>
      </c>
      <c r="K373" s="83" t="b">
        <v>0</v>
      </c>
      <c r="L373" s="83" t="b">
        <v>0</v>
      </c>
    </row>
    <row r="374" spans="1:12" ht="15">
      <c r="A374" s="84" t="s">
        <v>3474</v>
      </c>
      <c r="B374" s="83" t="s">
        <v>3508</v>
      </c>
      <c r="C374" s="83">
        <v>2</v>
      </c>
      <c r="D374" s="110">
        <v>0.00676160537331429</v>
      </c>
      <c r="E374" s="110">
        <v>1.3654879848908996</v>
      </c>
      <c r="F374" s="83" t="s">
        <v>3416</v>
      </c>
      <c r="G374" s="83" t="b">
        <v>0</v>
      </c>
      <c r="H374" s="83" t="b">
        <v>0</v>
      </c>
      <c r="I374" s="83" t="b">
        <v>0</v>
      </c>
      <c r="J374" s="83" t="b">
        <v>0</v>
      </c>
      <c r="K374" s="83" t="b">
        <v>0</v>
      </c>
      <c r="L374" s="83" t="b">
        <v>0</v>
      </c>
    </row>
    <row r="375" spans="1:12" ht="15">
      <c r="A375" s="84" t="s">
        <v>3928</v>
      </c>
      <c r="B375" s="83" t="s">
        <v>3929</v>
      </c>
      <c r="C375" s="83">
        <v>2</v>
      </c>
      <c r="D375" s="110">
        <v>0.00676160537331429</v>
      </c>
      <c r="E375" s="110">
        <v>2.307496037913213</v>
      </c>
      <c r="F375" s="83" t="s">
        <v>3416</v>
      </c>
      <c r="G375" s="83" t="b">
        <v>0</v>
      </c>
      <c r="H375" s="83" t="b">
        <v>0</v>
      </c>
      <c r="I375" s="83" t="b">
        <v>0</v>
      </c>
      <c r="J375" s="83" t="b">
        <v>0</v>
      </c>
      <c r="K375" s="83" t="b">
        <v>0</v>
      </c>
      <c r="L375" s="83" t="b">
        <v>0</v>
      </c>
    </row>
    <row r="376" spans="1:12" ht="15">
      <c r="A376" s="84" t="s">
        <v>3943</v>
      </c>
      <c r="B376" s="83" t="s">
        <v>3944</v>
      </c>
      <c r="C376" s="83">
        <v>2</v>
      </c>
      <c r="D376" s="110">
        <v>0.007992811899547342</v>
      </c>
      <c r="E376" s="110">
        <v>2.307496037913213</v>
      </c>
      <c r="F376" s="83" t="s">
        <v>3416</v>
      </c>
      <c r="G376" s="83" t="b">
        <v>0</v>
      </c>
      <c r="H376" s="83" t="b">
        <v>0</v>
      </c>
      <c r="I376" s="83" t="b">
        <v>0</v>
      </c>
      <c r="J376" s="83" t="b">
        <v>0</v>
      </c>
      <c r="K376" s="83" t="b">
        <v>0</v>
      </c>
      <c r="L376" s="83" t="b">
        <v>0</v>
      </c>
    </row>
    <row r="377" spans="1:12" ht="15">
      <c r="A377" s="84" t="s">
        <v>3485</v>
      </c>
      <c r="B377" s="83" t="s">
        <v>3457</v>
      </c>
      <c r="C377" s="83">
        <v>2</v>
      </c>
      <c r="D377" s="110">
        <v>0.00676160537331429</v>
      </c>
      <c r="E377" s="110">
        <v>1.7054360465852505</v>
      </c>
      <c r="F377" s="83" t="s">
        <v>3416</v>
      </c>
      <c r="G377" s="83" t="b">
        <v>0</v>
      </c>
      <c r="H377" s="83" t="b">
        <v>0</v>
      </c>
      <c r="I377" s="83" t="b">
        <v>0</v>
      </c>
      <c r="J377" s="83" t="b">
        <v>1</v>
      </c>
      <c r="K377" s="83" t="b">
        <v>0</v>
      </c>
      <c r="L377" s="83" t="b">
        <v>0</v>
      </c>
    </row>
    <row r="378" spans="1:12" ht="15">
      <c r="A378" s="84" t="s">
        <v>3462</v>
      </c>
      <c r="B378" s="83" t="s">
        <v>3624</v>
      </c>
      <c r="C378" s="83">
        <v>2</v>
      </c>
      <c r="D378" s="110">
        <v>0.00676160537331429</v>
      </c>
      <c r="E378" s="110">
        <v>2.0064660422492318</v>
      </c>
      <c r="F378" s="83" t="s">
        <v>3416</v>
      </c>
      <c r="G378" s="83" t="b">
        <v>0</v>
      </c>
      <c r="H378" s="83" t="b">
        <v>0</v>
      </c>
      <c r="I378" s="83" t="b">
        <v>0</v>
      </c>
      <c r="J378" s="83" t="b">
        <v>0</v>
      </c>
      <c r="K378" s="83" t="b">
        <v>0</v>
      </c>
      <c r="L378" s="83" t="b">
        <v>0</v>
      </c>
    </row>
    <row r="379" spans="1:12" ht="15">
      <c r="A379" s="84" t="s">
        <v>3963</v>
      </c>
      <c r="B379" s="83" t="s">
        <v>3458</v>
      </c>
      <c r="C379" s="83">
        <v>2</v>
      </c>
      <c r="D379" s="110">
        <v>0.00676160537331429</v>
      </c>
      <c r="E379" s="110">
        <v>1.1171643397429214</v>
      </c>
      <c r="F379" s="83" t="s">
        <v>3416</v>
      </c>
      <c r="G379" s="83" t="b">
        <v>0</v>
      </c>
      <c r="H379" s="83" t="b">
        <v>0</v>
      </c>
      <c r="I379" s="83" t="b">
        <v>0</v>
      </c>
      <c r="J379" s="83" t="b">
        <v>0</v>
      </c>
      <c r="K379" s="83" t="b">
        <v>0</v>
      </c>
      <c r="L379" s="83" t="b">
        <v>0</v>
      </c>
    </row>
    <row r="380" spans="1:12" ht="15">
      <c r="A380" s="84" t="s">
        <v>3497</v>
      </c>
      <c r="B380" s="83" t="s">
        <v>3518</v>
      </c>
      <c r="C380" s="83">
        <v>8</v>
      </c>
      <c r="D380" s="110">
        <v>0.013447833158207438</v>
      </c>
      <c r="E380" s="110">
        <v>1.7978059383801137</v>
      </c>
      <c r="F380" s="83" t="s">
        <v>3417</v>
      </c>
      <c r="G380" s="83" t="b">
        <v>0</v>
      </c>
      <c r="H380" s="83" t="b">
        <v>0</v>
      </c>
      <c r="I380" s="83" t="b">
        <v>0</v>
      </c>
      <c r="J380" s="83" t="b">
        <v>0</v>
      </c>
      <c r="K380" s="83" t="b">
        <v>0</v>
      </c>
      <c r="L380" s="83" t="b">
        <v>0</v>
      </c>
    </row>
    <row r="381" spans="1:12" ht="15">
      <c r="A381" s="84" t="s">
        <v>3612</v>
      </c>
      <c r="B381" s="83" t="s">
        <v>3090</v>
      </c>
      <c r="C381" s="83">
        <v>4</v>
      </c>
      <c r="D381" s="110">
        <v>0.011656729576781334</v>
      </c>
      <c r="E381" s="110">
        <v>1.9738971974357948</v>
      </c>
      <c r="F381" s="83" t="s">
        <v>3417</v>
      </c>
      <c r="G381" s="83" t="b">
        <v>0</v>
      </c>
      <c r="H381" s="83" t="b">
        <v>0</v>
      </c>
      <c r="I381" s="83" t="b">
        <v>0</v>
      </c>
      <c r="J381" s="83" t="b">
        <v>0</v>
      </c>
      <c r="K381" s="83" t="b">
        <v>0</v>
      </c>
      <c r="L381" s="83" t="b">
        <v>0</v>
      </c>
    </row>
    <row r="382" spans="1:12" ht="15">
      <c r="A382" s="84" t="s">
        <v>3532</v>
      </c>
      <c r="B382" s="83" t="s">
        <v>3459</v>
      </c>
      <c r="C382" s="83">
        <v>4</v>
      </c>
      <c r="D382" s="110">
        <v>0.007840184465352095</v>
      </c>
      <c r="E382" s="110">
        <v>1.6381050955126017</v>
      </c>
      <c r="F382" s="83" t="s">
        <v>3417</v>
      </c>
      <c r="G382" s="83" t="b">
        <v>0</v>
      </c>
      <c r="H382" s="83" t="b">
        <v>0</v>
      </c>
      <c r="I382" s="83" t="b">
        <v>0</v>
      </c>
      <c r="J382" s="83" t="b">
        <v>0</v>
      </c>
      <c r="K382" s="83" t="b">
        <v>0</v>
      </c>
      <c r="L382" s="83" t="b">
        <v>0</v>
      </c>
    </row>
    <row r="383" spans="1:12" ht="15">
      <c r="A383" s="84" t="s">
        <v>3090</v>
      </c>
      <c r="B383" s="83" t="s">
        <v>3662</v>
      </c>
      <c r="C383" s="83">
        <v>3</v>
      </c>
      <c r="D383" s="110">
        <v>0.008742547182586</v>
      </c>
      <c r="E383" s="110">
        <v>1.848958460827495</v>
      </c>
      <c r="F383" s="83" t="s">
        <v>3417</v>
      </c>
      <c r="G383" s="83" t="b">
        <v>0</v>
      </c>
      <c r="H383" s="83" t="b">
        <v>0</v>
      </c>
      <c r="I383" s="83" t="b">
        <v>0</v>
      </c>
      <c r="J383" s="83" t="b">
        <v>0</v>
      </c>
      <c r="K383" s="83" t="b">
        <v>0</v>
      </c>
      <c r="L383" s="83" t="b">
        <v>0</v>
      </c>
    </row>
    <row r="384" spans="1:12" ht="15">
      <c r="A384" s="84" t="s">
        <v>3459</v>
      </c>
      <c r="B384" s="83" t="s">
        <v>3609</v>
      </c>
      <c r="C384" s="83">
        <v>3</v>
      </c>
      <c r="D384" s="110">
        <v>0.007311342765800036</v>
      </c>
      <c r="E384" s="110">
        <v>1.5479284651635137</v>
      </c>
      <c r="F384" s="83" t="s">
        <v>3417</v>
      </c>
      <c r="G384" s="83" t="b">
        <v>0</v>
      </c>
      <c r="H384" s="83" t="b">
        <v>0</v>
      </c>
      <c r="I384" s="83" t="b">
        <v>0</v>
      </c>
      <c r="J384" s="83" t="b">
        <v>0</v>
      </c>
      <c r="K384" s="83" t="b">
        <v>0</v>
      </c>
      <c r="L384" s="83" t="b">
        <v>0</v>
      </c>
    </row>
    <row r="385" spans="1:12" ht="15">
      <c r="A385" s="84" t="s">
        <v>3459</v>
      </c>
      <c r="B385" s="83" t="s">
        <v>3475</v>
      </c>
      <c r="C385" s="83">
        <v>3</v>
      </c>
      <c r="D385" s="110">
        <v>0.008742547182586</v>
      </c>
      <c r="E385" s="110">
        <v>0.8075657756692699</v>
      </c>
      <c r="F385" s="83" t="s">
        <v>3417</v>
      </c>
      <c r="G385" s="83" t="b">
        <v>0</v>
      </c>
      <c r="H385" s="83" t="b">
        <v>0</v>
      </c>
      <c r="I385" s="83" t="b">
        <v>0</v>
      </c>
      <c r="J385" s="83" t="b">
        <v>0</v>
      </c>
      <c r="K385" s="83" t="b">
        <v>0</v>
      </c>
      <c r="L385" s="83" t="b">
        <v>0</v>
      </c>
    </row>
    <row r="386" spans="1:12" ht="15">
      <c r="A386" s="84" t="s">
        <v>3462</v>
      </c>
      <c r="B386" s="83" t="s">
        <v>3459</v>
      </c>
      <c r="C386" s="83">
        <v>3</v>
      </c>
      <c r="D386" s="110">
        <v>0.007311342765800036</v>
      </c>
      <c r="E386" s="110">
        <v>1.5131663589043018</v>
      </c>
      <c r="F386" s="83" t="s">
        <v>3417</v>
      </c>
      <c r="G386" s="83" t="b">
        <v>0</v>
      </c>
      <c r="H386" s="83" t="b">
        <v>0</v>
      </c>
      <c r="I386" s="83" t="b">
        <v>0</v>
      </c>
      <c r="J386" s="83" t="b">
        <v>0</v>
      </c>
      <c r="K386" s="83" t="b">
        <v>0</v>
      </c>
      <c r="L386" s="83" t="b">
        <v>0</v>
      </c>
    </row>
    <row r="387" spans="1:12" ht="15">
      <c r="A387" s="84" t="s">
        <v>3610</v>
      </c>
      <c r="B387" s="83" t="s">
        <v>3611</v>
      </c>
      <c r="C387" s="83">
        <v>2</v>
      </c>
      <c r="D387" s="110">
        <v>0.005828364788390667</v>
      </c>
      <c r="E387" s="110">
        <v>2.4510184521554574</v>
      </c>
      <c r="F387" s="83" t="s">
        <v>3417</v>
      </c>
      <c r="G387" s="83" t="b">
        <v>0</v>
      </c>
      <c r="H387" s="83" t="b">
        <v>0</v>
      </c>
      <c r="I387" s="83" t="b">
        <v>0</v>
      </c>
      <c r="J387" s="83" t="b">
        <v>0</v>
      </c>
      <c r="K387" s="83" t="b">
        <v>0</v>
      </c>
      <c r="L387" s="83" t="b">
        <v>0</v>
      </c>
    </row>
    <row r="388" spans="1:12" ht="15">
      <c r="A388" s="84" t="s">
        <v>3611</v>
      </c>
      <c r="B388" s="83" t="s">
        <v>3090</v>
      </c>
      <c r="C388" s="83">
        <v>2</v>
      </c>
      <c r="D388" s="110">
        <v>0.005828364788390667</v>
      </c>
      <c r="E388" s="110">
        <v>1.9738971974357948</v>
      </c>
      <c r="F388" s="83" t="s">
        <v>3417</v>
      </c>
      <c r="G388" s="83" t="b">
        <v>0</v>
      </c>
      <c r="H388" s="83" t="b">
        <v>0</v>
      </c>
      <c r="I388" s="83" t="b">
        <v>0</v>
      </c>
      <c r="J388" s="83" t="b">
        <v>0</v>
      </c>
      <c r="K388" s="83" t="b">
        <v>0</v>
      </c>
      <c r="L388" s="83" t="b">
        <v>0</v>
      </c>
    </row>
    <row r="389" spans="1:12" ht="15">
      <c r="A389" s="84" t="s">
        <v>3662</v>
      </c>
      <c r="B389" s="83" t="s">
        <v>3612</v>
      </c>
      <c r="C389" s="83">
        <v>2</v>
      </c>
      <c r="D389" s="110">
        <v>0.005828364788390667</v>
      </c>
      <c r="E389" s="110">
        <v>1.848958460827495</v>
      </c>
      <c r="F389" s="83" t="s">
        <v>3417</v>
      </c>
      <c r="G389" s="83" t="b">
        <v>0</v>
      </c>
      <c r="H389" s="83" t="b">
        <v>0</v>
      </c>
      <c r="I389" s="83" t="b">
        <v>0</v>
      </c>
      <c r="J389" s="83" t="b">
        <v>0</v>
      </c>
      <c r="K389" s="83" t="b">
        <v>0</v>
      </c>
      <c r="L389" s="83" t="b">
        <v>0</v>
      </c>
    </row>
    <row r="390" spans="1:12" ht="15">
      <c r="A390" s="84" t="s">
        <v>3662</v>
      </c>
      <c r="B390" s="83" t="s">
        <v>3888</v>
      </c>
      <c r="C390" s="83">
        <v>2</v>
      </c>
      <c r="D390" s="110">
        <v>0.005828364788390667</v>
      </c>
      <c r="E390" s="110">
        <v>2.149988456491476</v>
      </c>
      <c r="F390" s="83" t="s">
        <v>3417</v>
      </c>
      <c r="G390" s="83" t="b">
        <v>0</v>
      </c>
      <c r="H390" s="83" t="b">
        <v>0</v>
      </c>
      <c r="I390" s="83" t="b">
        <v>0</v>
      </c>
      <c r="J390" s="83" t="b">
        <v>0</v>
      </c>
      <c r="K390" s="83" t="b">
        <v>0</v>
      </c>
      <c r="L390" s="83" t="b">
        <v>0</v>
      </c>
    </row>
    <row r="391" spans="1:12" ht="15">
      <c r="A391" s="84" t="s">
        <v>3888</v>
      </c>
      <c r="B391" s="83" t="s">
        <v>3512</v>
      </c>
      <c r="C391" s="83">
        <v>2</v>
      </c>
      <c r="D391" s="110">
        <v>0.005828364788390667</v>
      </c>
      <c r="E391" s="110">
        <v>1.9738971974357948</v>
      </c>
      <c r="F391" s="83" t="s">
        <v>3417</v>
      </c>
      <c r="G391" s="83" t="b">
        <v>0</v>
      </c>
      <c r="H391" s="83" t="b">
        <v>0</v>
      </c>
      <c r="I391" s="83" t="b">
        <v>0</v>
      </c>
      <c r="J391" s="83" t="b">
        <v>0</v>
      </c>
      <c r="K391" s="83" t="b">
        <v>0</v>
      </c>
      <c r="L391" s="83" t="b">
        <v>0</v>
      </c>
    </row>
    <row r="392" spans="1:12" ht="15">
      <c r="A392" s="84" t="s">
        <v>3512</v>
      </c>
      <c r="B392" s="83" t="s">
        <v>3612</v>
      </c>
      <c r="C392" s="83">
        <v>2</v>
      </c>
      <c r="D392" s="110">
        <v>0.005828364788390667</v>
      </c>
      <c r="E392" s="110">
        <v>1.6728672017718138</v>
      </c>
      <c r="F392" s="83" t="s">
        <v>3417</v>
      </c>
      <c r="G392" s="83" t="b">
        <v>0</v>
      </c>
      <c r="H392" s="83" t="b">
        <v>0</v>
      </c>
      <c r="I392" s="83" t="b">
        <v>0</v>
      </c>
      <c r="J392" s="83" t="b">
        <v>0</v>
      </c>
      <c r="K392" s="83" t="b">
        <v>0</v>
      </c>
      <c r="L392" s="83" t="b">
        <v>0</v>
      </c>
    </row>
    <row r="393" spans="1:12" ht="15">
      <c r="A393" s="84" t="s">
        <v>3890</v>
      </c>
      <c r="B393" s="83" t="s">
        <v>3891</v>
      </c>
      <c r="C393" s="83">
        <v>2</v>
      </c>
      <c r="D393" s="110">
        <v>0.005828364788390667</v>
      </c>
      <c r="E393" s="110">
        <v>2.4510184521554574</v>
      </c>
      <c r="F393" s="83" t="s">
        <v>3417</v>
      </c>
      <c r="G393" s="83" t="b">
        <v>0</v>
      </c>
      <c r="H393" s="83" t="b">
        <v>0</v>
      </c>
      <c r="I393" s="83" t="b">
        <v>0</v>
      </c>
      <c r="J393" s="83" t="b">
        <v>0</v>
      </c>
      <c r="K393" s="83" t="b">
        <v>0</v>
      </c>
      <c r="L393" s="83" t="b">
        <v>0</v>
      </c>
    </row>
    <row r="394" spans="1:12" ht="15">
      <c r="A394" s="84" t="s">
        <v>3891</v>
      </c>
      <c r="B394" s="83" t="s">
        <v>3892</v>
      </c>
      <c r="C394" s="83">
        <v>2</v>
      </c>
      <c r="D394" s="110">
        <v>0.005828364788390667</v>
      </c>
      <c r="E394" s="110">
        <v>2.4510184521554574</v>
      </c>
      <c r="F394" s="83" t="s">
        <v>3417</v>
      </c>
      <c r="G394" s="83" t="b">
        <v>0</v>
      </c>
      <c r="H394" s="83" t="b">
        <v>0</v>
      </c>
      <c r="I394" s="83" t="b">
        <v>0</v>
      </c>
      <c r="J394" s="83" t="b">
        <v>0</v>
      </c>
      <c r="K394" s="83" t="b">
        <v>0</v>
      </c>
      <c r="L394" s="83" t="b">
        <v>0</v>
      </c>
    </row>
    <row r="395" spans="1:12" ht="15">
      <c r="A395" s="84" t="s">
        <v>3892</v>
      </c>
      <c r="B395" s="83" t="s">
        <v>3893</v>
      </c>
      <c r="C395" s="83">
        <v>2</v>
      </c>
      <c r="D395" s="110">
        <v>0.005828364788390667</v>
      </c>
      <c r="E395" s="110">
        <v>2.4510184521554574</v>
      </c>
      <c r="F395" s="83" t="s">
        <v>3417</v>
      </c>
      <c r="G395" s="83" t="b">
        <v>0</v>
      </c>
      <c r="H395" s="83" t="b">
        <v>0</v>
      </c>
      <c r="I395" s="83" t="b">
        <v>0</v>
      </c>
      <c r="J395" s="83" t="b">
        <v>0</v>
      </c>
      <c r="K395" s="83" t="b">
        <v>0</v>
      </c>
      <c r="L395" s="83" t="b">
        <v>0</v>
      </c>
    </row>
    <row r="396" spans="1:12" ht="15">
      <c r="A396" s="84" t="s">
        <v>3504</v>
      </c>
      <c r="B396" s="83" t="s">
        <v>3475</v>
      </c>
      <c r="C396" s="83">
        <v>2</v>
      </c>
      <c r="D396" s="110">
        <v>0.005828364788390667</v>
      </c>
      <c r="E396" s="110">
        <v>0.9325045122775698</v>
      </c>
      <c r="F396" s="83" t="s">
        <v>3417</v>
      </c>
      <c r="G396" s="83" t="b">
        <v>0</v>
      </c>
      <c r="H396" s="83" t="b">
        <v>0</v>
      </c>
      <c r="I396" s="83" t="b">
        <v>0</v>
      </c>
      <c r="J396" s="83" t="b">
        <v>0</v>
      </c>
      <c r="K396" s="83" t="b">
        <v>0</v>
      </c>
      <c r="L396" s="83" t="b">
        <v>0</v>
      </c>
    </row>
    <row r="397" spans="1:12" ht="15">
      <c r="A397" s="84" t="s">
        <v>3898</v>
      </c>
      <c r="B397" s="83" t="s">
        <v>3475</v>
      </c>
      <c r="C397" s="83">
        <v>2</v>
      </c>
      <c r="D397" s="110">
        <v>0.005828364788390667</v>
      </c>
      <c r="E397" s="110">
        <v>1.4096257669972323</v>
      </c>
      <c r="F397" s="83" t="s">
        <v>3417</v>
      </c>
      <c r="G397" s="83" t="b">
        <v>0</v>
      </c>
      <c r="H397" s="83" t="b">
        <v>0</v>
      </c>
      <c r="I397" s="83" t="b">
        <v>0</v>
      </c>
      <c r="J397" s="83" t="b">
        <v>0</v>
      </c>
      <c r="K397" s="83" t="b">
        <v>0</v>
      </c>
      <c r="L397" s="83" t="b">
        <v>0</v>
      </c>
    </row>
    <row r="398" spans="1:12" ht="15">
      <c r="A398" s="84" t="s">
        <v>3603</v>
      </c>
      <c r="B398" s="83" t="s">
        <v>3653</v>
      </c>
      <c r="C398" s="83">
        <v>2</v>
      </c>
      <c r="D398" s="110">
        <v>0.004874228510533357</v>
      </c>
      <c r="E398" s="110">
        <v>2.4510184521554574</v>
      </c>
      <c r="F398" s="83" t="s">
        <v>3417</v>
      </c>
      <c r="G398" s="83" t="b">
        <v>0</v>
      </c>
      <c r="H398" s="83" t="b">
        <v>0</v>
      </c>
      <c r="I398" s="83" t="b">
        <v>0</v>
      </c>
      <c r="J398" s="83" t="b">
        <v>0</v>
      </c>
      <c r="K398" s="83" t="b">
        <v>0</v>
      </c>
      <c r="L398" s="83" t="b">
        <v>0</v>
      </c>
    </row>
    <row r="399" spans="1:12" ht="15">
      <c r="A399" s="84" t="s">
        <v>3518</v>
      </c>
      <c r="B399" s="83" t="s">
        <v>3904</v>
      </c>
      <c r="C399" s="83">
        <v>2</v>
      </c>
      <c r="D399" s="110">
        <v>0.005828364788390667</v>
      </c>
      <c r="E399" s="110">
        <v>1.848958460827495</v>
      </c>
      <c r="F399" s="83" t="s">
        <v>3417</v>
      </c>
      <c r="G399" s="83" t="b">
        <v>0</v>
      </c>
      <c r="H399" s="83" t="b">
        <v>0</v>
      </c>
      <c r="I399" s="83" t="b">
        <v>0</v>
      </c>
      <c r="J399" s="83" t="b">
        <v>0</v>
      </c>
      <c r="K399" s="83" t="b">
        <v>0</v>
      </c>
      <c r="L399" s="83" t="b">
        <v>0</v>
      </c>
    </row>
    <row r="400" spans="1:12" ht="15">
      <c r="A400" s="84" t="s">
        <v>3457</v>
      </c>
      <c r="B400" s="83" t="s">
        <v>3483</v>
      </c>
      <c r="C400" s="83">
        <v>2</v>
      </c>
      <c r="D400" s="110">
        <v>0.004874228510533357</v>
      </c>
      <c r="E400" s="110">
        <v>1.6728672017718138</v>
      </c>
      <c r="F400" s="83" t="s">
        <v>3417</v>
      </c>
      <c r="G400" s="83" t="b">
        <v>1</v>
      </c>
      <c r="H400" s="83" t="b">
        <v>0</v>
      </c>
      <c r="I400" s="83" t="b">
        <v>0</v>
      </c>
      <c r="J400" s="83" t="b">
        <v>0</v>
      </c>
      <c r="K400" s="83" t="b">
        <v>0</v>
      </c>
      <c r="L400" s="83" t="b">
        <v>0</v>
      </c>
    </row>
    <row r="401" spans="1:12" ht="15">
      <c r="A401" s="84" t="s">
        <v>3556</v>
      </c>
      <c r="B401" s="83" t="s">
        <v>3650</v>
      </c>
      <c r="C401" s="83">
        <v>2</v>
      </c>
      <c r="D401" s="110">
        <v>0.004874228510533357</v>
      </c>
      <c r="E401" s="110">
        <v>2.149988456491476</v>
      </c>
      <c r="F401" s="83" t="s">
        <v>3417</v>
      </c>
      <c r="G401" s="83" t="b">
        <v>0</v>
      </c>
      <c r="H401" s="83" t="b">
        <v>0</v>
      </c>
      <c r="I401" s="83" t="b">
        <v>0</v>
      </c>
      <c r="J401" s="83" t="b">
        <v>0</v>
      </c>
      <c r="K401" s="83" t="b">
        <v>1</v>
      </c>
      <c r="L401" s="83" t="b">
        <v>0</v>
      </c>
    </row>
    <row r="402" spans="1:12" ht="15">
      <c r="A402" s="84" t="s">
        <v>3495</v>
      </c>
      <c r="B402" s="83" t="s">
        <v>3458</v>
      </c>
      <c r="C402" s="83">
        <v>2</v>
      </c>
      <c r="D402" s="110">
        <v>0.004874228510533357</v>
      </c>
      <c r="E402" s="110">
        <v>1.7106557626612136</v>
      </c>
      <c r="F402" s="83" t="s">
        <v>3417</v>
      </c>
      <c r="G402" s="83" t="b">
        <v>0</v>
      </c>
      <c r="H402" s="83" t="b">
        <v>0</v>
      </c>
      <c r="I402" s="83" t="b">
        <v>0</v>
      </c>
      <c r="J402" s="83" t="b">
        <v>0</v>
      </c>
      <c r="K402" s="83" t="b">
        <v>0</v>
      </c>
      <c r="L402" s="83" t="b">
        <v>0</v>
      </c>
    </row>
    <row r="403" spans="1:12" ht="15">
      <c r="A403" s="84" t="s">
        <v>3574</v>
      </c>
      <c r="B403" s="83" t="s">
        <v>1152</v>
      </c>
      <c r="C403" s="83">
        <v>2</v>
      </c>
      <c r="D403" s="110">
        <v>0.004874228510533357</v>
      </c>
      <c r="E403" s="110">
        <v>1.9738971974357948</v>
      </c>
      <c r="F403" s="83" t="s">
        <v>3417</v>
      </c>
      <c r="G403" s="83" t="b">
        <v>0</v>
      </c>
      <c r="H403" s="83" t="b">
        <v>0</v>
      </c>
      <c r="I403" s="83" t="b">
        <v>0</v>
      </c>
      <c r="J403" s="83" t="b">
        <v>1</v>
      </c>
      <c r="K403" s="83" t="b">
        <v>0</v>
      </c>
      <c r="L403" s="83" t="b">
        <v>0</v>
      </c>
    </row>
    <row r="404" spans="1:12" ht="15">
      <c r="A404" s="84" t="s">
        <v>3862</v>
      </c>
      <c r="B404" s="83" t="s">
        <v>3512</v>
      </c>
      <c r="C404" s="83">
        <v>2</v>
      </c>
      <c r="D404" s="110">
        <v>0.005828364788390667</v>
      </c>
      <c r="E404" s="110">
        <v>1.9738971974357948</v>
      </c>
      <c r="F404" s="83" t="s">
        <v>3417</v>
      </c>
      <c r="G404" s="83" t="b">
        <v>0</v>
      </c>
      <c r="H404" s="83" t="b">
        <v>0</v>
      </c>
      <c r="I404" s="83" t="b">
        <v>0</v>
      </c>
      <c r="J404" s="83" t="b">
        <v>0</v>
      </c>
      <c r="K404" s="83" t="b">
        <v>0</v>
      </c>
      <c r="L404" s="83" t="b">
        <v>0</v>
      </c>
    </row>
    <row r="405" spans="1:12" ht="15">
      <c r="A405" s="84" t="s">
        <v>3456</v>
      </c>
      <c r="B405" s="83" t="s">
        <v>3456</v>
      </c>
      <c r="C405" s="83">
        <v>2</v>
      </c>
      <c r="D405" s="110">
        <v>0.005828364788390667</v>
      </c>
      <c r="E405" s="110">
        <v>1.509010399133144</v>
      </c>
      <c r="F405" s="83" t="s">
        <v>3417</v>
      </c>
      <c r="G405" s="83" t="b">
        <v>1</v>
      </c>
      <c r="H405" s="83" t="b">
        <v>0</v>
      </c>
      <c r="I405" s="83" t="b">
        <v>0</v>
      </c>
      <c r="J405" s="83" t="b">
        <v>1</v>
      </c>
      <c r="K405" s="83" t="b">
        <v>0</v>
      </c>
      <c r="L405" s="83" t="b">
        <v>0</v>
      </c>
    </row>
    <row r="406" spans="1:12" ht="15">
      <c r="A406" s="84" t="s">
        <v>3610</v>
      </c>
      <c r="B406" s="83" t="s">
        <v>3611</v>
      </c>
      <c r="C406" s="83">
        <v>3</v>
      </c>
      <c r="D406" s="110">
        <v>0.020028990749115873</v>
      </c>
      <c r="E406" s="110">
        <v>1.845098040014257</v>
      </c>
      <c r="F406" s="83" t="s">
        <v>3418</v>
      </c>
      <c r="G406" s="83" t="b">
        <v>0</v>
      </c>
      <c r="H406" s="83" t="b">
        <v>0</v>
      </c>
      <c r="I406" s="83" t="b">
        <v>0</v>
      </c>
      <c r="J406" s="83" t="b">
        <v>0</v>
      </c>
      <c r="K406" s="83" t="b">
        <v>0</v>
      </c>
      <c r="L406" s="83" t="b">
        <v>0</v>
      </c>
    </row>
    <row r="407" spans="1:12" ht="15">
      <c r="A407" s="84" t="s">
        <v>3511</v>
      </c>
      <c r="B407" s="83" t="s">
        <v>3700</v>
      </c>
      <c r="C407" s="83">
        <v>3</v>
      </c>
      <c r="D407" s="110">
        <v>0.014586542976648239</v>
      </c>
      <c r="E407" s="110">
        <v>1.4983105537896004</v>
      </c>
      <c r="F407" s="83" t="s">
        <v>3418</v>
      </c>
      <c r="G407" s="83" t="b">
        <v>0</v>
      </c>
      <c r="H407" s="83" t="b">
        <v>0</v>
      </c>
      <c r="I407" s="83" t="b">
        <v>0</v>
      </c>
      <c r="J407" s="83" t="b">
        <v>0</v>
      </c>
      <c r="K407" s="83" t="b">
        <v>0</v>
      </c>
      <c r="L407" s="83" t="b">
        <v>0</v>
      </c>
    </row>
    <row r="408" spans="1:12" ht="15">
      <c r="A408" s="84" t="s">
        <v>3611</v>
      </c>
      <c r="B408" s="83" t="s">
        <v>3100</v>
      </c>
      <c r="C408" s="83">
        <v>2</v>
      </c>
      <c r="D408" s="110">
        <v>0.013352660499410581</v>
      </c>
      <c r="E408" s="110">
        <v>1.845098040014257</v>
      </c>
      <c r="F408" s="83" t="s">
        <v>3418</v>
      </c>
      <c r="G408" s="83" t="b">
        <v>0</v>
      </c>
      <c r="H408" s="83" t="b">
        <v>0</v>
      </c>
      <c r="I408" s="83" t="b">
        <v>0</v>
      </c>
      <c r="J408" s="83" t="b">
        <v>0</v>
      </c>
      <c r="K408" s="83" t="b">
        <v>0</v>
      </c>
      <c r="L408" s="83" t="b">
        <v>0</v>
      </c>
    </row>
    <row r="409" spans="1:12" ht="15">
      <c r="A409" s="84" t="s">
        <v>3695</v>
      </c>
      <c r="B409" s="83" t="s">
        <v>3498</v>
      </c>
      <c r="C409" s="83">
        <v>2</v>
      </c>
      <c r="D409" s="110">
        <v>0.011063459011471561</v>
      </c>
      <c r="E409" s="110">
        <v>1.845098040014257</v>
      </c>
      <c r="F409" s="83" t="s">
        <v>3418</v>
      </c>
      <c r="G409" s="83" t="b">
        <v>0</v>
      </c>
      <c r="H409" s="83" t="b">
        <v>0</v>
      </c>
      <c r="I409" s="83" t="b">
        <v>0</v>
      </c>
      <c r="J409" s="83" t="b">
        <v>0</v>
      </c>
      <c r="K409" s="83" t="b">
        <v>0</v>
      </c>
      <c r="L409" s="83" t="b">
        <v>0</v>
      </c>
    </row>
    <row r="410" spans="1:12" ht="15">
      <c r="A410" s="84" t="s">
        <v>3527</v>
      </c>
      <c r="B410" s="83" t="s">
        <v>3846</v>
      </c>
      <c r="C410" s="83">
        <v>2</v>
      </c>
      <c r="D410" s="110">
        <v>0.011063459011471561</v>
      </c>
      <c r="E410" s="110">
        <v>1.6232492903979006</v>
      </c>
      <c r="F410" s="83" t="s">
        <v>3418</v>
      </c>
      <c r="G410" s="83" t="b">
        <v>0</v>
      </c>
      <c r="H410" s="83" t="b">
        <v>0</v>
      </c>
      <c r="I410" s="83" t="b">
        <v>0</v>
      </c>
      <c r="J410" s="83" t="b">
        <v>1</v>
      </c>
      <c r="K410" s="83" t="b">
        <v>0</v>
      </c>
      <c r="L410" s="83" t="b">
        <v>0</v>
      </c>
    </row>
    <row r="411" spans="1:12" ht="15">
      <c r="A411" s="84" t="s">
        <v>3511</v>
      </c>
      <c r="B411" s="83" t="s">
        <v>3699</v>
      </c>
      <c r="C411" s="83">
        <v>2</v>
      </c>
      <c r="D411" s="110">
        <v>0.011063459011471561</v>
      </c>
      <c r="E411" s="110">
        <v>1.6232492903979006</v>
      </c>
      <c r="F411" s="83" t="s">
        <v>3418</v>
      </c>
      <c r="G411" s="83" t="b">
        <v>0</v>
      </c>
      <c r="H411" s="83" t="b">
        <v>0</v>
      </c>
      <c r="I411" s="83" t="b">
        <v>0</v>
      </c>
      <c r="J411" s="83" t="b">
        <v>1</v>
      </c>
      <c r="K411" s="83" t="b">
        <v>0</v>
      </c>
      <c r="L411" s="83" t="b">
        <v>0</v>
      </c>
    </row>
    <row r="412" spans="1:12" ht="15">
      <c r="A412" s="84" t="s">
        <v>3479</v>
      </c>
      <c r="B412" s="83" t="s">
        <v>3494</v>
      </c>
      <c r="C412" s="83">
        <v>2</v>
      </c>
      <c r="D412" s="110">
        <v>0.011063459011471561</v>
      </c>
      <c r="E412" s="110">
        <v>1.5440680443502757</v>
      </c>
      <c r="F412" s="83" t="s">
        <v>3418</v>
      </c>
      <c r="G412" s="83" t="b">
        <v>0</v>
      </c>
      <c r="H412" s="83" t="b">
        <v>0</v>
      </c>
      <c r="I412" s="83" t="b">
        <v>0</v>
      </c>
      <c r="J412" s="83" t="b">
        <v>0</v>
      </c>
      <c r="K412" s="83" t="b">
        <v>0</v>
      </c>
      <c r="L412" s="83" t="b">
        <v>0</v>
      </c>
    </row>
    <row r="413" spans="1:12" ht="15">
      <c r="A413" s="84" t="s">
        <v>3494</v>
      </c>
      <c r="B413" s="83" t="s">
        <v>3504</v>
      </c>
      <c r="C413" s="83">
        <v>2</v>
      </c>
      <c r="D413" s="110">
        <v>0.011063459011471561</v>
      </c>
      <c r="E413" s="110">
        <v>1.6690067809585758</v>
      </c>
      <c r="F413" s="83" t="s">
        <v>3418</v>
      </c>
      <c r="G413" s="83" t="b">
        <v>0</v>
      </c>
      <c r="H413" s="83" t="b">
        <v>0</v>
      </c>
      <c r="I413" s="83" t="b">
        <v>0</v>
      </c>
      <c r="J413" s="83" t="b">
        <v>0</v>
      </c>
      <c r="K413" s="83" t="b">
        <v>0</v>
      </c>
      <c r="L413" s="83" t="b">
        <v>0</v>
      </c>
    </row>
    <row r="414" spans="1:12" ht="15">
      <c r="A414" s="84" t="s">
        <v>3504</v>
      </c>
      <c r="B414" s="83" t="s">
        <v>3643</v>
      </c>
      <c r="C414" s="83">
        <v>2</v>
      </c>
      <c r="D414" s="110">
        <v>0.011063459011471561</v>
      </c>
      <c r="E414" s="110">
        <v>1.845098040014257</v>
      </c>
      <c r="F414" s="83" t="s">
        <v>3418</v>
      </c>
      <c r="G414" s="83" t="b">
        <v>0</v>
      </c>
      <c r="H414" s="83" t="b">
        <v>0</v>
      </c>
      <c r="I414" s="83" t="b">
        <v>0</v>
      </c>
      <c r="J414" s="83" t="b">
        <v>1</v>
      </c>
      <c r="K414" s="83" t="b">
        <v>0</v>
      </c>
      <c r="L414" s="83" t="b">
        <v>0</v>
      </c>
    </row>
    <row r="415" spans="1:12" ht="15">
      <c r="A415" s="84" t="s">
        <v>3643</v>
      </c>
      <c r="B415" s="83" t="s">
        <v>3457</v>
      </c>
      <c r="C415" s="83">
        <v>2</v>
      </c>
      <c r="D415" s="110">
        <v>0.011063459011471561</v>
      </c>
      <c r="E415" s="110">
        <v>1.7201593034059568</v>
      </c>
      <c r="F415" s="83" t="s">
        <v>3418</v>
      </c>
      <c r="G415" s="83" t="b">
        <v>1</v>
      </c>
      <c r="H415" s="83" t="b">
        <v>0</v>
      </c>
      <c r="I415" s="83" t="b">
        <v>0</v>
      </c>
      <c r="J415" s="83" t="b">
        <v>1</v>
      </c>
      <c r="K415" s="83" t="b">
        <v>0</v>
      </c>
      <c r="L415" s="83" t="b">
        <v>0</v>
      </c>
    </row>
    <row r="416" spans="1:12" ht="15">
      <c r="A416" s="84" t="s">
        <v>3626</v>
      </c>
      <c r="B416" s="83" t="s">
        <v>3511</v>
      </c>
      <c r="C416" s="83">
        <v>2</v>
      </c>
      <c r="D416" s="110">
        <v>0.011063459011471561</v>
      </c>
      <c r="E416" s="110">
        <v>1.6232492903979006</v>
      </c>
      <c r="F416" s="83" t="s">
        <v>3418</v>
      </c>
      <c r="G416" s="83" t="b">
        <v>0</v>
      </c>
      <c r="H416" s="83" t="b">
        <v>0</v>
      </c>
      <c r="I416" s="83" t="b">
        <v>0</v>
      </c>
      <c r="J416" s="83" t="b">
        <v>0</v>
      </c>
      <c r="K416" s="83" t="b">
        <v>0</v>
      </c>
      <c r="L416" s="83" t="b">
        <v>0</v>
      </c>
    </row>
    <row r="417" spans="1:12" ht="15">
      <c r="A417" s="84" t="s">
        <v>3474</v>
      </c>
      <c r="B417" s="83" t="s">
        <v>3508</v>
      </c>
      <c r="C417" s="83">
        <v>5</v>
      </c>
      <c r="D417" s="110">
        <v>0.025023113417067935</v>
      </c>
      <c r="E417" s="110">
        <v>1.294955847951788</v>
      </c>
      <c r="F417" s="83" t="s">
        <v>3419</v>
      </c>
      <c r="G417" s="83" t="b">
        <v>0</v>
      </c>
      <c r="H417" s="83" t="b">
        <v>0</v>
      </c>
      <c r="I417" s="83" t="b">
        <v>0</v>
      </c>
      <c r="J417" s="83" t="b">
        <v>0</v>
      </c>
      <c r="K417" s="83" t="b">
        <v>0</v>
      </c>
      <c r="L417" s="83" t="b">
        <v>0</v>
      </c>
    </row>
    <row r="418" spans="1:12" ht="15">
      <c r="A418" s="84" t="s">
        <v>3456</v>
      </c>
      <c r="B418" s="83" t="s">
        <v>3474</v>
      </c>
      <c r="C418" s="83">
        <v>3</v>
      </c>
      <c r="D418" s="110">
        <v>0.01879538082779229</v>
      </c>
      <c r="E418" s="110">
        <v>1.3283796034387376</v>
      </c>
      <c r="F418" s="83" t="s">
        <v>3419</v>
      </c>
      <c r="G418" s="83" t="b">
        <v>1</v>
      </c>
      <c r="H418" s="83" t="b">
        <v>0</v>
      </c>
      <c r="I418" s="83" t="b">
        <v>0</v>
      </c>
      <c r="J418" s="83" t="b">
        <v>0</v>
      </c>
      <c r="K418" s="83" t="b">
        <v>0</v>
      </c>
      <c r="L418" s="83" t="b">
        <v>0</v>
      </c>
    </row>
    <row r="419" spans="1:12" ht="15">
      <c r="A419" s="84" t="s">
        <v>3660</v>
      </c>
      <c r="B419" s="83" t="s">
        <v>3921</v>
      </c>
      <c r="C419" s="83">
        <v>2</v>
      </c>
      <c r="D419" s="110">
        <v>0.01453129091991851</v>
      </c>
      <c r="E419" s="110">
        <v>1.8512583487190752</v>
      </c>
      <c r="F419" s="83" t="s">
        <v>3419</v>
      </c>
      <c r="G419" s="83" t="b">
        <v>0</v>
      </c>
      <c r="H419" s="83" t="b">
        <v>0</v>
      </c>
      <c r="I419" s="83" t="b">
        <v>0</v>
      </c>
      <c r="J419" s="83" t="b">
        <v>0</v>
      </c>
      <c r="K419" s="83" t="b">
        <v>0</v>
      </c>
      <c r="L419" s="83" t="b">
        <v>0</v>
      </c>
    </row>
    <row r="420" spans="1:12" ht="15">
      <c r="A420" s="84" t="s">
        <v>3921</v>
      </c>
      <c r="B420" s="83" t="s">
        <v>3922</v>
      </c>
      <c r="C420" s="83">
        <v>2</v>
      </c>
      <c r="D420" s="110">
        <v>0.01453129091991851</v>
      </c>
      <c r="E420" s="110">
        <v>1.8512583487190752</v>
      </c>
      <c r="F420" s="83" t="s">
        <v>3419</v>
      </c>
      <c r="G420" s="83" t="b">
        <v>0</v>
      </c>
      <c r="H420" s="83" t="b">
        <v>0</v>
      </c>
      <c r="I420" s="83" t="b">
        <v>0</v>
      </c>
      <c r="J420" s="83" t="b">
        <v>0</v>
      </c>
      <c r="K420" s="83" t="b">
        <v>0</v>
      </c>
      <c r="L420" s="83" t="b">
        <v>0</v>
      </c>
    </row>
    <row r="421" spans="1:12" ht="15">
      <c r="A421" s="84" t="s">
        <v>3922</v>
      </c>
      <c r="B421" s="83" t="s">
        <v>3675</v>
      </c>
      <c r="C421" s="83">
        <v>2</v>
      </c>
      <c r="D421" s="110">
        <v>0.01453129091991851</v>
      </c>
      <c r="E421" s="110">
        <v>1.8512583487190752</v>
      </c>
      <c r="F421" s="83" t="s">
        <v>3419</v>
      </c>
      <c r="G421" s="83" t="b">
        <v>0</v>
      </c>
      <c r="H421" s="83" t="b">
        <v>0</v>
      </c>
      <c r="I421" s="83" t="b">
        <v>0</v>
      </c>
      <c r="J421" s="83" t="b">
        <v>0</v>
      </c>
      <c r="K421" s="83" t="b">
        <v>0</v>
      </c>
      <c r="L421" s="83" t="b">
        <v>0</v>
      </c>
    </row>
    <row r="422" spans="1:12" ht="15">
      <c r="A422" s="84" t="s">
        <v>3532</v>
      </c>
      <c r="B422" s="83" t="s">
        <v>3490</v>
      </c>
      <c r="C422" s="83">
        <v>2</v>
      </c>
      <c r="D422" s="110">
        <v>0.01453129091991851</v>
      </c>
      <c r="E422" s="110">
        <v>1.675167089663394</v>
      </c>
      <c r="F422" s="83" t="s">
        <v>3419</v>
      </c>
      <c r="G422" s="83" t="b">
        <v>0</v>
      </c>
      <c r="H422" s="83" t="b">
        <v>0</v>
      </c>
      <c r="I422" s="83" t="b">
        <v>0</v>
      </c>
      <c r="J422" s="83" t="b">
        <v>0</v>
      </c>
      <c r="K422" s="83" t="b">
        <v>0</v>
      </c>
      <c r="L422" s="83" t="b">
        <v>0</v>
      </c>
    </row>
    <row r="423" spans="1:12" ht="15">
      <c r="A423" s="84" t="s">
        <v>3580</v>
      </c>
      <c r="B423" s="83" t="s">
        <v>3923</v>
      </c>
      <c r="C423" s="83">
        <v>2</v>
      </c>
      <c r="D423" s="110">
        <v>0.01453129091991851</v>
      </c>
      <c r="E423" s="110">
        <v>1.8512583487190752</v>
      </c>
      <c r="F423" s="83" t="s">
        <v>3419</v>
      </c>
      <c r="G423" s="83" t="b">
        <v>0</v>
      </c>
      <c r="H423" s="83" t="b">
        <v>0</v>
      </c>
      <c r="I423" s="83" t="b">
        <v>0</v>
      </c>
      <c r="J423" s="83" t="b">
        <v>0</v>
      </c>
      <c r="K423" s="83" t="b">
        <v>0</v>
      </c>
      <c r="L423" s="83" t="b">
        <v>0</v>
      </c>
    </row>
    <row r="424" spans="1:12" ht="15">
      <c r="A424" s="84" t="s">
        <v>3923</v>
      </c>
      <c r="B424" s="83" t="s">
        <v>3618</v>
      </c>
      <c r="C424" s="83">
        <v>2</v>
      </c>
      <c r="D424" s="110">
        <v>0.01453129091991851</v>
      </c>
      <c r="E424" s="110">
        <v>1.675167089663394</v>
      </c>
      <c r="F424" s="83" t="s">
        <v>3419</v>
      </c>
      <c r="G424" s="83" t="b">
        <v>0</v>
      </c>
      <c r="H424" s="83" t="b">
        <v>0</v>
      </c>
      <c r="I424" s="83" t="b">
        <v>0</v>
      </c>
      <c r="J424" s="83" t="b">
        <v>1</v>
      </c>
      <c r="K424" s="83" t="b">
        <v>0</v>
      </c>
      <c r="L424" s="83" t="b">
        <v>0</v>
      </c>
    </row>
    <row r="425" spans="1:12" ht="15">
      <c r="A425" s="84" t="s">
        <v>3618</v>
      </c>
      <c r="B425" s="83" t="s">
        <v>3468</v>
      </c>
      <c r="C425" s="83">
        <v>2</v>
      </c>
      <c r="D425" s="110">
        <v>0.01453129091991851</v>
      </c>
      <c r="E425" s="110">
        <v>1.4533183400470377</v>
      </c>
      <c r="F425" s="83" t="s">
        <v>3419</v>
      </c>
      <c r="G425" s="83" t="b">
        <v>1</v>
      </c>
      <c r="H425" s="83" t="b">
        <v>0</v>
      </c>
      <c r="I425" s="83" t="b">
        <v>0</v>
      </c>
      <c r="J425" s="83" t="b">
        <v>0</v>
      </c>
      <c r="K425" s="83" t="b">
        <v>0</v>
      </c>
      <c r="L425" s="83" t="b">
        <v>0</v>
      </c>
    </row>
    <row r="426" spans="1:12" ht="15">
      <c r="A426" s="84" t="s">
        <v>3468</v>
      </c>
      <c r="B426" s="83" t="s">
        <v>3457</v>
      </c>
      <c r="C426" s="83">
        <v>2</v>
      </c>
      <c r="D426" s="110">
        <v>0.01453129091991851</v>
      </c>
      <c r="E426" s="110">
        <v>1.2772270809913564</v>
      </c>
      <c r="F426" s="83" t="s">
        <v>3419</v>
      </c>
      <c r="G426" s="83" t="b">
        <v>0</v>
      </c>
      <c r="H426" s="83" t="b">
        <v>0</v>
      </c>
      <c r="I426" s="83" t="b">
        <v>0</v>
      </c>
      <c r="J426" s="83" t="b">
        <v>1</v>
      </c>
      <c r="K426" s="83" t="b">
        <v>0</v>
      </c>
      <c r="L426" s="83" t="b">
        <v>0</v>
      </c>
    </row>
    <row r="427" spans="1:12" ht="15">
      <c r="A427" s="84" t="s">
        <v>3457</v>
      </c>
      <c r="B427" s="83" t="s">
        <v>3747</v>
      </c>
      <c r="C427" s="83">
        <v>2</v>
      </c>
      <c r="D427" s="110">
        <v>0.01453129091991851</v>
      </c>
      <c r="E427" s="110">
        <v>1.3741370939994129</v>
      </c>
      <c r="F427" s="83" t="s">
        <v>3419</v>
      </c>
      <c r="G427" s="83" t="b">
        <v>1</v>
      </c>
      <c r="H427" s="83" t="b">
        <v>0</v>
      </c>
      <c r="I427" s="83" t="b">
        <v>0</v>
      </c>
      <c r="J427" s="83" t="b">
        <v>0</v>
      </c>
      <c r="K427" s="83" t="b">
        <v>0</v>
      </c>
      <c r="L427" s="83" t="b">
        <v>0</v>
      </c>
    </row>
    <row r="428" spans="1:12" ht="15">
      <c r="A428" s="84" t="s">
        <v>3747</v>
      </c>
      <c r="B428" s="83" t="s">
        <v>3465</v>
      </c>
      <c r="C428" s="83">
        <v>2</v>
      </c>
      <c r="D428" s="110">
        <v>0.01453129091991851</v>
      </c>
      <c r="E428" s="110">
        <v>1.550228353055094</v>
      </c>
      <c r="F428" s="83" t="s">
        <v>3419</v>
      </c>
      <c r="G428" s="83" t="b">
        <v>0</v>
      </c>
      <c r="H428" s="83" t="b">
        <v>0</v>
      </c>
      <c r="I428" s="83" t="b">
        <v>0</v>
      </c>
      <c r="J428" s="83" t="b">
        <v>1</v>
      </c>
      <c r="K428" s="83" t="b">
        <v>0</v>
      </c>
      <c r="L428" s="83" t="b">
        <v>0</v>
      </c>
    </row>
    <row r="429" spans="1:12" ht="15">
      <c r="A429" s="84" t="s">
        <v>3465</v>
      </c>
      <c r="B429" s="83" t="s">
        <v>3607</v>
      </c>
      <c r="C429" s="83">
        <v>2</v>
      </c>
      <c r="D429" s="110">
        <v>0.01453129091991851</v>
      </c>
      <c r="E429" s="110">
        <v>1.4533183400470377</v>
      </c>
      <c r="F429" s="83" t="s">
        <v>3419</v>
      </c>
      <c r="G429" s="83" t="b">
        <v>1</v>
      </c>
      <c r="H429" s="83" t="b">
        <v>0</v>
      </c>
      <c r="I429" s="83" t="b">
        <v>0</v>
      </c>
      <c r="J429" s="83" t="b">
        <v>0</v>
      </c>
      <c r="K429" s="83" t="b">
        <v>0</v>
      </c>
      <c r="L429" s="83" t="b">
        <v>0</v>
      </c>
    </row>
    <row r="430" spans="1:12" ht="15">
      <c r="A430" s="84" t="s">
        <v>3607</v>
      </c>
      <c r="B430" s="83" t="s">
        <v>3924</v>
      </c>
      <c r="C430" s="83">
        <v>2</v>
      </c>
      <c r="D430" s="110">
        <v>0.01453129091991851</v>
      </c>
      <c r="E430" s="110">
        <v>1.8512583487190752</v>
      </c>
      <c r="F430" s="83" t="s">
        <v>3419</v>
      </c>
      <c r="G430" s="83" t="b">
        <v>0</v>
      </c>
      <c r="H430" s="83" t="b">
        <v>0</v>
      </c>
      <c r="I430" s="83" t="b">
        <v>0</v>
      </c>
      <c r="J430" s="83" t="b">
        <v>0</v>
      </c>
      <c r="K430" s="83" t="b">
        <v>0</v>
      </c>
      <c r="L430" s="83" t="b">
        <v>0</v>
      </c>
    </row>
    <row r="431" spans="1:12" ht="15">
      <c r="A431" s="84" t="s">
        <v>3924</v>
      </c>
      <c r="B431" s="83" t="s">
        <v>3925</v>
      </c>
      <c r="C431" s="83">
        <v>2</v>
      </c>
      <c r="D431" s="110">
        <v>0.01453129091991851</v>
      </c>
      <c r="E431" s="110">
        <v>1.8512583487190752</v>
      </c>
      <c r="F431" s="83" t="s">
        <v>3419</v>
      </c>
      <c r="G431" s="83" t="b">
        <v>0</v>
      </c>
      <c r="H431" s="83" t="b">
        <v>0</v>
      </c>
      <c r="I431" s="83" t="b">
        <v>0</v>
      </c>
      <c r="J431" s="83" t="b">
        <v>1</v>
      </c>
      <c r="K431" s="83" t="b">
        <v>0</v>
      </c>
      <c r="L431" s="83" t="b">
        <v>0</v>
      </c>
    </row>
    <row r="432" spans="1:12" ht="15">
      <c r="A432" s="84" t="s">
        <v>3925</v>
      </c>
      <c r="B432" s="83" t="s">
        <v>3479</v>
      </c>
      <c r="C432" s="83">
        <v>2</v>
      </c>
      <c r="D432" s="110">
        <v>0.01453129091991851</v>
      </c>
      <c r="E432" s="110">
        <v>1.675167089663394</v>
      </c>
      <c r="F432" s="83" t="s">
        <v>3419</v>
      </c>
      <c r="G432" s="83" t="b">
        <v>1</v>
      </c>
      <c r="H432" s="83" t="b">
        <v>0</v>
      </c>
      <c r="I432" s="83" t="b">
        <v>0</v>
      </c>
      <c r="J432" s="83" t="b">
        <v>0</v>
      </c>
      <c r="K432" s="83" t="b">
        <v>0</v>
      </c>
      <c r="L432" s="83" t="b">
        <v>0</v>
      </c>
    </row>
    <row r="433" spans="1:12" ht="15">
      <c r="A433" s="84" t="s">
        <v>3479</v>
      </c>
      <c r="B433" s="83" t="s">
        <v>3926</v>
      </c>
      <c r="C433" s="83">
        <v>2</v>
      </c>
      <c r="D433" s="110">
        <v>0.01453129091991851</v>
      </c>
      <c r="E433" s="110">
        <v>1.675167089663394</v>
      </c>
      <c r="F433" s="83" t="s">
        <v>3419</v>
      </c>
      <c r="G433" s="83" t="b">
        <v>0</v>
      </c>
      <c r="H433" s="83" t="b">
        <v>0</v>
      </c>
      <c r="I433" s="83" t="b">
        <v>0</v>
      </c>
      <c r="J433" s="83" t="b">
        <v>1</v>
      </c>
      <c r="K433" s="83" t="b">
        <v>0</v>
      </c>
      <c r="L433" s="83" t="b">
        <v>0</v>
      </c>
    </row>
    <row r="434" spans="1:12" ht="15">
      <c r="A434" s="84" t="s">
        <v>3462</v>
      </c>
      <c r="B434" s="83" t="s">
        <v>3624</v>
      </c>
      <c r="C434" s="83">
        <v>2</v>
      </c>
      <c r="D434" s="110">
        <v>0.01453129091991851</v>
      </c>
      <c r="E434" s="110">
        <v>1.675167089663394</v>
      </c>
      <c r="F434" s="83" t="s">
        <v>3419</v>
      </c>
      <c r="G434" s="83" t="b">
        <v>0</v>
      </c>
      <c r="H434" s="83" t="b">
        <v>0</v>
      </c>
      <c r="I434" s="83" t="b">
        <v>0</v>
      </c>
      <c r="J434" s="83" t="b">
        <v>0</v>
      </c>
      <c r="K434" s="83" t="b">
        <v>0</v>
      </c>
      <c r="L434" s="83" t="b">
        <v>0</v>
      </c>
    </row>
    <row r="435" spans="1:12" ht="15">
      <c r="A435" s="84" t="s">
        <v>3655</v>
      </c>
      <c r="B435" s="83" t="s">
        <v>4030</v>
      </c>
      <c r="C435" s="83">
        <v>2</v>
      </c>
      <c r="D435" s="110">
        <v>0.017952086325191026</v>
      </c>
      <c r="E435" s="110">
        <v>1.675167089663394</v>
      </c>
      <c r="F435" s="83" t="s">
        <v>3419</v>
      </c>
      <c r="G435" s="83" t="b">
        <v>0</v>
      </c>
      <c r="H435" s="83" t="b">
        <v>0</v>
      </c>
      <c r="I435" s="83" t="b">
        <v>0</v>
      </c>
      <c r="J435" s="83" t="b">
        <v>0</v>
      </c>
      <c r="K435" s="83" t="b">
        <v>0</v>
      </c>
      <c r="L435" s="83" t="b">
        <v>0</v>
      </c>
    </row>
    <row r="436" spans="1:12" ht="15">
      <c r="A436" s="84" t="s">
        <v>3468</v>
      </c>
      <c r="B436" s="83" t="s">
        <v>3458</v>
      </c>
      <c r="C436" s="83">
        <v>2</v>
      </c>
      <c r="D436" s="110">
        <v>0.01453129091991851</v>
      </c>
      <c r="E436" s="110">
        <v>0.800105826271694</v>
      </c>
      <c r="F436" s="83" t="s">
        <v>3419</v>
      </c>
      <c r="G436" s="83" t="b">
        <v>0</v>
      </c>
      <c r="H436" s="83" t="b">
        <v>0</v>
      </c>
      <c r="I436" s="83" t="b">
        <v>0</v>
      </c>
      <c r="J436" s="83" t="b">
        <v>0</v>
      </c>
      <c r="K436" s="83" t="b">
        <v>0</v>
      </c>
      <c r="L436" s="83" t="b">
        <v>0</v>
      </c>
    </row>
    <row r="437" spans="1:12" ht="15">
      <c r="A437" s="84" t="s">
        <v>3462</v>
      </c>
      <c r="B437" s="83" t="s">
        <v>3459</v>
      </c>
      <c r="C437" s="83">
        <v>4</v>
      </c>
      <c r="D437" s="110">
        <v>0.016570549804201112</v>
      </c>
      <c r="E437" s="110">
        <v>0.9444826721501687</v>
      </c>
      <c r="F437" s="83" t="s">
        <v>3420</v>
      </c>
      <c r="G437" s="83" t="b">
        <v>0</v>
      </c>
      <c r="H437" s="83" t="b">
        <v>0</v>
      </c>
      <c r="I437" s="83" t="b">
        <v>0</v>
      </c>
      <c r="J437" s="83" t="b">
        <v>0</v>
      </c>
      <c r="K437" s="83" t="b">
        <v>0</v>
      </c>
      <c r="L437" s="83" t="b">
        <v>0</v>
      </c>
    </row>
    <row r="438" spans="1:12" ht="15">
      <c r="A438" s="84" t="s">
        <v>3469</v>
      </c>
      <c r="B438" s="83" t="s">
        <v>1152</v>
      </c>
      <c r="C438" s="83">
        <v>2</v>
      </c>
      <c r="D438" s="110">
        <v>0.01123654936939449</v>
      </c>
      <c r="E438" s="110">
        <v>1.4673614174305063</v>
      </c>
      <c r="F438" s="83" t="s">
        <v>3420</v>
      </c>
      <c r="G438" s="83" t="b">
        <v>1</v>
      </c>
      <c r="H438" s="83" t="b">
        <v>0</v>
      </c>
      <c r="I438" s="83" t="b">
        <v>0</v>
      </c>
      <c r="J438" s="83" t="b">
        <v>1</v>
      </c>
      <c r="K438" s="83" t="b">
        <v>0</v>
      </c>
      <c r="L438" s="83" t="b">
        <v>0</v>
      </c>
    </row>
    <row r="439" spans="1:12" ht="15">
      <c r="A439" s="84" t="s">
        <v>3568</v>
      </c>
      <c r="B439" s="83" t="s">
        <v>3802</v>
      </c>
      <c r="C439" s="83">
        <v>2</v>
      </c>
      <c r="D439" s="110">
        <v>0.01123654936939449</v>
      </c>
      <c r="E439" s="110">
        <v>1.546542663478131</v>
      </c>
      <c r="F439" s="83" t="s">
        <v>3420</v>
      </c>
      <c r="G439" s="83" t="b">
        <v>0</v>
      </c>
      <c r="H439" s="83" t="b">
        <v>0</v>
      </c>
      <c r="I439" s="83" t="b">
        <v>0</v>
      </c>
      <c r="J439" s="83" t="b">
        <v>0</v>
      </c>
      <c r="K439" s="83" t="b">
        <v>0</v>
      </c>
      <c r="L439" s="83" t="b">
        <v>0</v>
      </c>
    </row>
    <row r="440" spans="1:12" ht="15">
      <c r="A440" s="84" t="s">
        <v>3459</v>
      </c>
      <c r="B440" s="83" t="s">
        <v>3461</v>
      </c>
      <c r="C440" s="83">
        <v>2</v>
      </c>
      <c r="D440" s="110">
        <v>0.01123654936939449</v>
      </c>
      <c r="E440" s="110">
        <v>1.166331421766525</v>
      </c>
      <c r="F440" s="83" t="s">
        <v>3420</v>
      </c>
      <c r="G440" s="83" t="b">
        <v>0</v>
      </c>
      <c r="H440" s="83" t="b">
        <v>0</v>
      </c>
      <c r="I440" s="83" t="b">
        <v>0</v>
      </c>
      <c r="J440" s="83" t="b">
        <v>1</v>
      </c>
      <c r="K440" s="83" t="b">
        <v>0</v>
      </c>
      <c r="L440" s="83" t="b">
        <v>0</v>
      </c>
    </row>
    <row r="441" spans="1:12" ht="15">
      <c r="A441" s="84" t="s">
        <v>3521</v>
      </c>
      <c r="B441" s="83" t="s">
        <v>3495</v>
      </c>
      <c r="C441" s="83">
        <v>2</v>
      </c>
      <c r="D441" s="110">
        <v>0.015920193922464874</v>
      </c>
      <c r="E441" s="110">
        <v>1.4586378490256493</v>
      </c>
      <c r="F441" s="83" t="s">
        <v>3421</v>
      </c>
      <c r="G441" s="83" t="b">
        <v>1</v>
      </c>
      <c r="H441" s="83" t="b">
        <v>0</v>
      </c>
      <c r="I441" s="83" t="b">
        <v>0</v>
      </c>
      <c r="J441" s="83" t="b">
        <v>0</v>
      </c>
      <c r="K441" s="83" t="b">
        <v>0</v>
      </c>
      <c r="L441" s="83" t="b">
        <v>0</v>
      </c>
    </row>
    <row r="442" spans="1:12" ht="15">
      <c r="A442" s="84" t="s">
        <v>3532</v>
      </c>
      <c r="B442" s="83" t="s">
        <v>3459</v>
      </c>
      <c r="C442" s="83">
        <v>2</v>
      </c>
      <c r="D442" s="110">
        <v>0.015920193922464874</v>
      </c>
      <c r="E442" s="110">
        <v>1.4586378490256493</v>
      </c>
      <c r="F442" s="83" t="s">
        <v>3421</v>
      </c>
      <c r="G442" s="83" t="b">
        <v>0</v>
      </c>
      <c r="H442" s="83" t="b">
        <v>0</v>
      </c>
      <c r="I442" s="83" t="b">
        <v>0</v>
      </c>
      <c r="J442" s="83" t="b">
        <v>0</v>
      </c>
      <c r="K442" s="83" t="b">
        <v>0</v>
      </c>
      <c r="L442" s="83" t="b">
        <v>0</v>
      </c>
    </row>
    <row r="443" spans="1:12" ht="15">
      <c r="A443" s="84" t="s">
        <v>4100</v>
      </c>
      <c r="B443" s="83" t="s">
        <v>4101</v>
      </c>
      <c r="C443" s="83">
        <v>2</v>
      </c>
      <c r="D443" s="110">
        <v>0.015920193922464874</v>
      </c>
      <c r="E443" s="110">
        <v>1.7596678446896303</v>
      </c>
      <c r="F443" s="83" t="s">
        <v>3421</v>
      </c>
      <c r="G443" s="83" t="b">
        <v>0</v>
      </c>
      <c r="H443" s="83" t="b">
        <v>0</v>
      </c>
      <c r="I443" s="83" t="b">
        <v>0</v>
      </c>
      <c r="J443" s="83" t="b">
        <v>0</v>
      </c>
      <c r="K443" s="83" t="b">
        <v>0</v>
      </c>
      <c r="L443" s="83" t="b">
        <v>0</v>
      </c>
    </row>
    <row r="444" spans="1:12" ht="15">
      <c r="A444" s="84" t="s">
        <v>3545</v>
      </c>
      <c r="B444" s="83" t="s">
        <v>3515</v>
      </c>
      <c r="C444" s="83">
        <v>2</v>
      </c>
      <c r="D444" s="110">
        <v>0.02203776918961763</v>
      </c>
      <c r="E444" s="110">
        <v>1.6283889300503116</v>
      </c>
      <c r="F444" s="83" t="s">
        <v>3422</v>
      </c>
      <c r="G444" s="83" t="b">
        <v>1</v>
      </c>
      <c r="H444" s="83" t="b">
        <v>0</v>
      </c>
      <c r="I444" s="83" t="b">
        <v>0</v>
      </c>
      <c r="J444" s="83" t="b">
        <v>1</v>
      </c>
      <c r="K444" s="83" t="b">
        <v>0</v>
      </c>
      <c r="L444" s="83" t="b">
        <v>0</v>
      </c>
    </row>
    <row r="445" spans="1:12" ht="15">
      <c r="A445" s="84" t="s">
        <v>3622</v>
      </c>
      <c r="B445" s="83" t="s">
        <v>3493</v>
      </c>
      <c r="C445" s="83">
        <v>2</v>
      </c>
      <c r="D445" s="110">
        <v>0.02203776918961763</v>
      </c>
      <c r="E445" s="110">
        <v>1.6283889300503116</v>
      </c>
      <c r="F445" s="83" t="s">
        <v>3422</v>
      </c>
      <c r="G445" s="83" t="b">
        <v>0</v>
      </c>
      <c r="H445" s="83" t="b">
        <v>0</v>
      </c>
      <c r="I445" s="83" t="b">
        <v>0</v>
      </c>
      <c r="J445" s="83" t="b">
        <v>0</v>
      </c>
      <c r="K445" s="83" t="b">
        <v>0</v>
      </c>
      <c r="L445" s="83" t="b">
        <v>0</v>
      </c>
    </row>
    <row r="446" spans="1:12" ht="15">
      <c r="A446" s="84" t="s">
        <v>3462</v>
      </c>
      <c r="B446" s="83" t="s">
        <v>3459</v>
      </c>
      <c r="C446" s="83">
        <v>2</v>
      </c>
      <c r="D446" s="110">
        <v>0.02203776918961763</v>
      </c>
      <c r="E446" s="110">
        <v>1.2762064119389491</v>
      </c>
      <c r="F446" s="83" t="s">
        <v>3422</v>
      </c>
      <c r="G446" s="83" t="b">
        <v>0</v>
      </c>
      <c r="H446" s="83" t="b">
        <v>0</v>
      </c>
      <c r="I446" s="83" t="b">
        <v>0</v>
      </c>
      <c r="J446" s="83" t="b">
        <v>0</v>
      </c>
      <c r="K446" s="83" t="b">
        <v>0</v>
      </c>
      <c r="L446" s="83" t="b">
        <v>0</v>
      </c>
    </row>
    <row r="447" spans="1:12" ht="15">
      <c r="A447" s="84" t="s">
        <v>3665</v>
      </c>
      <c r="B447" s="83" t="s">
        <v>3735</v>
      </c>
      <c r="C447" s="83">
        <v>2</v>
      </c>
      <c r="D447" s="110">
        <v>0.02203776918961763</v>
      </c>
      <c r="E447" s="110">
        <v>1.4522976709946303</v>
      </c>
      <c r="F447" s="83" t="s">
        <v>3422</v>
      </c>
      <c r="G447" s="83" t="b">
        <v>0</v>
      </c>
      <c r="H447" s="83" t="b">
        <v>0</v>
      </c>
      <c r="I447" s="83" t="b">
        <v>0</v>
      </c>
      <c r="J447" s="83" t="b">
        <v>0</v>
      </c>
      <c r="K447" s="83" t="b">
        <v>0</v>
      </c>
      <c r="L447" s="83" t="b">
        <v>0</v>
      </c>
    </row>
    <row r="448" spans="1:12" ht="15">
      <c r="A448" s="84" t="s">
        <v>3829</v>
      </c>
      <c r="B448" s="83" t="s">
        <v>3571</v>
      </c>
      <c r="C448" s="83">
        <v>3</v>
      </c>
      <c r="D448" s="110">
        <v>0.033803921600570275</v>
      </c>
      <c r="E448" s="110">
        <v>1.255272505103306</v>
      </c>
      <c r="F448" s="83" t="s">
        <v>3423</v>
      </c>
      <c r="G448" s="83" t="b">
        <v>0</v>
      </c>
      <c r="H448" s="83" t="b">
        <v>0</v>
      </c>
      <c r="I448" s="83" t="b">
        <v>0</v>
      </c>
      <c r="J448" s="83" t="b">
        <v>0</v>
      </c>
      <c r="K448" s="83" t="b">
        <v>0</v>
      </c>
      <c r="L448" s="83" t="b">
        <v>0</v>
      </c>
    </row>
    <row r="449" spans="1:12" ht="15">
      <c r="A449" s="84" t="s">
        <v>4110</v>
      </c>
      <c r="B449" s="83" t="s">
        <v>4111</v>
      </c>
      <c r="C449" s="83">
        <v>2</v>
      </c>
      <c r="D449" s="110">
        <v>0.027231714641865017</v>
      </c>
      <c r="E449" s="110">
        <v>1.4313637641589874</v>
      </c>
      <c r="F449" s="83" t="s">
        <v>3423</v>
      </c>
      <c r="G449" s="83" t="b">
        <v>0</v>
      </c>
      <c r="H449" s="83" t="b">
        <v>0</v>
      </c>
      <c r="I449" s="83" t="b">
        <v>0</v>
      </c>
      <c r="J449" s="83" t="b">
        <v>1</v>
      </c>
      <c r="K449" s="83" t="b">
        <v>0</v>
      </c>
      <c r="L449" s="83" t="b">
        <v>0</v>
      </c>
    </row>
    <row r="450" spans="1:12" ht="15">
      <c r="A450" s="84" t="s">
        <v>3465</v>
      </c>
      <c r="B450" s="83" t="s">
        <v>3564</v>
      </c>
      <c r="C450" s="83">
        <v>2</v>
      </c>
      <c r="D450" s="110">
        <v>0.020589676785687062</v>
      </c>
      <c r="E450" s="110">
        <v>1.066946789630613</v>
      </c>
      <c r="F450" s="83" t="s">
        <v>3425</v>
      </c>
      <c r="G450" s="83" t="b">
        <v>1</v>
      </c>
      <c r="H450" s="83" t="b">
        <v>0</v>
      </c>
      <c r="I450" s="83" t="b">
        <v>0</v>
      </c>
      <c r="J450" s="83" t="b">
        <v>0</v>
      </c>
      <c r="K450" s="83" t="b">
        <v>0</v>
      </c>
      <c r="L450" s="83" t="b">
        <v>0</v>
      </c>
    </row>
    <row r="451" spans="1:12" ht="15">
      <c r="A451" s="84" t="s">
        <v>3847</v>
      </c>
      <c r="B451" s="83" t="s">
        <v>3459</v>
      </c>
      <c r="C451" s="83">
        <v>3</v>
      </c>
      <c r="D451" s="110">
        <v>0.021873683387902267</v>
      </c>
      <c r="E451" s="110">
        <v>1.287801729930226</v>
      </c>
      <c r="F451" s="83" t="s">
        <v>3427</v>
      </c>
      <c r="G451" s="83" t="b">
        <v>0</v>
      </c>
      <c r="H451" s="83" t="b">
        <v>0</v>
      </c>
      <c r="I451" s="83" t="b">
        <v>0</v>
      </c>
      <c r="J451" s="83" t="b">
        <v>0</v>
      </c>
      <c r="K451" s="83" t="b">
        <v>0</v>
      </c>
      <c r="L451" s="83" t="b">
        <v>0</v>
      </c>
    </row>
    <row r="452" spans="1:12" ht="15">
      <c r="A452" s="84" t="s">
        <v>3473</v>
      </c>
      <c r="B452" s="83" t="s">
        <v>3623</v>
      </c>
      <c r="C452" s="83">
        <v>2</v>
      </c>
      <c r="D452" s="110">
        <v>0.017699115044247787</v>
      </c>
      <c r="E452" s="110">
        <v>1.6857417386022637</v>
      </c>
      <c r="F452" s="83" t="s">
        <v>3427</v>
      </c>
      <c r="G452" s="83" t="b">
        <v>0</v>
      </c>
      <c r="H452" s="83" t="b">
        <v>0</v>
      </c>
      <c r="I452" s="83" t="b">
        <v>0</v>
      </c>
      <c r="J452" s="83" t="b">
        <v>0</v>
      </c>
      <c r="K452" s="83" t="b">
        <v>0</v>
      </c>
      <c r="L452" s="83" t="b">
        <v>0</v>
      </c>
    </row>
    <row r="453" spans="1:12" ht="15">
      <c r="A453" s="84" t="s">
        <v>3623</v>
      </c>
      <c r="B453" s="83" t="s">
        <v>4133</v>
      </c>
      <c r="C453" s="83">
        <v>2</v>
      </c>
      <c r="D453" s="110">
        <v>0.017699115044247787</v>
      </c>
      <c r="E453" s="110">
        <v>1.6857417386022637</v>
      </c>
      <c r="F453" s="83" t="s">
        <v>3427</v>
      </c>
      <c r="G453" s="83" t="b">
        <v>0</v>
      </c>
      <c r="H453" s="83" t="b">
        <v>0</v>
      </c>
      <c r="I453" s="83" t="b">
        <v>0</v>
      </c>
      <c r="J453" s="83" t="b">
        <v>0</v>
      </c>
      <c r="K453" s="83" t="b">
        <v>1</v>
      </c>
      <c r="L453" s="83" t="b">
        <v>0</v>
      </c>
    </row>
    <row r="454" spans="1:12" ht="15">
      <c r="A454" s="84" t="s">
        <v>4133</v>
      </c>
      <c r="B454" s="83" t="s">
        <v>3766</v>
      </c>
      <c r="C454" s="83">
        <v>2</v>
      </c>
      <c r="D454" s="110">
        <v>0.017699115044247787</v>
      </c>
      <c r="E454" s="110">
        <v>1.6857417386022637</v>
      </c>
      <c r="F454" s="83" t="s">
        <v>3427</v>
      </c>
      <c r="G454" s="83" t="b">
        <v>0</v>
      </c>
      <c r="H454" s="83" t="b">
        <v>1</v>
      </c>
      <c r="I454" s="83" t="b">
        <v>0</v>
      </c>
      <c r="J454" s="83" t="b">
        <v>0</v>
      </c>
      <c r="K454" s="83" t="b">
        <v>0</v>
      </c>
      <c r="L454" s="83" t="b">
        <v>0</v>
      </c>
    </row>
    <row r="455" spans="1:12" ht="15">
      <c r="A455" s="84" t="s">
        <v>3766</v>
      </c>
      <c r="B455" s="83" t="s">
        <v>4134</v>
      </c>
      <c r="C455" s="83">
        <v>2</v>
      </c>
      <c r="D455" s="110">
        <v>0.017699115044247787</v>
      </c>
      <c r="E455" s="110">
        <v>1.6857417386022637</v>
      </c>
      <c r="F455" s="83" t="s">
        <v>3427</v>
      </c>
      <c r="G455" s="83" t="b">
        <v>0</v>
      </c>
      <c r="H455" s="83" t="b">
        <v>0</v>
      </c>
      <c r="I455" s="83" t="b">
        <v>0</v>
      </c>
      <c r="J455" s="83" t="b">
        <v>0</v>
      </c>
      <c r="K455" s="83" t="b">
        <v>0</v>
      </c>
      <c r="L455" s="83" t="b">
        <v>0</v>
      </c>
    </row>
    <row r="456" spans="1:12" ht="15">
      <c r="A456" s="84" t="s">
        <v>4134</v>
      </c>
      <c r="B456" s="83" t="s">
        <v>3721</v>
      </c>
      <c r="C456" s="83">
        <v>2</v>
      </c>
      <c r="D456" s="110">
        <v>0.017699115044247787</v>
      </c>
      <c r="E456" s="110">
        <v>1.6857417386022637</v>
      </c>
      <c r="F456" s="83" t="s">
        <v>3427</v>
      </c>
      <c r="G456" s="83" t="b">
        <v>0</v>
      </c>
      <c r="H456" s="83" t="b">
        <v>0</v>
      </c>
      <c r="I456" s="83" t="b">
        <v>0</v>
      </c>
      <c r="J456" s="83" t="b">
        <v>0</v>
      </c>
      <c r="K456" s="83" t="b">
        <v>0</v>
      </c>
      <c r="L456" s="83" t="b">
        <v>0</v>
      </c>
    </row>
    <row r="457" spans="1:12" ht="15">
      <c r="A457" s="84" t="s">
        <v>3721</v>
      </c>
      <c r="B457" s="83" t="s">
        <v>4135</v>
      </c>
      <c r="C457" s="83">
        <v>2</v>
      </c>
      <c r="D457" s="110">
        <v>0.017699115044247787</v>
      </c>
      <c r="E457" s="110">
        <v>1.6857417386022637</v>
      </c>
      <c r="F457" s="83" t="s">
        <v>3427</v>
      </c>
      <c r="G457" s="83" t="b">
        <v>0</v>
      </c>
      <c r="H457" s="83" t="b">
        <v>0</v>
      </c>
      <c r="I457" s="83" t="b">
        <v>0</v>
      </c>
      <c r="J457" s="83" t="b">
        <v>0</v>
      </c>
      <c r="K457" s="83" t="b">
        <v>1</v>
      </c>
      <c r="L457" s="83" t="b">
        <v>0</v>
      </c>
    </row>
    <row r="458" spans="1:12" ht="15">
      <c r="A458" s="84" t="s">
        <v>4135</v>
      </c>
      <c r="B458" s="83" t="s">
        <v>3847</v>
      </c>
      <c r="C458" s="83">
        <v>2</v>
      </c>
      <c r="D458" s="110">
        <v>0.017699115044247787</v>
      </c>
      <c r="E458" s="110">
        <v>1.5096504795465824</v>
      </c>
      <c r="F458" s="83" t="s">
        <v>3427</v>
      </c>
      <c r="G458" s="83" t="b">
        <v>0</v>
      </c>
      <c r="H458" s="83" t="b">
        <v>1</v>
      </c>
      <c r="I458" s="83" t="b">
        <v>0</v>
      </c>
      <c r="J458" s="83" t="b">
        <v>0</v>
      </c>
      <c r="K458" s="83" t="b">
        <v>0</v>
      </c>
      <c r="L458" s="83" t="b">
        <v>0</v>
      </c>
    </row>
    <row r="459" spans="1:12" ht="15">
      <c r="A459" s="84" t="s">
        <v>3459</v>
      </c>
      <c r="B459" s="83" t="s">
        <v>3457</v>
      </c>
      <c r="C459" s="83">
        <v>2</v>
      </c>
      <c r="D459" s="110">
        <v>0.017699115044247787</v>
      </c>
      <c r="E459" s="110">
        <v>0.8106804752105636</v>
      </c>
      <c r="F459" s="83" t="s">
        <v>3427</v>
      </c>
      <c r="G459" s="83" t="b">
        <v>0</v>
      </c>
      <c r="H459" s="83" t="b">
        <v>0</v>
      </c>
      <c r="I459" s="83" t="b">
        <v>0</v>
      </c>
      <c r="J459" s="83" t="b">
        <v>1</v>
      </c>
      <c r="K459" s="83" t="b">
        <v>0</v>
      </c>
      <c r="L459" s="83" t="b">
        <v>0</v>
      </c>
    </row>
    <row r="460" spans="1:12" ht="15">
      <c r="A460" s="84" t="s">
        <v>3457</v>
      </c>
      <c r="B460" s="83" t="s">
        <v>3552</v>
      </c>
      <c r="C460" s="83">
        <v>2</v>
      </c>
      <c r="D460" s="110">
        <v>0.017699115044247787</v>
      </c>
      <c r="E460" s="110">
        <v>1.3847117429382825</v>
      </c>
      <c r="F460" s="83" t="s">
        <v>3427</v>
      </c>
      <c r="G460" s="83" t="b">
        <v>1</v>
      </c>
      <c r="H460" s="83" t="b">
        <v>0</v>
      </c>
      <c r="I460" s="83" t="b">
        <v>0</v>
      </c>
      <c r="J460" s="83" t="b">
        <v>0</v>
      </c>
      <c r="K460" s="83" t="b">
        <v>0</v>
      </c>
      <c r="L460" s="83" t="b">
        <v>0</v>
      </c>
    </row>
    <row r="461" spans="1:12" ht="15">
      <c r="A461" s="84" t="s">
        <v>3645</v>
      </c>
      <c r="B461" s="83" t="s">
        <v>3462</v>
      </c>
      <c r="C461" s="83">
        <v>2</v>
      </c>
      <c r="D461" s="110">
        <v>0</v>
      </c>
      <c r="E461" s="110">
        <v>0.9208187539523752</v>
      </c>
      <c r="F461" s="83" t="s">
        <v>3428</v>
      </c>
      <c r="G461" s="83" t="b">
        <v>0</v>
      </c>
      <c r="H461" s="83" t="b">
        <v>0</v>
      </c>
      <c r="I461" s="83" t="b">
        <v>0</v>
      </c>
      <c r="J461" s="83" t="b">
        <v>0</v>
      </c>
      <c r="K461" s="83" t="b">
        <v>0</v>
      </c>
      <c r="L461" s="83" t="b">
        <v>0</v>
      </c>
    </row>
    <row r="462" spans="1:12" ht="15">
      <c r="A462" s="84" t="s">
        <v>3462</v>
      </c>
      <c r="B462" s="83" t="s">
        <v>3572</v>
      </c>
      <c r="C462" s="83">
        <v>2</v>
      </c>
      <c r="D462" s="110">
        <v>0</v>
      </c>
      <c r="E462" s="110">
        <v>1.0969100130080565</v>
      </c>
      <c r="F462" s="83" t="s">
        <v>3428</v>
      </c>
      <c r="G462" s="83" t="b">
        <v>0</v>
      </c>
      <c r="H462" s="83" t="b">
        <v>0</v>
      </c>
      <c r="I462" s="83" t="b">
        <v>0</v>
      </c>
      <c r="J462" s="83" t="b">
        <v>0</v>
      </c>
      <c r="K462" s="83" t="b">
        <v>0</v>
      </c>
      <c r="L462" s="83" t="b">
        <v>0</v>
      </c>
    </row>
    <row r="463" spans="1:12" ht="15">
      <c r="A463" s="84" t="s">
        <v>3572</v>
      </c>
      <c r="B463" s="83" t="s">
        <v>3702</v>
      </c>
      <c r="C463" s="83">
        <v>2</v>
      </c>
      <c r="D463" s="110">
        <v>0</v>
      </c>
      <c r="E463" s="110">
        <v>0.9208187539523752</v>
      </c>
      <c r="F463" s="83" t="s">
        <v>3428</v>
      </c>
      <c r="G463" s="83" t="b">
        <v>0</v>
      </c>
      <c r="H463" s="83" t="b">
        <v>0</v>
      </c>
      <c r="I463" s="83" t="b">
        <v>0</v>
      </c>
      <c r="J463" s="83" t="b">
        <v>0</v>
      </c>
      <c r="K463" s="83" t="b">
        <v>0</v>
      </c>
      <c r="L463" s="83" t="b">
        <v>0</v>
      </c>
    </row>
    <row r="464" spans="1:12" ht="15">
      <c r="A464" s="84" t="s">
        <v>3702</v>
      </c>
      <c r="B464" s="83" t="s">
        <v>3848</v>
      </c>
      <c r="C464" s="83">
        <v>2</v>
      </c>
      <c r="D464" s="110">
        <v>0</v>
      </c>
      <c r="E464" s="110">
        <v>0.9208187539523752</v>
      </c>
      <c r="F464" s="83" t="s">
        <v>3428</v>
      </c>
      <c r="G464" s="83" t="b">
        <v>0</v>
      </c>
      <c r="H464" s="83" t="b">
        <v>0</v>
      </c>
      <c r="I464" s="83" t="b">
        <v>0</v>
      </c>
      <c r="J464" s="83" t="b">
        <v>0</v>
      </c>
      <c r="K464" s="83" t="b">
        <v>0</v>
      </c>
      <c r="L464" s="83" t="b">
        <v>0</v>
      </c>
    </row>
    <row r="465" spans="1:12" ht="15">
      <c r="A465" s="84" t="s">
        <v>3646</v>
      </c>
      <c r="B465" s="83" t="s">
        <v>3645</v>
      </c>
      <c r="C465" s="83">
        <v>2</v>
      </c>
      <c r="D465" s="110">
        <v>0</v>
      </c>
      <c r="E465" s="110">
        <v>0.7958800173440752</v>
      </c>
      <c r="F465" s="83" t="s">
        <v>3428</v>
      </c>
      <c r="G465" s="83" t="b">
        <v>0</v>
      </c>
      <c r="H465" s="83" t="b">
        <v>0</v>
      </c>
      <c r="I465" s="83" t="b">
        <v>0</v>
      </c>
      <c r="J465" s="83" t="b">
        <v>0</v>
      </c>
      <c r="K465" s="83" t="b">
        <v>0</v>
      </c>
      <c r="L46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26A8A2-872B-437C-BEC0-320815BEAF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2008-01-30T00:41:58Z</dcterms:created>
  <dcterms:modified xsi:type="dcterms:W3CDTF">2021-08-02T17:54:36Z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