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<sst xmlns="http://schemas.openxmlformats.org/spreadsheetml/2006/main" count="529" uniqueCount="324">
  <si>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</si>
  <si>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</si>
  <si>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</si>
  <si>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</si>
  <si>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</si>
  <si>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</si>
  <si>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</si>
  <si>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</si>
  <si>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</si>
  <si>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</si>
  <si>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</si>
  <si>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</si>
  <si>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</si>
  <si>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</si>
  <si>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</si>
  <si>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</si>
  <si>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</si>
  <si>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</si>
  <si>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</si>
  <si>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</si>
  <si>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</si>
  <si>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</si>
  <si>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</si>
  <si>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</si>
  <si>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</si>
  <si>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</si>
  <si>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</si>
  <si>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</si>
  <si>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</si>
  <si>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</si>
  <si>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</si>
  <si>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</si>
  <si>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</si>
  <si>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</si>
  <si>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</si>
  <si>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</si>
  <si>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</si>
  <si>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</si>
  <si>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</si>
  <si>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</si>
  <si>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</si>
  <si>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</si>
  <si>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</si>
  <si>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</si>
  <si>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</si>
  <si>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</si>
  <si>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</si>
  <si>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</si>
  <si>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</si>
  <si>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</si>
  <si>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</si>
  <si>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</si>
  <si>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</si>
  <si>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</si>
  <si>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</si>
  <si>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</si>
  <si>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</si>
  <si>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</si>
  <si>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</si>
  <si>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</si>
  <si>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</si>
  <si>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</si>
  <si>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</si>
  <si>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</si>
  <si>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</si>
  <si>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</si>
  <si>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</si>
  <si>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</si>
  <si>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</si>
  <si>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</si>
  <si>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</si>
  <si>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</si>
  <si>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</si>
  <si>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</si>
  <si>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</si>
  <si>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</si>
  <si>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</si>
  <si>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</si>
  <si>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</si>
  <si>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</si>
  <si>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</si>
  <si>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</si>
  <si>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</si>
  <si>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</si>
  <si>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</si>
  <si>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</si>
  <si>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</si>
  <si>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</si>
  <si>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</si>
  <si>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</si>
  <si>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</si>
  <si>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</si>
  <si>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</si>
  <si>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</si>
  <si>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</si>
  <si>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</si>
  <si>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</si>
  <si>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</si>
  <si>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</si>
  <si>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</si>
  <si>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</si>
  <si>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</si>
  <si>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</si>
  <si>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</si>
  <si>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</si>
  <si>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</si>
  <si>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</si>
  <si>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</si>
  <si>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</si>
  <si>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</si>
  <si>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</si>
  <si>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</si>
  <si>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</si>
  <si>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</si>
  <si>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</si>
  <si>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</si>
  <si>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</si>
  <si>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</si>
  <si>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</si>
  <si>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</si>
  <si>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</si>
  <si>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</si>
  <si>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</si>
  <si>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</si>
  <si>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</si>
  <si>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</si>
  <si>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</si>
  <si>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</si>
  <si>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</si>
  <si>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</si>
  <si>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</si>
  <si>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</si>
  <si>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</si>
  <si>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</si>
  <si>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</si>
  <si>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</si>
  <si>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</si>
  <si>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</si>
  <si>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</si>
  <si>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</si>
  <si>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</si>
  <si>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</si>
  <si>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</si>
  <si>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</si>
  <si>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</si>
  <si>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</si>
  <si>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</si>
  <si>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</si>
  <si>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</si>
  <si>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</si>
  <si>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</si>
  <si>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</si>
  <si>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</si>
  <si>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</si>
  <si>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</si>
  <si>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</si>
  <si>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</si>
  <si>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</si>
  <si>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</si>
  <si>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</si>
  <si>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</si>
  <si>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</si>
  <si>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</si>
  <si>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</si>
  <si>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</si>
  <si>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</si>
  <si>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</si>
  <si>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</si>
  <si>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</si>
  <si>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</si>
  <si>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</si>
  <si>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</si>
  <si>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</si>
  <si>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</si>
  <si>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</si>
  <si>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</si>
  <si>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</si>
  <si>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</si>
  <si>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</si>
  <si>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</si>
  <si>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</si>
  <si>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</si>
  <si>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</si>
  <si>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</si>
  <si>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</si>
  <si>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</si>
  <si>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</si>
  <si>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</si>
  <si>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</si>
  <si>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</si>
  <si>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</si>
  <si>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</si>
  <si>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</si>
  <si>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</si>
  <si>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</si>
  <si>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</si>
  <si>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</si>
  <si>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</si>
  <si>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</si>
  <si>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</si>
  <si>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</si>
  <si>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</si>
  <si>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</si>
  <si>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</si>
  <si>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</si>
  <si>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</si>
  <si>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</si>
  <si>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</si>
  <si>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</si>
  <si>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</si>
  <si>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</si>
  <si>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</si>
  <si>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</si>
  <si>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</si>
  <si>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neo4j</t>
  </si>
  <si>
    <t>ey_us</t>
  </si>
  <si>
    <t>pivotal</t>
  </si>
  <si>
    <t>Mentions</t>
  </si>
  <si>
    <t>[From the archives:]
Designing the Enterprise: #HRApplications at Scale – a #GraphConnect talk with Michael Moore, Todd Middlemis and Sameep Mondhe of @EY_US
https://t.co/KYyyMxyI2O
#OrganizationMapping #OrganizationDesign</t>
  </si>
  <si>
    <t>[From the archives:]
From Zero to the Connected Enterprise in 45 Minutes – a #GraphConnect talk with Tim Ward of CluedIn
https://t.co/0C0oeyWVqf
#DataIntegration #DataCleansing</t>
  </si>
  <si>
    <t>[From the archives:]
#Neo4j and #CloudFoundry – #GraphConnect talk by Jenny McLaughlin, Platform Architect @Pivotal
https://t.co/5LMD9hhQRm
#GoogleCloud #Microservices #Kubernetes</t>
  </si>
  <si>
    <t>neo4j.com</t>
  </si>
  <si>
    <t>hrapplications graphconnect organizationmapping organizationdesign</t>
  </si>
  <si>
    <t>graphconnect dataintegration datacleansing</t>
  </si>
  <si>
    <t>neo4j cloudfoundry graphconnect googlecloud microservices kubernetes</t>
  </si>
  <si>
    <t>15:06:01</t>
  </si>
  <si>
    <t>03:05:01</t>
  </si>
  <si>
    <t>15:04:01</t>
  </si>
  <si>
    <t>1349372133760258048</t>
  </si>
  <si>
    <t>1349553076307423233</t>
  </si>
  <si>
    <t>1347197303099170819</t>
  </si>
  <si>
    <t/>
  </si>
  <si>
    <t>en</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</si>
  <si>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</si>
  <si>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</si>
  <si>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</si>
  <si>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</si>
  <si>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</si>
  <si>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</si>
  <si>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</si>
  <si>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</si>
  <si>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</si>
  <si>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</si>
  <si>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</si>
  <si>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</si>
  <si>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</si>
  <si>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</si>
  <si>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</si>
  <si>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</si>
  <si>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</si>
  <si>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</si>
  <si>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</si>
  <si>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</si>
  <si>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</si>
  <si>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</si>
  <si>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</si>
  <si>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Pivotal</t>
  </si>
  <si>
    <t>EY US</t>
  </si>
  <si>
    <t>Neo4j</t>
  </si>
  <si>
    <t>1132876218</t>
  </si>
  <si>
    <t>869918579927523328</t>
  </si>
  <si>
    <t>22467617</t>
  </si>
  <si>
    <t>Transforming how the world builds software.</t>
  </si>
  <si>
    <t>Official US Ernst &amp; Young LLP account. Join us as we ask #BetterQuestions and discuss topics that matter to you, the workplace, and the future of business.</t>
  </si>
  <si>
    <t>The #1 platform for connected data. Developers start here: https://neo4j.com/developer/</t>
  </si>
  <si>
    <t>United States</t>
  </si>
  <si>
    <t>Graphs Are Everywhere</t>
  </si>
  <si>
    <t>Open Twitter Page for This Person</t>
  </si>
  <si>
    <t xml:space="preserve">pivotal
</t>
  </si>
  <si>
    <t xml:space="preserve">ey_us
</t>
  </si>
  <si>
    <t>neo4j
[From the archives:] From Zero
to the Connected Enterprise in
45 Minutes – a #GraphConnect talk
with Tim Ward of CluedIn https://t.co/0C0oeyWVqf
#DataIntegration #DataCleansing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</si>
  <si>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</si>
  <si>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</si>
  <si>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</si>
  <si>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</si>
  <si>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</si>
  <si>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</si>
  <si>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</si>
  <si>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</si>
  <si>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</si>
  <si>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</si>
  <si>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</si>
  <si>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</si>
  <si>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</si>
  <si>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</si>
  <si>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</si>
  <si>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</si>
  <si>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</si>
  <si>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</si>
  <si>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</si>
  <si>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</si>
  <si>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</si>
  <si>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</si>
  <si>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</si>
  <si>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</si>
  <si>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</si>
  <si>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</si>
  <si>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</si>
  <si>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</si>
  <si>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</si>
  <si>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</si>
  <si>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</si>
  <si>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</si>
  <si>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</si>
  <si>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</si>
  <si>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</si>
  <si>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</si>
  <si>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</si>
  <si>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</si>
  <si>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</si>
  <si>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</si>
  <si>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</si>
  <si>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</si>
  <si>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</si>
  <si>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Top URLs in Tweet</t>
  </si>
  <si>
    <t>https://neo4j.com/blog/designing-the-enterprise-hr-applications-at-scale/?ref=social-blog https://neo4j.com/blog/from-zero-to-the-connected-enterprise-in-45-minutes/?ref=social-blog https://neo4j.com/blog/neo4j-cloud-foundry/?ref=social-blog</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</si>
  <si>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</si>
  <si>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</si>
  <si>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</si>
  <si>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</si>
  <si>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</si>
  <si>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</si>
  <si>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GraphSource░GraphServerTwitterSearch▓GraphTerm░graphconnect▓ImportDescription░The graph represents a network of 3 Twitter users whose tweets in the requested range contained "graphconnect", or who were replied to or mentioned in those tweets.  The network was obtained from the NodeXL Graph Server on Wednesday, 20 January 2021 at 00:50 UTC.
The requested start date was Tuesday, 19 January 2021 at 01:01 UTC and the maximum number of days (going backward) was 14.
The maximum number of tweets collected was 7,500.
The tweets in the network were tweeted over the 6-day, 12-hour, 1-minute period from Thursday, 07 January 2021 at 15:04 UTC to Thursday, 14 January 2021 at 03:05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</si>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</sst>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467222"/>
        <c:axId val="40987271"/>
      </c:barChart>
      <c:catAx>
        <c:axId val="194672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987271"/>
        <c:crosses val="autoZero"/>
        <c:auto val="1"/>
        <c:lblOffset val="100"/>
        <c:noMultiLvlLbl val="0"/>
      </c:catAx>
      <c:valAx>
        <c:axId val="40987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67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graphconnect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1/7/2021 15:04</c:v>
                </c:pt>
                <c:pt idx="1">
                  <c:v>1/13/2021 15:06</c:v>
                </c:pt>
                <c:pt idx="2">
                  <c:v>1/14/2021 3:05</c:v>
                </c:pt>
              </c:strCache>
            </c:strRef>
          </c:cat>
          <c:val>
            <c:numRef>
              <c:f>'Time Series'!$B$26:$B$29</c:f>
              <c:numCache>
                <c:formatCode>General</c:formatCode>
                <c:ptCount val="3"/>
                <c:pt idx="0">
                  <c:v>1</c:v>
                </c:pt>
                <c:pt idx="1">
                  <c:v>1</c:v>
                </c:pt>
                <c:pt idx="2">
                  <c:v>1</c:v>
                </c:pt>
              </c:numCache>
            </c:numRef>
          </c:val>
        </c:ser>
        <c:axId val="22177424"/>
        <c:axId val="65379089"/>
      </c:barChart>
      <c:catAx>
        <c:axId val="22177424"/>
        <c:scaling>
          <c:orientation val="minMax"/>
        </c:scaling>
        <c:axPos val="b"/>
        <c:delete val="0"/>
        <c:numFmt formatCode="General" sourceLinked="1"/>
        <c:majorTickMark val="out"/>
        <c:minorTickMark val="none"/>
        <c:tickLblPos val="nextTo"/>
        <c:crossAx val="65379089"/>
        <c:crosses val="autoZero"/>
        <c:auto val="1"/>
        <c:lblOffset val="100"/>
        <c:noMultiLvlLbl val="0"/>
      </c:catAx>
      <c:valAx>
        <c:axId val="65379089"/>
        <c:scaling>
          <c:orientation val="minMax"/>
        </c:scaling>
        <c:axPos val="l"/>
        <c:majorGridlines/>
        <c:delete val="0"/>
        <c:numFmt formatCode="General" sourceLinked="1"/>
        <c:majorTickMark val="out"/>
        <c:minorTickMark val="none"/>
        <c:tickLblPos val="nextTo"/>
        <c:crossAx val="221774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341120"/>
        <c:axId val="31634625"/>
      </c:barChart>
      <c:catAx>
        <c:axId val="333411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634625"/>
        <c:crosses val="autoZero"/>
        <c:auto val="1"/>
        <c:lblOffset val="100"/>
        <c:noMultiLvlLbl val="0"/>
      </c:catAx>
      <c:valAx>
        <c:axId val="31634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41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276170"/>
        <c:axId val="12267803"/>
      </c:barChart>
      <c:catAx>
        <c:axId val="162761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267803"/>
        <c:crosses val="autoZero"/>
        <c:auto val="1"/>
        <c:lblOffset val="100"/>
        <c:noMultiLvlLbl val="0"/>
      </c:catAx>
      <c:valAx>
        <c:axId val="12267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76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301364"/>
        <c:axId val="54167957"/>
      </c:barChart>
      <c:catAx>
        <c:axId val="433013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167957"/>
        <c:crosses val="autoZero"/>
        <c:auto val="1"/>
        <c:lblOffset val="100"/>
        <c:noMultiLvlLbl val="0"/>
      </c:catAx>
      <c:valAx>
        <c:axId val="541679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013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749566"/>
        <c:axId val="25528367"/>
      </c:barChart>
      <c:catAx>
        <c:axId val="177495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528367"/>
        <c:crosses val="autoZero"/>
        <c:auto val="1"/>
        <c:lblOffset val="100"/>
        <c:noMultiLvlLbl val="0"/>
      </c:catAx>
      <c:valAx>
        <c:axId val="25528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49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428712"/>
        <c:axId val="54531817"/>
      </c:barChart>
      <c:catAx>
        <c:axId val="284287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531817"/>
        <c:crosses val="autoZero"/>
        <c:auto val="1"/>
        <c:lblOffset val="100"/>
        <c:noMultiLvlLbl val="0"/>
      </c:catAx>
      <c:valAx>
        <c:axId val="54531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28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024306"/>
        <c:axId val="55001027"/>
      </c:barChart>
      <c:catAx>
        <c:axId val="210243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001027"/>
        <c:crosses val="autoZero"/>
        <c:auto val="1"/>
        <c:lblOffset val="100"/>
        <c:noMultiLvlLbl val="0"/>
      </c:catAx>
      <c:valAx>
        <c:axId val="55001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24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247196"/>
        <c:axId val="25898173"/>
      </c:barChart>
      <c:catAx>
        <c:axId val="252471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898173"/>
        <c:crosses val="autoZero"/>
        <c:auto val="1"/>
        <c:lblOffset val="100"/>
        <c:noMultiLvlLbl val="0"/>
      </c:catAx>
      <c:valAx>
        <c:axId val="25898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471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756966"/>
        <c:axId val="17377239"/>
      </c:barChart>
      <c:catAx>
        <c:axId val="31756966"/>
        <c:scaling>
          <c:orientation val="minMax"/>
        </c:scaling>
        <c:axPos val="b"/>
        <c:delete val="1"/>
        <c:majorTickMark val="out"/>
        <c:minorTickMark val="none"/>
        <c:tickLblPos val="none"/>
        <c:crossAx val="17377239"/>
        <c:crosses val="autoZero"/>
        <c:auto val="1"/>
        <c:lblOffset val="100"/>
        <c:noMultiLvlLbl val="0"/>
      </c:catAx>
      <c:valAx>
        <c:axId val="17377239"/>
        <c:scaling>
          <c:orientation val="minMax"/>
        </c:scaling>
        <c:axPos val="l"/>
        <c:delete val="1"/>
        <c:majorTickMark val="out"/>
        <c:minorTickMark val="none"/>
        <c:tickLblPos val="none"/>
        <c:crossAx val="317569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E5"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3">
        <s v="neo4j cloudfoundry graphconnect googlecloud microservices kubernetes"/>
        <s v="hrapplications graphconnect organizationmapping organizationdesign"/>
        <s v="graphconnect dataintegration datacleansing"/>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21-01-07T15:04:01.000"/>
        <d v="2021-01-13T15:06:01.000"/>
        <d v="2021-01-14T03:05:0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neo4j"/>
    <s v="pivotal"/>
    <m/>
    <m/>
    <m/>
    <m/>
    <m/>
    <m/>
    <m/>
    <m/>
    <s v="No"/>
    <n v="3"/>
    <m/>
    <m/>
    <x v="0"/>
    <d v="2021-01-07T15:04:01.000"/>
    <s v="[From the archives:]_x000a_#Neo4j and #CloudFoundry – #GraphConnect talk by Jenny McLaughlin, Platform Architect @Pivotal_x000a_       _x000a_https://t.co/5LMD9hhQRm_x000a_#GoogleCloud #Microservices #Kubernetes"/>
    <s v="https://neo4j.com/blog/neo4j-cloud-foundry/?ref=social-blog"/>
    <s v="neo4j.com"/>
    <x v="0"/>
    <m/>
    <s v="http://pbs.twimg.com/profile_images/1183755273753767936/vSV_IPTs_normal.jpg"/>
    <x v="0"/>
    <d v="2021-01-07T00:00:00.000"/>
    <s v="15:04:01"/>
    <s v="https://twitter.com/#!/neo4j/status/1347197303099170819"/>
    <m/>
    <m/>
    <s v="1347197303099170819"/>
    <m/>
    <b v="0"/>
    <n v="2"/>
    <s v=""/>
    <b v="0"/>
    <s v="en"/>
    <m/>
    <s v=""/>
    <b v="0"/>
    <n v="0"/>
    <s v=""/>
    <s v="Buffer"/>
    <b v="0"/>
    <s v="1347197303099170819"/>
    <s v="Tweet"/>
    <n v="0"/>
    <n v="0"/>
    <m/>
    <m/>
    <m/>
    <m/>
    <m/>
    <m/>
    <m/>
    <m/>
    <n v="1"/>
    <s v="1"/>
    <s v="1"/>
  </r>
  <r>
    <s v="neo4j"/>
    <s v="ey_us"/>
    <m/>
    <m/>
    <m/>
    <m/>
    <m/>
    <m/>
    <m/>
    <m/>
    <s v="No"/>
    <n v="4"/>
    <m/>
    <m/>
    <x v="0"/>
    <d v="2021-01-13T15:06:01.000"/>
    <s v="[From the archives:]_x000a_Designing the Enterprise: #HRApplications at Scale – a #GraphConnect talk with Michael Moore, Todd Middlemis and Sameep Mondhe of @EY_US_x000a_          _x000a_https://t.co/KYyyMxyI2O_x000a_#OrganizationMapping #OrganizationDesign"/>
    <s v="https://neo4j.com/blog/designing-the-enterprise-hr-applications-at-scale/?ref=social-blog"/>
    <s v="neo4j.com"/>
    <x v="1"/>
    <m/>
    <s v="http://pbs.twimg.com/profile_images/1183755273753767936/vSV_IPTs_normal.jpg"/>
    <x v="1"/>
    <d v="2021-01-13T00:00:00.000"/>
    <s v="15:06:01"/>
    <s v="https://twitter.com/#!/neo4j/status/1349372133760258048"/>
    <m/>
    <m/>
    <s v="1349372133760258048"/>
    <m/>
    <b v="0"/>
    <n v="0"/>
    <s v=""/>
    <b v="0"/>
    <s v="en"/>
    <m/>
    <s v=""/>
    <b v="0"/>
    <n v="0"/>
    <s v=""/>
    <s v="Buffer"/>
    <b v="0"/>
    <s v="1349372133760258048"/>
    <s v="Tweet"/>
    <n v="0"/>
    <n v="0"/>
    <m/>
    <m/>
    <m/>
    <m/>
    <m/>
    <m/>
    <m/>
    <m/>
    <n v="1"/>
    <s v="1"/>
    <s v="1"/>
  </r>
  <r>
    <s v="neo4j"/>
    <s v="neo4j"/>
    <m/>
    <m/>
    <m/>
    <m/>
    <m/>
    <m/>
    <m/>
    <m/>
    <s v="No"/>
    <n v="5"/>
    <m/>
    <m/>
    <x v="1"/>
    <d v="2021-01-14T03:05:01.000"/>
    <s v="[From the archives:]_x000a_From Zero to the Connected Enterprise in 45 Minutes – a #GraphConnect talk with Tim Ward of CluedIn_x000a_ _x000a_https://t.co/0C0oeyWVqf_x000a_#DataIntegration #DataCleansing"/>
    <s v="https://neo4j.com/blog/from-zero-to-the-connected-enterprise-in-45-minutes/?ref=social-blog"/>
    <s v="neo4j.com"/>
    <x v="2"/>
    <m/>
    <s v="http://pbs.twimg.com/profile_images/1183755273753767936/vSV_IPTs_normal.jpg"/>
    <x v="2"/>
    <d v="2021-01-14T00:00:00.000"/>
    <s v="03:05:01"/>
    <s v="https://twitter.com/#!/neo4j/status/1349553076307423233"/>
    <m/>
    <m/>
    <s v="1349553076307423233"/>
    <m/>
    <b v="0"/>
    <n v="0"/>
    <s v=""/>
    <b v="0"/>
    <s v="en"/>
    <m/>
    <s v=""/>
    <b v="0"/>
    <n v="0"/>
    <s v=""/>
    <s v="Buffer"/>
    <b v="0"/>
    <s v="1349553076307423233"/>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5" totalsRowShown="0" headerRowDxfId="220" dataDxfId="219">
  <autoFilter ref="A2:BE5"/>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5" totalsRowShown="0" headerRowDxfId="165" dataDxfId="164">
  <autoFilter ref="A2:BA5"/>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109" dataDxfId="108">
  <autoFilter ref="A1:C4"/>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5" totalsRowShown="0" headerRowDxfId="57" dataDxfId="56">
  <autoFilter ref="A2:BE5"/>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calculatedColumnFormula>HYPERLINK("http://pbs.twimg.com/profile_images/1183755273753767936/vSV_IPTs_normal.jpg")</calculatedColumnFormula>
    </tableColumn>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308</v>
      </c>
      <c r="BD2" s="13" t="s">
        <v>312</v>
      </c>
      <c r="BE2" s="13" t="s">
        <v>313</v>
      </c>
    </row>
    <row r="3" spans="1:57" ht="15" customHeight="1">
      <c r="A3" s="83" t="s">
        <v>214</v>
      </c>
      <c r="B3" s="83" t="s">
        <v>216</v>
      </c>
      <c r="C3" s="54" t="s">
        <v>319</v>
      </c>
      <c r="D3" s="55">
        <v>3</v>
      </c>
      <c r="E3" s="67" t="s">
        <v>132</v>
      </c>
      <c r="F3" s="56">
        <v>35</v>
      </c>
      <c r="G3" s="54"/>
      <c r="H3" s="58"/>
      <c r="I3" s="57"/>
      <c r="J3" s="57"/>
      <c r="K3" s="36" t="s">
        <v>65</v>
      </c>
      <c r="L3" s="63">
        <v>3</v>
      </c>
      <c r="M3" s="63"/>
      <c r="N3" s="64"/>
      <c r="O3" s="84" t="s">
        <v>217</v>
      </c>
      <c r="P3" s="86">
        <v>44203.62778935185</v>
      </c>
      <c r="Q3" s="84" t="s">
        <v>220</v>
      </c>
      <c r="R3" s="88" t="str">
        <f>HYPERLINK("https://neo4j.com/blog/neo4j-cloud-foundry/?ref=social-blog")</f>
        <v>https://neo4j.com/blog/neo4j-cloud-foundry/?ref=social-blog</v>
      </c>
      <c r="S3" s="84" t="s">
        <v>221</v>
      </c>
      <c r="T3" s="84" t="s">
        <v>224</v>
      </c>
      <c r="U3" s="84"/>
      <c r="V3" s="88" t="str">
        <f>HYPERLINK("http://pbs.twimg.com/profile_images/1183755273753767936/vSV_IPTs_normal.jpg")</f>
        <v>http://pbs.twimg.com/profile_images/1183755273753767936/vSV_IPTs_normal.jpg</v>
      </c>
      <c r="W3" s="86">
        <v>44203.62778935185</v>
      </c>
      <c r="X3" s="90">
        <v>44203</v>
      </c>
      <c r="Y3" s="92" t="s">
        <v>227</v>
      </c>
      <c r="Z3" s="88" t="str">
        <f>HYPERLINK("https://twitter.com/#!/neo4j/status/1347197303099170819")</f>
        <v>https://twitter.com/#!/neo4j/status/1347197303099170819</v>
      </c>
      <c r="AA3" s="84"/>
      <c r="AB3" s="84"/>
      <c r="AC3" s="92" t="s">
        <v>230</v>
      </c>
      <c r="AD3" s="84"/>
      <c r="AE3" s="84" t="b">
        <v>0</v>
      </c>
      <c r="AF3" s="84">
        <v>2</v>
      </c>
      <c r="AG3" s="92" t="s">
        <v>231</v>
      </c>
      <c r="AH3" s="84" t="b">
        <v>0</v>
      </c>
      <c r="AI3" s="84" t="s">
        <v>232</v>
      </c>
      <c r="AJ3" s="84"/>
      <c r="AK3" s="92" t="s">
        <v>231</v>
      </c>
      <c r="AL3" s="84" t="b">
        <v>0</v>
      </c>
      <c r="AM3" s="84">
        <v>0</v>
      </c>
      <c r="AN3" s="92" t="s">
        <v>231</v>
      </c>
      <c r="AO3" s="84" t="s">
        <v>233</v>
      </c>
      <c r="AP3" s="84" t="b">
        <v>0</v>
      </c>
      <c r="AQ3" s="92" t="s">
        <v>230</v>
      </c>
      <c r="AR3" s="84" t="s">
        <v>176</v>
      </c>
      <c r="AS3" s="84">
        <v>0</v>
      </c>
      <c r="AT3" s="84">
        <v>0</v>
      </c>
      <c r="AU3" s="84"/>
      <c r="AV3" s="84"/>
      <c r="AW3" s="84"/>
      <c r="AX3" s="84"/>
      <c r="AY3" s="84"/>
      <c r="AZ3" s="84"/>
      <c r="BA3" s="84"/>
      <c r="BB3" s="84"/>
      <c r="BC3">
        <v>1</v>
      </c>
      <c r="BD3" s="84" t="str">
        <f>REPLACE(INDEX(GroupVertices[Group],MATCH(Edges[[#This Row],[Vertex 1]],GroupVertices[Vertex],0)),1,1,"")</f>
        <v>1</v>
      </c>
      <c r="BE3" s="84" t="str">
        <f>REPLACE(INDEX(GroupVertices[Group],MATCH(Edges[[#This Row],[Vertex 2]],GroupVertices[Vertex],0)),1,1,"")</f>
        <v>1</v>
      </c>
    </row>
    <row r="4" spans="1:57" ht="15" customHeight="1">
      <c r="A4" s="83" t="s">
        <v>214</v>
      </c>
      <c r="B4" s="83" t="s">
        <v>215</v>
      </c>
      <c r="C4" s="54" t="s">
        <v>319</v>
      </c>
      <c r="D4" s="55">
        <v>3</v>
      </c>
      <c r="E4" s="67" t="s">
        <v>132</v>
      </c>
      <c r="F4" s="56">
        <v>35</v>
      </c>
      <c r="G4" s="54"/>
      <c r="H4" s="58"/>
      <c r="I4" s="57"/>
      <c r="J4" s="57"/>
      <c r="K4" s="36" t="s">
        <v>65</v>
      </c>
      <c r="L4" s="82">
        <v>4</v>
      </c>
      <c r="M4" s="82"/>
      <c r="N4" s="64"/>
      <c r="O4" s="85" t="s">
        <v>217</v>
      </c>
      <c r="P4" s="87">
        <v>44209.62917824074</v>
      </c>
      <c r="Q4" s="85" t="s">
        <v>218</v>
      </c>
      <c r="R4" s="89" t="str">
        <f>HYPERLINK("https://neo4j.com/blog/designing-the-enterprise-hr-applications-at-scale/?ref=social-blog")</f>
        <v>https://neo4j.com/blog/designing-the-enterprise-hr-applications-at-scale/?ref=social-blog</v>
      </c>
      <c r="S4" s="85" t="s">
        <v>221</v>
      </c>
      <c r="T4" s="85" t="s">
        <v>222</v>
      </c>
      <c r="U4" s="85"/>
      <c r="V4" s="89" t="str">
        <f>HYPERLINK("http://pbs.twimg.com/profile_images/1183755273753767936/vSV_IPTs_normal.jpg")</f>
        <v>http://pbs.twimg.com/profile_images/1183755273753767936/vSV_IPTs_normal.jpg</v>
      </c>
      <c r="W4" s="87">
        <v>44209.62917824074</v>
      </c>
      <c r="X4" s="91">
        <v>44209</v>
      </c>
      <c r="Y4" s="93" t="s">
        <v>225</v>
      </c>
      <c r="Z4" s="89" t="str">
        <f>HYPERLINK("https://twitter.com/#!/neo4j/status/1349372133760258048")</f>
        <v>https://twitter.com/#!/neo4j/status/1349372133760258048</v>
      </c>
      <c r="AA4" s="85"/>
      <c r="AB4" s="85"/>
      <c r="AC4" s="93" t="s">
        <v>228</v>
      </c>
      <c r="AD4" s="85"/>
      <c r="AE4" s="85" t="b">
        <v>0</v>
      </c>
      <c r="AF4" s="85">
        <v>0</v>
      </c>
      <c r="AG4" s="93" t="s">
        <v>231</v>
      </c>
      <c r="AH4" s="85" t="b">
        <v>0</v>
      </c>
      <c r="AI4" s="85" t="s">
        <v>232</v>
      </c>
      <c r="AJ4" s="85"/>
      <c r="AK4" s="93" t="s">
        <v>231</v>
      </c>
      <c r="AL4" s="85" t="b">
        <v>0</v>
      </c>
      <c r="AM4" s="85">
        <v>0</v>
      </c>
      <c r="AN4" s="93" t="s">
        <v>231</v>
      </c>
      <c r="AO4" s="85" t="s">
        <v>233</v>
      </c>
      <c r="AP4" s="85" t="b">
        <v>0</v>
      </c>
      <c r="AQ4" s="93" t="s">
        <v>228</v>
      </c>
      <c r="AR4" s="85" t="s">
        <v>176</v>
      </c>
      <c r="AS4" s="85">
        <v>0</v>
      </c>
      <c r="AT4" s="85">
        <v>0</v>
      </c>
      <c r="AU4" s="85"/>
      <c r="AV4" s="85"/>
      <c r="AW4" s="85"/>
      <c r="AX4" s="85"/>
      <c r="AY4" s="85"/>
      <c r="AZ4" s="85"/>
      <c r="BA4" s="85"/>
      <c r="BB4" s="85"/>
      <c r="BC4">
        <v>1</v>
      </c>
      <c r="BD4" s="84" t="str">
        <f>REPLACE(INDEX(GroupVertices[Group],MATCH(Edges[[#This Row],[Vertex 1]],GroupVertices[Vertex],0)),1,1,"")</f>
        <v>1</v>
      </c>
      <c r="BE4" s="84" t="str">
        <f>REPLACE(INDEX(GroupVertices[Group],MATCH(Edges[[#This Row],[Vertex 2]],GroupVertices[Vertex],0)),1,1,"")</f>
        <v>1</v>
      </c>
    </row>
    <row r="5" spans="1:57" ht="45">
      <c r="A5" s="83" t="s">
        <v>214</v>
      </c>
      <c r="B5" s="83" t="s">
        <v>214</v>
      </c>
      <c r="C5" s="54" t="s">
        <v>319</v>
      </c>
      <c r="D5" s="55">
        <v>3</v>
      </c>
      <c r="E5" s="67" t="s">
        <v>132</v>
      </c>
      <c r="F5" s="56">
        <v>35</v>
      </c>
      <c r="G5" s="54"/>
      <c r="H5" s="58"/>
      <c r="I5" s="57"/>
      <c r="J5" s="57"/>
      <c r="K5" s="36" t="s">
        <v>65</v>
      </c>
      <c r="L5" s="82">
        <v>5</v>
      </c>
      <c r="M5" s="82"/>
      <c r="N5" s="64"/>
      <c r="O5" s="85" t="s">
        <v>176</v>
      </c>
      <c r="P5" s="87">
        <v>44210.128483796296</v>
      </c>
      <c r="Q5" s="85" t="s">
        <v>219</v>
      </c>
      <c r="R5" s="89" t="str">
        <f>HYPERLINK("https://neo4j.com/blog/from-zero-to-the-connected-enterprise-in-45-minutes/?ref=social-blog")</f>
        <v>https://neo4j.com/blog/from-zero-to-the-connected-enterprise-in-45-minutes/?ref=social-blog</v>
      </c>
      <c r="S5" s="85" t="s">
        <v>221</v>
      </c>
      <c r="T5" s="85" t="s">
        <v>223</v>
      </c>
      <c r="U5" s="85"/>
      <c r="V5" s="89" t="str">
        <f>HYPERLINK("http://pbs.twimg.com/profile_images/1183755273753767936/vSV_IPTs_normal.jpg")</f>
        <v>http://pbs.twimg.com/profile_images/1183755273753767936/vSV_IPTs_normal.jpg</v>
      </c>
      <c r="W5" s="87">
        <v>44210.128483796296</v>
      </c>
      <c r="X5" s="91">
        <v>44210</v>
      </c>
      <c r="Y5" s="93" t="s">
        <v>226</v>
      </c>
      <c r="Z5" s="89" t="str">
        <f>HYPERLINK("https://twitter.com/#!/neo4j/status/1349553076307423233")</f>
        <v>https://twitter.com/#!/neo4j/status/1349553076307423233</v>
      </c>
      <c r="AA5" s="85"/>
      <c r="AB5" s="85"/>
      <c r="AC5" s="93" t="s">
        <v>229</v>
      </c>
      <c r="AD5" s="85"/>
      <c r="AE5" s="85" t="b">
        <v>0</v>
      </c>
      <c r="AF5" s="85">
        <v>0</v>
      </c>
      <c r="AG5" s="93" t="s">
        <v>231</v>
      </c>
      <c r="AH5" s="85" t="b">
        <v>0</v>
      </c>
      <c r="AI5" s="85" t="s">
        <v>232</v>
      </c>
      <c r="AJ5" s="85"/>
      <c r="AK5" s="93" t="s">
        <v>231</v>
      </c>
      <c r="AL5" s="85" t="b">
        <v>0</v>
      </c>
      <c r="AM5" s="85">
        <v>0</v>
      </c>
      <c r="AN5" s="93" t="s">
        <v>231</v>
      </c>
      <c r="AO5" s="85" t="s">
        <v>233</v>
      </c>
      <c r="AP5" s="85" t="b">
        <v>0</v>
      </c>
      <c r="AQ5" s="93" t="s">
        <v>229</v>
      </c>
      <c r="AR5" s="85" t="s">
        <v>176</v>
      </c>
      <c r="AS5" s="85">
        <v>0</v>
      </c>
      <c r="AT5" s="85">
        <v>0</v>
      </c>
      <c r="AU5" s="85"/>
      <c r="AV5" s="85"/>
      <c r="AW5" s="85"/>
      <c r="AX5" s="85"/>
      <c r="AY5" s="85"/>
      <c r="AZ5" s="85"/>
      <c r="BA5" s="85"/>
      <c r="BB5" s="85"/>
      <c r="BC5">
        <v>1</v>
      </c>
      <c r="BD5" s="84" t="str">
        <f>REPLACE(INDEX(GroupVertices[Group],MATCH(Edges[[#This Row],[Vertex 1]],GroupVertices[Vertex],0)),1,1,"")</f>
        <v>1</v>
      </c>
      <c r="BE5" s="84"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194</v>
      </c>
      <c r="AU2" s="13" t="s">
        <v>250</v>
      </c>
      <c r="AV2" s="13" t="s">
        <v>251</v>
      </c>
      <c r="AW2" s="13" t="s">
        <v>252</v>
      </c>
      <c r="AX2" s="13" t="s">
        <v>253</v>
      </c>
      <c r="AY2" s="13" t="s">
        <v>254</v>
      </c>
      <c r="AZ2" s="13" t="s">
        <v>255</v>
      </c>
      <c r="BA2" s="13" t="s">
        <v>311</v>
      </c>
      <c r="BB2" s="3"/>
      <c r="BC2" s="3"/>
    </row>
    <row r="3" spans="1:55" ht="15" customHeight="1">
      <c r="A3" s="50" t="s">
        <v>214</v>
      </c>
      <c r="B3" s="54"/>
      <c r="C3" s="54"/>
      <c r="D3" s="55"/>
      <c r="E3" s="56"/>
      <c r="F3" s="115" t="str">
        <f>HYPERLINK("http://pbs.twimg.com/profile_images/1183755273753767936/vSV_IPTs_normal.jpg")</f>
        <v>http://pbs.twimg.com/profile_images/1183755273753767936/vSV_IPTs_normal.jpg</v>
      </c>
      <c r="G3" s="54"/>
      <c r="H3" s="58" t="s">
        <v>214</v>
      </c>
      <c r="I3" s="57"/>
      <c r="J3" s="57"/>
      <c r="K3" s="117" t="s">
        <v>270</v>
      </c>
      <c r="L3" s="60"/>
      <c r="M3" s="61">
        <v>2557.681640625</v>
      </c>
      <c r="N3" s="61">
        <v>7417.021484375</v>
      </c>
      <c r="O3" s="59"/>
      <c r="P3" s="62"/>
      <c r="Q3" s="62"/>
      <c r="R3" s="51"/>
      <c r="S3" s="51"/>
      <c r="T3" s="51"/>
      <c r="U3" s="51"/>
      <c r="V3" s="52"/>
      <c r="W3" s="52"/>
      <c r="X3" s="53"/>
      <c r="Y3" s="52"/>
      <c r="Z3" s="52"/>
      <c r="AA3" s="63">
        <v>3</v>
      </c>
      <c r="AB3" s="63"/>
      <c r="AC3" s="64"/>
      <c r="AD3" s="84" t="s">
        <v>258</v>
      </c>
      <c r="AE3" s="92" t="s">
        <v>261</v>
      </c>
      <c r="AF3" s="84">
        <v>10147</v>
      </c>
      <c r="AG3" s="84">
        <v>34061</v>
      </c>
      <c r="AH3" s="84">
        <v>48870</v>
      </c>
      <c r="AI3" s="84">
        <v>12591</v>
      </c>
      <c r="AJ3" s="84"/>
      <c r="AK3" s="84" t="s">
        <v>264</v>
      </c>
      <c r="AL3" s="84" t="s">
        <v>266</v>
      </c>
      <c r="AM3" s="88" t="str">
        <f>HYPERLINK("https://neo4j.com/")</f>
        <v>https://neo4j.com/</v>
      </c>
      <c r="AN3" s="84"/>
      <c r="AO3" s="86">
        <v>39874.37447916667</v>
      </c>
      <c r="AP3" s="88" t="str">
        <f>HYPERLINK("https://pbs.twimg.com/profile_banners/22467617/1609800945")</f>
        <v>https://pbs.twimg.com/profile_banners/22467617/1609800945</v>
      </c>
      <c r="AQ3" s="84" t="b">
        <v>0</v>
      </c>
      <c r="AR3" s="84" t="b">
        <v>0</v>
      </c>
      <c r="AS3" s="84" t="b">
        <v>1</v>
      </c>
      <c r="AT3" s="84"/>
      <c r="AU3" s="84">
        <v>1447</v>
      </c>
      <c r="AV3" s="88" t="str">
        <f>HYPERLINK("http://abs.twimg.com/images/themes/theme1/bg.png")</f>
        <v>http://abs.twimg.com/images/themes/theme1/bg.png</v>
      </c>
      <c r="AW3" s="84" t="b">
        <v>1</v>
      </c>
      <c r="AX3" s="84" t="s">
        <v>267</v>
      </c>
      <c r="AY3" s="88" t="str">
        <f>HYPERLINK("https://twitter.com/neo4j")</f>
        <v>https://twitter.com/neo4j</v>
      </c>
      <c r="AZ3" s="84" t="s">
        <v>66</v>
      </c>
      <c r="BA3" s="84" t="str">
        <f>REPLACE(INDEX(GroupVertices[Group],MATCH(Vertices[[#This Row],[Vertex]],GroupVertices[Vertex],0)),1,1,"")</f>
        <v>1</v>
      </c>
      <c r="BB3" s="3"/>
      <c r="BC3" s="3"/>
    </row>
    <row r="4" spans="1:58" ht="15">
      <c r="A4" s="14" t="s">
        <v>216</v>
      </c>
      <c r="B4" s="15"/>
      <c r="C4" s="15"/>
      <c r="D4" s="94"/>
      <c r="E4" s="80"/>
      <c r="F4" s="115" t="str">
        <f>HYPERLINK("http://pbs.twimg.com/profile_images/1069635370315264000/gZZoY4D4_normal.jpg")</f>
        <v>http://pbs.twimg.com/profile_images/1069635370315264000/gZZoY4D4_normal.jpg</v>
      </c>
      <c r="G4" s="15"/>
      <c r="H4" s="16" t="s">
        <v>216</v>
      </c>
      <c r="I4" s="68"/>
      <c r="J4" s="68"/>
      <c r="K4" s="117" t="s">
        <v>268</v>
      </c>
      <c r="L4" s="95"/>
      <c r="M4" s="96">
        <v>2557.681640625</v>
      </c>
      <c r="N4" s="96">
        <v>2581.978515625</v>
      </c>
      <c r="O4" s="78"/>
      <c r="P4" s="97"/>
      <c r="Q4" s="97"/>
      <c r="R4" s="98"/>
      <c r="S4" s="98"/>
      <c r="T4" s="98"/>
      <c r="U4" s="98"/>
      <c r="V4" s="53"/>
      <c r="W4" s="53"/>
      <c r="X4" s="53"/>
      <c r="Y4" s="53"/>
      <c r="Z4" s="52"/>
      <c r="AA4" s="81">
        <v>4</v>
      </c>
      <c r="AB4" s="81"/>
      <c r="AC4" s="99"/>
      <c r="AD4" s="84" t="s">
        <v>256</v>
      </c>
      <c r="AE4" s="92" t="s">
        <v>259</v>
      </c>
      <c r="AF4" s="84">
        <v>3656</v>
      </c>
      <c r="AG4" s="84">
        <v>65474</v>
      </c>
      <c r="AH4" s="84">
        <v>13404</v>
      </c>
      <c r="AI4" s="84">
        <v>5053</v>
      </c>
      <c r="AJ4" s="84"/>
      <c r="AK4" s="84" t="s">
        <v>262</v>
      </c>
      <c r="AL4" s="84"/>
      <c r="AM4" s="88" t="str">
        <f>HYPERLINK("https://t.co/xKwDjj7kbO")</f>
        <v>https://t.co/xKwDjj7kbO</v>
      </c>
      <c r="AN4" s="84"/>
      <c r="AO4" s="86">
        <v>41304.166909722226</v>
      </c>
      <c r="AP4" s="88" t="str">
        <f>HYPERLINK("https://pbs.twimg.com/profile_banners/1132876218/1577713468")</f>
        <v>https://pbs.twimg.com/profile_banners/1132876218/1577713468</v>
      </c>
      <c r="AQ4" s="84" t="b">
        <v>0</v>
      </c>
      <c r="AR4" s="84" t="b">
        <v>0</v>
      </c>
      <c r="AS4" s="84" t="b">
        <v>1</v>
      </c>
      <c r="AT4" s="84"/>
      <c r="AU4" s="84">
        <v>1282</v>
      </c>
      <c r="AV4" s="88" t="str">
        <f>HYPERLINK("http://abs.twimg.com/images/themes/theme14/bg.gif")</f>
        <v>http://abs.twimg.com/images/themes/theme14/bg.gif</v>
      </c>
      <c r="AW4" s="84" t="b">
        <v>1</v>
      </c>
      <c r="AX4" s="84" t="s">
        <v>267</v>
      </c>
      <c r="AY4" s="88" t="str">
        <f>HYPERLINK("https://twitter.com/pivotal")</f>
        <v>https://twitter.com/pivotal</v>
      </c>
      <c r="AZ4" s="84" t="s">
        <v>65</v>
      </c>
      <c r="BA4" s="84" t="str">
        <f>REPLACE(INDEX(GroupVertices[Group],MATCH(Vertices[[#This Row],[Vertex]],GroupVertices[Vertex],0)),1,1,"")</f>
        <v>1</v>
      </c>
      <c r="BB4" s="2"/>
      <c r="BC4" s="3"/>
      <c r="BD4" s="3"/>
      <c r="BE4" s="3"/>
      <c r="BF4" s="3"/>
    </row>
    <row r="5" spans="1:58" ht="15">
      <c r="A5" s="100" t="s">
        <v>215</v>
      </c>
      <c r="B5" s="101"/>
      <c r="C5" s="101"/>
      <c r="D5" s="102"/>
      <c r="E5" s="103"/>
      <c r="F5" s="116" t="str">
        <f>HYPERLINK("http://pbs.twimg.com/profile_images/1280134804336410624/D1y6Lrm3_normal.png")</f>
        <v>http://pbs.twimg.com/profile_images/1280134804336410624/D1y6Lrm3_normal.png</v>
      </c>
      <c r="G5" s="101"/>
      <c r="H5" s="104" t="s">
        <v>215</v>
      </c>
      <c r="I5" s="105"/>
      <c r="J5" s="105"/>
      <c r="K5" s="118" t="s">
        <v>269</v>
      </c>
      <c r="L5" s="106"/>
      <c r="M5" s="107">
        <v>7441.31884765625</v>
      </c>
      <c r="N5" s="107">
        <v>7417.021484375</v>
      </c>
      <c r="O5" s="108"/>
      <c r="P5" s="109"/>
      <c r="Q5" s="109"/>
      <c r="R5" s="110"/>
      <c r="S5" s="110"/>
      <c r="T5" s="110"/>
      <c r="U5" s="110"/>
      <c r="V5" s="111"/>
      <c r="W5" s="111"/>
      <c r="X5" s="111"/>
      <c r="Y5" s="111"/>
      <c r="Z5" s="112"/>
      <c r="AA5" s="113">
        <v>5</v>
      </c>
      <c r="AB5" s="113"/>
      <c r="AC5" s="114"/>
      <c r="AD5" s="84" t="s">
        <v>257</v>
      </c>
      <c r="AE5" s="92" t="s">
        <v>260</v>
      </c>
      <c r="AF5" s="84">
        <v>198</v>
      </c>
      <c r="AG5" s="84">
        <v>45844</v>
      </c>
      <c r="AH5" s="84">
        <v>4537</v>
      </c>
      <c r="AI5" s="84">
        <v>2279</v>
      </c>
      <c r="AJ5" s="84"/>
      <c r="AK5" s="84" t="s">
        <v>263</v>
      </c>
      <c r="AL5" s="84" t="s">
        <v>265</v>
      </c>
      <c r="AM5" s="88" t="str">
        <f>HYPERLINK("https://t.co/ePfYKgt6L2")</f>
        <v>https://t.co/ePfYKgt6L2</v>
      </c>
      <c r="AN5" s="84"/>
      <c r="AO5" s="86">
        <v>42886.589421296296</v>
      </c>
      <c r="AP5" s="88" t="str">
        <f>HYPERLINK("https://pbs.twimg.com/profile_banners/869918579927523328/1605820534")</f>
        <v>https://pbs.twimg.com/profile_banners/869918579927523328/1605820534</v>
      </c>
      <c r="AQ5" s="84" t="b">
        <v>1</v>
      </c>
      <c r="AR5" s="84" t="b">
        <v>0</v>
      </c>
      <c r="AS5" s="84" t="b">
        <v>1</v>
      </c>
      <c r="AT5" s="84"/>
      <c r="AU5" s="84">
        <v>133</v>
      </c>
      <c r="AV5" s="84"/>
      <c r="AW5" s="84" t="b">
        <v>1</v>
      </c>
      <c r="AX5" s="84" t="s">
        <v>267</v>
      </c>
      <c r="AY5" s="88" t="str">
        <f>HYPERLINK("https://twitter.com/ey_us")</f>
        <v>https://twitter.com/ey_us</v>
      </c>
      <c r="AZ5" s="84" t="s">
        <v>65</v>
      </c>
      <c r="BA5" s="84" t="str">
        <f>REPLACE(INDEX(GroupVertices[Group],MATCH(Vertices[[#This Row],[Vertex]],GroupVertices[Vertex],0)),1,1,"")</f>
        <v>1</v>
      </c>
      <c r="BB5" s="2"/>
      <c r="BC5" s="3"/>
      <c r="BD5" s="3"/>
      <c r="BE5" s="3"/>
      <c r="BF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314</v>
      </c>
    </row>
    <row r="3" spans="1:25" ht="15">
      <c r="A3" s="83" t="s">
        <v>309</v>
      </c>
      <c r="B3" s="119" t="s">
        <v>310</v>
      </c>
      <c r="C3" s="119" t="s">
        <v>56</v>
      </c>
      <c r="D3" s="15"/>
      <c r="E3" s="15"/>
      <c r="F3" s="16" t="s">
        <v>309</v>
      </c>
      <c r="G3" s="78"/>
      <c r="H3" s="78"/>
      <c r="I3" s="65">
        <v>3</v>
      </c>
      <c r="J3" s="65"/>
      <c r="K3" s="51">
        <v>3</v>
      </c>
      <c r="L3" s="51">
        <v>3</v>
      </c>
      <c r="M3" s="51">
        <v>0</v>
      </c>
      <c r="N3" s="51">
        <v>3</v>
      </c>
      <c r="O3" s="51">
        <v>1</v>
      </c>
      <c r="P3" s="52">
        <v>0</v>
      </c>
      <c r="Q3" s="52">
        <v>0</v>
      </c>
      <c r="R3" s="51">
        <v>1</v>
      </c>
      <c r="S3" s="51">
        <v>0</v>
      </c>
      <c r="T3" s="51">
        <v>3</v>
      </c>
      <c r="U3" s="51">
        <v>3</v>
      </c>
      <c r="V3" s="51">
        <v>2</v>
      </c>
      <c r="W3" s="52">
        <v>0.888889</v>
      </c>
      <c r="X3" s="52">
        <v>0.3333333333333333</v>
      </c>
      <c r="Y3" s="84" t="s">
        <v>315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309</v>
      </c>
      <c r="B2" s="92" t="s">
        <v>214</v>
      </c>
      <c r="C2" s="84">
        <f>VLOOKUP(GroupVertices[[#This Row],[Vertex]],Vertices[],MATCH("ID",Vertices[[#Headers],[Vertex]:[Vertex Group]],0),FALSE)</f>
        <v>3</v>
      </c>
    </row>
    <row r="3" spans="1:3" ht="15">
      <c r="A3" s="85" t="s">
        <v>309</v>
      </c>
      <c r="B3" s="92" t="s">
        <v>215</v>
      </c>
      <c r="C3" s="84">
        <f>VLOOKUP(GroupVertices[[#This Row],[Vertex]],Vertices[],MATCH("ID",Vertices[[#Headers],[Vertex]:[Vertex Group]],0),FALSE)</f>
        <v>5</v>
      </c>
    </row>
    <row r="4" spans="1:3" ht="15">
      <c r="A4" s="85" t="s">
        <v>309</v>
      </c>
      <c r="B4" s="92" t="s">
        <v>216</v>
      </c>
      <c r="C4" s="84">
        <f>VLOOKUP(GroupVertices[[#This Row],[Vertex]],Vertices[],MATCH("ID",Vertices[[#Headers],[Vertex]:[Vertex Group]],0),FALSE)</f>
        <v>4</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t="str">
        <f>IF(COUNT(Vertices[In-Degree])&gt;0,F2,NoMetricMessage)</f>
        <v>Not Available</v>
      </c>
    </row>
    <row r="81" spans="1:2" ht="15">
      <c r="A81" s="35" t="s">
        <v>89</v>
      </c>
      <c r="B81" s="48" t="str">
        <f>IF(COUNT(Vertices[In-Degree])&gt;0,F36,NoMetricMessage)</f>
        <v>Not Available</v>
      </c>
    </row>
    <row r="82" spans="1:2" ht="15">
      <c r="A82" s="35" t="s">
        <v>90</v>
      </c>
      <c r="B82" s="49" t="str">
        <f>_xlfn.IFERROR(AVERAGE(Vertices[In-Degree]),NoMetricMessage)</f>
        <v>Not Available</v>
      </c>
    </row>
    <row r="83" spans="1:2" ht="15">
      <c r="A83" s="35" t="s">
        <v>91</v>
      </c>
      <c r="B83" s="49" t="str">
        <f>_xlfn.IFERROR(MEDIAN(Vertices[In-Degree]),NoMetricMessage)</f>
        <v>Not Available</v>
      </c>
    </row>
    <row r="94" spans="1:2" ht="15">
      <c r="A94" s="35" t="s">
        <v>94</v>
      </c>
      <c r="B94" s="48" t="str">
        <f>IF(COUNT(Vertices[Out-Degree])&gt;0,H2,NoMetricMessage)</f>
        <v>Not Available</v>
      </c>
    </row>
    <row r="95" spans="1:2" ht="15">
      <c r="A95" s="35" t="s">
        <v>95</v>
      </c>
      <c r="B95" s="48" t="str">
        <f>IF(COUNT(Vertices[Out-Degree])&gt;0,H36,NoMetricMessage)</f>
        <v>Not Available</v>
      </c>
    </row>
    <row r="96" spans="1:2" ht="15">
      <c r="A96" s="35" t="s">
        <v>96</v>
      </c>
      <c r="B96" s="49" t="str">
        <f>_xlfn.IFERROR(AVERAGE(Vertices[Out-Degree]),NoMetricMessage)</f>
        <v>Not Available</v>
      </c>
    </row>
    <row r="97" spans="1:2" ht="15">
      <c r="A97" s="35" t="s">
        <v>97</v>
      </c>
      <c r="B97" s="49" t="str">
        <f>_xlfn.IFERROR(MEDIAN(Vertices[Out-Degree]),NoMetricMessage)</f>
        <v>Not Available</v>
      </c>
    </row>
    <row r="108" spans="1:2" ht="15">
      <c r="A108" s="35" t="s">
        <v>100</v>
      </c>
      <c r="B108" s="49" t="str">
        <f>IF(COUNT(Vertices[Betweenness Centrality])&gt;0,J2,NoMetricMessage)</f>
        <v>Not Available</v>
      </c>
    </row>
    <row r="109" spans="1:2" ht="15">
      <c r="A109" s="35" t="s">
        <v>101</v>
      </c>
      <c r="B109" s="49" t="str">
        <f>IF(COUNT(Vertices[Betweenness Centrality])&gt;0,J36,NoMetricMessage)</f>
        <v>Not Available</v>
      </c>
    </row>
    <row r="110" spans="1:2" ht="15">
      <c r="A110" s="35" t="s">
        <v>102</v>
      </c>
      <c r="B110" s="49" t="str">
        <f>_xlfn.IFERROR(AVERAGE(Vertices[Betweenness Centrality]),NoMetricMessage)</f>
        <v>Not Available</v>
      </c>
    </row>
    <row r="111" spans="1:2" ht="15">
      <c r="A111" s="35" t="s">
        <v>103</v>
      </c>
      <c r="B111" s="49" t="str">
        <f>_xlfn.IFERROR(MEDIAN(Vertices[Betweenness Centrality]),NoMetricMessage)</f>
        <v>Not Available</v>
      </c>
    </row>
    <row r="122" spans="1:2" ht="15">
      <c r="A122" s="35" t="s">
        <v>106</v>
      </c>
      <c r="B122" s="49" t="str">
        <f>IF(COUNT(Vertices[Closeness Centrality])&gt;0,L2,NoMetricMessage)</f>
        <v>Not Available</v>
      </c>
    </row>
    <row r="123" spans="1:2" ht="15">
      <c r="A123" s="35" t="s">
        <v>107</v>
      </c>
      <c r="B123" s="49" t="str">
        <f>IF(COUNT(Vertices[Closeness Centrality])&gt;0,L36,NoMetricMessage)</f>
        <v>Not Available</v>
      </c>
    </row>
    <row r="124" spans="1:2" ht="15">
      <c r="A124" s="35" t="s">
        <v>108</v>
      </c>
      <c r="B124" s="49" t="str">
        <f>_xlfn.IFERROR(AVERAGE(Vertices[Closeness Centrality]),NoMetricMessage)</f>
        <v>Not Available</v>
      </c>
    </row>
    <row r="125" spans="1:2" ht="15">
      <c r="A125" s="35" t="s">
        <v>109</v>
      </c>
      <c r="B125" s="49" t="str">
        <f>_xlfn.IFERROR(MEDIAN(Vertices[Closeness Centrality]),NoMetricMessage)</f>
        <v>Not Available</v>
      </c>
    </row>
    <row r="136" spans="1:2" ht="15">
      <c r="A136" s="35" t="s">
        <v>112</v>
      </c>
      <c r="B136" s="49" t="str">
        <f>IF(COUNT(Vertices[Eigenvector Centrality])&gt;0,N2,NoMetricMessage)</f>
        <v>Not Available</v>
      </c>
    </row>
    <row r="137" spans="1:2" ht="15">
      <c r="A137" s="35" t="s">
        <v>113</v>
      </c>
      <c r="B137" s="49" t="str">
        <f>IF(COUNT(Vertices[Eigenvector Centrality])&gt;0,N36,NoMetricMessage)</f>
        <v>Not Available</v>
      </c>
    </row>
    <row r="138" spans="1:2" ht="15">
      <c r="A138" s="35" t="s">
        <v>114</v>
      </c>
      <c r="B138" s="49" t="str">
        <f>_xlfn.IFERROR(AVERAGE(Vertices[Eigenvector Centrality]),NoMetricMessage)</f>
        <v>Not Available</v>
      </c>
    </row>
    <row r="139" spans="1:2" ht="15">
      <c r="A139" s="35" t="s">
        <v>115</v>
      </c>
      <c r="B139" s="49" t="str">
        <f>_xlfn.IFERROR(MEDIAN(Vertices[Eigenvector Centrality]),NoMetricMessage)</f>
        <v>Not Available</v>
      </c>
    </row>
    <row r="150" spans="1:2" ht="15">
      <c r="A150" s="35" t="s">
        <v>140</v>
      </c>
      <c r="B150" s="49" t="str">
        <f>IF(COUNT(Vertices[PageRank])&gt;0,P2,NoMetricMessage)</f>
        <v>Not Available</v>
      </c>
    </row>
    <row r="151" spans="1:2" ht="15">
      <c r="A151" s="35" t="s">
        <v>141</v>
      </c>
      <c r="B151" s="49" t="str">
        <f>IF(COUNT(Vertices[PageRank])&gt;0,P36,NoMetricMessage)</f>
        <v>Not Available</v>
      </c>
    </row>
    <row r="152" spans="1:2" ht="15">
      <c r="A152" s="35" t="s">
        <v>142</v>
      </c>
      <c r="B152" s="49" t="str">
        <f>_xlfn.IFERROR(AVERAGE(Vertices[PageRank]),NoMetricMessage)</f>
        <v>Not Available</v>
      </c>
    </row>
    <row r="153" spans="1:2" ht="15">
      <c r="A153" s="35" t="s">
        <v>143</v>
      </c>
      <c r="B153" s="49" t="str">
        <f>_xlfn.IFERROR(MEDIAN(Vertices[PageRank]),NoMetricMessage)</f>
        <v>Not Available</v>
      </c>
    </row>
    <row r="164" spans="1:2" ht="15">
      <c r="A164" s="35" t="s">
        <v>118</v>
      </c>
      <c r="B164" s="49" t="str">
        <f>IF(COUNT(Vertices[Clustering Coefficient])&gt;0,R2,NoMetricMessage)</f>
        <v>Not Available</v>
      </c>
    </row>
    <row r="165" spans="1:2" ht="15">
      <c r="A165" s="35" t="s">
        <v>119</v>
      </c>
      <c r="B165" s="49" t="str">
        <f>IF(COUNT(Vertices[Clustering Coefficient])&gt;0,R36,NoMetricMessage)</f>
        <v>Not Available</v>
      </c>
    </row>
    <row r="166" spans="1:2" ht="15">
      <c r="A166" s="35" t="s">
        <v>120</v>
      </c>
      <c r="B166" s="49" t="str">
        <f>_xlfn.IFERROR(AVERAGE(Vertices[Clustering Coefficient]),NoMetricMessage)</f>
        <v>Not Available</v>
      </c>
    </row>
    <row r="167" spans="1:2" ht="15">
      <c r="A167" s="35" t="s">
        <v>121</v>
      </c>
      <c r="B167"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308</v>
      </c>
      <c r="BD2" s="13" t="s">
        <v>312</v>
      </c>
      <c r="BE2" s="13" t="s">
        <v>313</v>
      </c>
    </row>
    <row r="3" spans="1:57" ht="15" customHeight="1">
      <c r="A3" s="83" t="s">
        <v>214</v>
      </c>
      <c r="B3" s="83" t="s">
        <v>216</v>
      </c>
      <c r="C3" s="54"/>
      <c r="D3" s="55"/>
      <c r="E3" s="67"/>
      <c r="F3" s="56"/>
      <c r="G3" s="54"/>
      <c r="H3" s="58"/>
      <c r="I3" s="57"/>
      <c r="J3" s="57"/>
      <c r="K3" s="36" t="s">
        <v>65</v>
      </c>
      <c r="L3" s="63">
        <v>3</v>
      </c>
      <c r="M3" s="63"/>
      <c r="N3" s="64"/>
      <c r="O3" s="84" t="s">
        <v>217</v>
      </c>
      <c r="P3" s="86">
        <v>44203.62778935185</v>
      </c>
      <c r="Q3" s="84" t="s">
        <v>220</v>
      </c>
      <c r="R3" s="88" t="str">
        <f>HYPERLINK("https://neo4j.com/blog/neo4j-cloud-foundry/?ref=social-blog")</f>
        <v>https://neo4j.com/blog/neo4j-cloud-foundry/?ref=social-blog</v>
      </c>
      <c r="S3" s="84" t="s">
        <v>221</v>
      </c>
      <c r="T3" s="84" t="s">
        <v>224</v>
      </c>
      <c r="U3" s="84"/>
      <c r="V3" s="88" t="str">
        <f>HYPERLINK("http://pbs.twimg.com/profile_images/1183755273753767936/vSV_IPTs_normal.jpg")</f>
        <v>http://pbs.twimg.com/profile_images/1183755273753767936/vSV_IPTs_normal.jpg</v>
      </c>
      <c r="W3" s="86">
        <v>44203.62778935185</v>
      </c>
      <c r="X3" s="90">
        <v>44203</v>
      </c>
      <c r="Y3" s="92" t="s">
        <v>227</v>
      </c>
      <c r="Z3" s="88" t="str">
        <f>HYPERLINK("https://twitter.com/#!/neo4j/status/1347197303099170819")</f>
        <v>https://twitter.com/#!/neo4j/status/1347197303099170819</v>
      </c>
      <c r="AA3" s="84"/>
      <c r="AB3" s="84"/>
      <c r="AC3" s="92" t="s">
        <v>230</v>
      </c>
      <c r="AD3" s="84"/>
      <c r="AE3" s="84" t="b">
        <v>0</v>
      </c>
      <c r="AF3" s="84">
        <v>2</v>
      </c>
      <c r="AG3" s="92" t="s">
        <v>231</v>
      </c>
      <c r="AH3" s="84" t="b">
        <v>0</v>
      </c>
      <c r="AI3" s="84" t="s">
        <v>232</v>
      </c>
      <c r="AJ3" s="84"/>
      <c r="AK3" s="92" t="s">
        <v>231</v>
      </c>
      <c r="AL3" s="84" t="b">
        <v>0</v>
      </c>
      <c r="AM3" s="84">
        <v>0</v>
      </c>
      <c r="AN3" s="92" t="s">
        <v>231</v>
      </c>
      <c r="AO3" s="84" t="s">
        <v>233</v>
      </c>
      <c r="AP3" s="84" t="b">
        <v>0</v>
      </c>
      <c r="AQ3" s="92" t="s">
        <v>230</v>
      </c>
      <c r="AR3" s="84" t="s">
        <v>176</v>
      </c>
      <c r="AS3" s="84">
        <v>0</v>
      </c>
      <c r="AT3" s="84">
        <v>0</v>
      </c>
      <c r="AU3" s="84"/>
      <c r="AV3" s="84"/>
      <c r="AW3" s="84"/>
      <c r="AX3" s="84"/>
      <c r="AY3" s="84"/>
      <c r="AZ3" s="84"/>
      <c r="BA3" s="84"/>
      <c r="BB3" s="84"/>
      <c r="BC3">
        <v>1</v>
      </c>
      <c r="BD3" s="84" t="str">
        <f>REPLACE(INDEX(GroupVertices[Group],MATCH(Edges11[[#This Row],[Vertex 1]],GroupVertices[Vertex],0)),1,1,"")</f>
        <v>1</v>
      </c>
      <c r="BE3" s="84" t="str">
        <f>REPLACE(INDEX(GroupVertices[Group],MATCH(Edges11[[#This Row],[Vertex 2]],GroupVertices[Vertex],0)),1,1,"")</f>
        <v>1</v>
      </c>
    </row>
    <row r="4" spans="1:57" ht="15" customHeight="1">
      <c r="A4" s="83" t="s">
        <v>214</v>
      </c>
      <c r="B4" s="83" t="s">
        <v>215</v>
      </c>
      <c r="C4" s="54"/>
      <c r="D4" s="55"/>
      <c r="E4" s="67"/>
      <c r="F4" s="56"/>
      <c r="G4" s="54"/>
      <c r="H4" s="58"/>
      <c r="I4" s="57"/>
      <c r="J4" s="57"/>
      <c r="K4" s="36" t="s">
        <v>65</v>
      </c>
      <c r="L4" s="82">
        <v>4</v>
      </c>
      <c r="M4" s="82"/>
      <c r="N4" s="64"/>
      <c r="O4" s="85" t="s">
        <v>217</v>
      </c>
      <c r="P4" s="87">
        <v>44209.62917824074</v>
      </c>
      <c r="Q4" s="85" t="s">
        <v>218</v>
      </c>
      <c r="R4" s="89" t="str">
        <f>HYPERLINK("https://neo4j.com/blog/designing-the-enterprise-hr-applications-at-scale/?ref=social-blog")</f>
        <v>https://neo4j.com/blog/designing-the-enterprise-hr-applications-at-scale/?ref=social-blog</v>
      </c>
      <c r="S4" s="85" t="s">
        <v>221</v>
      </c>
      <c r="T4" s="85" t="s">
        <v>222</v>
      </c>
      <c r="U4" s="85"/>
      <c r="V4" s="89" t="str">
        <f>HYPERLINK("http://pbs.twimg.com/profile_images/1183755273753767936/vSV_IPTs_normal.jpg")</f>
        <v>http://pbs.twimg.com/profile_images/1183755273753767936/vSV_IPTs_normal.jpg</v>
      </c>
      <c r="W4" s="87">
        <v>44209.62917824074</v>
      </c>
      <c r="X4" s="91">
        <v>44209</v>
      </c>
      <c r="Y4" s="93" t="s">
        <v>225</v>
      </c>
      <c r="Z4" s="89" t="str">
        <f>HYPERLINK("https://twitter.com/#!/neo4j/status/1349372133760258048")</f>
        <v>https://twitter.com/#!/neo4j/status/1349372133760258048</v>
      </c>
      <c r="AA4" s="85"/>
      <c r="AB4" s="85"/>
      <c r="AC4" s="93" t="s">
        <v>228</v>
      </c>
      <c r="AD4" s="85"/>
      <c r="AE4" s="85" t="b">
        <v>0</v>
      </c>
      <c r="AF4" s="85">
        <v>0</v>
      </c>
      <c r="AG4" s="93" t="s">
        <v>231</v>
      </c>
      <c r="AH4" s="85" t="b">
        <v>0</v>
      </c>
      <c r="AI4" s="85" t="s">
        <v>232</v>
      </c>
      <c r="AJ4" s="85"/>
      <c r="AK4" s="93" t="s">
        <v>231</v>
      </c>
      <c r="AL4" s="85" t="b">
        <v>0</v>
      </c>
      <c r="AM4" s="85">
        <v>0</v>
      </c>
      <c r="AN4" s="93" t="s">
        <v>231</v>
      </c>
      <c r="AO4" s="85" t="s">
        <v>233</v>
      </c>
      <c r="AP4" s="85" t="b">
        <v>0</v>
      </c>
      <c r="AQ4" s="93" t="s">
        <v>228</v>
      </c>
      <c r="AR4" s="85" t="s">
        <v>176</v>
      </c>
      <c r="AS4" s="85">
        <v>0</v>
      </c>
      <c r="AT4" s="85">
        <v>0</v>
      </c>
      <c r="AU4" s="85"/>
      <c r="AV4" s="85"/>
      <c r="AW4" s="85"/>
      <c r="AX4" s="85"/>
      <c r="AY4" s="85"/>
      <c r="AZ4" s="85"/>
      <c r="BA4" s="85"/>
      <c r="BB4" s="85"/>
      <c r="BC4">
        <v>1</v>
      </c>
      <c r="BD4" s="84" t="str">
        <f>REPLACE(INDEX(GroupVertices[Group],MATCH(Edges11[[#This Row],[Vertex 1]],GroupVertices[Vertex],0)),1,1,"")</f>
        <v>1</v>
      </c>
      <c r="BE4" s="84" t="str">
        <f>REPLACE(INDEX(GroupVertices[Group],MATCH(Edges11[[#This Row],[Vertex 2]],GroupVertices[Vertex],0)),1,1,"")</f>
        <v>1</v>
      </c>
    </row>
    <row r="5" spans="1:57" ht="15">
      <c r="A5" s="83" t="s">
        <v>214</v>
      </c>
      <c r="B5" s="83" t="s">
        <v>214</v>
      </c>
      <c r="C5" s="54"/>
      <c r="D5" s="55"/>
      <c r="E5" s="67"/>
      <c r="F5" s="56"/>
      <c r="G5" s="54"/>
      <c r="H5" s="58"/>
      <c r="I5" s="57"/>
      <c r="J5" s="57"/>
      <c r="K5" s="36" t="s">
        <v>65</v>
      </c>
      <c r="L5" s="82">
        <v>5</v>
      </c>
      <c r="M5" s="82"/>
      <c r="N5" s="64"/>
      <c r="O5" s="85" t="s">
        <v>176</v>
      </c>
      <c r="P5" s="87">
        <v>44210.128483796296</v>
      </c>
      <c r="Q5" s="85" t="s">
        <v>219</v>
      </c>
      <c r="R5" s="89" t="str">
        <f>HYPERLINK("https://neo4j.com/blog/from-zero-to-the-connected-enterprise-in-45-minutes/?ref=social-blog")</f>
        <v>https://neo4j.com/blog/from-zero-to-the-connected-enterprise-in-45-minutes/?ref=social-blog</v>
      </c>
      <c r="S5" s="85" t="s">
        <v>221</v>
      </c>
      <c r="T5" s="85" t="s">
        <v>223</v>
      </c>
      <c r="U5" s="85"/>
      <c r="V5" s="89" t="str">
        <f>HYPERLINK("http://pbs.twimg.com/profile_images/1183755273753767936/vSV_IPTs_normal.jpg")</f>
        <v>http://pbs.twimg.com/profile_images/1183755273753767936/vSV_IPTs_normal.jpg</v>
      </c>
      <c r="W5" s="87">
        <v>44210.128483796296</v>
      </c>
      <c r="X5" s="91">
        <v>44210</v>
      </c>
      <c r="Y5" s="93" t="s">
        <v>226</v>
      </c>
      <c r="Z5" s="89" t="str">
        <f>HYPERLINK("https://twitter.com/#!/neo4j/status/1349553076307423233")</f>
        <v>https://twitter.com/#!/neo4j/status/1349553076307423233</v>
      </c>
      <c r="AA5" s="85"/>
      <c r="AB5" s="85"/>
      <c r="AC5" s="93" t="s">
        <v>229</v>
      </c>
      <c r="AD5" s="85"/>
      <c r="AE5" s="85" t="b">
        <v>0</v>
      </c>
      <c r="AF5" s="85">
        <v>0</v>
      </c>
      <c r="AG5" s="93" t="s">
        <v>231</v>
      </c>
      <c r="AH5" s="85" t="b">
        <v>0</v>
      </c>
      <c r="AI5" s="85" t="s">
        <v>232</v>
      </c>
      <c r="AJ5" s="85"/>
      <c r="AK5" s="93" t="s">
        <v>231</v>
      </c>
      <c r="AL5" s="85" t="b">
        <v>0</v>
      </c>
      <c r="AM5" s="85">
        <v>0</v>
      </c>
      <c r="AN5" s="93" t="s">
        <v>231</v>
      </c>
      <c r="AO5" s="85" t="s">
        <v>233</v>
      </c>
      <c r="AP5" s="85" t="b">
        <v>0</v>
      </c>
      <c r="AQ5" s="93" t="s">
        <v>229</v>
      </c>
      <c r="AR5" s="85" t="s">
        <v>176</v>
      </c>
      <c r="AS5" s="85">
        <v>0</v>
      </c>
      <c r="AT5" s="85">
        <v>0</v>
      </c>
      <c r="AU5" s="85"/>
      <c r="AV5" s="85"/>
      <c r="AW5" s="85"/>
      <c r="AX5" s="85"/>
      <c r="AY5" s="85"/>
      <c r="AZ5" s="85"/>
      <c r="BA5" s="85"/>
      <c r="BB5" s="85"/>
      <c r="BC5">
        <v>1</v>
      </c>
      <c r="BD5" s="84" t="str">
        <f>REPLACE(INDEX(GroupVertices[Group],MATCH(Edges11[[#This Row],[Vertex 1]],GroupVertices[Vertex],0)),1,1,"")</f>
        <v>1</v>
      </c>
      <c r="BE5" s="84" t="str">
        <f>REPLACE(INDEX(GroupVertices[Group],MATCH(Edges11[[#This Row],[Vertex 2]],GroupVertices[Vertex],0)),1,1,"")</f>
        <v>1</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273</v>
      </c>
      <c r="K7" s="13" t="s">
        <v>274</v>
      </c>
    </row>
    <row r="8" spans="1:11" ht="409.5">
      <c r="A8"/>
      <c r="B8">
        <v>2</v>
      </c>
      <c r="C8">
        <v>2</v>
      </c>
      <c r="D8" t="s">
        <v>61</v>
      </c>
      <c r="E8" t="s">
        <v>61</v>
      </c>
      <c r="H8" t="s">
        <v>73</v>
      </c>
      <c r="J8" t="s">
        <v>275</v>
      </c>
      <c r="K8" s="13" t="s">
        <v>276</v>
      </c>
    </row>
    <row r="9" spans="1:11" ht="409.5">
      <c r="A9"/>
      <c r="B9">
        <v>3</v>
      </c>
      <c r="C9">
        <v>4</v>
      </c>
      <c r="D9" t="s">
        <v>62</v>
      </c>
      <c r="E9" t="s">
        <v>62</v>
      </c>
      <c r="H9" t="s">
        <v>74</v>
      </c>
      <c r="J9" t="s">
        <v>277</v>
      </c>
      <c r="K9" s="13" t="s">
        <v>278</v>
      </c>
    </row>
    <row r="10" spans="1:11" ht="409.5">
      <c r="A10"/>
      <c r="B10">
        <v>4</v>
      </c>
      <c r="D10" t="s">
        <v>63</v>
      </c>
      <c r="E10" t="s">
        <v>63</v>
      </c>
      <c r="H10" t="s">
        <v>75</v>
      </c>
      <c r="J10" t="s">
        <v>279</v>
      </c>
      <c r="K10" s="13" t="s">
        <v>280</v>
      </c>
    </row>
    <row r="11" spans="1:11" ht="15">
      <c r="A11"/>
      <c r="B11">
        <v>5</v>
      </c>
      <c r="D11" t="s">
        <v>46</v>
      </c>
      <c r="E11">
        <v>1</v>
      </c>
      <c r="H11" t="s">
        <v>76</v>
      </c>
      <c r="J11" t="s">
        <v>281</v>
      </c>
      <c r="K11" t="s">
        <v>282</v>
      </c>
    </row>
    <row r="12" spans="1:11" ht="15">
      <c r="A12"/>
      <c r="B12"/>
      <c r="D12" t="s">
        <v>64</v>
      </c>
      <c r="E12">
        <v>2</v>
      </c>
      <c r="H12">
        <v>0</v>
      </c>
      <c r="J12" t="s">
        <v>283</v>
      </c>
      <c r="K12" t="s">
        <v>284</v>
      </c>
    </row>
    <row r="13" spans="1:11" ht="15">
      <c r="A13"/>
      <c r="B13"/>
      <c r="D13">
        <v>1</v>
      </c>
      <c r="E13">
        <v>3</v>
      </c>
      <c r="H13">
        <v>1</v>
      </c>
      <c r="J13" t="s">
        <v>285</v>
      </c>
      <c r="K13" t="s">
        <v>286</v>
      </c>
    </row>
    <row r="14" spans="4:11" ht="15">
      <c r="D14">
        <v>2</v>
      </c>
      <c r="E14">
        <v>4</v>
      </c>
      <c r="H14">
        <v>2</v>
      </c>
      <c r="J14" t="s">
        <v>287</v>
      </c>
      <c r="K14" t="s">
        <v>288</v>
      </c>
    </row>
    <row r="15" spans="4:11" ht="15">
      <c r="D15">
        <v>3</v>
      </c>
      <c r="E15">
        <v>5</v>
      </c>
      <c r="H15">
        <v>3</v>
      </c>
      <c r="J15" t="s">
        <v>289</v>
      </c>
      <c r="K15" t="s">
        <v>290</v>
      </c>
    </row>
    <row r="16" spans="4:11" ht="15">
      <c r="D16">
        <v>4</v>
      </c>
      <c r="E16">
        <v>6</v>
      </c>
      <c r="H16">
        <v>4</v>
      </c>
      <c r="J16" t="s">
        <v>291</v>
      </c>
      <c r="K16" t="s">
        <v>292</v>
      </c>
    </row>
    <row r="17" spans="4:11" ht="15">
      <c r="D17">
        <v>5</v>
      </c>
      <c r="E17">
        <v>7</v>
      </c>
      <c r="H17">
        <v>5</v>
      </c>
      <c r="J17" t="s">
        <v>293</v>
      </c>
      <c r="K17" t="s">
        <v>294</v>
      </c>
    </row>
    <row r="18" spans="4:11" ht="15">
      <c r="D18">
        <v>6</v>
      </c>
      <c r="E18">
        <v>8</v>
      </c>
      <c r="H18">
        <v>6</v>
      </c>
      <c r="J18" t="s">
        <v>295</v>
      </c>
      <c r="K18" t="s">
        <v>296</v>
      </c>
    </row>
    <row r="19" spans="4:11" ht="15">
      <c r="D19">
        <v>7</v>
      </c>
      <c r="E19">
        <v>9</v>
      </c>
      <c r="H19">
        <v>7</v>
      </c>
      <c r="J19" t="s">
        <v>297</v>
      </c>
      <c r="K19" t="s">
        <v>298</v>
      </c>
    </row>
    <row r="20" spans="4:11" ht="15">
      <c r="D20">
        <v>8</v>
      </c>
      <c r="H20">
        <v>8</v>
      </c>
      <c r="J20" t="s">
        <v>299</v>
      </c>
      <c r="K20" t="s">
        <v>300</v>
      </c>
    </row>
    <row r="21" spans="4:11" ht="409.5">
      <c r="D21">
        <v>9</v>
      </c>
      <c r="H21">
        <v>9</v>
      </c>
      <c r="J21" t="s">
        <v>301</v>
      </c>
      <c r="K21" s="13" t="s">
        <v>302</v>
      </c>
    </row>
    <row r="22" spans="4:11" ht="409.5">
      <c r="D22">
        <v>10</v>
      </c>
      <c r="J22" t="s">
        <v>303</v>
      </c>
      <c r="K22" s="13" t="s">
        <v>304</v>
      </c>
    </row>
    <row r="23" spans="4:11" ht="409.5">
      <c r="D23">
        <v>11</v>
      </c>
      <c r="J23" t="s">
        <v>305</v>
      </c>
      <c r="K23" s="13" t="s">
        <v>323</v>
      </c>
    </row>
    <row r="24" spans="10:11" ht="409.5">
      <c r="J24" t="s">
        <v>306</v>
      </c>
      <c r="K24" s="13" t="s">
        <v>322</v>
      </c>
    </row>
    <row r="25" spans="10:11" ht="15">
      <c r="J25" t="s">
        <v>307</v>
      </c>
      <c r="K25" t="b">
        <v>0</v>
      </c>
    </row>
    <row r="26" spans="10:11" ht="15">
      <c r="J26" t="s">
        <v>320</v>
      </c>
      <c r="K26" t="s">
        <v>321</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0" t="s">
        <v>317</v>
      </c>
      <c r="B25" t="s">
        <v>316</v>
      </c>
    </row>
    <row r="26" spans="1:2" ht="15">
      <c r="A26" s="121">
        <v>44203.62778935185</v>
      </c>
      <c r="B26" s="3">
        <v>1</v>
      </c>
    </row>
    <row r="27" spans="1:2" ht="15">
      <c r="A27" s="121">
        <v>44209.62917824074</v>
      </c>
      <c r="B27" s="3">
        <v>1</v>
      </c>
    </row>
    <row r="28" spans="1:2" ht="15">
      <c r="A28" s="121">
        <v>44210.128483796296</v>
      </c>
      <c r="B28" s="3">
        <v>1</v>
      </c>
    </row>
    <row r="29" spans="1:2" ht="15">
      <c r="A29" s="121" t="s">
        <v>318</v>
      </c>
      <c r="B29"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2021-01-20T13:21:21Z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