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3" activeTab="8"/>
  </bookViews>
  <sheets>
    <sheet name="Edges" sheetId="1" r:id="rId1"/>
    <sheet name="Vertices" sheetId="3" r:id="rId2"/>
    <sheet name="Do Not Delete" sheetId="4" state="hidden" r:id="rId3"/>
    <sheet name="Groups" sheetId="5" r:id="rId4"/>
    <sheet name="Group Vertices" sheetId="6" r:id="rId5"/>
    <sheet name="Overall Metrics" sheetId="7" r:id="rId6"/>
    <sheet name="Time Series Edges" sheetId="8" state="hidden" r:id="rId7"/>
    <sheet name="Misc" sheetId="2" state="hidden" r:id="rId8"/>
    <sheet name="Time Series" sheetId="9" r:id="rId9"/>
  </sheets>
  <definedNames>
    <definedName name="BinDivisor">'Overall Metrics'!$X$2</definedName>
    <definedName name="DynamicFilterColumnName" localSheetId="6">#REF!</definedName>
    <definedName name="DynamicFilterColumnName">#REF!</definedName>
    <definedName name="DynamicFilterForceCalculationRange" localSheetId="6">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6">#REF!</definedName>
    <definedName name="DynamicFilterTableName">#REF!</definedName>
    <definedName name="LOCAL_MYSQL_DATE_FORMAT" localSheetId="6"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0"/>
  </pivotCaches>
  <extLst>
    <ext xmlns:x14="http://schemas.microsoft.com/office/spreadsheetml/2009/9/main" uri="{BBE1A952-AA13-448e-AADC-164F8A28A991}">
      <x14:slicerCaches>
        <x14:slicerCache r:id="rId14"/>
        <x14:slicerCache r:id="rId15"/>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comments7.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sharedStrings.xml><?xml version="1.0" encoding="utf-8"?>
<sst xmlns="http://schemas.openxmlformats.org/spreadsheetml/2006/main" count="647" uniqueCount="332">
  <si>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</si>
  <si>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</si>
  <si>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</si>
  <si>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</si>
  <si>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</si>
  <si>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</si>
  <si>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</si>
  <si>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</si>
  <si>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</si>
  <si>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</si>
  <si>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</si>
  <si>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</si>
  <si>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</si>
  <si>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</si>
  <si>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</si>
  <si>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</si>
  <si>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</si>
  <si>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</si>
  <si>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</si>
  <si>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</si>
  <si>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</si>
  <si>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</si>
  <si>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</si>
  <si>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</si>
  <si>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</si>
  <si>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</si>
  <si>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</si>
  <si>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</si>
  <si>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</si>
  <si>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</si>
  <si>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</si>
  <si>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</si>
  <si>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</si>
  <si>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</si>
  <si>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</si>
  <si>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</si>
  <si>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</si>
  <si>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</si>
  <si>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</si>
  <si>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</si>
  <si>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</si>
  <si>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</si>
  <si>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</si>
  <si>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</si>
  <si>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</si>
  <si>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</si>
  <si>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</si>
  <si>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</si>
  <si>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</si>
  <si>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</si>
  <si>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</si>
  <si>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</si>
  <si>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</si>
  <si>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</si>
  <si>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</si>
  <si>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</si>
  <si>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</si>
  <si>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</si>
  <si>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</si>
  <si>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</si>
  <si>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</si>
  <si>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</si>
  <si>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</si>
  <si>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</si>
  <si>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</si>
  <si>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</si>
  <si>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</si>
  <si>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</si>
  <si>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</si>
  <si>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</si>
  <si>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</si>
  <si>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</si>
  <si>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</si>
  <si>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</si>
  <si>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</si>
  <si>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</si>
  <si>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</si>
  <si>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</si>
  <si>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</si>
  <si>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</si>
  <si>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</si>
  <si>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</si>
  <si>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</si>
  <si>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</si>
  <si>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</si>
  <si>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</si>
  <si>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</si>
  <si>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</si>
  <si>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</si>
  <si>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</si>
  <si>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</si>
  <si>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</si>
  <si>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</si>
  <si>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</si>
  <si>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</si>
  <si>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</si>
  <si>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</si>
  <si>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</si>
  <si>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</si>
  <si>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</si>
  <si>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</si>
  <si>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</si>
  <si>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</si>
  <si>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</si>
  <si>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</si>
  <si>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</si>
  <si>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</si>
  <si>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</si>
  <si>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</si>
  <si>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</si>
  <si>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</si>
  <si>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</si>
  <si>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</si>
  <si>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</si>
  <si>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</si>
  <si>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</si>
  <si>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</si>
  <si>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</si>
  <si>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</si>
  <si>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</si>
  <si>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</si>
  <si>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</si>
  <si>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</si>
  <si>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</si>
  <si>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</si>
  <si>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</si>
  <si>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</si>
  <si>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</si>
  <si>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</si>
  <si>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</si>
  <si>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</si>
  <si>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</si>
  <si>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</si>
  <si>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</si>
  <si>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</si>
  <si>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</si>
  <si>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</si>
  <si>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</si>
  <si>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</si>
  <si>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</si>
  <si>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</si>
  <si>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</si>
  <si>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</si>
  <si>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</si>
  <si>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</si>
  <si>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</si>
  <si>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</si>
  <si>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</si>
  <si>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</si>
  <si>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</si>
  <si>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</si>
  <si>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</si>
  <si>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</si>
  <si>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</si>
  <si>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</si>
  <si>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</si>
  <si>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</si>
  <si>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</si>
  <si>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</si>
  <si>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</si>
  <si>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</si>
  <si>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</si>
  <si>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</si>
  <si>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</si>
  <si>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</si>
  <si>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</si>
  <si>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</si>
  <si>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</si>
  <si>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</si>
  <si>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</si>
  <si>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</si>
  <si>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</si>
  <si>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</si>
  <si>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</si>
  <si>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</si>
  <si>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</si>
  <si>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</si>
  <si>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</si>
  <si>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</si>
  <si>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</si>
  <si>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</si>
  <si>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</si>
  <si>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</si>
  <si>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</si>
  <si>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</si>
  <si>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</si>
  <si>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</si>
  <si>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</si>
  <si>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</si>
  <si>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</si>
  <si>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</si>
  <si>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</si>
  <si>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</si>
  <si>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</si>
  <si>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</si>
  <si>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</si>
  <si>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</si>
  <si>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</si>
  <si>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</si>
  <si>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</si>
  <si>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</si>
  <si>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</si>
  <si>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</si>
  <si>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</si>
  <si>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</si>
  <si>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</si>
  <si>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</si>
  <si>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</si>
  <si>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</si>
  <si>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</si>
  <si>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</si>
  <si>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</si>
  <si>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</si>
  <si>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</si>
  <si>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queenofmetrics</t>
  </si>
  <si>
    <t>Wondering what skills and tools you need to thrive next year? We reimagine the whole profession in our latest issue https://t.co/oQuKP5YiqS
#measurepr #icmeasure #smmeasure</t>
  </si>
  <si>
    <t>It's time to reimagine your communications' future.  Here's what your new dream job shoud look like: https://t.co/70Do908oUK
#measurepr #smmeasure</t>
  </si>
  <si>
    <t>If you're wondering if you have the right tool kit to thrive in the "Next Normal"  you might want to read this:  (short answer, you probably don't) 
 https://t.co/kpzMQmiIuL #measurepr #smmeasure #pr https://t.co/m2qJpbxvN4</t>
  </si>
  <si>
    <t>Bad data is the bane of your measurement existance. Here are 8 easy  steps to keep your data clean: #measurepr #data #smmeasure https://t.co/qM7Mwdy4cX https://t.co/581ewpm3x2</t>
  </si>
  <si>
    <t>I wonder how much of this data and the "amplification" was created by Russian and Chinese troll farms?   Any guesses? I'm thinking 60% #measurepr #smmeasure https://t.co/OTdoSfmVDF</t>
  </si>
  <si>
    <t>The world is changing , whether you like it or not. Make sure you have the skills you need to thrive in whatever the future brings. https://t.co/yCFc7K5ja3
#smmeasure #measurepr https://t.co/QxqmxolB3f</t>
  </si>
  <si>
    <t>Here's a question for my #measurepr #smmeasure #marketing #socialmedia experts: If you had $10K to boost your profits today, what communications/marketing tactic would you invest in?</t>
  </si>
  <si>
    <t>http://painepublishing.com/measurementadvisor/your-reimagined-communications-measurement-tool-kit/ https://www.tickettailor.com/events/painepublishing/412678</t>
  </si>
  <si>
    <t>painepublishing.com</t>
  </si>
  <si>
    <t>painepublishing.com tickettailor.com</t>
  </si>
  <si>
    <t>prnewswire.com</t>
  </si>
  <si>
    <t>measurepr icmeasure smmeasure</t>
  </si>
  <si>
    <t>measurepr smmeasure</t>
  </si>
  <si>
    <t>measurepr smmeasure pr</t>
  </si>
  <si>
    <t>measurepr data smmeasure</t>
  </si>
  <si>
    <t>smmeasure measurepr</t>
  </si>
  <si>
    <t>measurepr smmeasure marketing socialmedia</t>
  </si>
  <si>
    <t>14:53:57</t>
  </si>
  <si>
    <t>20:35:02</t>
  </si>
  <si>
    <t>16:54:18</t>
  </si>
  <si>
    <t>17:06:17</t>
  </si>
  <si>
    <t>15:55:27</t>
  </si>
  <si>
    <t>16:10:04</t>
  </si>
  <si>
    <t>18:57:30</t>
  </si>
  <si>
    <t>1300809123957821443</t>
  </si>
  <si>
    <t>1300894960703725578</t>
  </si>
  <si>
    <t>1301201798879940609</t>
  </si>
  <si>
    <t>1301204812801994752</t>
  </si>
  <si>
    <t>1301549375894814724</t>
  </si>
  <si>
    <t>1301553054492299269</t>
  </si>
  <si>
    <t>1286737289582915585</t>
  </si>
  <si>
    <t/>
  </si>
  <si>
    <t>en</t>
  </si>
  <si>
    <t>TweetDeck</t>
  </si>
  <si>
    <t>Hootsuite Inc.</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</si>
  <si>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</si>
  <si>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</si>
  <si>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</si>
  <si>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</si>
  <si>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</si>
  <si>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</si>
  <si>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</si>
  <si>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</si>
  <si>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</si>
  <si>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</si>
  <si>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</si>
  <si>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</si>
  <si>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</si>
  <si>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</si>
  <si>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</si>
  <si>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</si>
  <si>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</si>
  <si>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</si>
  <si>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</si>
  <si>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</si>
  <si>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</si>
  <si>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</si>
  <si>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Katie Delahaye Paine</t>
  </si>
  <si>
    <t>1196381</t>
  </si>
  <si>
    <t>I've been called The Queen Of Measurement, but I prefer Seshat, the Goddess</t>
  </si>
  <si>
    <t>Durham, NH</t>
  </si>
  <si>
    <t>Open Twitter Page for This Person</t>
  </si>
  <si>
    <t>queenofmetrics
The world is changing , whether
you like it or not. Make sure you
have the skills you need to thrive
in whatever the future brings.
https://t.co/yCFc7K5ja3 #smmeasure
#measurepr https://t.co/QxqmxolB3f</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</si>
  <si>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</si>
  <si>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</si>
  <si>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</si>
  <si>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</si>
  <si>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</si>
  <si>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</si>
  <si>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</si>
  <si>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</si>
  <si>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</si>
  <si>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</si>
  <si>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</si>
  <si>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</si>
  <si>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</si>
  <si>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</si>
  <si>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</si>
  <si>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</si>
  <si>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</si>
  <si>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</si>
  <si>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</si>
  <si>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</si>
  <si>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</si>
  <si>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</si>
  <si>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</si>
  <si>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</si>
  <si>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</si>
  <si>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</si>
  <si>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</si>
  <si>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</si>
  <si>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</si>
  <si>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</si>
  <si>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</si>
  <si>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</si>
  <si>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</si>
  <si>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</si>
  <si>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</si>
  <si>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</si>
  <si>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</si>
  <si>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</si>
  <si>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</si>
  <si>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0, 12, 96</t>
  </si>
  <si>
    <t>Vertex Group</t>
  </si>
  <si>
    <t>Vertex 1 Group</t>
  </si>
  <si>
    <t>Vertex 2 Group</t>
  </si>
  <si>
    <t>Not Applicable</t>
  </si>
  <si>
    <t>Top URLs in Tweet</t>
  </si>
  <si>
    <t>http://painepublishing.com/measurementadvisor/re-imagining-the-skill-set-of-a-professional-communicator/ http://painepublishing.com/measurementadvisor/re-imagining-communications-for-the-next-decade/ http://painepublishing.com/measurementadvisor/visualize-your-communications-measurement-dream-job/ http://painepublishing.com/measurementadvisor/your-reimagined-communications-measurement-tool-kit/ https://www.tickettailor.com/events/painepublishing/412678 http://painepublishing.com/measurementadvisor/8-easy-steps-to-make-sure-your-data-is-accurate/ https://www.prnewswire.com/news-releases/cision-launches-the-2020-state-of-the-election-a-new-series-analyzing-media-coverage-of-the-us-presidential-election-301123147.html</t>
  </si>
  <si>
    <t>Count of Tweet Date (UTC)</t>
  </si>
  <si>
    <t>Row Labels</t>
  </si>
  <si>
    <t>Grand Total</t>
  </si>
  <si>
    <t>128, 128, 128</t>
  </si>
  <si>
    <t>Autofill Workbook Results</t>
  </si>
  <si>
    <t>Edge Weight▓7▓7▓0▓True▓Gray▓Red▓▓Edge Weight▓7▓7▓0▓3▓10▓False▓Edge Weight▓7▓7▓0▓35▓12▓False▓▓0▓0▓0▓True▓Black▓Black▓▓▓0▓0▓0▓0▓0▓False▓▓0▓0▓0▓0▓0▓False▓▓0▓0▓0▓0▓0▓False▓▓0▓0▓0▓0▓0▓False</t>
  </si>
  <si>
    <t>GraphSource░GraphServerTwitterSearch▓GraphTerm░smmeasure▓ImportDescription░The graph represents a network of 1 Twitter user whose tweets in the requested range contained "smmeasure", or who was replied to or mentioned in those tweets.  The network was obtained from the NodeXL Graph Server on Thursday, 17 September 2020 at 13:29 UTC.
The requested start date was Thursday, 17 September 2020 at 00:01 UTC and the maximum number of tweets (going backward in time) was 7,500.
The tweets in the network were tweeted over the 40-day, 21-hour, 12-minute period from Friday, 24 July 2020 at 18:57 UTC to Thursday, 03 September 2020 at 16:10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</si>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</sst>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General"/>
    <numFmt numFmtId="178" formatCode="@"/>
    <numFmt numFmtId="179" formatCode="0"/>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9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167" fontId="0" fillId="4" borderId="1" xfId="24" applyNumberFormat="1" applyFon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0" fontId="0" fillId="4" borderId="11" xfId="24" applyNumberFormat="1" applyBorder="1" applyAlignment="1">
      <alignment/>
    </xf>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0" fontId="10" fillId="3" borderId="1" xfId="28" applyNumberFormat="1" applyFill="1" applyBorder="1" applyAlignment="1">
      <alignment/>
    </xf>
    <xf numFmtId="49" fontId="6" fillId="5" borderId="1" xfId="25" applyNumberFormat="1" applyAlignment="1">
      <alignment/>
    </xf>
    <xf numFmtId="0" fontId="0" fillId="3" borderId="1" xfId="23" applyNumberFormat="1" applyFont="1" applyAlignment="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224">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7" formatCode="General"/>
      <alignment horizontal="general" vertical="bottom" textRotation="0" wrapText="1" shrinkToFit="1" readingOrder="0"/>
    </dxf>
    <dxf>
      <numFmt numFmtId="179" formatCode="0"/>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64" formatCode="0.0"/>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77"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7" formatCode="General"/>
      <border>
        <right style="thin">
          <color theme="0"/>
        </right>
      </border>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border>
        <left style="thin">
          <color theme="0"/>
        </left>
      </border>
    </dxf>
    <dxf>
      <numFmt numFmtId="177"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7" formatCode="General"/>
    </dxf>
    <dxf>
      <numFmt numFmtId="180" formatCode="#,##0.00"/>
    </dxf>
    <dxf>
      <alignment horizontal="general" vertical="bottom" textRotation="0" wrapText="1" shrinkToFit="1" readingOrder="0"/>
    </dxf>
    <dxf>
      <alignment horizontal="general" vertical="bottom" textRotation="0" wrapText="1" shrinkToFit="1" readingOrder="0"/>
    </dxf>
    <dxf>
      <numFmt numFmtId="178" formatCode="@"/>
    </dxf>
    <dxf>
      <numFmt numFmtId="178" formatCode="@"/>
    </dxf>
    <dxf>
      <font>
        <b val="0"/>
        <i val="0"/>
        <u val="none"/>
        <strike val="0"/>
        <sz val="11"/>
        <name val="Calibri"/>
        <color theme="1"/>
        <condense val="0"/>
        <extend val="0"/>
      </font>
      <numFmt numFmtId="177" formatCode="General"/>
    </dxf>
    <dxf>
      <numFmt numFmtId="178"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dxf>
    <dxf>
      <numFmt numFmtId="177" formatCode="General"/>
    </dxf>
    <dxf>
      <numFmt numFmtId="177" formatCode="General"/>
    </dxf>
    <dxf>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numFmt numFmtId="166" formatCode="#,##0.000"/>
    </dxf>
    <dxf>
      <numFmt numFmtId="166" formatCode="#,##0.000"/>
    </dxf>
    <dxf>
      <numFmt numFmtId="177" formatCode="General"/>
    </dxf>
    <dxf>
      <numFmt numFmtId="165" formatCode="#,##0.0"/>
    </dxf>
    <dxf>
      <numFmt numFmtId="165" formatCode="#,##0.0"/>
    </dxf>
    <dxf>
      <numFmt numFmtId="164" formatCode="0.0"/>
      <border>
        <left style="thin">
          <color theme="0"/>
        </left>
      </border>
    </dxf>
    <dxf>
      <numFmt numFmtId="178" formatCode="@"/>
      <alignment horizontal="general" vertical="bottom" textRotation="0" wrapText="1" shrinkToFit="1" readingOrder="0"/>
    </dxf>
    <dxf>
      <numFmt numFmtId="177" formatCode="General"/>
      <border>
        <right style="thin">
          <color theme="0"/>
        </right>
      </border>
    </dxf>
    <dxf>
      <numFmt numFmtId="177" formatCode="General"/>
    </dxf>
    <dxf>
      <numFmt numFmtId="178" formatCode="@"/>
    </dxf>
    <dxf>
      <numFmt numFmtId="177" formatCode="General"/>
      <border>
        <left style="thin">
          <color theme="0"/>
        </left>
      </border>
    </dxf>
    <dxf>
      <numFmt numFmtId="177" formatCode="General"/>
      <alignment horizontal="general" vertical="bottom" textRotation="0" wrapText="1" shrinkToFit="1" readingOrder="0"/>
    </dxf>
    <dxf>
      <numFmt numFmtId="179" formatCode="0"/>
      <border>
        <right style="thin">
          <color theme="0"/>
        </right>
      </border>
    </dxf>
    <dxf>
      <numFmt numFmtId="164" formatCode="0.0"/>
    </dxf>
    <dxf>
      <numFmt numFmtId="177" formatCode="General"/>
    </dxf>
    <dxf>
      <numFmt numFmtId="177" formatCode="General"/>
    </dxf>
    <dxf>
      <numFmt numFmtId="178" formatCode="@"/>
    </dxf>
    <dxf>
      <numFmt numFmtId="178" formatCode="@"/>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7" formatCode="General"/>
      <alignment horizontal="general" vertical="bottom" textRotation="0" wrapText="1" shrinkToFit="1" readingOrder="0"/>
    </dxf>
    <dxf>
      <numFmt numFmtId="179" formatCode="0"/>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64" formatCode="0.0"/>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223"/>
      <tableStyleElement type="headerRow" dxfId="222"/>
    </tableStyle>
    <tableStyle name="NodeXL Table" pivot="0" count="1">
      <tableStyleElement type="headerRow" dxfId="22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pivotCacheDefinition" Target="pivotCache/pivotCacheDefinition1.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customXml" Target="../customXml/item1.xml" /><Relationship Id="rId14" Type="http://schemas.microsoft.com/office/2007/relationships/slicerCache" Target="/xl/slicerCaches/slicerCache1.xml" /><Relationship Id="rId15" Type="http://schemas.microsoft.com/office/2007/relationships/slicerCache" Target="/xl/slicerCaches/slicerCache2.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36908243"/>
        <c:axId val="63738732"/>
      </c:barChart>
      <c:catAx>
        <c:axId val="3690824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3738732"/>
        <c:crosses val="autoZero"/>
        <c:auto val="1"/>
        <c:lblOffset val="100"/>
        <c:noMultiLvlLbl val="0"/>
      </c:catAx>
      <c:valAx>
        <c:axId val="637387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90824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smmeasure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Series'!$A$26:$A$33</c:f>
              <c:strCache>
                <c:ptCount val="7"/>
                <c:pt idx="0">
                  <c:v>7/24/2020 18:57</c:v>
                </c:pt>
                <c:pt idx="1">
                  <c:v>9/1/2020 14:53</c:v>
                </c:pt>
                <c:pt idx="2">
                  <c:v>9/1/2020 20:35</c:v>
                </c:pt>
                <c:pt idx="3">
                  <c:v>9/2/2020 16:54</c:v>
                </c:pt>
                <c:pt idx="4">
                  <c:v>9/2/2020 17:06</c:v>
                </c:pt>
                <c:pt idx="5">
                  <c:v>9/3/2020 15:55</c:v>
                </c:pt>
                <c:pt idx="6">
                  <c:v>9/3/2020 16:10</c:v>
                </c:pt>
              </c:strCache>
            </c:strRef>
          </c:cat>
          <c:val>
            <c:numRef>
              <c:f>'Time Series'!$B$26:$B$33</c:f>
              <c:numCache>
                <c:formatCode>General</c:formatCode>
                <c:ptCount val="7"/>
                <c:pt idx="0">
                  <c:v>1</c:v>
                </c:pt>
                <c:pt idx="1">
                  <c:v>1</c:v>
                </c:pt>
                <c:pt idx="2">
                  <c:v>1</c:v>
                </c:pt>
                <c:pt idx="3">
                  <c:v>1</c:v>
                </c:pt>
                <c:pt idx="4">
                  <c:v>1</c:v>
                </c:pt>
                <c:pt idx="5">
                  <c:v>1</c:v>
                </c:pt>
                <c:pt idx="6">
                  <c:v>1</c:v>
                </c:pt>
              </c:numCache>
            </c:numRef>
          </c:val>
        </c:ser>
        <c:axId val="40370973"/>
        <c:axId val="27794438"/>
      </c:barChart>
      <c:catAx>
        <c:axId val="40370973"/>
        <c:scaling>
          <c:orientation val="minMax"/>
        </c:scaling>
        <c:axPos val="b"/>
        <c:delete val="0"/>
        <c:numFmt formatCode="General" sourceLinked="1"/>
        <c:majorTickMark val="out"/>
        <c:minorTickMark val="none"/>
        <c:tickLblPos val="nextTo"/>
        <c:crossAx val="27794438"/>
        <c:crosses val="autoZero"/>
        <c:auto val="1"/>
        <c:lblOffset val="100"/>
        <c:noMultiLvlLbl val="0"/>
      </c:catAx>
      <c:valAx>
        <c:axId val="27794438"/>
        <c:scaling>
          <c:orientation val="minMax"/>
        </c:scaling>
        <c:axPos val="l"/>
        <c:majorGridlines/>
        <c:delete val="0"/>
        <c:numFmt formatCode="General" sourceLinked="1"/>
        <c:majorTickMark val="out"/>
        <c:minorTickMark val="none"/>
        <c:tickLblPos val="nextTo"/>
        <c:crossAx val="4037097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36777677"/>
        <c:axId val="62563638"/>
      </c:barChart>
      <c:catAx>
        <c:axId val="3677767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2563638"/>
        <c:crosses val="autoZero"/>
        <c:auto val="1"/>
        <c:lblOffset val="100"/>
        <c:noMultiLvlLbl val="0"/>
      </c:catAx>
      <c:valAx>
        <c:axId val="625636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7776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26201831"/>
        <c:axId val="34489888"/>
      </c:barChart>
      <c:catAx>
        <c:axId val="2620183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4489888"/>
        <c:crosses val="autoZero"/>
        <c:auto val="1"/>
        <c:lblOffset val="100"/>
        <c:noMultiLvlLbl val="0"/>
      </c:catAx>
      <c:valAx>
        <c:axId val="344898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2018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41973537"/>
        <c:axId val="42217514"/>
      </c:barChart>
      <c:catAx>
        <c:axId val="4197353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2217514"/>
        <c:crosses val="autoZero"/>
        <c:auto val="1"/>
        <c:lblOffset val="100"/>
        <c:noMultiLvlLbl val="0"/>
      </c:catAx>
      <c:valAx>
        <c:axId val="4221751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97353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44413307"/>
        <c:axId val="64175444"/>
      </c:barChart>
      <c:catAx>
        <c:axId val="4441330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4175444"/>
        <c:crosses val="autoZero"/>
        <c:auto val="1"/>
        <c:lblOffset val="100"/>
        <c:noMultiLvlLbl val="0"/>
      </c:catAx>
      <c:valAx>
        <c:axId val="641754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41330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40708085"/>
        <c:axId val="30828446"/>
      </c:barChart>
      <c:catAx>
        <c:axId val="4070808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0828446"/>
        <c:crosses val="autoZero"/>
        <c:auto val="1"/>
        <c:lblOffset val="100"/>
        <c:noMultiLvlLbl val="0"/>
      </c:catAx>
      <c:valAx>
        <c:axId val="308284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70808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9020559"/>
        <c:axId val="14076168"/>
      </c:barChart>
      <c:catAx>
        <c:axId val="902055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4076168"/>
        <c:crosses val="autoZero"/>
        <c:auto val="1"/>
        <c:lblOffset val="100"/>
        <c:noMultiLvlLbl val="0"/>
      </c:catAx>
      <c:valAx>
        <c:axId val="1407616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0205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59576649"/>
        <c:axId val="66427794"/>
      </c:barChart>
      <c:catAx>
        <c:axId val="5957664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6427794"/>
        <c:crosses val="autoZero"/>
        <c:auto val="1"/>
        <c:lblOffset val="100"/>
        <c:noMultiLvlLbl val="0"/>
      </c:catAx>
      <c:valAx>
        <c:axId val="664277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57664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60979235"/>
        <c:axId val="11942204"/>
      </c:barChart>
      <c:catAx>
        <c:axId val="60979235"/>
        <c:scaling>
          <c:orientation val="minMax"/>
        </c:scaling>
        <c:axPos val="b"/>
        <c:delete val="1"/>
        <c:majorTickMark val="out"/>
        <c:minorTickMark val="none"/>
        <c:tickLblPos val="none"/>
        <c:crossAx val="11942204"/>
        <c:crosses val="autoZero"/>
        <c:auto val="1"/>
        <c:lblOffset val="100"/>
        <c:noMultiLvlLbl val="0"/>
      </c:catAx>
      <c:valAx>
        <c:axId val="11942204"/>
        <c:scaling>
          <c:orientation val="minMax"/>
        </c:scaling>
        <c:axPos val="l"/>
        <c:delete val="1"/>
        <c:majorTickMark val="out"/>
        <c:minorTickMark val="none"/>
        <c:tickLblPos val="none"/>
        <c:crossAx val="6097923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09061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35731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162306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188785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15550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42220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295465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268700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7" refreshedBy="Marc" refreshedVersion="5">
  <cacheSource type="worksheet">
    <worksheetSource ref="A2:BE9" sheet="Time Series Edges"/>
  </cacheSource>
  <cacheFields count="5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1">
        <s v="Tweet"/>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6">
        <s v="measurepr smmeasure marketing socialmedia"/>
        <s v="measurepr icmeasure smmeasure"/>
        <s v="measurepr smmeasure"/>
        <s v="measurepr smmeasure pr"/>
        <s v="measurepr data smmeasure"/>
        <s v="smmeasure measurepr"/>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7">
        <d v="2020-07-24T18:57:30.000"/>
        <d v="2020-09-01T14:53:57.000"/>
        <d v="2020-09-01T20:35:02.000"/>
        <d v="2020-09-02T16:54:18.000"/>
        <d v="2020-09-02T17:06:17.000"/>
        <d v="2020-09-03T15:55:27.000"/>
        <d v="2020-09-03T16:10:04.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7">
  <r>
    <s v="queenofmetrics"/>
    <s v="queenofmetrics"/>
    <m/>
    <m/>
    <m/>
    <m/>
    <m/>
    <m/>
    <m/>
    <m/>
    <s v="No"/>
    <n v="3"/>
    <m/>
    <m/>
    <x v="0"/>
    <d v="2020-07-24T18:57:30.000"/>
    <s v="Here's a question for my #measurepr #smmeasure #marketing #socialmedia experts: If you had $10K to boost your profits today, what communications/marketing tactic would you invest in?"/>
    <m/>
    <m/>
    <x v="0"/>
    <m/>
    <s v="http://pbs.twimg.com/profile_images/919346511/0017_KP_normal.jpg"/>
    <x v="0"/>
    <d v="2020-07-24T00:00:00.000"/>
    <s v="18:57:30"/>
    <s v="https://twitter.com/#!/queenofmetrics/status/1286737289582915585"/>
    <m/>
    <m/>
    <s v="1286737289582915585"/>
    <m/>
    <b v="0"/>
    <n v="0"/>
    <s v=""/>
    <b v="0"/>
    <s v="en"/>
    <m/>
    <s v=""/>
    <b v="0"/>
    <n v="0"/>
    <s v=""/>
    <s v="Hootsuite Inc."/>
    <b v="0"/>
    <s v="1286737289582915585"/>
    <s v="Tweet"/>
    <n v="0"/>
    <n v="0"/>
    <m/>
    <m/>
    <m/>
    <m/>
    <m/>
    <m/>
    <m/>
    <m/>
    <n v="7"/>
    <s v="1"/>
    <s v="1"/>
  </r>
  <r>
    <s v="queenofmetrics"/>
    <s v="queenofmetrics"/>
    <m/>
    <m/>
    <m/>
    <m/>
    <m/>
    <m/>
    <m/>
    <m/>
    <s v="No"/>
    <n v="4"/>
    <m/>
    <m/>
    <x v="0"/>
    <d v="2020-09-01T14:53:57.000"/>
    <s v="Wondering what skills and tools you need to thrive next year? We reimagine the whole profession in our latest issue https://t.co/oQuKP5YiqS_x000a_#measurepr #icmeasure #smmeasure"/>
    <s v="http://painepublishing.com/measurementadvisor/re-imagining-communications-for-the-next-decade/"/>
    <s v="painepublishing.com"/>
    <x v="1"/>
    <m/>
    <s v="http://pbs.twimg.com/profile_images/919346511/0017_KP_normal.jpg"/>
    <x v="1"/>
    <d v="2020-09-01T00:00:00.000"/>
    <s v="14:53:57"/>
    <s v="https://twitter.com/#!/queenofmetrics/status/1300809123957821443"/>
    <m/>
    <m/>
    <s v="1300809123957821443"/>
    <m/>
    <b v="0"/>
    <n v="0"/>
    <s v=""/>
    <b v="0"/>
    <s v="en"/>
    <m/>
    <s v=""/>
    <b v="0"/>
    <n v="0"/>
    <s v=""/>
    <s v="TweetDeck"/>
    <b v="0"/>
    <s v="1300809123957821443"/>
    <s v="Tweet"/>
    <n v="0"/>
    <n v="0"/>
    <m/>
    <m/>
    <m/>
    <m/>
    <m/>
    <m/>
    <m/>
    <m/>
    <n v="7"/>
    <s v="1"/>
    <s v="1"/>
  </r>
  <r>
    <s v="queenofmetrics"/>
    <s v="queenofmetrics"/>
    <m/>
    <m/>
    <m/>
    <m/>
    <m/>
    <m/>
    <m/>
    <m/>
    <s v="No"/>
    <n v="5"/>
    <m/>
    <m/>
    <x v="0"/>
    <d v="2020-09-01T20:35:02.000"/>
    <s v="It's time to reimagine your communications' future.  Here's what your new dream job shoud look like: https://t.co/70Do908oUK_x000a_#measurepr #smmeasure"/>
    <s v="http://painepublishing.com/measurementadvisor/visualize-your-communications-measurement-dream-job/"/>
    <s v="painepublishing.com"/>
    <x v="2"/>
    <m/>
    <s v="http://pbs.twimg.com/profile_images/919346511/0017_KP_normal.jpg"/>
    <x v="2"/>
    <d v="2020-09-01T00:00:00.000"/>
    <s v="20:35:02"/>
    <s v="https://twitter.com/#!/queenofmetrics/status/1300894960703725578"/>
    <m/>
    <m/>
    <s v="1300894960703725578"/>
    <m/>
    <b v="0"/>
    <n v="1"/>
    <s v=""/>
    <b v="0"/>
    <s v="en"/>
    <m/>
    <s v=""/>
    <b v="0"/>
    <n v="0"/>
    <s v=""/>
    <s v="Hootsuite Inc."/>
    <b v="0"/>
    <s v="1300894960703725578"/>
    <s v="Tweet"/>
    <n v="0"/>
    <n v="0"/>
    <m/>
    <m/>
    <m/>
    <m/>
    <m/>
    <m/>
    <m/>
    <m/>
    <n v="7"/>
    <s v="1"/>
    <s v="1"/>
  </r>
  <r>
    <s v="queenofmetrics"/>
    <s v="queenofmetrics"/>
    <m/>
    <m/>
    <m/>
    <m/>
    <m/>
    <m/>
    <m/>
    <m/>
    <s v="No"/>
    <n v="6"/>
    <m/>
    <m/>
    <x v="0"/>
    <d v="2020-09-02T16:54:18.000"/>
    <s v="If you're wondering if you have the right tool kit to thrive in the &quot;Next Normal&quot;  you might want to read this:  (short answer, you probably don't) _x000a_ https://t.co/kpzMQmiIuL #measurepr #smmeasure #pr https://t.co/m2qJpbxvN4"/>
    <s v="http://painepublishing.com/measurementadvisor/your-reimagined-communications-measurement-tool-kit/ https://www.tickettailor.com/events/painepublishing/412678"/>
    <s v="painepublishing.com tickettailor.com"/>
    <x v="3"/>
    <m/>
    <s v="http://pbs.twimg.com/profile_images/919346511/0017_KP_normal.jpg"/>
    <x v="3"/>
    <d v="2020-09-02T00:00:00.000"/>
    <s v="16:54:18"/>
    <s v="https://twitter.com/#!/queenofmetrics/status/1301201798879940609"/>
    <m/>
    <m/>
    <s v="1301201798879940609"/>
    <m/>
    <b v="0"/>
    <n v="0"/>
    <s v=""/>
    <b v="0"/>
    <s v="en"/>
    <m/>
    <s v=""/>
    <b v="0"/>
    <n v="0"/>
    <s v=""/>
    <s v="Hootsuite Inc."/>
    <b v="0"/>
    <s v="1301201798879940609"/>
    <s v="Tweet"/>
    <n v="0"/>
    <n v="0"/>
    <m/>
    <m/>
    <m/>
    <m/>
    <m/>
    <m/>
    <m/>
    <m/>
    <n v="7"/>
    <s v="1"/>
    <s v="1"/>
  </r>
  <r>
    <s v="queenofmetrics"/>
    <s v="queenofmetrics"/>
    <m/>
    <m/>
    <m/>
    <m/>
    <m/>
    <m/>
    <m/>
    <m/>
    <s v="No"/>
    <n v="7"/>
    <m/>
    <m/>
    <x v="0"/>
    <d v="2020-09-02T17:06:17.000"/>
    <s v="Bad data is the bane of your measurement existance. Here are 8 easy  steps to keep your data clean: #measurepr #data #smmeasure https://t.co/qM7Mwdy4cX https://t.co/581ewpm3x2"/>
    <s v="http://painepublishing.com/measurementadvisor/8-easy-steps-to-make-sure-your-data-is-accurate/"/>
    <s v="painepublishing.com"/>
    <x v="4"/>
    <s v="https://pbs.twimg.com/media/Eg7O4ZiXcAAUXCq.jpg"/>
    <s v="https://pbs.twimg.com/media/Eg7O4ZiXcAAUXCq.jpg"/>
    <x v="4"/>
    <d v="2020-09-02T00:00:00.000"/>
    <s v="17:06:17"/>
    <s v="https://twitter.com/#!/queenofmetrics/status/1301204812801994752"/>
    <m/>
    <m/>
    <s v="1301204812801994752"/>
    <m/>
    <b v="0"/>
    <n v="0"/>
    <s v=""/>
    <b v="0"/>
    <s v="en"/>
    <m/>
    <s v=""/>
    <b v="0"/>
    <n v="0"/>
    <s v=""/>
    <s v="Hootsuite Inc."/>
    <b v="0"/>
    <s v="1301204812801994752"/>
    <s v="Tweet"/>
    <n v="0"/>
    <n v="0"/>
    <m/>
    <m/>
    <m/>
    <m/>
    <m/>
    <m/>
    <m/>
    <m/>
    <n v="7"/>
    <s v="1"/>
    <s v="1"/>
  </r>
  <r>
    <s v="queenofmetrics"/>
    <s v="queenofmetrics"/>
    <m/>
    <m/>
    <m/>
    <m/>
    <m/>
    <m/>
    <m/>
    <m/>
    <s v="No"/>
    <n v="8"/>
    <m/>
    <m/>
    <x v="0"/>
    <d v="2020-09-03T15:55:27.000"/>
    <s v="I wonder how much of this data and the &quot;amplification&quot; was created by Russian and Chinese troll farms?   Any guesses? I'm thinking 60% #measurepr #smmeasure https://t.co/OTdoSfmVDF"/>
    <s v="https://www.prnewswire.com/news-releases/cision-launches-the-2020-state-of-the-election-a-new-series-analyzing-media-coverage-of-the-us-presidential-election-301123147.html"/>
    <s v="prnewswire.com"/>
    <x v="2"/>
    <m/>
    <s v="http://pbs.twimg.com/profile_images/919346511/0017_KP_normal.jpg"/>
    <x v="5"/>
    <d v="2020-09-03T00:00:00.000"/>
    <s v="15:55:27"/>
    <s v="https://twitter.com/#!/queenofmetrics/status/1301549375894814724"/>
    <m/>
    <m/>
    <s v="1301549375894814724"/>
    <m/>
    <b v="0"/>
    <n v="2"/>
    <s v=""/>
    <b v="0"/>
    <s v="en"/>
    <m/>
    <s v=""/>
    <b v="0"/>
    <n v="0"/>
    <s v=""/>
    <s v="Hootsuite Inc."/>
    <b v="0"/>
    <s v="1301549375894814724"/>
    <s v="Tweet"/>
    <n v="0"/>
    <n v="0"/>
    <m/>
    <m/>
    <m/>
    <m/>
    <m/>
    <m/>
    <m/>
    <m/>
    <n v="7"/>
    <s v="1"/>
    <s v="1"/>
  </r>
  <r>
    <s v="queenofmetrics"/>
    <s v="queenofmetrics"/>
    <m/>
    <m/>
    <m/>
    <m/>
    <m/>
    <m/>
    <m/>
    <m/>
    <s v="No"/>
    <n v="9"/>
    <m/>
    <m/>
    <x v="0"/>
    <d v="2020-09-03T16:10:04.000"/>
    <s v="The world is changing , whether you like it or not. Make sure you have the skills you need to thrive in whatever the future brings. https://t.co/yCFc7K5ja3_x000a_#smmeasure #measurepr https://t.co/QxqmxolB3f"/>
    <s v="http://painepublishing.com/measurementadvisor/re-imagining-the-skill-set-of-a-professional-communicator/"/>
    <s v="painepublishing.com"/>
    <x v="5"/>
    <s v="https://pbs.twimg.com/media/EhALmxTXYAIYSk7.jpg"/>
    <s v="https://pbs.twimg.com/media/EhALmxTXYAIYSk7.jpg"/>
    <x v="6"/>
    <d v="2020-09-03T00:00:00.000"/>
    <s v="16:10:04"/>
    <s v="https://twitter.com/#!/queenofmetrics/status/1301553054492299269"/>
    <m/>
    <m/>
    <s v="1301553054492299269"/>
    <m/>
    <b v="0"/>
    <n v="0"/>
    <s v=""/>
    <b v="0"/>
    <s v="en"/>
    <m/>
    <s v=""/>
    <b v="0"/>
    <n v="0"/>
    <s v=""/>
    <s v="Hootsuite Inc."/>
    <b v="0"/>
    <s v="1301553054492299269"/>
    <s v="Tweet"/>
    <n v="0"/>
    <n v="0"/>
    <m/>
    <m/>
    <m/>
    <m/>
    <m/>
    <m/>
    <m/>
    <m/>
    <n v="7"/>
    <s v="1"/>
    <s v="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3" firstHeaderRow="1" firstDataRow="1" firstDataCol="1"/>
  <pivotFields count="5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8">
        <item x="0"/>
        <item x="1"/>
        <item x="2"/>
        <item x="3"/>
        <item x="4"/>
        <item x="5"/>
        <item x="6"/>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8">
    <i>
      <x/>
    </i>
    <i>
      <x v="1"/>
    </i>
    <i>
      <x v="2"/>
    </i>
    <i>
      <x v="3"/>
    </i>
    <i>
      <x v="4"/>
    </i>
    <i>
      <x v="5"/>
    </i>
    <i>
      <x v="6"/>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9" name="TimeSeries"/>
  </pivotTables>
  <data>
    <tabular pivotCacheId="1">
      <items count="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9" name="TimeSeries"/>
  </pivotTables>
  <data>
    <tabular pivotCacheId="1">
      <items count="6">
        <i x="4" s="1"/>
        <i x="1" s="1"/>
        <i x="2" s="1"/>
        <i x="0" s="1"/>
        <i x="3" s="1"/>
        <i x="5"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E9" totalsRowShown="0" headerRowDxfId="220" dataDxfId="219">
  <autoFilter ref="A2:BE9"/>
  <tableColumns count="57">
    <tableColumn id="1" name="Vertex 1" dataDxfId="218"/>
    <tableColumn id="2" name="Vertex 2" dataDxfId="217"/>
    <tableColumn id="3" name="Color" dataDxfId="216"/>
    <tableColumn id="4" name="Width" dataDxfId="215"/>
    <tableColumn id="11" name="Style" dataDxfId="214"/>
    <tableColumn id="5" name="Opacity" dataDxfId="213"/>
    <tableColumn id="6" name="Visibility" dataDxfId="212"/>
    <tableColumn id="10" name="Label" dataDxfId="211"/>
    <tableColumn id="12" name="Label Text Color" dataDxfId="210"/>
    <tableColumn id="13" name="Label Font Size" dataDxfId="209"/>
    <tableColumn id="14" name="Reciprocated?" dataDxfId="60"/>
    <tableColumn id="7" name="ID" dataDxfId="208"/>
    <tableColumn id="9" name="Dynamic Filter" dataDxfId="207"/>
    <tableColumn id="8" name="Add Your Own Columns Here" dataDxfId="206"/>
    <tableColumn id="15" name="Relationship" dataDxfId="205"/>
    <tableColumn id="16" name="Relationship Date (UTC)" dataDxfId="204"/>
    <tableColumn id="17" name="Tweet" dataDxfId="203"/>
    <tableColumn id="18" name="URLs in Tweet" dataDxfId="202"/>
    <tableColumn id="19" name="Domains in Tweet" dataDxfId="201"/>
    <tableColumn id="20" name="Hashtags in Tweet" dataDxfId="200"/>
    <tableColumn id="21" name="Media in Tweet" dataDxfId="199"/>
    <tableColumn id="22" name="Tweet Image File" dataDxfId="198"/>
    <tableColumn id="23" name="Tweet Date (UTC)" dataDxfId="197"/>
    <tableColumn id="24" name="Date" dataDxfId="196"/>
    <tableColumn id="25" name="Time" dataDxfId="195"/>
    <tableColumn id="26" name="Twitter Page for Tweet" dataDxfId="194"/>
    <tableColumn id="27" name="Latitude" dataDxfId="193"/>
    <tableColumn id="28" name="Longitude" dataDxfId="192"/>
    <tableColumn id="29" name="Imported ID" dataDxfId="191"/>
    <tableColumn id="30" name="In-Reply-To Tweet ID" dataDxfId="190"/>
    <tableColumn id="31" name="Favorited" dataDxfId="189"/>
    <tableColumn id="32" name="Favorite Count" dataDxfId="188"/>
    <tableColumn id="33" name="In-Reply-To User ID" dataDxfId="187"/>
    <tableColumn id="34" name="Is Quote Status" dataDxfId="186"/>
    <tableColumn id="35" name="Language" dataDxfId="185"/>
    <tableColumn id="36" name="Possibly Sensitive" dataDxfId="184"/>
    <tableColumn id="37" name="Quoted Status ID" dataDxfId="183"/>
    <tableColumn id="38" name="Retweeted" dataDxfId="182"/>
    <tableColumn id="39" name="Retweet Count" dataDxfId="181"/>
    <tableColumn id="40" name="Retweet ID" dataDxfId="180"/>
    <tableColumn id="41" name="Source" dataDxfId="179"/>
    <tableColumn id="42" name="Truncated" dataDxfId="178"/>
    <tableColumn id="43" name="Unified Twitter ID" dataDxfId="177"/>
    <tableColumn id="44" name="Imported Tweet Type" dataDxfId="176"/>
    <tableColumn id="45" name="Added By Extended Analysis" dataDxfId="175"/>
    <tableColumn id="46" name="Corrected By Extended Analysis" dataDxfId="174"/>
    <tableColumn id="47" name="Place Bounding Box" dataDxfId="173"/>
    <tableColumn id="48" name="Place Country" dataDxfId="172"/>
    <tableColumn id="49" name="Place Country Code" dataDxfId="171"/>
    <tableColumn id="50" name="Place Full Name" dataDxfId="170"/>
    <tableColumn id="51" name="Place ID" dataDxfId="169"/>
    <tableColumn id="52" name="Place Name" dataDxfId="168"/>
    <tableColumn id="53" name="Place Type" dataDxfId="167"/>
    <tableColumn id="54" name="Place URL" dataDxfId="166"/>
    <tableColumn id="55" name="Edge Weight"/>
    <tableColumn id="56" name="Vertex 1 Group" dataDxfId="76">
      <calculatedColumnFormula>REPLACE(INDEX(GroupVertices[Group], MATCH(Edges[[#This Row],[Vertex 1]],GroupVertices[Vertex],0)),1,1,"")</calculatedColumnFormula>
    </tableColumn>
    <tableColumn id="57" name="Vertex 2 Group" dataDxfId="75">
      <calculatedColumnFormula>REPLACE(INDEX(GroupVertices[Group], MATCH(Edges[[#This Row],[Vertex 2]],GroupVertices[Vertex],0)),1,1,"")</calculatedColumnFormula>
    </tableColumn>
  </tableColumns>
  <tableStyleInfo name="NodeXL Table" showFirstColumn="0" showLastColumn="0" showRowStripes="0" showColumnStripes="0"/>
</table>
</file>

<file path=xl/tables/table10.xml><?xml version="1.0" encoding="utf-8"?>
<table xmlns="http://schemas.openxmlformats.org/spreadsheetml/2006/main" id="7" name="PerWorkbookSettings" displayName="PerWorkbookSettings" ref="J1:K26" totalsRowShown="0" headerRowDxfId="87">
  <autoFilter ref="J1:K26"/>
  <tableColumns count="2">
    <tableColumn id="1" name="Per-Workbook Setting"/>
    <tableColumn id="2" name="Value"/>
  </tableColumns>
  <tableStyleInfo name="TableStyleMedium9" showFirstColumn="0" showLastColumn="0" showRowStripes="1" showColumnStripes="0"/>
</table>
</file>

<file path=xl/tables/table11.xml><?xml version="1.0" encoding="utf-8"?>
<table xmlns="http://schemas.openxmlformats.org/spreadsheetml/2006/main" id="8" name="DynamicFilterSettings" displayName="DynamicFilterSettings" ref="M1:P2" totalsRowShown="0" headerRowDxfId="8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2.xml><?xml version="1.0" encoding="utf-8"?>
<table xmlns="http://schemas.openxmlformats.org/spreadsheetml/2006/main" id="2" name="Vertices" displayName="Vertices" ref="A2:BA3" totalsRowShown="0" headerRowDxfId="165" dataDxfId="164">
  <autoFilter ref="A2:BA3"/>
  <tableColumns count="53">
    <tableColumn id="1" name="Vertex" dataDxfId="163"/>
    <tableColumn id="2" name="Color" dataDxfId="162"/>
    <tableColumn id="5" name="Shape" dataDxfId="161"/>
    <tableColumn id="6" name="Size" dataDxfId="160"/>
    <tableColumn id="4" name="Opacity" dataDxfId="159"/>
    <tableColumn id="7" name="Image File" dataDxfId="158">
      <calculatedColumnFormula>HYPERLINK("http://pbs.twimg.com/profile_images/919346511/0017_KP_normal.jpg")</calculatedColumnFormula>
    </tableColumn>
    <tableColumn id="3" name="Visibility" dataDxfId="157"/>
    <tableColumn id="10" name="Label" dataDxfId="156"/>
    <tableColumn id="16" name="Label Fill Color" dataDxfId="155"/>
    <tableColumn id="9" name="Label Position" dataDxfId="154"/>
    <tableColumn id="8" name="Tooltip" dataDxfId="153"/>
    <tableColumn id="18" name="Layout Order" dataDxfId="152"/>
    <tableColumn id="13" name="X" dataDxfId="151"/>
    <tableColumn id="14" name="Y" dataDxfId="150"/>
    <tableColumn id="12" name="Locked?" dataDxfId="149"/>
    <tableColumn id="19" name="Polar R" dataDxfId="148"/>
    <tableColumn id="20" name="Polar Angle" dataDxfId="147"/>
    <tableColumn id="21" name="Degree" dataDxfId="146"/>
    <tableColumn id="22" name="In-Degree" dataDxfId="145"/>
    <tableColumn id="23" name="Out-Degree" dataDxfId="144"/>
    <tableColumn id="24" name="Betweenness Centrality" dataDxfId="143"/>
    <tableColumn id="25" name="Closeness Centrality" dataDxfId="142"/>
    <tableColumn id="26" name="Eigenvector Centrality" dataDxfId="141"/>
    <tableColumn id="15" name="PageRank" dataDxfId="140"/>
    <tableColumn id="27" name="Clustering Coefficient" dataDxfId="139"/>
    <tableColumn id="29" name="Reciprocated Vertex Pair Ratio" dataDxfId="138"/>
    <tableColumn id="11" name="ID" dataDxfId="137"/>
    <tableColumn id="28" name="Dynamic Filter" dataDxfId="136"/>
    <tableColumn id="17" name="Add Your Own Columns Here" dataDxfId="135"/>
    <tableColumn id="30" name="Name" dataDxfId="134"/>
    <tableColumn id="31" name="User ID" dataDxfId="133"/>
    <tableColumn id="32" name="Followed" dataDxfId="132"/>
    <tableColumn id="33" name="Followers" dataDxfId="131"/>
    <tableColumn id="34" name="Tweets" dataDxfId="130"/>
    <tableColumn id="35" name="Favorites" dataDxfId="129"/>
    <tableColumn id="36" name="Time Zone UTC Offset (Seconds)" dataDxfId="128"/>
    <tableColumn id="37" name="Description" dataDxfId="127"/>
    <tableColumn id="38" name="Location" dataDxfId="126"/>
    <tableColumn id="39" name="Web" dataDxfId="125">
      <calculatedColumnFormula>HYPERLINK("http://t.co/SuH7Zf8DUN")</calculatedColumnFormula>
    </tableColumn>
    <tableColumn id="40" name="Time Zone" dataDxfId="124"/>
    <tableColumn id="41" name="Joined Twitter Date (UTC)" dataDxfId="123"/>
    <tableColumn id="42" name="Profile Banner Url" dataDxfId="122"/>
    <tableColumn id="43" name="Default Profile" dataDxfId="121"/>
    <tableColumn id="44" name="Default Profile Image" dataDxfId="120"/>
    <tableColumn id="45" name="Geo Enabled" dataDxfId="119"/>
    <tableColumn id="46" name="Language" dataDxfId="118"/>
    <tableColumn id="47" name="Listed Count" dataDxfId="117"/>
    <tableColumn id="48" name="Profile Background Image Url" dataDxfId="116">
      <calculatedColumnFormula>HYPERLINK("http://abs.twimg.com/images/themes/theme1/bg.png")</calculatedColumnFormula>
    </tableColumn>
    <tableColumn id="49" name="Verified" dataDxfId="115"/>
    <tableColumn id="50" name="Custom Menu Item Text" dataDxfId="114"/>
    <tableColumn id="51" name="Custom Menu Item Action" dataDxfId="113">
      <calculatedColumnFormula>HYPERLINK("https://twitter.com/queenofmetrics")</calculatedColumnFormula>
    </tableColumn>
    <tableColumn id="52" name="Tweeted Search Term?" dataDxfId="78"/>
    <tableColumn id="53" name="Vertex Group" dataDxfId="77">
      <calculatedColumnFormula>REPLACE(INDEX(GroupVertices[Group], MATCH(Vertices[[#This Row],[Vertex]],GroupVertices[Vertex],0)),1,1,"")</calculatedColumnFormula>
    </tableColumn>
  </tableColumns>
  <tableStyleInfo name="NodeXL Table" showFirstColumn="0" showLastColumn="0" showRowStripes="0" showColumnStripes="0"/>
</table>
</file>

<file path=xl/tables/table3.xml><?xml version="1.0" encoding="utf-8"?>
<table xmlns="http://schemas.openxmlformats.org/spreadsheetml/2006/main" id="4" name="Groups" displayName="Groups" ref="A2:Y3" totalsRowShown="0" headerRowDxfId="112">
  <autoFilter ref="A2:Y3"/>
  <tableColumns count="25">
    <tableColumn id="1" name="Group" dataDxfId="85"/>
    <tableColumn id="2" name="Vertex Color" dataDxfId="84"/>
    <tableColumn id="3" name="Vertex Shape" dataDxfId="82"/>
    <tableColumn id="22" name="Visibility" dataDxfId="83"/>
    <tableColumn id="4" name="Collapsed?"/>
    <tableColumn id="18" name="Label" dataDxfId="111"/>
    <tableColumn id="20" name="Collapsed X"/>
    <tableColumn id="21" name="Collapsed Y"/>
    <tableColumn id="6" name="ID" dataDxfId="110"/>
    <tableColumn id="19" name="Collapsed Properties" dataDxfId="74"/>
    <tableColumn id="5" name="Vertices" dataDxfId="73"/>
    <tableColumn id="7" name="Unique Edges" dataDxfId="72"/>
    <tableColumn id="8" name="Edges With Duplicates" dataDxfId="71"/>
    <tableColumn id="9" name="Total Edges" dataDxfId="70"/>
    <tableColumn id="10" name="Self-Loops" dataDxfId="69"/>
    <tableColumn id="24" name="Reciprocated Vertex Pair Ratio" dataDxfId="68"/>
    <tableColumn id="25" name="Reciprocated Edge Ratio" dataDxfId="67"/>
    <tableColumn id="11" name="Connected Components" dataDxfId="66"/>
    <tableColumn id="12" name="Single-Vertex Connected Components" dataDxfId="65"/>
    <tableColumn id="13" name="Maximum Vertices in a Connected Component" dataDxfId="64"/>
    <tableColumn id="14" name="Maximum Edges in a Connected Component" dataDxfId="63"/>
    <tableColumn id="15" name="Maximum Geodesic Distance (Diameter)" dataDxfId="62"/>
    <tableColumn id="16" name="Average Geodesic Distance" dataDxfId="61"/>
    <tableColumn id="17" name="Graph Density" dataDxfId="59"/>
    <tableColumn id="23" name="Top URLs in Tweet" dataDxfId="5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109" dataDxfId="108">
  <autoFilter ref="A1:C2"/>
  <tableColumns count="3">
    <tableColumn id="1" name="Group" dataDxfId="81"/>
    <tableColumn id="2" name="Vertex" dataDxfId="80"/>
    <tableColumn id="3" name="Vertex ID" dataDxfId="7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107"/>
    <tableColumn id="2" name="Value" dataDxfId="10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105"/>
    <tableColumn id="2" name="Degree Frequency" dataDxfId="104">
      <calculatedColumnFormula>COUNTIF(Vertices[Degree], "&gt;= " &amp; D2) - COUNTIF(Vertices[Degree], "&gt;=" &amp; D3)</calculatedColumnFormula>
    </tableColumn>
    <tableColumn id="3" name="In-Degree Bin" dataDxfId="103"/>
    <tableColumn id="4" name="In-Degree Frequency" dataDxfId="102">
      <calculatedColumnFormula>COUNTIF(Vertices[In-Degree], "&gt;= " &amp; F2) - COUNTIF(Vertices[In-Degree], "&gt;=" &amp; F3)</calculatedColumnFormula>
    </tableColumn>
    <tableColumn id="5" name="Out-Degree Bin" dataDxfId="101"/>
    <tableColumn id="6" name="Out-Degree Frequency" dataDxfId="100">
      <calculatedColumnFormula>COUNTIF(Vertices[Out-Degree], "&gt;= " &amp; H2) - COUNTIF(Vertices[Out-Degree], "&gt;=" &amp; H3)</calculatedColumnFormula>
    </tableColumn>
    <tableColumn id="7" name="Betweenness Centrality Bin" dataDxfId="99"/>
    <tableColumn id="8" name="Betweenness Centrality Frequency" dataDxfId="98">
      <calculatedColumnFormula>COUNTIF(Vertices[Betweenness Centrality], "&gt;= " &amp; J2) - COUNTIF(Vertices[Betweenness Centrality], "&gt;=" &amp; J3)</calculatedColumnFormula>
    </tableColumn>
    <tableColumn id="9" name="Closeness Centrality Bin" dataDxfId="97"/>
    <tableColumn id="10" name="Closeness Centrality Frequency" dataDxfId="96">
      <calculatedColumnFormula>COUNTIF(Vertices[Closeness Centrality], "&gt;= " &amp; L2) - COUNTIF(Vertices[Closeness Centrality], "&gt;=" &amp; L3)</calculatedColumnFormula>
    </tableColumn>
    <tableColumn id="11" name="Eigenvector Centrality Bin" dataDxfId="95"/>
    <tableColumn id="12" name="Eigenvector Centrality Frequency" dataDxfId="94">
      <calculatedColumnFormula>COUNTIF(Vertices[Eigenvector Centrality], "&gt;= " &amp; N2) - COUNTIF(Vertices[Eigenvector Centrality], "&gt;=" &amp; N3)</calculatedColumnFormula>
    </tableColumn>
    <tableColumn id="18" name="PageRank Bin" dataDxfId="93"/>
    <tableColumn id="17" name="PageRank Frequency" dataDxfId="92">
      <calculatedColumnFormula>COUNTIF(Vertices[Eigenvector Centrality], "&gt;= " &amp; P2) - COUNTIF(Vertices[Eigenvector Centrality], "&gt;=" &amp; P3)</calculatedColumnFormula>
    </tableColumn>
    <tableColumn id="13" name="Clustering Coefficient Bin" dataDxfId="91"/>
    <tableColumn id="14" name="Clustering Coefficient Frequency" dataDxfId="90">
      <calculatedColumnFormula>COUNTIF(Vertices[Clustering Coefficient], "&gt;= " &amp; R2) - COUNTIF(Vertices[Clustering Coefficient], "&gt;=" &amp; R3)</calculatedColumnFormula>
    </tableColumn>
    <tableColumn id="15" name="Dynamic Filter Bin" dataDxfId="89"/>
    <tableColumn id="16" name="Dynamic Filter Frequency" dataDxfId="8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10" name="Edges11" displayName="Edges11" ref="A2:BE9" totalsRowShown="0" headerRowDxfId="57" dataDxfId="56">
  <autoFilter ref="A2:BE9"/>
  <tableColumns count="57">
    <tableColumn id="1" name="Vertex 1" dataDxfId="55"/>
    <tableColumn id="2" name="Vertex 2" dataDxfId="54"/>
    <tableColumn id="3" name="Color" dataDxfId="53"/>
    <tableColumn id="4" name="Width" dataDxfId="52"/>
    <tableColumn id="11" name="Style" dataDxfId="51"/>
    <tableColumn id="5" name="Opacity" dataDxfId="50"/>
    <tableColumn id="6" name="Visibility" dataDxfId="49"/>
    <tableColumn id="10" name="Label" dataDxfId="48"/>
    <tableColumn id="12" name="Label Text Color" dataDxfId="47"/>
    <tableColumn id="13" name="Label Font Size" dataDxfId="46"/>
    <tableColumn id="14" name="Reciprocated?" dataDxfId="45"/>
    <tableColumn id="7" name="ID" dataDxfId="44"/>
    <tableColumn id="9" name="Dynamic Filter" dataDxfId="43"/>
    <tableColumn id="8" name="Add Your Own Columns Here" dataDxfId="42"/>
    <tableColumn id="15" name="Relationship" dataDxfId="41"/>
    <tableColumn id="16" name="Relationship Date (UTC)" dataDxfId="40"/>
    <tableColumn id="17" name="Tweet" dataDxfId="39"/>
    <tableColumn id="18" name="URLs in Tweet" dataDxfId="38"/>
    <tableColumn id="19" name="Domains in Tweet" dataDxfId="37"/>
    <tableColumn id="20" name="Hashtags in Tweet" dataDxfId="36"/>
    <tableColumn id="21" name="Media in Tweet" dataDxfId="35"/>
    <tableColumn id="22" name="Tweet Image File" dataDxfId="34"/>
    <tableColumn id="23" name="Tweet Date (UTC)" dataDxfId="33"/>
    <tableColumn id="24" name="Date" dataDxfId="32"/>
    <tableColumn id="25" name="Time" dataDxfId="31"/>
    <tableColumn id="26" name="Twitter Page for Tweet" dataDxfId="30"/>
    <tableColumn id="27" name="Latitude" dataDxfId="29"/>
    <tableColumn id="28" name="Longitude" dataDxfId="28"/>
    <tableColumn id="29" name="Imported ID" dataDxfId="27"/>
    <tableColumn id="30" name="In-Reply-To Tweet ID" dataDxfId="26"/>
    <tableColumn id="31" name="Favorited" dataDxfId="25"/>
    <tableColumn id="32" name="Favorite Count" dataDxfId="24"/>
    <tableColumn id="33" name="In-Reply-To User ID" dataDxfId="23"/>
    <tableColumn id="34" name="Is Quote Status" dataDxfId="22"/>
    <tableColumn id="35" name="Language" dataDxfId="21"/>
    <tableColumn id="36" name="Possibly Sensitive" dataDxfId="20"/>
    <tableColumn id="37" name="Quoted Status ID" dataDxfId="19"/>
    <tableColumn id="38" name="Retweeted" dataDxfId="18"/>
    <tableColumn id="39" name="Retweet Count" dataDxfId="17"/>
    <tableColumn id="40" name="Retweet ID" dataDxfId="16"/>
    <tableColumn id="41" name="Source" dataDxfId="15"/>
    <tableColumn id="42" name="Truncated" dataDxfId="14"/>
    <tableColumn id="43" name="Unified Twitter ID" dataDxfId="13"/>
    <tableColumn id="44" name="Imported Tweet Type" dataDxfId="12"/>
    <tableColumn id="45" name="Added By Extended Analysis" dataDxfId="11"/>
    <tableColumn id="46" name="Corrected By Extended Analysis" dataDxfId="10"/>
    <tableColumn id="47" name="Place Bounding Box" dataDxfId="9"/>
    <tableColumn id="48" name="Place Country" dataDxfId="8"/>
    <tableColumn id="49" name="Place Country Code" dataDxfId="7"/>
    <tableColumn id="50" name="Place Full Name" dataDxfId="6"/>
    <tableColumn id="51" name="Place ID" dataDxfId="5"/>
    <tableColumn id="52" name="Place Name" dataDxfId="4"/>
    <tableColumn id="53" name="Place Type" dataDxfId="3"/>
    <tableColumn id="54" name="Place URL" dataDxfId="2"/>
    <tableColumn id="55" name="Edge Weight"/>
    <tableColumn id="56" name="Vertex 1 Group" dataDxfId="1">
      <calculatedColumnFormula>REPLACE(INDEX(GroupVertices[Group], MATCH(Edges11[[#This Row],[Vertex 1]],GroupVertices[Vertex],0)),1,1,"")</calculatedColumnFormula>
    </tableColumn>
    <tableColumn id="57" name="Vertex 2 Group" dataDxfId="0">
      <calculatedColumnFormula>REPLACE(INDEX(GroupVertices[Group], MATCH(Edges11[[#This Row],[Vertex 2]],GroupVertices[Vertex],0)),1,1,"")</calculatedColumnFormula>
    </tableColumn>
  </tableColumns>
  <tableStyleInfo name="NodeXL Table"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table" Target="../tables/table9.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0.xml" /><Relationship Id="rId2" Type="http://schemas.openxmlformats.org/officeDocument/2006/relationships/table" Target="../tables/table11.xml" /><Relationship Id="rId3" Type="http://schemas.openxmlformats.org/officeDocument/2006/relationships/drawing" Target="../drawings/drawing2.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customWidth="1"/>
    <col min="4" max="4" width="8.7109375" style="2" customWidth="1"/>
    <col min="5" max="5" width="7.7109375" style="2" customWidth="1"/>
    <col min="6" max="6" width="9.8515625" style="2" customWidth="1"/>
    <col min="7" max="7" width="11.00390625" style="3" customWidth="1"/>
    <col min="8" max="8" width="8.00390625" style="1" customWidth="1"/>
    <col min="9" max="9" width="12.28125" style="3" customWidth="1"/>
    <col min="10" max="10" width="12.421875" style="3" customWidth="1"/>
    <col min="11" max="11" width="15.57421875" style="3" customWidth="1"/>
    <col min="12" max="12" width="11.00390625" style="0" customWidth="1"/>
    <col min="13" max="13" width="10.8515625" style="0"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s>
  <sheetData>
    <row r="1" spans="3:14" ht="15">
      <c r="C1" s="17" t="s">
        <v>39</v>
      </c>
      <c r="D1" s="18"/>
      <c r="E1" s="18"/>
      <c r="F1" s="18"/>
      <c r="G1" s="17"/>
      <c r="H1" s="15" t="s">
        <v>43</v>
      </c>
      <c r="I1" s="65"/>
      <c r="J1" s="65"/>
      <c r="K1" s="34" t="s">
        <v>42</v>
      </c>
      <c r="L1" s="19" t="s">
        <v>40</v>
      </c>
      <c r="M1" s="19"/>
      <c r="N1" s="16" t="s">
        <v>41</v>
      </c>
    </row>
    <row r="2" spans="1:57"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315</v>
      </c>
      <c r="BD2" s="13" t="s">
        <v>319</v>
      </c>
      <c r="BE2" s="13" t="s">
        <v>320</v>
      </c>
    </row>
    <row r="3" spans="1:57" ht="15" customHeight="1">
      <c r="A3" s="83" t="s">
        <v>214</v>
      </c>
      <c r="B3" s="83" t="s">
        <v>214</v>
      </c>
      <c r="C3" s="53" t="s">
        <v>327</v>
      </c>
      <c r="D3" s="54">
        <v>3</v>
      </c>
      <c r="E3" s="66" t="s">
        <v>136</v>
      </c>
      <c r="F3" s="55">
        <v>35</v>
      </c>
      <c r="G3" s="53"/>
      <c r="H3" s="57"/>
      <c r="I3" s="56"/>
      <c r="J3" s="56"/>
      <c r="K3" s="35" t="s">
        <v>65</v>
      </c>
      <c r="L3" s="62">
        <v>3</v>
      </c>
      <c r="M3" s="62"/>
      <c r="N3" s="63"/>
      <c r="O3" s="84" t="s">
        <v>176</v>
      </c>
      <c r="P3" s="86">
        <v>44036.789930555555</v>
      </c>
      <c r="Q3" s="84" t="s">
        <v>221</v>
      </c>
      <c r="R3" s="84"/>
      <c r="S3" s="84"/>
      <c r="T3" s="84" t="s">
        <v>231</v>
      </c>
      <c r="U3" s="84"/>
      <c r="V3" s="89" t="str">
        <f>HYPERLINK("http://pbs.twimg.com/profile_images/919346511/0017_KP_normal.jpg")</f>
        <v>http://pbs.twimg.com/profile_images/919346511/0017_KP_normal.jpg</v>
      </c>
      <c r="W3" s="86">
        <v>44036.789930555555</v>
      </c>
      <c r="X3" s="90">
        <v>44036</v>
      </c>
      <c r="Y3" s="92" t="s">
        <v>238</v>
      </c>
      <c r="Z3" s="89" t="str">
        <f>HYPERLINK("https://twitter.com/#!/queenofmetrics/status/1286737289582915585")</f>
        <v>https://twitter.com/#!/queenofmetrics/status/1286737289582915585</v>
      </c>
      <c r="AA3" s="84"/>
      <c r="AB3" s="84"/>
      <c r="AC3" s="92" t="s">
        <v>245</v>
      </c>
      <c r="AD3" s="84"/>
      <c r="AE3" s="84" t="b">
        <v>0</v>
      </c>
      <c r="AF3" s="84">
        <v>0</v>
      </c>
      <c r="AG3" s="92" t="s">
        <v>246</v>
      </c>
      <c r="AH3" s="84" t="b">
        <v>0</v>
      </c>
      <c r="AI3" s="84" t="s">
        <v>247</v>
      </c>
      <c r="AJ3" s="84"/>
      <c r="AK3" s="92" t="s">
        <v>246</v>
      </c>
      <c r="AL3" s="84" t="b">
        <v>0</v>
      </c>
      <c r="AM3" s="84">
        <v>0</v>
      </c>
      <c r="AN3" s="92" t="s">
        <v>246</v>
      </c>
      <c r="AO3" s="84" t="s">
        <v>249</v>
      </c>
      <c r="AP3" s="84" t="b">
        <v>0</v>
      </c>
      <c r="AQ3" s="92" t="s">
        <v>245</v>
      </c>
      <c r="AR3" s="84" t="s">
        <v>176</v>
      </c>
      <c r="AS3" s="84">
        <v>0</v>
      </c>
      <c r="AT3" s="84">
        <v>0</v>
      </c>
      <c r="AU3" s="84"/>
      <c r="AV3" s="84"/>
      <c r="AW3" s="84"/>
      <c r="AX3" s="84"/>
      <c r="AY3" s="84"/>
      <c r="AZ3" s="84"/>
      <c r="BA3" s="84"/>
      <c r="BB3" s="84"/>
      <c r="BC3">
        <v>7</v>
      </c>
      <c r="BD3" s="84" t="str">
        <f>REPLACE(INDEX(GroupVertices[Group],MATCH(Edges[[#This Row],[Vertex 1]],GroupVertices[Vertex],0)),1,1,"")</f>
        <v>1</v>
      </c>
      <c r="BE3" s="84" t="str">
        <f>REPLACE(INDEX(GroupVertices[Group],MATCH(Edges[[#This Row],[Vertex 2]],GroupVertices[Vertex],0)),1,1,"")</f>
        <v>1</v>
      </c>
    </row>
    <row r="4" spans="1:57" ht="15" customHeight="1">
      <c r="A4" s="83" t="s">
        <v>214</v>
      </c>
      <c r="B4" s="83" t="s">
        <v>214</v>
      </c>
      <c r="C4" s="53" t="s">
        <v>327</v>
      </c>
      <c r="D4" s="54">
        <v>3</v>
      </c>
      <c r="E4" s="66" t="s">
        <v>136</v>
      </c>
      <c r="F4" s="55">
        <v>35</v>
      </c>
      <c r="G4" s="53"/>
      <c r="H4" s="57"/>
      <c r="I4" s="56"/>
      <c r="J4" s="56"/>
      <c r="K4" s="35" t="s">
        <v>65</v>
      </c>
      <c r="L4" s="82">
        <v>4</v>
      </c>
      <c r="M4" s="82"/>
      <c r="N4" s="63"/>
      <c r="O4" s="85" t="s">
        <v>176</v>
      </c>
      <c r="P4" s="87">
        <v>44075.62079861111</v>
      </c>
      <c r="Q4" s="85" t="s">
        <v>215</v>
      </c>
      <c r="R4" s="88" t="str">
        <f>HYPERLINK("http://painepublishing.com/measurementadvisor/re-imagining-communications-for-the-next-decade/")</f>
        <v>http://painepublishing.com/measurementadvisor/re-imagining-communications-for-the-next-decade/</v>
      </c>
      <c r="S4" s="85" t="s">
        <v>223</v>
      </c>
      <c r="T4" s="85" t="s">
        <v>226</v>
      </c>
      <c r="U4" s="85"/>
      <c r="V4" s="88" t="str">
        <f>HYPERLINK("http://pbs.twimg.com/profile_images/919346511/0017_KP_normal.jpg")</f>
        <v>http://pbs.twimg.com/profile_images/919346511/0017_KP_normal.jpg</v>
      </c>
      <c r="W4" s="87">
        <v>44075.62079861111</v>
      </c>
      <c r="X4" s="91">
        <v>44075</v>
      </c>
      <c r="Y4" s="93" t="s">
        <v>232</v>
      </c>
      <c r="Z4" s="88" t="str">
        <f>HYPERLINK("https://twitter.com/#!/queenofmetrics/status/1300809123957821443")</f>
        <v>https://twitter.com/#!/queenofmetrics/status/1300809123957821443</v>
      </c>
      <c r="AA4" s="85"/>
      <c r="AB4" s="85"/>
      <c r="AC4" s="93" t="s">
        <v>239</v>
      </c>
      <c r="AD4" s="85"/>
      <c r="AE4" s="85" t="b">
        <v>0</v>
      </c>
      <c r="AF4" s="85">
        <v>0</v>
      </c>
      <c r="AG4" s="93" t="s">
        <v>246</v>
      </c>
      <c r="AH4" s="85" t="b">
        <v>0</v>
      </c>
      <c r="AI4" s="85" t="s">
        <v>247</v>
      </c>
      <c r="AJ4" s="85"/>
      <c r="AK4" s="93" t="s">
        <v>246</v>
      </c>
      <c r="AL4" s="85" t="b">
        <v>0</v>
      </c>
      <c r="AM4" s="85">
        <v>0</v>
      </c>
      <c r="AN4" s="93" t="s">
        <v>246</v>
      </c>
      <c r="AO4" s="85" t="s">
        <v>248</v>
      </c>
      <c r="AP4" s="85" t="b">
        <v>0</v>
      </c>
      <c r="AQ4" s="93" t="s">
        <v>239</v>
      </c>
      <c r="AR4" s="85" t="s">
        <v>176</v>
      </c>
      <c r="AS4" s="85">
        <v>0</v>
      </c>
      <c r="AT4" s="85">
        <v>0</v>
      </c>
      <c r="AU4" s="85"/>
      <c r="AV4" s="85"/>
      <c r="AW4" s="85"/>
      <c r="AX4" s="85"/>
      <c r="AY4" s="85"/>
      <c r="AZ4" s="85"/>
      <c r="BA4" s="85"/>
      <c r="BB4" s="85"/>
      <c r="BC4">
        <v>7</v>
      </c>
      <c r="BD4" s="84" t="str">
        <f>REPLACE(INDEX(GroupVertices[Group],MATCH(Edges[[#This Row],[Vertex 1]],GroupVertices[Vertex],0)),1,1,"")</f>
        <v>1</v>
      </c>
      <c r="BE4" s="84" t="str">
        <f>REPLACE(INDEX(GroupVertices[Group],MATCH(Edges[[#This Row],[Vertex 2]],GroupVertices[Vertex],0)),1,1,"")</f>
        <v>1</v>
      </c>
    </row>
    <row r="5" spans="1:57" ht="45">
      <c r="A5" s="83" t="s">
        <v>214</v>
      </c>
      <c r="B5" s="83" t="s">
        <v>214</v>
      </c>
      <c r="C5" s="53" t="s">
        <v>327</v>
      </c>
      <c r="D5" s="54">
        <v>3</v>
      </c>
      <c r="E5" s="66" t="s">
        <v>136</v>
      </c>
      <c r="F5" s="55">
        <v>35</v>
      </c>
      <c r="G5" s="53"/>
      <c r="H5" s="57"/>
      <c r="I5" s="56"/>
      <c r="J5" s="56"/>
      <c r="K5" s="35" t="s">
        <v>65</v>
      </c>
      <c r="L5" s="82">
        <v>5</v>
      </c>
      <c r="M5" s="82"/>
      <c r="N5" s="63"/>
      <c r="O5" s="85" t="s">
        <v>176</v>
      </c>
      <c r="P5" s="87">
        <v>44075.85766203704</v>
      </c>
      <c r="Q5" s="85" t="s">
        <v>216</v>
      </c>
      <c r="R5" s="88" t="str">
        <f>HYPERLINK("http://painepublishing.com/measurementadvisor/visualize-your-communications-measurement-dream-job/")</f>
        <v>http://painepublishing.com/measurementadvisor/visualize-your-communications-measurement-dream-job/</v>
      </c>
      <c r="S5" s="85" t="s">
        <v>223</v>
      </c>
      <c r="T5" s="85" t="s">
        <v>227</v>
      </c>
      <c r="U5" s="85"/>
      <c r="V5" s="88" t="str">
        <f>HYPERLINK("http://pbs.twimg.com/profile_images/919346511/0017_KP_normal.jpg")</f>
        <v>http://pbs.twimg.com/profile_images/919346511/0017_KP_normal.jpg</v>
      </c>
      <c r="W5" s="87">
        <v>44075.85766203704</v>
      </c>
      <c r="X5" s="91">
        <v>44075</v>
      </c>
      <c r="Y5" s="93" t="s">
        <v>233</v>
      </c>
      <c r="Z5" s="88" t="str">
        <f>HYPERLINK("https://twitter.com/#!/queenofmetrics/status/1300894960703725578")</f>
        <v>https://twitter.com/#!/queenofmetrics/status/1300894960703725578</v>
      </c>
      <c r="AA5" s="85"/>
      <c r="AB5" s="85"/>
      <c r="AC5" s="93" t="s">
        <v>240</v>
      </c>
      <c r="AD5" s="85"/>
      <c r="AE5" s="85" t="b">
        <v>0</v>
      </c>
      <c r="AF5" s="85">
        <v>1</v>
      </c>
      <c r="AG5" s="93" t="s">
        <v>246</v>
      </c>
      <c r="AH5" s="85" t="b">
        <v>0</v>
      </c>
      <c r="AI5" s="85" t="s">
        <v>247</v>
      </c>
      <c r="AJ5" s="85"/>
      <c r="AK5" s="93" t="s">
        <v>246</v>
      </c>
      <c r="AL5" s="85" t="b">
        <v>0</v>
      </c>
      <c r="AM5" s="85">
        <v>0</v>
      </c>
      <c r="AN5" s="93" t="s">
        <v>246</v>
      </c>
      <c r="AO5" s="85" t="s">
        <v>249</v>
      </c>
      <c r="AP5" s="85" t="b">
        <v>0</v>
      </c>
      <c r="AQ5" s="93" t="s">
        <v>240</v>
      </c>
      <c r="AR5" s="85" t="s">
        <v>176</v>
      </c>
      <c r="AS5" s="85">
        <v>0</v>
      </c>
      <c r="AT5" s="85">
        <v>0</v>
      </c>
      <c r="AU5" s="85"/>
      <c r="AV5" s="85"/>
      <c r="AW5" s="85"/>
      <c r="AX5" s="85"/>
      <c r="AY5" s="85"/>
      <c r="AZ5" s="85"/>
      <c r="BA5" s="85"/>
      <c r="BB5" s="85"/>
      <c r="BC5">
        <v>7</v>
      </c>
      <c r="BD5" s="84" t="str">
        <f>REPLACE(INDEX(GroupVertices[Group],MATCH(Edges[[#This Row],[Vertex 1]],GroupVertices[Vertex],0)),1,1,"")</f>
        <v>1</v>
      </c>
      <c r="BE5" s="84" t="str">
        <f>REPLACE(INDEX(GroupVertices[Group],MATCH(Edges[[#This Row],[Vertex 2]],GroupVertices[Vertex],0)),1,1,"")</f>
        <v>1</v>
      </c>
    </row>
    <row r="6" spans="1:57" ht="45">
      <c r="A6" s="83" t="s">
        <v>214</v>
      </c>
      <c r="B6" s="83" t="s">
        <v>214</v>
      </c>
      <c r="C6" s="53" t="s">
        <v>327</v>
      </c>
      <c r="D6" s="54">
        <v>3</v>
      </c>
      <c r="E6" s="66" t="s">
        <v>136</v>
      </c>
      <c r="F6" s="55">
        <v>35</v>
      </c>
      <c r="G6" s="53"/>
      <c r="H6" s="57"/>
      <c r="I6" s="56"/>
      <c r="J6" s="56"/>
      <c r="K6" s="35" t="s">
        <v>65</v>
      </c>
      <c r="L6" s="82">
        <v>6</v>
      </c>
      <c r="M6" s="82"/>
      <c r="N6" s="63"/>
      <c r="O6" s="85" t="s">
        <v>176</v>
      </c>
      <c r="P6" s="87">
        <v>44076.704375</v>
      </c>
      <c r="Q6" s="85" t="s">
        <v>217</v>
      </c>
      <c r="R6" s="85" t="s">
        <v>222</v>
      </c>
      <c r="S6" s="85" t="s">
        <v>224</v>
      </c>
      <c r="T6" s="85" t="s">
        <v>228</v>
      </c>
      <c r="U6" s="85"/>
      <c r="V6" s="88" t="str">
        <f>HYPERLINK("http://pbs.twimg.com/profile_images/919346511/0017_KP_normal.jpg")</f>
        <v>http://pbs.twimg.com/profile_images/919346511/0017_KP_normal.jpg</v>
      </c>
      <c r="W6" s="87">
        <v>44076.704375</v>
      </c>
      <c r="X6" s="91">
        <v>44076</v>
      </c>
      <c r="Y6" s="93" t="s">
        <v>234</v>
      </c>
      <c r="Z6" s="88" t="str">
        <f>HYPERLINK("https://twitter.com/#!/queenofmetrics/status/1301201798879940609")</f>
        <v>https://twitter.com/#!/queenofmetrics/status/1301201798879940609</v>
      </c>
      <c r="AA6" s="85"/>
      <c r="AB6" s="85"/>
      <c r="AC6" s="93" t="s">
        <v>241</v>
      </c>
      <c r="AD6" s="85"/>
      <c r="AE6" s="85" t="b">
        <v>0</v>
      </c>
      <c r="AF6" s="85">
        <v>0</v>
      </c>
      <c r="AG6" s="93" t="s">
        <v>246</v>
      </c>
      <c r="AH6" s="85" t="b">
        <v>0</v>
      </c>
      <c r="AI6" s="85" t="s">
        <v>247</v>
      </c>
      <c r="AJ6" s="85"/>
      <c r="AK6" s="93" t="s">
        <v>246</v>
      </c>
      <c r="AL6" s="85" t="b">
        <v>0</v>
      </c>
      <c r="AM6" s="85">
        <v>0</v>
      </c>
      <c r="AN6" s="93" t="s">
        <v>246</v>
      </c>
      <c r="AO6" s="85" t="s">
        <v>249</v>
      </c>
      <c r="AP6" s="85" t="b">
        <v>0</v>
      </c>
      <c r="AQ6" s="93" t="s">
        <v>241</v>
      </c>
      <c r="AR6" s="85" t="s">
        <v>176</v>
      </c>
      <c r="AS6" s="85">
        <v>0</v>
      </c>
      <c r="AT6" s="85">
        <v>0</v>
      </c>
      <c r="AU6" s="85"/>
      <c r="AV6" s="85"/>
      <c r="AW6" s="85"/>
      <c r="AX6" s="85"/>
      <c r="AY6" s="85"/>
      <c r="AZ6" s="85"/>
      <c r="BA6" s="85"/>
      <c r="BB6" s="85"/>
      <c r="BC6">
        <v>7</v>
      </c>
      <c r="BD6" s="84" t="str">
        <f>REPLACE(INDEX(GroupVertices[Group],MATCH(Edges[[#This Row],[Vertex 1]],GroupVertices[Vertex],0)),1,1,"")</f>
        <v>1</v>
      </c>
      <c r="BE6" s="84" t="str">
        <f>REPLACE(INDEX(GroupVertices[Group],MATCH(Edges[[#This Row],[Vertex 2]],GroupVertices[Vertex],0)),1,1,"")</f>
        <v>1</v>
      </c>
    </row>
    <row r="7" spans="1:57" ht="45">
      <c r="A7" s="83" t="s">
        <v>214</v>
      </c>
      <c r="B7" s="83" t="s">
        <v>214</v>
      </c>
      <c r="C7" s="53" t="s">
        <v>327</v>
      </c>
      <c r="D7" s="54">
        <v>3</v>
      </c>
      <c r="E7" s="66" t="s">
        <v>136</v>
      </c>
      <c r="F7" s="55">
        <v>35</v>
      </c>
      <c r="G7" s="53"/>
      <c r="H7" s="57"/>
      <c r="I7" s="56"/>
      <c r="J7" s="56"/>
      <c r="K7" s="35" t="s">
        <v>65</v>
      </c>
      <c r="L7" s="82">
        <v>7</v>
      </c>
      <c r="M7" s="82"/>
      <c r="N7" s="63"/>
      <c r="O7" s="85" t="s">
        <v>176</v>
      </c>
      <c r="P7" s="87">
        <v>44076.712696759256</v>
      </c>
      <c r="Q7" s="85" t="s">
        <v>218</v>
      </c>
      <c r="R7" s="88" t="str">
        <f>HYPERLINK("http://painepublishing.com/measurementadvisor/8-easy-steps-to-make-sure-your-data-is-accurate/")</f>
        <v>http://painepublishing.com/measurementadvisor/8-easy-steps-to-make-sure-your-data-is-accurate/</v>
      </c>
      <c r="S7" s="85" t="s">
        <v>223</v>
      </c>
      <c r="T7" s="85" t="s">
        <v>229</v>
      </c>
      <c r="U7" s="88" t="str">
        <f>HYPERLINK("https://pbs.twimg.com/media/Eg7O4ZiXcAAUXCq.jpg")</f>
        <v>https://pbs.twimg.com/media/Eg7O4ZiXcAAUXCq.jpg</v>
      </c>
      <c r="V7" s="88" t="str">
        <f>HYPERLINK("https://pbs.twimg.com/media/Eg7O4ZiXcAAUXCq.jpg")</f>
        <v>https://pbs.twimg.com/media/Eg7O4ZiXcAAUXCq.jpg</v>
      </c>
      <c r="W7" s="87">
        <v>44076.712696759256</v>
      </c>
      <c r="X7" s="91">
        <v>44076</v>
      </c>
      <c r="Y7" s="93" t="s">
        <v>235</v>
      </c>
      <c r="Z7" s="88" t="str">
        <f>HYPERLINK("https://twitter.com/#!/queenofmetrics/status/1301204812801994752")</f>
        <v>https://twitter.com/#!/queenofmetrics/status/1301204812801994752</v>
      </c>
      <c r="AA7" s="85"/>
      <c r="AB7" s="85"/>
      <c r="AC7" s="93" t="s">
        <v>242</v>
      </c>
      <c r="AD7" s="85"/>
      <c r="AE7" s="85" t="b">
        <v>0</v>
      </c>
      <c r="AF7" s="85">
        <v>0</v>
      </c>
      <c r="AG7" s="93" t="s">
        <v>246</v>
      </c>
      <c r="AH7" s="85" t="b">
        <v>0</v>
      </c>
      <c r="AI7" s="85" t="s">
        <v>247</v>
      </c>
      <c r="AJ7" s="85"/>
      <c r="AK7" s="93" t="s">
        <v>246</v>
      </c>
      <c r="AL7" s="85" t="b">
        <v>0</v>
      </c>
      <c r="AM7" s="85">
        <v>0</v>
      </c>
      <c r="AN7" s="93" t="s">
        <v>246</v>
      </c>
      <c r="AO7" s="85" t="s">
        <v>249</v>
      </c>
      <c r="AP7" s="85" t="b">
        <v>0</v>
      </c>
      <c r="AQ7" s="93" t="s">
        <v>242</v>
      </c>
      <c r="AR7" s="85" t="s">
        <v>176</v>
      </c>
      <c r="AS7" s="85">
        <v>0</v>
      </c>
      <c r="AT7" s="85">
        <v>0</v>
      </c>
      <c r="AU7" s="85"/>
      <c r="AV7" s="85"/>
      <c r="AW7" s="85"/>
      <c r="AX7" s="85"/>
      <c r="AY7" s="85"/>
      <c r="AZ7" s="85"/>
      <c r="BA7" s="85"/>
      <c r="BB7" s="85"/>
      <c r="BC7">
        <v>7</v>
      </c>
      <c r="BD7" s="84" t="str">
        <f>REPLACE(INDEX(GroupVertices[Group],MATCH(Edges[[#This Row],[Vertex 1]],GroupVertices[Vertex],0)),1,1,"")</f>
        <v>1</v>
      </c>
      <c r="BE7" s="84" t="str">
        <f>REPLACE(INDEX(GroupVertices[Group],MATCH(Edges[[#This Row],[Vertex 2]],GroupVertices[Vertex],0)),1,1,"")</f>
        <v>1</v>
      </c>
    </row>
    <row r="8" spans="1:57" ht="45">
      <c r="A8" s="83" t="s">
        <v>214</v>
      </c>
      <c r="B8" s="83" t="s">
        <v>214</v>
      </c>
      <c r="C8" s="53" t="s">
        <v>327</v>
      </c>
      <c r="D8" s="54">
        <v>3</v>
      </c>
      <c r="E8" s="66" t="s">
        <v>136</v>
      </c>
      <c r="F8" s="55">
        <v>35</v>
      </c>
      <c r="G8" s="53"/>
      <c r="H8" s="57"/>
      <c r="I8" s="56"/>
      <c r="J8" s="56"/>
      <c r="K8" s="35" t="s">
        <v>65</v>
      </c>
      <c r="L8" s="82">
        <v>8</v>
      </c>
      <c r="M8" s="82"/>
      <c r="N8" s="63"/>
      <c r="O8" s="85" t="s">
        <v>176</v>
      </c>
      <c r="P8" s="87">
        <v>44077.663506944446</v>
      </c>
      <c r="Q8" s="85" t="s">
        <v>219</v>
      </c>
      <c r="R8" s="88" t="str">
        <f>HYPERLINK("https://www.prnewswire.com/news-releases/cision-launches-the-2020-state-of-the-election-a-new-series-analyzing-media-coverage-of-the-us-presidential-election-301123147.html")</f>
        <v>https://www.prnewswire.com/news-releases/cision-launches-the-2020-state-of-the-election-a-new-series-analyzing-media-coverage-of-the-us-presidential-election-301123147.html</v>
      </c>
      <c r="S8" s="85" t="s">
        <v>225</v>
      </c>
      <c r="T8" s="85" t="s">
        <v>227</v>
      </c>
      <c r="U8" s="85"/>
      <c r="V8" s="88" t="str">
        <f>HYPERLINK("http://pbs.twimg.com/profile_images/919346511/0017_KP_normal.jpg")</f>
        <v>http://pbs.twimg.com/profile_images/919346511/0017_KP_normal.jpg</v>
      </c>
      <c r="W8" s="87">
        <v>44077.663506944446</v>
      </c>
      <c r="X8" s="91">
        <v>44077</v>
      </c>
      <c r="Y8" s="93" t="s">
        <v>236</v>
      </c>
      <c r="Z8" s="88" t="str">
        <f>HYPERLINK("https://twitter.com/#!/queenofmetrics/status/1301549375894814724")</f>
        <v>https://twitter.com/#!/queenofmetrics/status/1301549375894814724</v>
      </c>
      <c r="AA8" s="85"/>
      <c r="AB8" s="85"/>
      <c r="AC8" s="93" t="s">
        <v>243</v>
      </c>
      <c r="AD8" s="85"/>
      <c r="AE8" s="85" t="b">
        <v>0</v>
      </c>
      <c r="AF8" s="85">
        <v>2</v>
      </c>
      <c r="AG8" s="93" t="s">
        <v>246</v>
      </c>
      <c r="AH8" s="85" t="b">
        <v>0</v>
      </c>
      <c r="AI8" s="85" t="s">
        <v>247</v>
      </c>
      <c r="AJ8" s="85"/>
      <c r="AK8" s="93" t="s">
        <v>246</v>
      </c>
      <c r="AL8" s="85" t="b">
        <v>0</v>
      </c>
      <c r="AM8" s="85">
        <v>0</v>
      </c>
      <c r="AN8" s="93" t="s">
        <v>246</v>
      </c>
      <c r="AO8" s="85" t="s">
        <v>249</v>
      </c>
      <c r="AP8" s="85" t="b">
        <v>0</v>
      </c>
      <c r="AQ8" s="93" t="s">
        <v>243</v>
      </c>
      <c r="AR8" s="85" t="s">
        <v>176</v>
      </c>
      <c r="AS8" s="85">
        <v>0</v>
      </c>
      <c r="AT8" s="85">
        <v>0</v>
      </c>
      <c r="AU8" s="85"/>
      <c r="AV8" s="85"/>
      <c r="AW8" s="85"/>
      <c r="AX8" s="85"/>
      <c r="AY8" s="85"/>
      <c r="AZ8" s="85"/>
      <c r="BA8" s="85"/>
      <c r="BB8" s="85"/>
      <c r="BC8">
        <v>7</v>
      </c>
      <c r="BD8" s="84" t="str">
        <f>REPLACE(INDEX(GroupVertices[Group],MATCH(Edges[[#This Row],[Vertex 1]],GroupVertices[Vertex],0)),1,1,"")</f>
        <v>1</v>
      </c>
      <c r="BE8" s="84" t="str">
        <f>REPLACE(INDEX(GroupVertices[Group],MATCH(Edges[[#This Row],[Vertex 2]],GroupVertices[Vertex],0)),1,1,"")</f>
        <v>1</v>
      </c>
    </row>
    <row r="9" spans="1:57" ht="45">
      <c r="A9" s="83" t="s">
        <v>214</v>
      </c>
      <c r="B9" s="83" t="s">
        <v>214</v>
      </c>
      <c r="C9" s="53" t="s">
        <v>327</v>
      </c>
      <c r="D9" s="54">
        <v>3</v>
      </c>
      <c r="E9" s="66" t="s">
        <v>136</v>
      </c>
      <c r="F9" s="55">
        <v>35</v>
      </c>
      <c r="G9" s="53"/>
      <c r="H9" s="57"/>
      <c r="I9" s="56"/>
      <c r="J9" s="56"/>
      <c r="K9" s="35" t="s">
        <v>65</v>
      </c>
      <c r="L9" s="82">
        <v>9</v>
      </c>
      <c r="M9" s="82"/>
      <c r="N9" s="63"/>
      <c r="O9" s="85" t="s">
        <v>176</v>
      </c>
      <c r="P9" s="87">
        <v>44077.67365740741</v>
      </c>
      <c r="Q9" s="85" t="s">
        <v>220</v>
      </c>
      <c r="R9" s="88" t="str">
        <f>HYPERLINK("http://painepublishing.com/measurementadvisor/re-imagining-the-skill-set-of-a-professional-communicator/")</f>
        <v>http://painepublishing.com/measurementadvisor/re-imagining-the-skill-set-of-a-professional-communicator/</v>
      </c>
      <c r="S9" s="85" t="s">
        <v>223</v>
      </c>
      <c r="T9" s="85" t="s">
        <v>230</v>
      </c>
      <c r="U9" s="88" t="str">
        <f>HYPERLINK("https://pbs.twimg.com/media/EhALmxTXYAIYSk7.jpg")</f>
        <v>https://pbs.twimg.com/media/EhALmxTXYAIYSk7.jpg</v>
      </c>
      <c r="V9" s="88" t="str">
        <f>HYPERLINK("https://pbs.twimg.com/media/EhALmxTXYAIYSk7.jpg")</f>
        <v>https://pbs.twimg.com/media/EhALmxTXYAIYSk7.jpg</v>
      </c>
      <c r="W9" s="87">
        <v>44077.67365740741</v>
      </c>
      <c r="X9" s="91">
        <v>44077</v>
      </c>
      <c r="Y9" s="93" t="s">
        <v>237</v>
      </c>
      <c r="Z9" s="88" t="str">
        <f>HYPERLINK("https://twitter.com/#!/queenofmetrics/status/1301553054492299269")</f>
        <v>https://twitter.com/#!/queenofmetrics/status/1301553054492299269</v>
      </c>
      <c r="AA9" s="85"/>
      <c r="AB9" s="85"/>
      <c r="AC9" s="93" t="s">
        <v>244</v>
      </c>
      <c r="AD9" s="85"/>
      <c r="AE9" s="85" t="b">
        <v>0</v>
      </c>
      <c r="AF9" s="85">
        <v>0</v>
      </c>
      <c r="AG9" s="93" t="s">
        <v>246</v>
      </c>
      <c r="AH9" s="85" t="b">
        <v>0</v>
      </c>
      <c r="AI9" s="85" t="s">
        <v>247</v>
      </c>
      <c r="AJ9" s="85"/>
      <c r="AK9" s="93" t="s">
        <v>246</v>
      </c>
      <c r="AL9" s="85" t="b">
        <v>0</v>
      </c>
      <c r="AM9" s="85">
        <v>0</v>
      </c>
      <c r="AN9" s="93" t="s">
        <v>246</v>
      </c>
      <c r="AO9" s="85" t="s">
        <v>249</v>
      </c>
      <c r="AP9" s="85" t="b">
        <v>0</v>
      </c>
      <c r="AQ9" s="93" t="s">
        <v>244</v>
      </c>
      <c r="AR9" s="85" t="s">
        <v>176</v>
      </c>
      <c r="AS9" s="85">
        <v>0</v>
      </c>
      <c r="AT9" s="85">
        <v>0</v>
      </c>
      <c r="AU9" s="85"/>
      <c r="AV9" s="85"/>
      <c r="AW9" s="85"/>
      <c r="AX9" s="85"/>
      <c r="AY9" s="85"/>
      <c r="AZ9" s="85"/>
      <c r="BA9" s="85"/>
      <c r="BB9" s="85"/>
      <c r="BC9">
        <v>7</v>
      </c>
      <c r="BD9" s="84" t="str">
        <f>REPLACE(INDEX(GroupVertices[Group],MATCH(Edges[[#This Row],[Vertex 1]],GroupVertices[Vertex],0)),1,1,"")</f>
        <v>1</v>
      </c>
      <c r="BE9" s="84" t="str">
        <f>REPLACE(INDEX(GroupVertices[Group],MATCH(Edges[[#This Row],[Vertex 2]],GroupVertices[Vertex],0)),1,1,"")</f>
        <v>1</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9"/>
    <dataValidation allowBlank="1" showErrorMessage="1" sqref="N2:N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9"/>
    <dataValidation allowBlank="1" showInputMessage="1" promptTitle="Edge Color" prompt="To select an optional edge color, right-click and select Select Color on the right-click menu." sqref="C3:C9"/>
    <dataValidation allowBlank="1" showInputMessage="1" promptTitle="Edge Width" prompt="Enter an optional edge width between 1 and 10." errorTitle="Invalid Edge Width" error="The optional edge width must be a whole number between 1 and 10." sqref="D3:D9"/>
    <dataValidation allowBlank="1" showInputMessage="1" promptTitle="Edge Opacity" prompt="Enter an optional edge opacity between 0 (transparent) and 100 (opaque)." errorTitle="Invalid Edge Opacity" error="The optional edge opacity must be a whole number between 0 and 10." sqref="F3:F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9">
      <formula1>ValidEdgeVisibilities</formula1>
    </dataValidation>
    <dataValidation allowBlank="1" showInputMessage="1" showErrorMessage="1" promptTitle="Vertex 1 Name" prompt="Enter the name of the edge's first vertex." sqref="A3:A9"/>
    <dataValidation allowBlank="1" showInputMessage="1" showErrorMessage="1" promptTitle="Vertex 2 Name" prompt="Enter the name of the edge's second vertex." sqref="B3:B9"/>
    <dataValidation allowBlank="1" showInputMessage="1" showErrorMessage="1" promptTitle="Edge Label" prompt="Enter an optional edge label." errorTitle="Invalid Edge Visibility" error="You have entered an unrecognized edge visibility.  Try selecting from the drop-down list instead." sqref="H3:H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9"/>
  </dataValidations>
  <printOptions/>
  <pageMargins left="0.7" right="0.7" top="0.75" bottom="0.75" header="0.3" footer="0.3"/>
  <pageSetup horizontalDpi="600" verticalDpi="600" orientation="portrait" r:id="rId4"/>
  <legacyDrawing r:id="rId2"/>
  <tableParts>
    <tablePart r:id="rId3"/>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C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55"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250</v>
      </c>
      <c r="AE2" s="13" t="s">
        <v>251</v>
      </c>
      <c r="AF2" s="13" t="s">
        <v>252</v>
      </c>
      <c r="AG2" s="13" t="s">
        <v>253</v>
      </c>
      <c r="AH2" s="13" t="s">
        <v>254</v>
      </c>
      <c r="AI2" s="13" t="s">
        <v>255</v>
      </c>
      <c r="AJ2" s="13" t="s">
        <v>256</v>
      </c>
      <c r="AK2" s="13" t="s">
        <v>257</v>
      </c>
      <c r="AL2" s="13" t="s">
        <v>258</v>
      </c>
      <c r="AM2" s="13" t="s">
        <v>259</v>
      </c>
      <c r="AN2" s="13" t="s">
        <v>260</v>
      </c>
      <c r="AO2" s="13" t="s">
        <v>261</v>
      </c>
      <c r="AP2" s="13" t="s">
        <v>262</v>
      </c>
      <c r="AQ2" s="13" t="s">
        <v>263</v>
      </c>
      <c r="AR2" s="13" t="s">
        <v>264</v>
      </c>
      <c r="AS2" s="13" t="s">
        <v>265</v>
      </c>
      <c r="AT2" s="13" t="s">
        <v>194</v>
      </c>
      <c r="AU2" s="13" t="s">
        <v>266</v>
      </c>
      <c r="AV2" s="13" t="s">
        <v>267</v>
      </c>
      <c r="AW2" s="13" t="s">
        <v>268</v>
      </c>
      <c r="AX2" s="13" t="s">
        <v>269</v>
      </c>
      <c r="AY2" s="13" t="s">
        <v>270</v>
      </c>
      <c r="AZ2" s="13" t="s">
        <v>271</v>
      </c>
      <c r="BA2" s="13" t="s">
        <v>318</v>
      </c>
      <c r="BB2" s="3"/>
      <c r="BC2" s="3"/>
    </row>
    <row r="3" spans="1:55" ht="15" customHeight="1">
      <c r="A3" s="49" t="s">
        <v>214</v>
      </c>
      <c r="B3" s="53"/>
      <c r="C3" s="53"/>
      <c r="D3" s="54"/>
      <c r="E3" s="55"/>
      <c r="F3" s="94" t="str">
        <f>HYPERLINK("http://pbs.twimg.com/profile_images/919346511/0017_KP_normal.jpg")</f>
        <v>http://pbs.twimg.com/profile_images/919346511/0017_KP_normal.jpg</v>
      </c>
      <c r="G3" s="53"/>
      <c r="H3" s="57" t="s">
        <v>214</v>
      </c>
      <c r="I3" s="56"/>
      <c r="J3" s="56"/>
      <c r="K3" s="95" t="s">
        <v>277</v>
      </c>
      <c r="L3" s="59"/>
      <c r="M3" s="60">
        <v>4999.5</v>
      </c>
      <c r="N3" s="60">
        <v>4999.5</v>
      </c>
      <c r="O3" s="58"/>
      <c r="P3" s="61"/>
      <c r="Q3" s="61"/>
      <c r="R3" s="50"/>
      <c r="S3" s="50"/>
      <c r="T3" s="50"/>
      <c r="U3" s="50"/>
      <c r="V3" s="51"/>
      <c r="W3" s="51"/>
      <c r="X3" s="52"/>
      <c r="Y3" s="51"/>
      <c r="Z3" s="51"/>
      <c r="AA3" s="62">
        <v>3</v>
      </c>
      <c r="AB3" s="62"/>
      <c r="AC3" s="63"/>
      <c r="AD3" s="84" t="s">
        <v>272</v>
      </c>
      <c r="AE3" s="92" t="s">
        <v>273</v>
      </c>
      <c r="AF3" s="84">
        <v>3736</v>
      </c>
      <c r="AG3" s="84">
        <v>16833</v>
      </c>
      <c r="AH3" s="84">
        <v>31563</v>
      </c>
      <c r="AI3" s="84">
        <v>8974</v>
      </c>
      <c r="AJ3" s="84"/>
      <c r="AK3" s="84" t="s">
        <v>274</v>
      </c>
      <c r="AL3" s="84" t="s">
        <v>275</v>
      </c>
      <c r="AM3" s="89" t="str">
        <f>HYPERLINK("http://t.co/SuH7Zf8DUN")</f>
        <v>http://t.co/SuH7Zf8DUN</v>
      </c>
      <c r="AN3" s="84"/>
      <c r="AO3" s="86">
        <v>39156.08204861111</v>
      </c>
      <c r="AP3" s="84"/>
      <c r="AQ3" s="84" t="b">
        <v>0</v>
      </c>
      <c r="AR3" s="84" t="b">
        <v>0</v>
      </c>
      <c r="AS3" s="84" t="b">
        <v>1</v>
      </c>
      <c r="AT3" s="84"/>
      <c r="AU3" s="84">
        <v>1807</v>
      </c>
      <c r="AV3" s="89" t="str">
        <f>HYPERLINK("http://abs.twimg.com/images/themes/theme1/bg.png")</f>
        <v>http://abs.twimg.com/images/themes/theme1/bg.png</v>
      </c>
      <c r="AW3" s="84" t="b">
        <v>0</v>
      </c>
      <c r="AX3" s="84" t="s">
        <v>276</v>
      </c>
      <c r="AY3" s="89" t="str">
        <f>HYPERLINK("https://twitter.com/queenofmetrics")</f>
        <v>https://twitter.com/queenofmetrics</v>
      </c>
      <c r="AZ3" s="84" t="s">
        <v>66</v>
      </c>
      <c r="BA3" s="84" t="str">
        <f>REPLACE(INDEX(GroupVertices[Group],MATCH(Vertices[[#This Row],[Vertex]],GroupVertices[Vertex],0)),1,1,"")</f>
        <v>1</v>
      </c>
      <c r="BB3" s="3"/>
      <c r="BC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
    <dataValidation allowBlank="1" errorTitle="Invalid Vertex Visibility" error="You have entered an unrecognized vertex visibility.  Try selecting from the drop-down list instead." sqref="BB3"/>
    <dataValidation allowBlank="1" showErrorMessage="1" sqref="BB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
    <dataValidation allowBlank="1" showInputMessage="1" promptTitle="Vertex Tooltip" prompt="Enter optional text that will pop up when the mouse is hovered over the vertex." errorTitle="Invalid Vertex Image Key" sqref="K3"/>
    <dataValidation allowBlank="1" promptTitle="Vertex ID" prompt="This is a unique ID that gets filled in automatically.  Do not edit this column." errorTitle="Invalid Vertex Visibility" error="You have entered an unrecognized vertex visibility.  Try selecting from the drop-down list instead." sqref="AB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
    <dataValidation allowBlank="1" showInputMessage="1" promptTitle="Vertex Label Fill Color" prompt="To select an optional fill color for the Label shape, right-click and select Select Color on the right-click menu." sqref="I3"/>
    <dataValidation allowBlank="1" showInputMessage="1" promptTitle="Vertex Image File" prompt="Enter the path to an image file.  Hover over the column header for examples." errorTitle="Invalid Vertex Image Key" sqref="F3"/>
    <dataValidation allowBlank="1" showInputMessage="1" promptTitle="Vertex Color" prompt="To select an optional vertex color, right-click and select Select Color on the right-click menu." sqref="B3"/>
    <dataValidation allowBlank="1" showInputMessage="1" promptTitle="Vertex Opacity" prompt="Enter an optional vertex opacity between 0 (transparent) and 100 (opaque)." errorTitle="Invalid Vertex Opacity" error="The optional vertex opacity must be a whole number between 0 and 10." sqref="E3"/>
    <dataValidation type="list" allowBlank="1" showInputMessage="1" showErrorMessage="1" promptTitle="Vertex Shape" prompt="Select an optional vertex shape." errorTitle="Invalid Vertex Shape" error="You have entered an invalid vertex shape.  Try selecting from the drop-down list instead." sqref="C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
      <formula1>ValidVertexLabelPositions</formula1>
    </dataValidation>
    <dataValidation allowBlank="1" showInputMessage="1" showErrorMessage="1" promptTitle="Vertex Name" prompt="Enter the name of the vertex." sqref="A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customWidth="1"/>
    <col min="3" max="3" width="15.00390625" style="0" customWidth="1"/>
    <col min="4" max="4" width="11.140625" style="0" customWidth="1"/>
    <col min="5" max="5" width="13.00390625" style="0" customWidth="1"/>
    <col min="6" max="6" width="8.00390625" style="0" customWidth="1"/>
    <col min="7" max="8" width="13.57421875" style="0" customWidth="1"/>
    <col min="9" max="9" width="11.00390625" style="0" customWidth="1"/>
    <col min="10" max="10" width="12.57421875" style="0"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s>
  <sheetData>
    <row r="1" spans="2:24" ht="15">
      <c r="B1" s="68" t="s">
        <v>39</v>
      </c>
      <c r="C1" s="69"/>
      <c r="D1" s="69"/>
      <c r="E1" s="70"/>
      <c r="F1" s="67" t="s">
        <v>43</v>
      </c>
      <c r="G1" s="71" t="s">
        <v>44</v>
      </c>
      <c r="H1" s="72"/>
      <c r="I1" s="73" t="s">
        <v>40</v>
      </c>
      <c r="J1" s="74"/>
      <c r="K1" s="75" t="s">
        <v>42</v>
      </c>
      <c r="L1" s="76"/>
      <c r="M1" s="76"/>
      <c r="N1" s="76"/>
      <c r="O1" s="76"/>
      <c r="P1" s="76"/>
      <c r="Q1" s="76"/>
      <c r="R1" s="76"/>
      <c r="S1" s="76"/>
      <c r="T1" s="76"/>
      <c r="U1" s="76"/>
      <c r="V1" s="76"/>
      <c r="W1" s="76"/>
      <c r="X1" s="76"/>
    </row>
    <row r="2" spans="1:25"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322</v>
      </c>
    </row>
    <row r="3" spans="1:25" ht="15">
      <c r="A3" s="83" t="s">
        <v>316</v>
      </c>
      <c r="B3" s="96" t="s">
        <v>317</v>
      </c>
      <c r="C3" s="96" t="s">
        <v>56</v>
      </c>
      <c r="D3" s="14"/>
      <c r="E3" s="14"/>
      <c r="F3" s="15" t="s">
        <v>316</v>
      </c>
      <c r="G3" s="77"/>
      <c r="H3" s="77"/>
      <c r="I3" s="64">
        <v>3</v>
      </c>
      <c r="J3" s="64"/>
      <c r="K3" s="50">
        <v>1</v>
      </c>
      <c r="L3" s="50">
        <v>0</v>
      </c>
      <c r="M3" s="50">
        <v>7</v>
      </c>
      <c r="N3" s="50">
        <v>7</v>
      </c>
      <c r="O3" s="50">
        <v>7</v>
      </c>
      <c r="P3" s="51" t="s">
        <v>321</v>
      </c>
      <c r="Q3" s="51" t="s">
        <v>321</v>
      </c>
      <c r="R3" s="50">
        <v>1</v>
      </c>
      <c r="S3" s="50">
        <v>1</v>
      </c>
      <c r="T3" s="50">
        <v>1</v>
      </c>
      <c r="U3" s="50">
        <v>7</v>
      </c>
      <c r="V3" s="50">
        <v>0</v>
      </c>
      <c r="W3" s="51">
        <v>0</v>
      </c>
      <c r="X3" s="51" t="s">
        <v>321</v>
      </c>
      <c r="Y3" s="84" t="s">
        <v>323</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4" t="s">
        <v>316</v>
      </c>
      <c r="B2" s="92" t="s">
        <v>214</v>
      </c>
      <c r="C2" s="84">
        <f>VLOOKUP(GroupVertices[[#This Row],[Vertex]],Vertices[],MATCH("ID",Vertices[[#Headers],[Vertex]:[Vertex Group]],0),FALSE)</f>
        <v>3</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c r="B2" s="35"/>
      <c r="D2" s="32">
        <f>MIN(Vertices[Degree])</f>
        <v>0</v>
      </c>
      <c r="E2" s="3">
        <f>COUNTIF(Vertices[Degree],"&gt;= "&amp;D2)-COUNTIF(Vertices[Degree],"&gt;="&amp;D3)</f>
        <v>0</v>
      </c>
      <c r="F2" s="38">
        <f>MIN(Vertices[In-Degree])</f>
        <v>0</v>
      </c>
      <c r="G2" s="39">
        <f>COUNTIF(Vertices[In-Degree],"&gt;= "&amp;F2)-COUNTIF(Vertices[In-Degree],"&gt;="&amp;F3)</f>
        <v>0</v>
      </c>
      <c r="H2" s="38">
        <f>MIN(Vertices[Out-Degree])</f>
        <v>0</v>
      </c>
      <c r="I2" s="39">
        <f>COUNTIF(Vertices[Out-Degree],"&gt;= "&amp;H2)-COUNTIF(Vertices[Out-Degree],"&gt;="&amp;H3)</f>
        <v>0</v>
      </c>
      <c r="J2" s="38">
        <f>MIN(Vertices[Betweenness Centrality])</f>
        <v>0</v>
      </c>
      <c r="K2" s="39">
        <f>COUNTIF(Vertices[Betweenness Centrality],"&gt;= "&amp;J2)-COUNTIF(Vertices[Betweenness Centrality],"&gt;="&amp;J3)</f>
        <v>0</v>
      </c>
      <c r="L2" s="38">
        <f>MIN(Vertices[Closeness Centrality])</f>
        <v>0</v>
      </c>
      <c r="M2" s="39">
        <f>COUNTIF(Vertices[Closeness Centrality],"&gt;= "&amp;L2)-COUNTIF(Vertices[Closeness Centrality],"&gt;="&amp;L3)</f>
        <v>0</v>
      </c>
      <c r="N2" s="38">
        <f>MIN(Vertices[Eigenvector Centrality])</f>
        <v>0</v>
      </c>
      <c r="O2" s="39">
        <f>COUNTIF(Vertices[Eigenvector Centrality],"&gt;= "&amp;N2)-COUNTIF(Vertices[Eigenvector Centrality],"&gt;="&amp;N3)</f>
        <v>0</v>
      </c>
      <c r="P2" s="38">
        <f>MIN(Vertices[PageRank])</f>
        <v>0</v>
      </c>
      <c r="Q2" s="39">
        <f>COUNTIF(Vertices[PageRank],"&gt;= "&amp;P2)-COUNTIF(Vertices[PageRank],"&gt;="&amp;P3)</f>
        <v>0</v>
      </c>
      <c r="R2" s="38">
        <f>MIN(Vertices[Clustering Coefficient])</f>
        <v>0</v>
      </c>
      <c r="S2" s="44">
        <f>COUNTIF(Vertices[Clustering Coefficient],"&gt;= "&amp;R2)-COUNTIF(Vertices[Clustering Coefficient],"&gt;="&amp;R3)</f>
        <v>0</v>
      </c>
      <c r="T2" s="38" t="e">
        <f ca="1">MIN(INDIRECT(DynamicFilterSourceColumnRange))</f>
        <v>#REF!</v>
      </c>
      <c r="U2" s="39" t="e">
        <f aca="true" t="shared" si="0" ref="U2:U48">COUNTIF(INDIRECT(DynamicFilterSourceColumnRange),"&gt;= "&amp;T2)-COUNTIF(INDIRECT(DynamicFilterSourceColumnRange),"&gt;="&amp;T3)</f>
        <v>#REF!</v>
      </c>
      <c r="W2" t="s">
        <v>124</v>
      </c>
      <c r="X2">
        <f>ROWS(HistogramBins[Degree Bin])-1</f>
        <v>48</v>
      </c>
    </row>
    <row r="3" spans="1:24" ht="15">
      <c r="A3" s="35"/>
      <c r="B3" s="35"/>
      <c r="D3" s="33">
        <f aca="true" t="shared" si="1" ref="D3:D26">D2+($D$50-$D$2)/BinDivisor</f>
        <v>0</v>
      </c>
      <c r="E3" s="3">
        <f>COUNTIF(Vertices[Degree],"&gt;= "&amp;D3)-COUNTIF(Vertices[Degree],"&gt;="&amp;D4)</f>
        <v>0</v>
      </c>
      <c r="F3" s="40">
        <f aca="true" t="shared" si="2" ref="F3:F26">F2+($F$50-$F$2)/BinDivisor</f>
        <v>0</v>
      </c>
      <c r="G3" s="41">
        <f>COUNTIF(Vertices[In-Degree],"&gt;= "&amp;F3)-COUNTIF(Vertices[In-Degree],"&gt;="&amp;F4)</f>
        <v>0</v>
      </c>
      <c r="H3" s="40">
        <f aca="true" t="shared" si="3" ref="H3:H26">H2+($H$50-$H$2)/BinDivisor</f>
        <v>0</v>
      </c>
      <c r="I3" s="41">
        <f>COUNTIF(Vertices[Out-Degree],"&gt;= "&amp;H3)-COUNTIF(Vertices[Out-Degree],"&gt;="&amp;H4)</f>
        <v>0</v>
      </c>
      <c r="J3" s="40">
        <f aca="true" t="shared" si="4" ref="J3:J26">J2+($J$50-$J$2)/BinDivisor</f>
        <v>0</v>
      </c>
      <c r="K3" s="41">
        <f>COUNTIF(Vertices[Betweenness Centrality],"&gt;= "&amp;J3)-COUNTIF(Vertices[Betweenness Centrality],"&gt;="&amp;J4)</f>
        <v>0</v>
      </c>
      <c r="L3" s="40">
        <f aca="true" t="shared" si="5" ref="L3:L26">L2+($L$50-$L$2)/BinDivisor</f>
        <v>0</v>
      </c>
      <c r="M3" s="41">
        <f>COUNTIF(Vertices[Closeness Centrality],"&gt;= "&amp;L3)-COUNTIF(Vertices[Closeness Centrality],"&gt;="&amp;L4)</f>
        <v>0</v>
      </c>
      <c r="N3" s="40">
        <f aca="true" t="shared" si="6" ref="N3:N26">N2+($N$50-$N$2)/BinDivisor</f>
        <v>0</v>
      </c>
      <c r="O3" s="41">
        <f>COUNTIF(Vertices[Eigenvector Centrality],"&gt;= "&amp;N3)-COUNTIF(Vertices[Eigenvector Centrality],"&gt;="&amp;N4)</f>
        <v>0</v>
      </c>
      <c r="P3" s="40">
        <f aca="true" t="shared" si="7" ref="P3:P26">P2+($P$50-$P$2)/BinDivisor</f>
        <v>0</v>
      </c>
      <c r="Q3" s="41">
        <f>COUNTIF(Vertices[PageRank],"&gt;= "&amp;P3)-COUNTIF(Vertices[PageRank],"&gt;="&amp;P4)</f>
        <v>0</v>
      </c>
      <c r="R3" s="40">
        <f aca="true" t="shared" si="8" ref="R3:R26">R2+($R$50-$R$2)/BinDivisor</f>
        <v>0</v>
      </c>
      <c r="S3" s="45">
        <f>COUNTIF(Vertices[Clustering Coefficient],"&gt;= "&amp;R3)-COUNTIF(Vertices[Clustering Coefficient],"&gt;="&amp;R4)</f>
        <v>0</v>
      </c>
      <c r="T3" s="40" t="e">
        <f aca="true" t="shared" si="9" ref="T3:T26">T2+($T$50-$T$2)/BinDivisor</f>
        <v>#REF!</v>
      </c>
      <c r="U3" s="41" t="e">
        <f ca="1" t="shared" si="0"/>
        <v>#REF!</v>
      </c>
      <c r="W3" t="s">
        <v>125</v>
      </c>
      <c r="X3" t="s">
        <v>85</v>
      </c>
    </row>
    <row r="4" spans="1:24" ht="15">
      <c r="A4" s="35"/>
      <c r="B4" s="35"/>
      <c r="D4" s="33">
        <f t="shared" si="1"/>
        <v>0</v>
      </c>
      <c r="E4" s="3">
        <f>COUNTIF(Vertices[Degree],"&gt;= "&amp;D4)-COUNTIF(Vertices[Degree],"&gt;="&amp;D5)</f>
        <v>0</v>
      </c>
      <c r="F4" s="38">
        <f t="shared" si="2"/>
        <v>0</v>
      </c>
      <c r="G4" s="39">
        <f>COUNTIF(Vertices[In-Degree],"&gt;= "&amp;F4)-COUNTIF(Vertices[In-Degree],"&gt;="&amp;F5)</f>
        <v>0</v>
      </c>
      <c r="H4" s="38">
        <f t="shared" si="3"/>
        <v>0</v>
      </c>
      <c r="I4" s="39">
        <f>COUNTIF(Vertices[Out-Degree],"&gt;= "&amp;H4)-COUNTIF(Vertices[Out-Degree],"&gt;="&amp;H5)</f>
        <v>0</v>
      </c>
      <c r="J4" s="38">
        <f t="shared" si="4"/>
        <v>0</v>
      </c>
      <c r="K4" s="39">
        <f>COUNTIF(Vertices[Betweenness Centrality],"&gt;= "&amp;J4)-COUNTIF(Vertices[Betweenness Centrality],"&gt;="&amp;J5)</f>
        <v>0</v>
      </c>
      <c r="L4" s="38">
        <f t="shared" si="5"/>
        <v>0</v>
      </c>
      <c r="M4" s="39">
        <f>COUNTIF(Vertices[Closeness Centrality],"&gt;= "&amp;L4)-COUNTIF(Vertices[Closeness Centrality],"&gt;="&amp;L5)</f>
        <v>0</v>
      </c>
      <c r="N4" s="38">
        <f t="shared" si="6"/>
        <v>0</v>
      </c>
      <c r="O4" s="39">
        <f>COUNTIF(Vertices[Eigenvector Centrality],"&gt;= "&amp;N4)-COUNTIF(Vertices[Eigenvector Centrality],"&gt;="&amp;N5)</f>
        <v>0</v>
      </c>
      <c r="P4" s="38">
        <f t="shared" si="7"/>
        <v>0</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35"/>
      <c r="B5" s="35"/>
      <c r="D5" s="33">
        <f t="shared" si="1"/>
        <v>0</v>
      </c>
      <c r="E5" s="3">
        <f>COUNTIF(Vertices[Degree],"&gt;= "&amp;D5)-COUNTIF(Vertices[Degree],"&gt;="&amp;D6)</f>
        <v>0</v>
      </c>
      <c r="F5" s="40">
        <f t="shared" si="2"/>
        <v>0</v>
      </c>
      <c r="G5" s="41">
        <f>COUNTIF(Vertices[In-Degree],"&gt;= "&amp;F5)-COUNTIF(Vertices[In-Degree],"&gt;="&amp;F6)</f>
        <v>0</v>
      </c>
      <c r="H5" s="40">
        <f t="shared" si="3"/>
        <v>0</v>
      </c>
      <c r="I5" s="41">
        <f>COUNTIF(Vertices[Out-Degree],"&gt;= "&amp;H5)-COUNTIF(Vertices[Out-Degree],"&gt;="&amp;H6)</f>
        <v>0</v>
      </c>
      <c r="J5" s="40">
        <f t="shared" si="4"/>
        <v>0</v>
      </c>
      <c r="K5" s="41">
        <f>COUNTIF(Vertices[Betweenness Centrality],"&gt;= "&amp;J5)-COUNTIF(Vertices[Betweenness Centrality],"&gt;="&amp;J6)</f>
        <v>0</v>
      </c>
      <c r="L5" s="40">
        <f t="shared" si="5"/>
        <v>0</v>
      </c>
      <c r="M5" s="41">
        <f>COUNTIF(Vertices[Closeness Centrality],"&gt;= "&amp;L5)-COUNTIF(Vertices[Closeness Centrality],"&gt;="&amp;L6)</f>
        <v>0</v>
      </c>
      <c r="N5" s="40">
        <f t="shared" si="6"/>
        <v>0</v>
      </c>
      <c r="O5" s="41">
        <f>COUNTIF(Vertices[Eigenvector Centrality],"&gt;= "&amp;N5)-COUNTIF(Vertices[Eigenvector Centrality],"&gt;="&amp;N6)</f>
        <v>0</v>
      </c>
      <c r="P5" s="40">
        <f t="shared" si="7"/>
        <v>0</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c r="B6" s="35"/>
      <c r="D6" s="33">
        <f t="shared" si="1"/>
        <v>0</v>
      </c>
      <c r="E6" s="3">
        <f>COUNTIF(Vertices[Degree],"&gt;= "&amp;D6)-COUNTIF(Vertices[Degree],"&gt;="&amp;D7)</f>
        <v>0</v>
      </c>
      <c r="F6" s="38">
        <f t="shared" si="2"/>
        <v>0</v>
      </c>
      <c r="G6" s="39">
        <f>COUNTIF(Vertices[In-Degree],"&gt;= "&amp;F6)-COUNTIF(Vertices[In-Degree],"&gt;="&amp;F7)</f>
        <v>0</v>
      </c>
      <c r="H6" s="38">
        <f t="shared" si="3"/>
        <v>0</v>
      </c>
      <c r="I6" s="39">
        <f>COUNTIF(Vertices[Out-Degree],"&gt;= "&amp;H6)-COUNTIF(Vertices[Out-Degree],"&gt;="&amp;H7)</f>
        <v>0</v>
      </c>
      <c r="J6" s="38">
        <f t="shared" si="4"/>
        <v>0</v>
      </c>
      <c r="K6" s="39">
        <f>COUNTIF(Vertices[Betweenness Centrality],"&gt;= "&amp;J6)-COUNTIF(Vertices[Betweenness Centrality],"&gt;="&amp;J7)</f>
        <v>0</v>
      </c>
      <c r="L6" s="38">
        <f t="shared" si="5"/>
        <v>0</v>
      </c>
      <c r="M6" s="39">
        <f>COUNTIF(Vertices[Closeness Centrality],"&gt;= "&amp;L6)-COUNTIF(Vertices[Closeness Centrality],"&gt;="&amp;L7)</f>
        <v>0</v>
      </c>
      <c r="N6" s="38">
        <f t="shared" si="6"/>
        <v>0</v>
      </c>
      <c r="O6" s="39">
        <f>COUNTIF(Vertices[Eigenvector Centrality],"&gt;= "&amp;N6)-COUNTIF(Vertices[Eigenvector Centrality],"&gt;="&amp;N7)</f>
        <v>0</v>
      </c>
      <c r="P6" s="38">
        <f t="shared" si="7"/>
        <v>0</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c r="B7" s="35"/>
      <c r="D7" s="33">
        <f t="shared" si="1"/>
        <v>0</v>
      </c>
      <c r="E7" s="3">
        <f>COUNTIF(Vertices[Degree],"&gt;= "&amp;D7)-COUNTIF(Vertices[Degree],"&gt;="&amp;D8)</f>
        <v>0</v>
      </c>
      <c r="F7" s="40">
        <f t="shared" si="2"/>
        <v>0</v>
      </c>
      <c r="G7" s="41">
        <f>COUNTIF(Vertices[In-Degree],"&gt;= "&amp;F7)-COUNTIF(Vertices[In-Degree],"&gt;="&amp;F8)</f>
        <v>0</v>
      </c>
      <c r="H7" s="40">
        <f t="shared" si="3"/>
        <v>0</v>
      </c>
      <c r="I7" s="41">
        <f>COUNTIF(Vertices[Out-Degree],"&gt;= "&amp;H7)-COUNTIF(Vertices[Out-Degree],"&gt;="&amp;H8)</f>
        <v>0</v>
      </c>
      <c r="J7" s="40">
        <f t="shared" si="4"/>
        <v>0</v>
      </c>
      <c r="K7" s="41">
        <f>COUNTIF(Vertices[Betweenness Centrality],"&gt;= "&amp;J7)-COUNTIF(Vertices[Betweenness Centrality],"&gt;="&amp;J8)</f>
        <v>0</v>
      </c>
      <c r="L7" s="40">
        <f t="shared" si="5"/>
        <v>0</v>
      </c>
      <c r="M7" s="41">
        <f>COUNTIF(Vertices[Closeness Centrality],"&gt;= "&amp;L7)-COUNTIF(Vertices[Closeness Centrality],"&gt;="&amp;L8)</f>
        <v>0</v>
      </c>
      <c r="N7" s="40">
        <f t="shared" si="6"/>
        <v>0</v>
      </c>
      <c r="O7" s="41">
        <f>COUNTIF(Vertices[Eigenvector Centrality],"&gt;= "&amp;N7)-COUNTIF(Vertices[Eigenvector Centrality],"&gt;="&amp;N8)</f>
        <v>0</v>
      </c>
      <c r="P7" s="40">
        <f t="shared" si="7"/>
        <v>0</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c r="B8" s="35"/>
      <c r="D8" s="33">
        <f t="shared" si="1"/>
        <v>0</v>
      </c>
      <c r="E8" s="3">
        <f>COUNTIF(Vertices[Degree],"&gt;= "&amp;D8)-COUNTIF(Vertices[Degree],"&gt;="&amp;D9)</f>
        <v>0</v>
      </c>
      <c r="F8" s="38">
        <f t="shared" si="2"/>
        <v>0</v>
      </c>
      <c r="G8" s="39">
        <f>COUNTIF(Vertices[In-Degree],"&gt;= "&amp;F8)-COUNTIF(Vertices[In-Degree],"&gt;="&amp;F9)</f>
        <v>0</v>
      </c>
      <c r="H8" s="38">
        <f t="shared" si="3"/>
        <v>0</v>
      </c>
      <c r="I8" s="39">
        <f>COUNTIF(Vertices[Out-Degree],"&gt;= "&amp;H8)-COUNTIF(Vertices[Out-Degree],"&gt;="&amp;H9)</f>
        <v>0</v>
      </c>
      <c r="J8" s="38">
        <f t="shared" si="4"/>
        <v>0</v>
      </c>
      <c r="K8" s="39">
        <f>COUNTIF(Vertices[Betweenness Centrality],"&gt;= "&amp;J8)-COUNTIF(Vertices[Betweenness Centrality],"&gt;="&amp;J9)</f>
        <v>0</v>
      </c>
      <c r="L8" s="38">
        <f t="shared" si="5"/>
        <v>0</v>
      </c>
      <c r="M8" s="39">
        <f>COUNTIF(Vertices[Closeness Centrality],"&gt;= "&amp;L8)-COUNTIF(Vertices[Closeness Centrality],"&gt;="&amp;L9)</f>
        <v>0</v>
      </c>
      <c r="N8" s="38">
        <f t="shared" si="6"/>
        <v>0</v>
      </c>
      <c r="O8" s="39">
        <f>COUNTIF(Vertices[Eigenvector Centrality],"&gt;= "&amp;N8)-COUNTIF(Vertices[Eigenvector Centrality],"&gt;="&amp;N9)</f>
        <v>0</v>
      </c>
      <c r="P8" s="38">
        <f t="shared" si="7"/>
        <v>0</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35"/>
      <c r="B9" s="35"/>
      <c r="D9" s="33">
        <f t="shared" si="1"/>
        <v>0</v>
      </c>
      <c r="E9" s="3">
        <f>COUNTIF(Vertices[Degree],"&gt;= "&amp;D9)-COUNTIF(Vertices[Degree],"&gt;="&amp;D10)</f>
        <v>0</v>
      </c>
      <c r="F9" s="40">
        <f t="shared" si="2"/>
        <v>0</v>
      </c>
      <c r="G9" s="41">
        <f>COUNTIF(Vertices[In-Degree],"&gt;= "&amp;F9)-COUNTIF(Vertices[In-Degree],"&gt;="&amp;F10)</f>
        <v>0</v>
      </c>
      <c r="H9" s="40">
        <f t="shared" si="3"/>
        <v>0</v>
      </c>
      <c r="I9" s="41">
        <f>COUNTIF(Vertices[Out-Degree],"&gt;= "&amp;H9)-COUNTIF(Vertices[Out-Degree],"&gt;="&amp;H10)</f>
        <v>0</v>
      </c>
      <c r="J9" s="40">
        <f t="shared" si="4"/>
        <v>0</v>
      </c>
      <c r="K9" s="41">
        <f>COUNTIF(Vertices[Betweenness Centrality],"&gt;= "&amp;J9)-COUNTIF(Vertices[Betweenness Centrality],"&gt;="&amp;J10)</f>
        <v>0</v>
      </c>
      <c r="L9" s="40">
        <f t="shared" si="5"/>
        <v>0</v>
      </c>
      <c r="M9" s="41">
        <f>COUNTIF(Vertices[Closeness Centrality],"&gt;= "&amp;L9)-COUNTIF(Vertices[Closeness Centrality],"&gt;="&amp;L10)</f>
        <v>0</v>
      </c>
      <c r="N9" s="40">
        <f t="shared" si="6"/>
        <v>0</v>
      </c>
      <c r="O9" s="41">
        <f>COUNTIF(Vertices[Eigenvector Centrality],"&gt;= "&amp;N9)-COUNTIF(Vertices[Eigenvector Centrality],"&gt;="&amp;N10)</f>
        <v>0</v>
      </c>
      <c r="P9" s="40">
        <f t="shared" si="7"/>
        <v>0</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c r="B10" s="35"/>
      <c r="D10" s="33">
        <f t="shared" si="1"/>
        <v>0</v>
      </c>
      <c r="E10" s="3">
        <f>COUNTIF(Vertices[Degree],"&gt;= "&amp;D10)-COUNTIF(Vertices[Degree],"&gt;="&amp;D11)</f>
        <v>0</v>
      </c>
      <c r="F10" s="38">
        <f t="shared" si="2"/>
        <v>0</v>
      </c>
      <c r="G10" s="39">
        <f>COUNTIF(Vertices[In-Degree],"&gt;= "&amp;F10)-COUNTIF(Vertices[In-Degree],"&gt;="&amp;F11)</f>
        <v>0</v>
      </c>
      <c r="H10" s="38">
        <f t="shared" si="3"/>
        <v>0</v>
      </c>
      <c r="I10" s="39">
        <f>COUNTIF(Vertices[Out-Degree],"&gt;= "&amp;H10)-COUNTIF(Vertices[Out-Degree],"&gt;="&amp;H11)</f>
        <v>0</v>
      </c>
      <c r="J10" s="38">
        <f t="shared" si="4"/>
        <v>0</v>
      </c>
      <c r="K10" s="39">
        <f>COUNTIF(Vertices[Betweenness Centrality],"&gt;= "&amp;J10)-COUNTIF(Vertices[Betweenness Centrality],"&gt;="&amp;J11)</f>
        <v>0</v>
      </c>
      <c r="L10" s="38">
        <f t="shared" si="5"/>
        <v>0</v>
      </c>
      <c r="M10" s="39">
        <f>COUNTIF(Vertices[Closeness Centrality],"&gt;= "&amp;L10)-COUNTIF(Vertices[Closeness Centrality],"&gt;="&amp;L11)</f>
        <v>0</v>
      </c>
      <c r="N10" s="38">
        <f t="shared" si="6"/>
        <v>0</v>
      </c>
      <c r="O10" s="39">
        <f>COUNTIF(Vertices[Eigenvector Centrality],"&gt;= "&amp;N10)-COUNTIF(Vertices[Eigenvector Centrality],"&gt;="&amp;N11)</f>
        <v>0</v>
      </c>
      <c r="P10" s="38">
        <f t="shared" si="7"/>
        <v>0</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35"/>
      <c r="B11" s="35"/>
      <c r="D11" s="33">
        <f t="shared" si="1"/>
        <v>0</v>
      </c>
      <c r="E11" s="3">
        <f>COUNTIF(Vertices[Degree],"&gt;= "&amp;D11)-COUNTIF(Vertices[Degree],"&gt;="&amp;D12)</f>
        <v>0</v>
      </c>
      <c r="F11" s="40">
        <f t="shared" si="2"/>
        <v>0</v>
      </c>
      <c r="G11" s="41">
        <f>COUNTIF(Vertices[In-Degree],"&gt;= "&amp;F11)-COUNTIF(Vertices[In-Degree],"&gt;="&amp;F12)</f>
        <v>0</v>
      </c>
      <c r="H11" s="40">
        <f t="shared" si="3"/>
        <v>0</v>
      </c>
      <c r="I11" s="41">
        <f>COUNTIF(Vertices[Out-Degree],"&gt;= "&amp;H11)-COUNTIF(Vertices[Out-Degree],"&gt;="&amp;H12)</f>
        <v>0</v>
      </c>
      <c r="J11" s="40">
        <f t="shared" si="4"/>
        <v>0</v>
      </c>
      <c r="K11" s="41">
        <f>COUNTIF(Vertices[Betweenness Centrality],"&gt;= "&amp;J11)-COUNTIF(Vertices[Betweenness Centrality],"&gt;="&amp;J12)</f>
        <v>0</v>
      </c>
      <c r="L11" s="40">
        <f t="shared" si="5"/>
        <v>0</v>
      </c>
      <c r="M11" s="41">
        <f>COUNTIF(Vertices[Closeness Centrality],"&gt;= "&amp;L11)-COUNTIF(Vertices[Closeness Centrality],"&gt;="&amp;L12)</f>
        <v>0</v>
      </c>
      <c r="N11" s="40">
        <f t="shared" si="6"/>
        <v>0</v>
      </c>
      <c r="O11" s="41">
        <f>COUNTIF(Vertices[Eigenvector Centrality],"&gt;= "&amp;N11)-COUNTIF(Vertices[Eigenvector Centrality],"&gt;="&amp;N12)</f>
        <v>0</v>
      </c>
      <c r="P11" s="40">
        <f t="shared" si="7"/>
        <v>0</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c r="B12" s="35"/>
      <c r="D12" s="33">
        <f t="shared" si="1"/>
        <v>0</v>
      </c>
      <c r="E12" s="3">
        <f>COUNTIF(Vertices[Degree],"&gt;= "&amp;D12)-COUNTIF(Vertices[Degree],"&gt;="&amp;D13)</f>
        <v>0</v>
      </c>
      <c r="F12" s="38">
        <f t="shared" si="2"/>
        <v>0</v>
      </c>
      <c r="G12" s="39">
        <f>COUNTIF(Vertices[In-Degree],"&gt;= "&amp;F12)-COUNTIF(Vertices[In-Degree],"&gt;="&amp;F13)</f>
        <v>0</v>
      </c>
      <c r="H12" s="38">
        <f t="shared" si="3"/>
        <v>0</v>
      </c>
      <c r="I12" s="39">
        <f>COUNTIF(Vertices[Out-Degree],"&gt;= "&amp;H12)-COUNTIF(Vertices[Out-Degree],"&gt;="&amp;H13)</f>
        <v>0</v>
      </c>
      <c r="J12" s="38">
        <f t="shared" si="4"/>
        <v>0</v>
      </c>
      <c r="K12" s="39">
        <f>COUNTIF(Vertices[Betweenness Centrality],"&gt;= "&amp;J12)-COUNTIF(Vertices[Betweenness Centrality],"&gt;="&amp;J13)</f>
        <v>0</v>
      </c>
      <c r="L12" s="38">
        <f t="shared" si="5"/>
        <v>0</v>
      </c>
      <c r="M12" s="39">
        <f>COUNTIF(Vertices[Closeness Centrality],"&gt;= "&amp;L12)-COUNTIF(Vertices[Closeness Centrality],"&gt;="&amp;L13)</f>
        <v>0</v>
      </c>
      <c r="N12" s="38">
        <f t="shared" si="6"/>
        <v>0</v>
      </c>
      <c r="O12" s="39">
        <f>COUNTIF(Vertices[Eigenvector Centrality],"&gt;= "&amp;N12)-COUNTIF(Vertices[Eigenvector Centrality],"&gt;="&amp;N13)</f>
        <v>0</v>
      </c>
      <c r="P12" s="38">
        <f t="shared" si="7"/>
        <v>0</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35"/>
      <c r="B13" s="35"/>
      <c r="D13" s="33">
        <f t="shared" si="1"/>
        <v>0</v>
      </c>
      <c r="E13" s="3">
        <f>COUNTIF(Vertices[Degree],"&gt;= "&amp;D13)-COUNTIF(Vertices[Degree],"&gt;="&amp;D14)</f>
        <v>0</v>
      </c>
      <c r="F13" s="40">
        <f t="shared" si="2"/>
        <v>0</v>
      </c>
      <c r="G13" s="41">
        <f>COUNTIF(Vertices[In-Degree],"&gt;= "&amp;F13)-COUNTIF(Vertices[In-Degree],"&gt;="&amp;F14)</f>
        <v>0</v>
      </c>
      <c r="H13" s="40">
        <f t="shared" si="3"/>
        <v>0</v>
      </c>
      <c r="I13" s="41">
        <f>COUNTIF(Vertices[Out-Degree],"&gt;= "&amp;H13)-COUNTIF(Vertices[Out-Degree],"&gt;="&amp;H14)</f>
        <v>0</v>
      </c>
      <c r="J13" s="40">
        <f t="shared" si="4"/>
        <v>0</v>
      </c>
      <c r="K13" s="41">
        <f>COUNTIF(Vertices[Betweenness Centrality],"&gt;= "&amp;J13)-COUNTIF(Vertices[Betweenness Centrality],"&gt;="&amp;J14)</f>
        <v>0</v>
      </c>
      <c r="L13" s="40">
        <f t="shared" si="5"/>
        <v>0</v>
      </c>
      <c r="M13" s="41">
        <f>COUNTIF(Vertices[Closeness Centrality],"&gt;= "&amp;L13)-COUNTIF(Vertices[Closeness Centrality],"&gt;="&amp;L14)</f>
        <v>0</v>
      </c>
      <c r="N13" s="40">
        <f t="shared" si="6"/>
        <v>0</v>
      </c>
      <c r="O13" s="41">
        <f>COUNTIF(Vertices[Eigenvector Centrality],"&gt;= "&amp;N13)-COUNTIF(Vertices[Eigenvector Centrality],"&gt;="&amp;N14)</f>
        <v>0</v>
      </c>
      <c r="P13" s="40">
        <f t="shared" si="7"/>
        <v>0</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35"/>
      <c r="B14" s="35"/>
      <c r="D14" s="33">
        <f t="shared" si="1"/>
        <v>0</v>
      </c>
      <c r="E14" s="3">
        <f>COUNTIF(Vertices[Degree],"&gt;= "&amp;D14)-COUNTIF(Vertices[Degree],"&gt;="&amp;D15)</f>
        <v>0</v>
      </c>
      <c r="F14" s="38">
        <f t="shared" si="2"/>
        <v>0</v>
      </c>
      <c r="G14" s="39">
        <f>COUNTIF(Vertices[In-Degree],"&gt;= "&amp;F14)-COUNTIF(Vertices[In-Degree],"&gt;="&amp;F15)</f>
        <v>0</v>
      </c>
      <c r="H14" s="38">
        <f t="shared" si="3"/>
        <v>0</v>
      </c>
      <c r="I14" s="39">
        <f>COUNTIF(Vertices[Out-Degree],"&gt;= "&amp;H14)-COUNTIF(Vertices[Out-Degree],"&gt;="&amp;H15)</f>
        <v>0</v>
      </c>
      <c r="J14" s="38">
        <f t="shared" si="4"/>
        <v>0</v>
      </c>
      <c r="K14" s="39">
        <f>COUNTIF(Vertices[Betweenness Centrality],"&gt;= "&amp;J14)-COUNTIF(Vertices[Betweenness Centrality],"&gt;="&amp;J15)</f>
        <v>0</v>
      </c>
      <c r="L14" s="38">
        <f t="shared" si="5"/>
        <v>0</v>
      </c>
      <c r="M14" s="39">
        <f>COUNTIF(Vertices[Closeness Centrality],"&gt;= "&amp;L14)-COUNTIF(Vertices[Closeness Centrality],"&gt;="&amp;L15)</f>
        <v>0</v>
      </c>
      <c r="N14" s="38">
        <f t="shared" si="6"/>
        <v>0</v>
      </c>
      <c r="O14" s="39">
        <f>COUNTIF(Vertices[Eigenvector Centrality],"&gt;= "&amp;N14)-COUNTIF(Vertices[Eigenvector Centrality],"&gt;="&amp;N15)</f>
        <v>0</v>
      </c>
      <c r="P14" s="38">
        <f t="shared" si="7"/>
        <v>0</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35"/>
      <c r="B15" s="35"/>
      <c r="D15" s="33">
        <f t="shared" si="1"/>
        <v>0</v>
      </c>
      <c r="E15" s="3">
        <f>COUNTIF(Vertices[Degree],"&gt;= "&amp;D15)-COUNTIF(Vertices[Degree],"&gt;="&amp;D16)</f>
        <v>0</v>
      </c>
      <c r="F15" s="40">
        <f t="shared" si="2"/>
        <v>0</v>
      </c>
      <c r="G15" s="41">
        <f>COUNTIF(Vertices[In-Degree],"&gt;= "&amp;F15)-COUNTIF(Vertices[In-Degree],"&gt;="&amp;F16)</f>
        <v>0</v>
      </c>
      <c r="H15" s="40">
        <f t="shared" si="3"/>
        <v>0</v>
      </c>
      <c r="I15" s="41">
        <f>COUNTIF(Vertices[Out-Degree],"&gt;= "&amp;H15)-COUNTIF(Vertices[Out-Degree],"&gt;="&amp;H16)</f>
        <v>0</v>
      </c>
      <c r="J15" s="40">
        <f t="shared" si="4"/>
        <v>0</v>
      </c>
      <c r="K15" s="41">
        <f>COUNTIF(Vertices[Betweenness Centrality],"&gt;= "&amp;J15)-COUNTIF(Vertices[Betweenness Centrality],"&gt;="&amp;J16)</f>
        <v>0</v>
      </c>
      <c r="L15" s="40">
        <f t="shared" si="5"/>
        <v>0</v>
      </c>
      <c r="M15" s="41">
        <f>COUNTIF(Vertices[Closeness Centrality],"&gt;= "&amp;L15)-COUNTIF(Vertices[Closeness Centrality],"&gt;="&amp;L16)</f>
        <v>0</v>
      </c>
      <c r="N15" s="40">
        <f t="shared" si="6"/>
        <v>0</v>
      </c>
      <c r="O15" s="41">
        <f>COUNTIF(Vertices[Eigenvector Centrality],"&gt;= "&amp;N15)-COUNTIF(Vertices[Eigenvector Centrality],"&gt;="&amp;N16)</f>
        <v>0</v>
      </c>
      <c r="P15" s="40">
        <f t="shared" si="7"/>
        <v>0</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c r="B16" s="35"/>
      <c r="D16" s="33">
        <f t="shared" si="1"/>
        <v>0</v>
      </c>
      <c r="E16" s="3">
        <f>COUNTIF(Vertices[Degree],"&gt;= "&amp;D16)-COUNTIF(Vertices[Degree],"&gt;="&amp;D17)</f>
        <v>0</v>
      </c>
      <c r="F16" s="38">
        <f t="shared" si="2"/>
        <v>0</v>
      </c>
      <c r="G16" s="39">
        <f>COUNTIF(Vertices[In-Degree],"&gt;= "&amp;F16)-COUNTIF(Vertices[In-Degree],"&gt;="&amp;F17)</f>
        <v>0</v>
      </c>
      <c r="H16" s="38">
        <f t="shared" si="3"/>
        <v>0</v>
      </c>
      <c r="I16" s="39">
        <f>COUNTIF(Vertices[Out-Degree],"&gt;= "&amp;H16)-COUNTIF(Vertices[Out-Degree],"&gt;="&amp;H17)</f>
        <v>0</v>
      </c>
      <c r="J16" s="38">
        <f t="shared" si="4"/>
        <v>0</v>
      </c>
      <c r="K16" s="39">
        <f>COUNTIF(Vertices[Betweenness Centrality],"&gt;= "&amp;J16)-COUNTIF(Vertices[Betweenness Centrality],"&gt;="&amp;J17)</f>
        <v>0</v>
      </c>
      <c r="L16" s="38">
        <f t="shared" si="5"/>
        <v>0</v>
      </c>
      <c r="M16" s="39">
        <f>COUNTIF(Vertices[Closeness Centrality],"&gt;= "&amp;L16)-COUNTIF(Vertices[Closeness Centrality],"&gt;="&amp;L17)</f>
        <v>0</v>
      </c>
      <c r="N16" s="38">
        <f t="shared" si="6"/>
        <v>0</v>
      </c>
      <c r="O16" s="39">
        <f>COUNTIF(Vertices[Eigenvector Centrality],"&gt;= "&amp;N16)-COUNTIF(Vertices[Eigenvector Centrality],"&gt;="&amp;N17)</f>
        <v>0</v>
      </c>
      <c r="P16" s="38">
        <f t="shared" si="7"/>
        <v>0</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c r="B17" s="35"/>
      <c r="D17" s="33">
        <f t="shared" si="1"/>
        <v>0</v>
      </c>
      <c r="E17" s="3">
        <f>COUNTIF(Vertices[Degree],"&gt;= "&amp;D17)-COUNTIF(Vertices[Degree],"&gt;="&amp;D18)</f>
        <v>0</v>
      </c>
      <c r="F17" s="40">
        <f t="shared" si="2"/>
        <v>0</v>
      </c>
      <c r="G17" s="41">
        <f>COUNTIF(Vertices[In-Degree],"&gt;= "&amp;F17)-COUNTIF(Vertices[In-Degree],"&gt;="&amp;F18)</f>
        <v>0</v>
      </c>
      <c r="H17" s="40">
        <f t="shared" si="3"/>
        <v>0</v>
      </c>
      <c r="I17" s="41">
        <f>COUNTIF(Vertices[Out-Degree],"&gt;= "&amp;H17)-COUNTIF(Vertices[Out-Degree],"&gt;="&amp;H18)</f>
        <v>0</v>
      </c>
      <c r="J17" s="40">
        <f t="shared" si="4"/>
        <v>0</v>
      </c>
      <c r="K17" s="41">
        <f>COUNTIF(Vertices[Betweenness Centrality],"&gt;= "&amp;J17)-COUNTIF(Vertices[Betweenness Centrality],"&gt;="&amp;J18)</f>
        <v>0</v>
      </c>
      <c r="L17" s="40">
        <f t="shared" si="5"/>
        <v>0</v>
      </c>
      <c r="M17" s="41">
        <f>COUNTIF(Vertices[Closeness Centrality],"&gt;= "&amp;L17)-COUNTIF(Vertices[Closeness Centrality],"&gt;="&amp;L18)</f>
        <v>0</v>
      </c>
      <c r="N17" s="40">
        <f t="shared" si="6"/>
        <v>0</v>
      </c>
      <c r="O17" s="41">
        <f>COUNTIF(Vertices[Eigenvector Centrality],"&gt;= "&amp;N17)-COUNTIF(Vertices[Eigenvector Centrality],"&gt;="&amp;N18)</f>
        <v>0</v>
      </c>
      <c r="P17" s="40">
        <f t="shared" si="7"/>
        <v>0</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35"/>
      <c r="B18" s="35"/>
      <c r="D18" s="33">
        <f t="shared" si="1"/>
        <v>0</v>
      </c>
      <c r="E18" s="3">
        <f>COUNTIF(Vertices[Degree],"&gt;= "&amp;D18)-COUNTIF(Vertices[Degree],"&gt;="&amp;D19)</f>
        <v>0</v>
      </c>
      <c r="F18" s="38">
        <f t="shared" si="2"/>
        <v>0</v>
      </c>
      <c r="G18" s="39">
        <f>COUNTIF(Vertices[In-Degree],"&gt;= "&amp;F18)-COUNTIF(Vertices[In-Degree],"&gt;="&amp;F19)</f>
        <v>0</v>
      </c>
      <c r="H18" s="38">
        <f t="shared" si="3"/>
        <v>0</v>
      </c>
      <c r="I18" s="39">
        <f>COUNTIF(Vertices[Out-Degree],"&gt;= "&amp;H18)-COUNTIF(Vertices[Out-Degree],"&gt;="&amp;H19)</f>
        <v>0</v>
      </c>
      <c r="J18" s="38">
        <f t="shared" si="4"/>
        <v>0</v>
      </c>
      <c r="K18" s="39">
        <f>COUNTIF(Vertices[Betweenness Centrality],"&gt;= "&amp;J18)-COUNTIF(Vertices[Betweenness Centrality],"&gt;="&amp;J19)</f>
        <v>0</v>
      </c>
      <c r="L18" s="38">
        <f t="shared" si="5"/>
        <v>0</v>
      </c>
      <c r="M18" s="39">
        <f>COUNTIF(Vertices[Closeness Centrality],"&gt;= "&amp;L18)-COUNTIF(Vertices[Closeness Centrality],"&gt;="&amp;L19)</f>
        <v>0</v>
      </c>
      <c r="N18" s="38">
        <f t="shared" si="6"/>
        <v>0</v>
      </c>
      <c r="O18" s="39">
        <f>COUNTIF(Vertices[Eigenvector Centrality],"&gt;= "&amp;N18)-COUNTIF(Vertices[Eigenvector Centrality],"&gt;="&amp;N19)</f>
        <v>0</v>
      </c>
      <c r="P18" s="38">
        <f t="shared" si="7"/>
        <v>0</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35"/>
      <c r="B19" s="35"/>
      <c r="D19" s="33">
        <f t="shared" si="1"/>
        <v>0</v>
      </c>
      <c r="E19" s="3">
        <f>COUNTIF(Vertices[Degree],"&gt;= "&amp;D19)-COUNTIF(Vertices[Degree],"&gt;="&amp;D20)</f>
        <v>0</v>
      </c>
      <c r="F19" s="40">
        <f t="shared" si="2"/>
        <v>0</v>
      </c>
      <c r="G19" s="41">
        <f>COUNTIF(Vertices[In-Degree],"&gt;= "&amp;F19)-COUNTIF(Vertices[In-Degree],"&gt;="&amp;F20)</f>
        <v>0</v>
      </c>
      <c r="H19" s="40">
        <f t="shared" si="3"/>
        <v>0</v>
      </c>
      <c r="I19" s="41">
        <f>COUNTIF(Vertices[Out-Degree],"&gt;= "&amp;H19)-COUNTIF(Vertices[Out-Degree],"&gt;="&amp;H20)</f>
        <v>0</v>
      </c>
      <c r="J19" s="40">
        <f t="shared" si="4"/>
        <v>0</v>
      </c>
      <c r="K19" s="41">
        <f>COUNTIF(Vertices[Betweenness Centrality],"&gt;= "&amp;J19)-COUNTIF(Vertices[Betweenness Centrality],"&gt;="&amp;J20)</f>
        <v>0</v>
      </c>
      <c r="L19" s="40">
        <f t="shared" si="5"/>
        <v>0</v>
      </c>
      <c r="M19" s="41">
        <f>COUNTIF(Vertices[Closeness Centrality],"&gt;= "&amp;L19)-COUNTIF(Vertices[Closeness Centrality],"&gt;="&amp;L20)</f>
        <v>0</v>
      </c>
      <c r="N19" s="40">
        <f t="shared" si="6"/>
        <v>0</v>
      </c>
      <c r="O19" s="41">
        <f>COUNTIF(Vertices[Eigenvector Centrality],"&gt;= "&amp;N19)-COUNTIF(Vertices[Eigenvector Centrality],"&gt;="&amp;N20)</f>
        <v>0</v>
      </c>
      <c r="P19" s="40">
        <f t="shared" si="7"/>
        <v>0</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c r="B20" s="35"/>
      <c r="D20" s="33">
        <f t="shared" si="1"/>
        <v>0</v>
      </c>
      <c r="E20" s="3">
        <f>COUNTIF(Vertices[Degree],"&gt;= "&amp;D20)-COUNTIF(Vertices[Degree],"&gt;="&amp;D21)</f>
        <v>0</v>
      </c>
      <c r="F20" s="38">
        <f t="shared" si="2"/>
        <v>0</v>
      </c>
      <c r="G20" s="39">
        <f>COUNTIF(Vertices[In-Degree],"&gt;= "&amp;F20)-COUNTIF(Vertices[In-Degree],"&gt;="&amp;F21)</f>
        <v>0</v>
      </c>
      <c r="H20" s="38">
        <f t="shared" si="3"/>
        <v>0</v>
      </c>
      <c r="I20" s="39">
        <f>COUNTIF(Vertices[Out-Degree],"&gt;= "&amp;H20)-COUNTIF(Vertices[Out-Degree],"&gt;="&amp;H21)</f>
        <v>0</v>
      </c>
      <c r="J20" s="38">
        <f t="shared" si="4"/>
        <v>0</v>
      </c>
      <c r="K20" s="39">
        <f>COUNTIF(Vertices[Betweenness Centrality],"&gt;= "&amp;J20)-COUNTIF(Vertices[Betweenness Centrality],"&gt;="&amp;J21)</f>
        <v>0</v>
      </c>
      <c r="L20" s="38">
        <f t="shared" si="5"/>
        <v>0</v>
      </c>
      <c r="M20" s="39">
        <f>COUNTIF(Vertices[Closeness Centrality],"&gt;= "&amp;L20)-COUNTIF(Vertices[Closeness Centrality],"&gt;="&amp;L21)</f>
        <v>0</v>
      </c>
      <c r="N20" s="38">
        <f t="shared" si="6"/>
        <v>0</v>
      </c>
      <c r="O20" s="39">
        <f>COUNTIF(Vertices[Eigenvector Centrality],"&gt;= "&amp;N20)-COUNTIF(Vertices[Eigenvector Centrality],"&gt;="&amp;N21)</f>
        <v>0</v>
      </c>
      <c r="P20" s="38">
        <f t="shared" si="7"/>
        <v>0</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c r="B21" s="35"/>
      <c r="D21" s="33">
        <f t="shared" si="1"/>
        <v>0</v>
      </c>
      <c r="E21" s="3">
        <f>COUNTIF(Vertices[Degree],"&gt;= "&amp;D21)-COUNTIF(Vertices[Degree],"&gt;="&amp;D22)</f>
        <v>0</v>
      </c>
      <c r="F21" s="40">
        <f t="shared" si="2"/>
        <v>0</v>
      </c>
      <c r="G21" s="41">
        <f>COUNTIF(Vertices[In-Degree],"&gt;= "&amp;F21)-COUNTIF(Vertices[In-Degree],"&gt;="&amp;F22)</f>
        <v>0</v>
      </c>
      <c r="H21" s="40">
        <f t="shared" si="3"/>
        <v>0</v>
      </c>
      <c r="I21" s="41">
        <f>COUNTIF(Vertices[Out-Degree],"&gt;= "&amp;H21)-COUNTIF(Vertices[Out-Degree],"&gt;="&amp;H22)</f>
        <v>0</v>
      </c>
      <c r="J21" s="40">
        <f t="shared" si="4"/>
        <v>0</v>
      </c>
      <c r="K21" s="41">
        <f>COUNTIF(Vertices[Betweenness Centrality],"&gt;= "&amp;J21)-COUNTIF(Vertices[Betweenness Centrality],"&gt;="&amp;J22)</f>
        <v>0</v>
      </c>
      <c r="L21" s="40">
        <f t="shared" si="5"/>
        <v>0</v>
      </c>
      <c r="M21" s="41">
        <f>COUNTIF(Vertices[Closeness Centrality],"&gt;= "&amp;L21)-COUNTIF(Vertices[Closeness Centrality],"&gt;="&amp;L22)</f>
        <v>0</v>
      </c>
      <c r="N21" s="40">
        <f t="shared" si="6"/>
        <v>0</v>
      </c>
      <c r="O21" s="41">
        <f>COUNTIF(Vertices[Eigenvector Centrality],"&gt;= "&amp;N21)-COUNTIF(Vertices[Eigenvector Centrality],"&gt;="&amp;N22)</f>
        <v>0</v>
      </c>
      <c r="P21" s="40">
        <f t="shared" si="7"/>
        <v>0</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35"/>
      <c r="B22" s="35"/>
      <c r="D22" s="33">
        <f t="shared" si="1"/>
        <v>0</v>
      </c>
      <c r="E22" s="3">
        <f>COUNTIF(Vertices[Degree],"&gt;= "&amp;D22)-COUNTIF(Vertices[Degree],"&gt;="&amp;D23)</f>
        <v>0</v>
      </c>
      <c r="F22" s="38">
        <f t="shared" si="2"/>
        <v>0</v>
      </c>
      <c r="G22" s="39">
        <f>COUNTIF(Vertices[In-Degree],"&gt;= "&amp;F22)-COUNTIF(Vertices[In-Degree],"&gt;="&amp;F23)</f>
        <v>0</v>
      </c>
      <c r="H22" s="38">
        <f t="shared" si="3"/>
        <v>0</v>
      </c>
      <c r="I22" s="39">
        <f>COUNTIF(Vertices[Out-Degree],"&gt;= "&amp;H22)-COUNTIF(Vertices[Out-Degree],"&gt;="&amp;H23)</f>
        <v>0</v>
      </c>
      <c r="J22" s="38">
        <f t="shared" si="4"/>
        <v>0</v>
      </c>
      <c r="K22" s="39">
        <f>COUNTIF(Vertices[Betweenness Centrality],"&gt;= "&amp;J22)-COUNTIF(Vertices[Betweenness Centrality],"&gt;="&amp;J23)</f>
        <v>0</v>
      </c>
      <c r="L22" s="38">
        <f t="shared" si="5"/>
        <v>0</v>
      </c>
      <c r="M22" s="39">
        <f>COUNTIF(Vertices[Closeness Centrality],"&gt;= "&amp;L22)-COUNTIF(Vertices[Closeness Centrality],"&gt;="&amp;L23)</f>
        <v>0</v>
      </c>
      <c r="N22" s="38">
        <f t="shared" si="6"/>
        <v>0</v>
      </c>
      <c r="O22" s="39">
        <f>COUNTIF(Vertices[Eigenvector Centrality],"&gt;= "&amp;N22)-COUNTIF(Vertices[Eigenvector Centrality],"&gt;="&amp;N23)</f>
        <v>0</v>
      </c>
      <c r="P22" s="38">
        <f t="shared" si="7"/>
        <v>0</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35"/>
      <c r="B23" s="35"/>
      <c r="D23" s="33">
        <f t="shared" si="1"/>
        <v>0</v>
      </c>
      <c r="E23" s="3">
        <f>COUNTIF(Vertices[Degree],"&gt;= "&amp;D23)-COUNTIF(Vertices[Degree],"&gt;="&amp;D24)</f>
        <v>0</v>
      </c>
      <c r="F23" s="40">
        <f t="shared" si="2"/>
        <v>0</v>
      </c>
      <c r="G23" s="41">
        <f>COUNTIF(Vertices[In-Degree],"&gt;= "&amp;F23)-COUNTIF(Vertices[In-Degree],"&gt;="&amp;F24)</f>
        <v>0</v>
      </c>
      <c r="H23" s="40">
        <f t="shared" si="3"/>
        <v>0</v>
      </c>
      <c r="I23" s="41">
        <f>COUNTIF(Vertices[Out-Degree],"&gt;= "&amp;H23)-COUNTIF(Vertices[Out-Degree],"&gt;="&amp;H24)</f>
        <v>0</v>
      </c>
      <c r="J23" s="40">
        <f t="shared" si="4"/>
        <v>0</v>
      </c>
      <c r="K23" s="41">
        <f>COUNTIF(Vertices[Betweenness Centrality],"&gt;= "&amp;J23)-COUNTIF(Vertices[Betweenness Centrality],"&gt;="&amp;J24)</f>
        <v>0</v>
      </c>
      <c r="L23" s="40">
        <f t="shared" si="5"/>
        <v>0</v>
      </c>
      <c r="M23" s="41">
        <f>COUNTIF(Vertices[Closeness Centrality],"&gt;= "&amp;L23)-COUNTIF(Vertices[Closeness Centrality],"&gt;="&amp;L24)</f>
        <v>0</v>
      </c>
      <c r="N23" s="40">
        <f t="shared" si="6"/>
        <v>0</v>
      </c>
      <c r="O23" s="41">
        <f>COUNTIF(Vertices[Eigenvector Centrality],"&gt;= "&amp;N23)-COUNTIF(Vertices[Eigenvector Centrality],"&gt;="&amp;N24)</f>
        <v>0</v>
      </c>
      <c r="P23" s="40">
        <f t="shared" si="7"/>
        <v>0</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c r="B24" s="35"/>
      <c r="D24" s="33">
        <f t="shared" si="1"/>
        <v>0</v>
      </c>
      <c r="E24" s="3">
        <f>COUNTIF(Vertices[Degree],"&gt;= "&amp;D24)-COUNTIF(Vertices[Degree],"&gt;="&amp;D25)</f>
        <v>0</v>
      </c>
      <c r="F24" s="38">
        <f t="shared" si="2"/>
        <v>0</v>
      </c>
      <c r="G24" s="39">
        <f>COUNTIF(Vertices[In-Degree],"&gt;= "&amp;F24)-COUNTIF(Vertices[In-Degree],"&gt;="&amp;F25)</f>
        <v>0</v>
      </c>
      <c r="H24" s="38">
        <f t="shared" si="3"/>
        <v>0</v>
      </c>
      <c r="I24" s="39">
        <f>COUNTIF(Vertices[Out-Degree],"&gt;= "&amp;H24)-COUNTIF(Vertices[Out-Degree],"&gt;="&amp;H25)</f>
        <v>0</v>
      </c>
      <c r="J24" s="38">
        <f t="shared" si="4"/>
        <v>0</v>
      </c>
      <c r="K24" s="39">
        <f>COUNTIF(Vertices[Betweenness Centrality],"&gt;= "&amp;J24)-COUNTIF(Vertices[Betweenness Centrality],"&gt;="&amp;J25)</f>
        <v>0</v>
      </c>
      <c r="L24" s="38">
        <f t="shared" si="5"/>
        <v>0</v>
      </c>
      <c r="M24" s="39">
        <f>COUNTIF(Vertices[Closeness Centrality],"&gt;= "&amp;L24)-COUNTIF(Vertices[Closeness Centrality],"&gt;="&amp;L25)</f>
        <v>0</v>
      </c>
      <c r="N24" s="38">
        <f t="shared" si="6"/>
        <v>0</v>
      </c>
      <c r="O24" s="39">
        <f>COUNTIF(Vertices[Eigenvector Centrality],"&gt;= "&amp;N24)-COUNTIF(Vertices[Eigenvector Centrality],"&gt;="&amp;N25)</f>
        <v>0</v>
      </c>
      <c r="P24" s="38">
        <f t="shared" si="7"/>
        <v>0</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35"/>
      <c r="B25" s="35"/>
      <c r="D25" s="33">
        <f t="shared" si="1"/>
        <v>0</v>
      </c>
      <c r="E25" s="3">
        <f>COUNTIF(Vertices[Degree],"&gt;= "&amp;D25)-COUNTIF(Vertices[Degree],"&gt;="&amp;D26)</f>
        <v>0</v>
      </c>
      <c r="F25" s="40">
        <f t="shared" si="2"/>
        <v>0</v>
      </c>
      <c r="G25" s="41">
        <f>COUNTIF(Vertices[In-Degree],"&gt;= "&amp;F25)-COUNTIF(Vertices[In-Degree],"&gt;="&amp;F26)</f>
        <v>0</v>
      </c>
      <c r="H25" s="40">
        <f t="shared" si="3"/>
        <v>0</v>
      </c>
      <c r="I25" s="41">
        <f>COUNTIF(Vertices[Out-Degree],"&gt;= "&amp;H25)-COUNTIF(Vertices[Out-Degree],"&gt;="&amp;H26)</f>
        <v>0</v>
      </c>
      <c r="J25" s="40">
        <f t="shared" si="4"/>
        <v>0</v>
      </c>
      <c r="K25" s="41">
        <f>COUNTIF(Vertices[Betweenness Centrality],"&gt;= "&amp;J25)-COUNTIF(Vertices[Betweenness Centrality],"&gt;="&amp;J26)</f>
        <v>0</v>
      </c>
      <c r="L25" s="40">
        <f t="shared" si="5"/>
        <v>0</v>
      </c>
      <c r="M25" s="41">
        <f>COUNTIF(Vertices[Closeness Centrality],"&gt;= "&amp;L25)-COUNTIF(Vertices[Closeness Centrality],"&gt;="&amp;L26)</f>
        <v>0</v>
      </c>
      <c r="N25" s="40">
        <f t="shared" si="6"/>
        <v>0</v>
      </c>
      <c r="O25" s="41">
        <f>COUNTIF(Vertices[Eigenvector Centrality],"&gt;= "&amp;N25)-COUNTIF(Vertices[Eigenvector Centrality],"&gt;="&amp;N26)</f>
        <v>0</v>
      </c>
      <c r="P25" s="40">
        <f t="shared" si="7"/>
        <v>0</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35"/>
      <c r="B26" s="35"/>
      <c r="D26" s="33">
        <f t="shared" si="1"/>
        <v>0</v>
      </c>
      <c r="E26" s="3">
        <f>COUNTIF(Vertices[Degree],"&gt;= "&amp;D26)-COUNTIF(Vertices[Degree],"&gt;="&amp;D28)</f>
        <v>0</v>
      </c>
      <c r="F26" s="38">
        <f t="shared" si="2"/>
        <v>0</v>
      </c>
      <c r="G26" s="39">
        <f>COUNTIF(Vertices[In-Degree],"&gt;= "&amp;F26)-COUNTIF(Vertices[In-Degree],"&gt;="&amp;F28)</f>
        <v>0</v>
      </c>
      <c r="H26" s="38">
        <f t="shared" si="3"/>
        <v>0</v>
      </c>
      <c r="I26" s="39">
        <f>COUNTIF(Vertices[Out-Degree],"&gt;= "&amp;H26)-COUNTIF(Vertices[Out-Degree],"&gt;="&amp;H28)</f>
        <v>0</v>
      </c>
      <c r="J26" s="38">
        <f t="shared" si="4"/>
        <v>0</v>
      </c>
      <c r="K26" s="39">
        <f>COUNTIF(Vertices[Betweenness Centrality],"&gt;= "&amp;J26)-COUNTIF(Vertices[Betweenness Centrality],"&gt;="&amp;J28)</f>
        <v>0</v>
      </c>
      <c r="L26" s="38">
        <f t="shared" si="5"/>
        <v>0</v>
      </c>
      <c r="M26" s="39">
        <f>COUNTIF(Vertices[Closeness Centrality],"&gt;= "&amp;L26)-COUNTIF(Vertices[Closeness Centrality],"&gt;="&amp;L28)</f>
        <v>0</v>
      </c>
      <c r="N26" s="38">
        <f t="shared" si="6"/>
        <v>0</v>
      </c>
      <c r="O26" s="39">
        <f>COUNTIF(Vertices[Eigenvector Centrality],"&gt;= "&amp;N26)-COUNTIF(Vertices[Eigenvector Centrality],"&gt;="&amp;N28)</f>
        <v>0</v>
      </c>
      <c r="P26" s="38">
        <f t="shared" si="7"/>
        <v>0</v>
      </c>
      <c r="Q26" s="39">
        <f>COUNTIF(Vertices[PageRank],"&gt;= "&amp;P26)-COUNTIF(Vertices[PageRank],"&gt;="&amp;P28)</f>
        <v>0</v>
      </c>
      <c r="R26" s="38">
        <f t="shared" si="8"/>
        <v>0</v>
      </c>
      <c r="S26" s="44">
        <f>COUNTIF(Vertices[Clustering Coefficient],"&gt;= "&amp;R26)-COUNTIF(Vertices[Clustering Coefficient],"&gt;="&amp;R28)</f>
        <v>0</v>
      </c>
      <c r="T26" s="38" t="e">
        <f ca="1" t="shared" si="9"/>
        <v>#REF!</v>
      </c>
      <c r="U26" s="39" t="e">
        <f ca="1">COUNTIF(INDIRECT(DynamicFilterSourceColumnRange),"&gt;= "&amp;T26)-COUNTIF(INDIRECT(DynamicFilterSourceColumnRange),"&gt;="&amp;T28)</f>
        <v>#REF!</v>
      </c>
    </row>
    <row r="27" spans="1:21" ht="15">
      <c r="A27" s="81"/>
      <c r="B27" s="81"/>
      <c r="D27" s="33"/>
      <c r="E27" s="3">
        <f>COUNTIF(Vertices[Degree],"&gt;= "&amp;D27)-COUNTIF(Vertices[Degree],"&gt;="&amp;D28)</f>
        <v>0</v>
      </c>
      <c r="F27" s="78"/>
      <c r="G27" s="79">
        <f>COUNTIF(Vertices[In-Degree],"&gt;= "&amp;F27)-COUNTIF(Vertices[In-Degree],"&gt;="&amp;F28)</f>
        <v>0</v>
      </c>
      <c r="H27" s="78"/>
      <c r="I27" s="79">
        <f>COUNTIF(Vertices[Out-Degree],"&gt;= "&amp;H27)-COUNTIF(Vertices[Out-Degree],"&gt;="&amp;H28)</f>
        <v>0</v>
      </c>
      <c r="J27" s="78"/>
      <c r="K27" s="79">
        <f>COUNTIF(Vertices[Betweenness Centrality],"&gt;= "&amp;J27)-COUNTIF(Vertices[Betweenness Centrality],"&gt;="&amp;J28)</f>
        <v>0</v>
      </c>
      <c r="L27" s="78"/>
      <c r="M27" s="79">
        <f>COUNTIF(Vertices[Closeness Centrality],"&gt;= "&amp;L27)-COUNTIF(Vertices[Closeness Centrality],"&gt;="&amp;L28)</f>
        <v>0</v>
      </c>
      <c r="N27" s="78"/>
      <c r="O27" s="79">
        <f>COUNTIF(Vertices[Eigenvector Centrality],"&gt;= "&amp;N27)-COUNTIF(Vertices[Eigenvector Centrality],"&gt;="&amp;N28)</f>
        <v>0</v>
      </c>
      <c r="P27" s="78"/>
      <c r="Q27" s="79">
        <f>COUNTIF(Vertices[Eigenvector Centrality],"&gt;= "&amp;P27)-COUNTIF(Vertices[Eigenvector Centrality],"&gt;="&amp;P28)</f>
        <v>0</v>
      </c>
      <c r="R27" s="78"/>
      <c r="S27" s="80">
        <f>COUNTIF(Vertices[Clustering Coefficient],"&gt;= "&amp;R27)-COUNTIF(Vertices[Clustering Coefficient],"&gt;="&amp;R28)</f>
        <v>0</v>
      </c>
      <c r="T27" s="78"/>
      <c r="U27" s="79">
        <f ca="1">COUNTIF(Vertices[Clustering Coefficient],"&gt;= "&amp;T27)-COUNTIF(Vertices[Clustering Coefficient],"&gt;="&amp;T28)</f>
        <v>0</v>
      </c>
    </row>
    <row r="28" spans="1:21" ht="15">
      <c r="A28" s="35"/>
      <c r="B28" s="35"/>
      <c r="D28" s="33">
        <f>D26+($D$50-$D$2)/BinDivisor</f>
        <v>0</v>
      </c>
      <c r="E28" s="3">
        <f>COUNTIF(Vertices[Degree],"&gt;= "&amp;D28)-COUNTIF(Vertices[Degree],"&gt;="&amp;D42)</f>
        <v>0</v>
      </c>
      <c r="F28" s="40">
        <f>F26+($F$50-$F$2)/BinDivisor</f>
        <v>0</v>
      </c>
      <c r="G28" s="41">
        <f>COUNTIF(Vertices[In-Degree],"&gt;= "&amp;F28)-COUNTIF(Vertices[In-Degree],"&gt;="&amp;F42)</f>
        <v>0</v>
      </c>
      <c r="H28" s="40">
        <f>H26+($H$50-$H$2)/BinDivisor</f>
        <v>0</v>
      </c>
      <c r="I28" s="41">
        <f>COUNTIF(Vertices[Out-Degree],"&gt;= "&amp;H28)-COUNTIF(Vertices[Out-Degree],"&gt;="&amp;H42)</f>
        <v>0</v>
      </c>
      <c r="J28" s="40">
        <f>J26+($J$50-$J$2)/BinDivisor</f>
        <v>0</v>
      </c>
      <c r="K28" s="41">
        <f>COUNTIF(Vertices[Betweenness Centrality],"&gt;= "&amp;J28)-COUNTIF(Vertices[Betweenness Centrality],"&gt;="&amp;J42)</f>
        <v>0</v>
      </c>
      <c r="L28" s="40">
        <f>L26+($L$50-$L$2)/BinDivisor</f>
        <v>0</v>
      </c>
      <c r="M28" s="41">
        <f>COUNTIF(Vertices[Closeness Centrality],"&gt;= "&amp;L28)-COUNTIF(Vertices[Closeness Centrality],"&gt;="&amp;L42)</f>
        <v>0</v>
      </c>
      <c r="N28" s="40">
        <f>N26+($N$50-$N$2)/BinDivisor</f>
        <v>0</v>
      </c>
      <c r="O28" s="41">
        <f>COUNTIF(Vertices[Eigenvector Centrality],"&gt;= "&amp;N28)-COUNTIF(Vertices[Eigenvector Centrality],"&gt;="&amp;N42)</f>
        <v>0</v>
      </c>
      <c r="P28" s="40">
        <f>P26+($P$50-$P$2)/BinDivisor</f>
        <v>0</v>
      </c>
      <c r="Q28" s="41">
        <f>COUNTIF(Vertices[PageRank],"&gt;= "&amp;P28)-COUNTIF(Vertices[PageRank],"&gt;="&amp;P42)</f>
        <v>0</v>
      </c>
      <c r="R28" s="40">
        <f>R26+($R$50-$R$2)/BinDivisor</f>
        <v>0</v>
      </c>
      <c r="S28" s="45">
        <f>COUNTIF(Vertices[Clustering Coefficient],"&gt;= "&amp;R28)-COUNTIF(Vertices[Clustering Coefficient],"&gt;="&amp;R42)</f>
        <v>0</v>
      </c>
      <c r="T28" s="40" t="e">
        <f ca="1">T26+($T$50-$T$2)/BinDivisor</f>
        <v>#REF!</v>
      </c>
      <c r="U28" s="41" t="e">
        <f ca="1">COUNTIF(INDIRECT(DynamicFilterSourceColumnRange),"&gt;= "&amp;T28)-COUNTIF(INDIRECT(DynamicFilterSourceColumnRange),"&gt;="&amp;T42)</f>
        <v>#REF!</v>
      </c>
    </row>
    <row r="29" spans="1:21" ht="15">
      <c r="A29" s="35"/>
      <c r="B29" s="35"/>
      <c r="D29" s="33"/>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35"/>
      <c r="B30" s="35"/>
      <c r="D30" s="33"/>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35"/>
      <c r="B31" s="35"/>
      <c r="D31" s="33"/>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1:21" ht="15">
      <c r="A32" s="35"/>
      <c r="B32" s="35"/>
      <c r="D32" s="33"/>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1:21" ht="15">
      <c r="A33" s="81"/>
      <c r="B33" s="81"/>
      <c r="D33" s="33"/>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1:21" ht="15">
      <c r="A34" s="35"/>
      <c r="B34" s="35"/>
      <c r="D34" s="33"/>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1:21" ht="15">
      <c r="A35" s="35"/>
      <c r="B35" s="35"/>
      <c r="D35" s="33"/>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1:21" ht="15">
      <c r="A36" s="35"/>
      <c r="B36" s="35"/>
      <c r="D36" s="33"/>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1:21" ht="15">
      <c r="A37" s="81"/>
      <c r="B37" s="81"/>
      <c r="D37" s="33"/>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1:21" ht="15">
      <c r="A38" s="81"/>
      <c r="B38" s="81"/>
      <c r="D38" s="33"/>
      <c r="E38" s="3">
        <f>COUNTIF(Vertices[Degree],"&gt;= "&amp;D38)-COUNTIF(Vertices[Degree],"&gt;="&amp;D42)</f>
        <v>0</v>
      </c>
      <c r="F38" s="78"/>
      <c r="G38" s="79">
        <f>COUNTIF(Vertices[In-Degree],"&gt;= "&amp;F38)-COUNTIF(Vertices[In-Degree],"&gt;="&amp;F42)</f>
        <v>0</v>
      </c>
      <c r="H38" s="78"/>
      <c r="I38" s="79">
        <f>COUNTIF(Vertices[Out-Degree],"&gt;= "&amp;H38)-COUNTIF(Vertices[Out-Degree],"&gt;="&amp;H42)</f>
        <v>0</v>
      </c>
      <c r="J38" s="78"/>
      <c r="K38" s="79">
        <f>COUNTIF(Vertices[Betweenness Centrality],"&gt;= "&amp;J38)-COUNTIF(Vertices[Betweenness Centrality],"&gt;="&amp;J42)</f>
        <v>0</v>
      </c>
      <c r="L38" s="78"/>
      <c r="M38" s="79">
        <f>COUNTIF(Vertices[Closeness Centrality],"&gt;= "&amp;L38)-COUNTIF(Vertices[Closeness Centrality],"&gt;="&amp;L42)</f>
        <v>0</v>
      </c>
      <c r="N38" s="78"/>
      <c r="O38" s="79">
        <f>COUNTIF(Vertices[Eigenvector Centrality],"&gt;= "&amp;N38)-COUNTIF(Vertices[Eigenvector Centrality],"&gt;="&amp;N42)</f>
        <v>0</v>
      </c>
      <c r="P38" s="78"/>
      <c r="Q38" s="79">
        <f>COUNTIF(Vertices[Eigenvector Centrality],"&gt;= "&amp;P38)-COUNTIF(Vertices[Eigenvector Centrality],"&gt;="&amp;P42)</f>
        <v>0</v>
      </c>
      <c r="R38" s="78"/>
      <c r="S38" s="80">
        <f>COUNTIF(Vertices[Clustering Coefficient],"&gt;= "&amp;R38)-COUNTIF(Vertices[Clustering Coefficient],"&gt;="&amp;R42)</f>
        <v>0</v>
      </c>
      <c r="T38" s="78"/>
      <c r="U38" s="79">
        <f ca="1">COUNTIF(Vertices[Clustering Coefficient],"&gt;= "&amp;T38)-COUNTIF(Vertices[Clustering Coefficient],"&gt;="&amp;T42)</f>
        <v>0</v>
      </c>
    </row>
    <row r="39" spans="1:21" ht="15">
      <c r="A39" s="81"/>
      <c r="B39" s="81"/>
      <c r="D39" s="33"/>
      <c r="E39" s="3">
        <f>COUNTIF(Vertices[Degree],"&gt;= "&amp;D39)-COUNTIF(Vertices[Degree],"&gt;="&amp;D42)</f>
        <v>0</v>
      </c>
      <c r="F39" s="78"/>
      <c r="G39" s="79">
        <f>COUNTIF(Vertices[In-Degree],"&gt;= "&amp;F39)-COUNTIF(Vertices[In-Degree],"&gt;="&amp;F42)</f>
        <v>0</v>
      </c>
      <c r="H39" s="78"/>
      <c r="I39" s="79">
        <f>COUNTIF(Vertices[Out-Degree],"&gt;= "&amp;H39)-COUNTIF(Vertices[Out-Degree],"&gt;="&amp;H42)</f>
        <v>0</v>
      </c>
      <c r="J39" s="78"/>
      <c r="K39" s="79">
        <f>COUNTIF(Vertices[Betweenness Centrality],"&gt;= "&amp;J39)-COUNTIF(Vertices[Betweenness Centrality],"&gt;="&amp;J42)</f>
        <v>0</v>
      </c>
      <c r="L39" s="78"/>
      <c r="M39" s="79">
        <f>COUNTIF(Vertices[Closeness Centrality],"&gt;= "&amp;L39)-COUNTIF(Vertices[Closeness Centrality],"&gt;="&amp;L42)</f>
        <v>0</v>
      </c>
      <c r="N39" s="78"/>
      <c r="O39" s="79">
        <f>COUNTIF(Vertices[Eigenvector Centrality],"&gt;= "&amp;N39)-COUNTIF(Vertices[Eigenvector Centrality],"&gt;="&amp;N42)</f>
        <v>0</v>
      </c>
      <c r="P39" s="78"/>
      <c r="Q39" s="79">
        <f>COUNTIF(Vertices[Eigenvector Centrality],"&gt;= "&amp;P39)-COUNTIF(Vertices[Eigenvector Centrality],"&gt;="&amp;P42)</f>
        <v>0</v>
      </c>
      <c r="R39" s="78"/>
      <c r="S39" s="80">
        <f>COUNTIF(Vertices[Clustering Coefficient],"&gt;= "&amp;R39)-COUNTIF(Vertices[Clustering Coefficient],"&gt;="&amp;R42)</f>
        <v>0</v>
      </c>
      <c r="T39" s="78"/>
      <c r="U39" s="79">
        <f ca="1">COUNTIF(Vertices[Clustering Coefficient],"&gt;= "&amp;T39)-COUNTIF(Vertices[Clustering Coefficient],"&gt;="&amp;T42)</f>
        <v>0</v>
      </c>
    </row>
    <row r="40" spans="1:21" ht="15">
      <c r="A40" s="81"/>
      <c r="B40" s="81"/>
      <c r="D40" s="33"/>
      <c r="E40" s="3">
        <f>COUNTIF(Vertices[Degree],"&gt;= "&amp;D40)-COUNTIF(Vertices[Degree],"&gt;="&amp;D42)</f>
        <v>0</v>
      </c>
      <c r="F40" s="78"/>
      <c r="G40" s="79">
        <f>COUNTIF(Vertices[In-Degree],"&gt;= "&amp;F40)-COUNTIF(Vertices[In-Degree],"&gt;="&amp;F42)</f>
        <v>0</v>
      </c>
      <c r="H40" s="78"/>
      <c r="I40" s="79">
        <f>COUNTIF(Vertices[Out-Degree],"&gt;= "&amp;H40)-COUNTIF(Vertices[Out-Degree],"&gt;="&amp;H42)</f>
        <v>0</v>
      </c>
      <c r="J40" s="78"/>
      <c r="K40" s="79">
        <f>COUNTIF(Vertices[Betweenness Centrality],"&gt;= "&amp;J40)-COUNTIF(Vertices[Betweenness Centrality],"&gt;="&amp;J42)</f>
        <v>0</v>
      </c>
      <c r="L40" s="78"/>
      <c r="M40" s="79">
        <f>COUNTIF(Vertices[Closeness Centrality],"&gt;= "&amp;L40)-COUNTIF(Vertices[Closeness Centrality],"&gt;="&amp;L42)</f>
        <v>0</v>
      </c>
      <c r="N40" s="78"/>
      <c r="O40" s="79">
        <f>COUNTIF(Vertices[Eigenvector Centrality],"&gt;= "&amp;N40)-COUNTIF(Vertices[Eigenvector Centrality],"&gt;="&amp;N42)</f>
        <v>0</v>
      </c>
      <c r="P40" s="78"/>
      <c r="Q40" s="79">
        <f>COUNTIF(Vertices[Eigenvector Centrality],"&gt;= "&amp;P40)-COUNTIF(Vertices[Eigenvector Centrality],"&gt;="&amp;P42)</f>
        <v>0</v>
      </c>
      <c r="R40" s="78"/>
      <c r="S40" s="80">
        <f>COUNTIF(Vertices[Clustering Coefficient],"&gt;= "&amp;R40)-COUNTIF(Vertices[Clustering Coefficient],"&gt;="&amp;R42)</f>
        <v>0</v>
      </c>
      <c r="T40" s="78"/>
      <c r="U40" s="79">
        <f ca="1">COUNTIF(Vertices[Clustering Coefficient],"&gt;= "&amp;T40)-COUNTIF(Vertices[Clustering Coefficient],"&gt;="&amp;T42)</f>
        <v>0</v>
      </c>
    </row>
    <row r="41" spans="1:21" ht="15">
      <c r="A41" s="81"/>
      <c r="B41" s="81"/>
      <c r="D41" s="33"/>
      <c r="E41" s="3">
        <f>COUNTIF(Vertices[Degree],"&gt;= "&amp;D41)-COUNTIF(Vertices[Degree],"&gt;="&amp;D42)</f>
        <v>0</v>
      </c>
      <c r="F41" s="78"/>
      <c r="G41" s="79">
        <f>COUNTIF(Vertices[In-Degree],"&gt;= "&amp;F41)-COUNTIF(Vertices[In-Degree],"&gt;="&amp;F42)</f>
        <v>0</v>
      </c>
      <c r="H41" s="78"/>
      <c r="I41" s="79">
        <f>COUNTIF(Vertices[Out-Degree],"&gt;= "&amp;H41)-COUNTIF(Vertices[Out-Degree],"&gt;="&amp;H42)</f>
        <v>0</v>
      </c>
      <c r="J41" s="78"/>
      <c r="K41" s="79">
        <f>COUNTIF(Vertices[Betweenness Centrality],"&gt;= "&amp;J41)-COUNTIF(Vertices[Betweenness Centrality],"&gt;="&amp;J42)</f>
        <v>0</v>
      </c>
      <c r="L41" s="78"/>
      <c r="M41" s="79">
        <f>COUNTIF(Vertices[Closeness Centrality],"&gt;= "&amp;L41)-COUNTIF(Vertices[Closeness Centrality],"&gt;="&amp;L42)</f>
        <v>0</v>
      </c>
      <c r="N41" s="78"/>
      <c r="O41" s="79">
        <f>COUNTIF(Vertices[Eigenvector Centrality],"&gt;= "&amp;N41)-COUNTIF(Vertices[Eigenvector Centrality],"&gt;="&amp;N42)</f>
        <v>0</v>
      </c>
      <c r="P41" s="78"/>
      <c r="Q41" s="79">
        <f>COUNTIF(Vertices[Eigenvector Centrality],"&gt;= "&amp;P41)-COUNTIF(Vertices[Eigenvector Centrality],"&gt;="&amp;P42)</f>
        <v>0</v>
      </c>
      <c r="R41" s="78"/>
      <c r="S41" s="80">
        <f>COUNTIF(Vertices[Clustering Coefficient],"&gt;= "&amp;R41)-COUNTIF(Vertices[Clustering Coefficient],"&gt;="&amp;R42)</f>
        <v>0</v>
      </c>
      <c r="T41" s="78"/>
      <c r="U41" s="79">
        <f ca="1">COUNTIF(Vertices[Clustering Coefficient],"&gt;= "&amp;T41)-COUNTIF(Vertices[Clustering Coefficient],"&gt;="&amp;T42)</f>
        <v>0</v>
      </c>
    </row>
    <row r="42" spans="1:21" ht="15">
      <c r="A42" s="35"/>
      <c r="B42" s="35"/>
      <c r="D42" s="33">
        <f>D28+($D$50-$D$2)/BinDivisor</f>
        <v>0</v>
      </c>
      <c r="E42" s="3">
        <f>COUNTIF(Vertices[Degree],"&gt;= "&amp;D42)-COUNTIF(Vertices[Degree],"&gt;="&amp;D43)</f>
        <v>0</v>
      </c>
      <c r="F42" s="38">
        <f>F28+($F$50-$F$2)/BinDivisor</f>
        <v>0</v>
      </c>
      <c r="G42" s="39">
        <f>COUNTIF(Vertices[In-Degree],"&gt;= "&amp;F42)-COUNTIF(Vertices[In-Degree],"&gt;="&amp;F43)</f>
        <v>0</v>
      </c>
      <c r="H42" s="38">
        <f>H28+($H$50-$H$2)/BinDivisor</f>
        <v>0</v>
      </c>
      <c r="I42" s="39">
        <f>COUNTIF(Vertices[Out-Degree],"&gt;= "&amp;H42)-COUNTIF(Vertices[Out-Degree],"&gt;="&amp;H43)</f>
        <v>0</v>
      </c>
      <c r="J42" s="38">
        <f>J28+($J$50-$J$2)/BinDivisor</f>
        <v>0</v>
      </c>
      <c r="K42" s="39">
        <f>COUNTIF(Vertices[Betweenness Centrality],"&gt;= "&amp;J42)-COUNTIF(Vertices[Betweenness Centrality],"&gt;="&amp;J43)</f>
        <v>0</v>
      </c>
      <c r="L42" s="38">
        <f>L28+($L$50-$L$2)/BinDivisor</f>
        <v>0</v>
      </c>
      <c r="M42" s="39">
        <f>COUNTIF(Vertices[Closeness Centrality],"&gt;= "&amp;L42)-COUNTIF(Vertices[Closeness Centrality],"&gt;="&amp;L43)</f>
        <v>0</v>
      </c>
      <c r="N42" s="38">
        <f>N28+($N$50-$N$2)/BinDivisor</f>
        <v>0</v>
      </c>
      <c r="O42" s="39">
        <f>COUNTIF(Vertices[Eigenvector Centrality],"&gt;= "&amp;N42)-COUNTIF(Vertices[Eigenvector Centrality],"&gt;="&amp;N43)</f>
        <v>0</v>
      </c>
      <c r="P42" s="38">
        <f>P28+($P$50-$P$2)/BinDivisor</f>
        <v>0</v>
      </c>
      <c r="Q42" s="39">
        <f>COUNTIF(Vertices[PageRank],"&gt;= "&amp;P42)-COUNTIF(Vertices[PageRank],"&gt;="&amp;P43)</f>
        <v>0</v>
      </c>
      <c r="R42" s="38">
        <f>R28+($R$50-$R$2)/BinDivisor</f>
        <v>0</v>
      </c>
      <c r="S42" s="44">
        <f>COUNTIF(Vertices[Clustering Coefficient],"&gt;= "&amp;R42)-COUNTIF(Vertices[Clustering Coefficient],"&gt;="&amp;R43)</f>
        <v>0</v>
      </c>
      <c r="T42" s="38" t="e">
        <f ca="1">T28+($T$50-$T$2)/BinDivisor</f>
        <v>#REF!</v>
      </c>
      <c r="U42" s="39" t="e">
        <f ca="1" t="shared" si="0"/>
        <v>#REF!</v>
      </c>
    </row>
    <row r="43" spans="1:21" ht="15">
      <c r="A43" s="35"/>
      <c r="B43" s="35"/>
      <c r="D43" s="33">
        <f aca="true" t="shared" si="10" ref="D43:D49">D42+($D$50-$D$2)/BinDivisor</f>
        <v>0</v>
      </c>
      <c r="E43" s="3">
        <f>COUNTIF(Vertices[Degree],"&gt;= "&amp;D43)-COUNTIF(Vertices[Degree],"&gt;="&amp;D44)</f>
        <v>0</v>
      </c>
      <c r="F43" s="40">
        <f aca="true" t="shared" si="11" ref="F43:F49">F42+($F$50-$F$2)/BinDivisor</f>
        <v>0</v>
      </c>
      <c r="G43" s="41">
        <f>COUNTIF(Vertices[In-Degree],"&gt;= "&amp;F43)-COUNTIF(Vertices[In-Degree],"&gt;="&amp;F44)</f>
        <v>0</v>
      </c>
      <c r="H43" s="40">
        <f aca="true" t="shared" si="12" ref="H43:H49">H42+($H$50-$H$2)/BinDivisor</f>
        <v>0</v>
      </c>
      <c r="I43" s="41">
        <f>COUNTIF(Vertices[Out-Degree],"&gt;= "&amp;H43)-COUNTIF(Vertices[Out-Degree],"&gt;="&amp;H44)</f>
        <v>0</v>
      </c>
      <c r="J43" s="40">
        <f aca="true" t="shared" si="13" ref="J43:J49">J42+($J$50-$J$2)/BinDivisor</f>
        <v>0</v>
      </c>
      <c r="K43" s="41">
        <f>COUNTIF(Vertices[Betweenness Centrality],"&gt;= "&amp;J43)-COUNTIF(Vertices[Betweenness Centrality],"&gt;="&amp;J44)</f>
        <v>0</v>
      </c>
      <c r="L43" s="40">
        <f aca="true" t="shared" si="14" ref="L43:L49">L42+($L$50-$L$2)/BinDivisor</f>
        <v>0</v>
      </c>
      <c r="M43" s="41">
        <f>COUNTIF(Vertices[Closeness Centrality],"&gt;= "&amp;L43)-COUNTIF(Vertices[Closeness Centrality],"&gt;="&amp;L44)</f>
        <v>0</v>
      </c>
      <c r="N43" s="40">
        <f aca="true" t="shared" si="15" ref="N43:N49">N42+($N$50-$N$2)/BinDivisor</f>
        <v>0</v>
      </c>
      <c r="O43" s="41">
        <f>COUNTIF(Vertices[Eigenvector Centrality],"&gt;= "&amp;N43)-COUNTIF(Vertices[Eigenvector Centrality],"&gt;="&amp;N44)</f>
        <v>0</v>
      </c>
      <c r="P43" s="40">
        <f aca="true" t="shared" si="16" ref="P43:P49">P42+($P$50-$P$2)/BinDivisor</f>
        <v>0</v>
      </c>
      <c r="Q43" s="41">
        <f>COUNTIF(Vertices[PageRank],"&gt;= "&amp;P43)-COUNTIF(Vertices[PageRank],"&gt;="&amp;P44)</f>
        <v>0</v>
      </c>
      <c r="R43" s="40">
        <f aca="true" t="shared" si="17" ref="R43:R49">R42+($R$50-$R$2)/BinDivisor</f>
        <v>0</v>
      </c>
      <c r="S43" s="45">
        <f>COUNTIF(Vertices[Clustering Coefficient],"&gt;= "&amp;R43)-COUNTIF(Vertices[Clustering Coefficient],"&gt;="&amp;R44)</f>
        <v>0</v>
      </c>
      <c r="T43" s="40" t="e">
        <f aca="true" t="shared" si="18" ref="T43:T49">T42+($T$50-$T$2)/BinDivisor</f>
        <v>#REF!</v>
      </c>
      <c r="U43" s="41" t="e">
        <f ca="1" t="shared" si="0"/>
        <v>#REF!</v>
      </c>
    </row>
    <row r="44" spans="1:21" ht="15">
      <c r="A44" s="35"/>
      <c r="B44" s="35"/>
      <c r="D44" s="33">
        <f t="shared" si="10"/>
        <v>0</v>
      </c>
      <c r="E44" s="3">
        <f>COUNTIF(Vertices[Degree],"&gt;= "&amp;D44)-COUNTIF(Vertices[Degree],"&gt;="&amp;D45)</f>
        <v>0</v>
      </c>
      <c r="F44" s="38">
        <f t="shared" si="11"/>
        <v>0</v>
      </c>
      <c r="G44" s="39">
        <f>COUNTIF(Vertices[In-Degree],"&gt;= "&amp;F44)-COUNTIF(Vertices[In-Degree],"&gt;="&amp;F45)</f>
        <v>0</v>
      </c>
      <c r="H44" s="38">
        <f t="shared" si="12"/>
        <v>0</v>
      </c>
      <c r="I44" s="39">
        <f>COUNTIF(Vertices[Out-Degree],"&gt;= "&amp;H44)-COUNTIF(Vertices[Out-Degree],"&gt;="&amp;H45)</f>
        <v>0</v>
      </c>
      <c r="J44" s="38">
        <f t="shared" si="13"/>
        <v>0</v>
      </c>
      <c r="K44" s="39">
        <f>COUNTIF(Vertices[Betweenness Centrality],"&gt;= "&amp;J44)-COUNTIF(Vertices[Betweenness Centrality],"&gt;="&amp;J45)</f>
        <v>0</v>
      </c>
      <c r="L44" s="38">
        <f t="shared" si="14"/>
        <v>0</v>
      </c>
      <c r="M44" s="39">
        <f>COUNTIF(Vertices[Closeness Centrality],"&gt;= "&amp;L44)-COUNTIF(Vertices[Closeness Centrality],"&gt;="&amp;L45)</f>
        <v>0</v>
      </c>
      <c r="N44" s="38">
        <f t="shared" si="15"/>
        <v>0</v>
      </c>
      <c r="O44" s="39">
        <f>COUNTIF(Vertices[Eigenvector Centrality],"&gt;= "&amp;N44)-COUNTIF(Vertices[Eigenvector Centrality],"&gt;="&amp;N45)</f>
        <v>0</v>
      </c>
      <c r="P44" s="38">
        <f t="shared" si="16"/>
        <v>0</v>
      </c>
      <c r="Q44" s="39">
        <f>COUNTIF(Vertices[PageRank],"&gt;= "&amp;P44)-COUNTIF(Vertices[PageRank],"&gt;="&amp;P45)</f>
        <v>0</v>
      </c>
      <c r="R44" s="38">
        <f t="shared" si="17"/>
        <v>0</v>
      </c>
      <c r="S44" s="44">
        <f>COUNTIF(Vertices[Clustering Coefficient],"&gt;= "&amp;R44)-COUNTIF(Vertices[Clustering Coefficient],"&gt;="&amp;R45)</f>
        <v>0</v>
      </c>
      <c r="T44" s="38" t="e">
        <f ca="1" t="shared" si="18"/>
        <v>#REF!</v>
      </c>
      <c r="U44" s="39" t="e">
        <f ca="1" t="shared" si="0"/>
        <v>#REF!</v>
      </c>
    </row>
    <row r="45" spans="1:21" ht="15">
      <c r="A45" s="35"/>
      <c r="B45" s="35"/>
      <c r="D45" s="33">
        <f t="shared" si="10"/>
        <v>0</v>
      </c>
      <c r="E45" s="3">
        <f>COUNTIF(Vertices[Degree],"&gt;= "&amp;D45)-COUNTIF(Vertices[Degree],"&gt;="&amp;D46)</f>
        <v>0</v>
      </c>
      <c r="F45" s="40">
        <f t="shared" si="11"/>
        <v>0</v>
      </c>
      <c r="G45" s="41">
        <f>COUNTIF(Vertices[In-Degree],"&gt;= "&amp;F45)-COUNTIF(Vertices[In-Degree],"&gt;="&amp;F46)</f>
        <v>0</v>
      </c>
      <c r="H45" s="40">
        <f t="shared" si="12"/>
        <v>0</v>
      </c>
      <c r="I45" s="41">
        <f>COUNTIF(Vertices[Out-Degree],"&gt;= "&amp;H45)-COUNTIF(Vertices[Out-Degree],"&gt;="&amp;H46)</f>
        <v>0</v>
      </c>
      <c r="J45" s="40">
        <f t="shared" si="13"/>
        <v>0</v>
      </c>
      <c r="K45" s="41">
        <f>COUNTIF(Vertices[Betweenness Centrality],"&gt;= "&amp;J45)-COUNTIF(Vertices[Betweenness Centrality],"&gt;="&amp;J46)</f>
        <v>0</v>
      </c>
      <c r="L45" s="40">
        <f t="shared" si="14"/>
        <v>0</v>
      </c>
      <c r="M45" s="41">
        <f>COUNTIF(Vertices[Closeness Centrality],"&gt;= "&amp;L45)-COUNTIF(Vertices[Closeness Centrality],"&gt;="&amp;L46)</f>
        <v>0</v>
      </c>
      <c r="N45" s="40">
        <f t="shared" si="15"/>
        <v>0</v>
      </c>
      <c r="O45" s="41">
        <f>COUNTIF(Vertices[Eigenvector Centrality],"&gt;= "&amp;N45)-COUNTIF(Vertices[Eigenvector Centrality],"&gt;="&amp;N46)</f>
        <v>0</v>
      </c>
      <c r="P45" s="40">
        <f t="shared" si="16"/>
        <v>0</v>
      </c>
      <c r="Q45" s="41">
        <f>COUNTIF(Vertices[PageRank],"&gt;= "&amp;P45)-COUNTIF(Vertices[PageRank],"&gt;="&amp;P46)</f>
        <v>0</v>
      </c>
      <c r="R45" s="40">
        <f t="shared" si="17"/>
        <v>0</v>
      </c>
      <c r="S45" s="45">
        <f>COUNTIF(Vertices[Clustering Coefficient],"&gt;= "&amp;R45)-COUNTIF(Vertices[Clustering Coefficient],"&gt;="&amp;R46)</f>
        <v>0</v>
      </c>
      <c r="T45" s="40" t="e">
        <f ca="1" t="shared" si="18"/>
        <v>#REF!</v>
      </c>
      <c r="U45" s="41" t="e">
        <f ca="1" t="shared" si="0"/>
        <v>#REF!</v>
      </c>
    </row>
    <row r="46" spans="1:21" ht="15">
      <c r="A46" s="35"/>
      <c r="B46" s="35"/>
      <c r="D46" s="33">
        <f t="shared" si="10"/>
        <v>0</v>
      </c>
      <c r="E46" s="3">
        <f>COUNTIF(Vertices[Degree],"&gt;= "&amp;D46)-COUNTIF(Vertices[Degree],"&gt;="&amp;D47)</f>
        <v>0</v>
      </c>
      <c r="F46" s="38">
        <f t="shared" si="11"/>
        <v>0</v>
      </c>
      <c r="G46" s="39">
        <f>COUNTIF(Vertices[In-Degree],"&gt;= "&amp;F46)-COUNTIF(Vertices[In-Degree],"&gt;="&amp;F47)</f>
        <v>0</v>
      </c>
      <c r="H46" s="38">
        <f t="shared" si="12"/>
        <v>0</v>
      </c>
      <c r="I46" s="39">
        <f>COUNTIF(Vertices[Out-Degree],"&gt;= "&amp;H46)-COUNTIF(Vertices[Out-Degree],"&gt;="&amp;H47)</f>
        <v>0</v>
      </c>
      <c r="J46" s="38">
        <f t="shared" si="13"/>
        <v>0</v>
      </c>
      <c r="K46" s="39">
        <f>COUNTIF(Vertices[Betweenness Centrality],"&gt;= "&amp;J46)-COUNTIF(Vertices[Betweenness Centrality],"&gt;="&amp;J47)</f>
        <v>0</v>
      </c>
      <c r="L46" s="38">
        <f t="shared" si="14"/>
        <v>0</v>
      </c>
      <c r="M46" s="39">
        <f>COUNTIF(Vertices[Closeness Centrality],"&gt;= "&amp;L46)-COUNTIF(Vertices[Closeness Centrality],"&gt;="&amp;L47)</f>
        <v>0</v>
      </c>
      <c r="N46" s="38">
        <f t="shared" si="15"/>
        <v>0</v>
      </c>
      <c r="O46" s="39">
        <f>COUNTIF(Vertices[Eigenvector Centrality],"&gt;= "&amp;N46)-COUNTIF(Vertices[Eigenvector Centrality],"&gt;="&amp;N47)</f>
        <v>0</v>
      </c>
      <c r="P46" s="38">
        <f t="shared" si="16"/>
        <v>0</v>
      </c>
      <c r="Q46" s="39">
        <f>COUNTIF(Vertices[PageRank],"&gt;= "&amp;P46)-COUNTIF(Vertices[PageRank],"&gt;="&amp;P47)</f>
        <v>0</v>
      </c>
      <c r="R46" s="38">
        <f t="shared" si="17"/>
        <v>0</v>
      </c>
      <c r="S46" s="44">
        <f>COUNTIF(Vertices[Clustering Coefficient],"&gt;= "&amp;R46)-COUNTIF(Vertices[Clustering Coefficient],"&gt;="&amp;R47)</f>
        <v>0</v>
      </c>
      <c r="T46" s="38" t="e">
        <f ca="1" t="shared" si="18"/>
        <v>#REF!</v>
      </c>
      <c r="U46" s="39" t="e">
        <f ca="1" t="shared" si="0"/>
        <v>#REF!</v>
      </c>
    </row>
    <row r="47" spans="1:21" ht="15">
      <c r="A47" s="35"/>
      <c r="B47" s="35"/>
      <c r="D47" s="33">
        <f t="shared" si="10"/>
        <v>0</v>
      </c>
      <c r="E47" s="3">
        <f>COUNTIF(Vertices[Degree],"&gt;= "&amp;D47)-COUNTIF(Vertices[Degree],"&gt;="&amp;D48)</f>
        <v>0</v>
      </c>
      <c r="F47" s="40">
        <f t="shared" si="11"/>
        <v>0</v>
      </c>
      <c r="G47" s="41">
        <f>COUNTIF(Vertices[In-Degree],"&gt;= "&amp;F47)-COUNTIF(Vertices[In-Degree],"&gt;="&amp;F48)</f>
        <v>0</v>
      </c>
      <c r="H47" s="40">
        <f t="shared" si="12"/>
        <v>0</v>
      </c>
      <c r="I47" s="41">
        <f>COUNTIF(Vertices[Out-Degree],"&gt;= "&amp;H47)-COUNTIF(Vertices[Out-Degree],"&gt;="&amp;H48)</f>
        <v>0</v>
      </c>
      <c r="J47" s="40">
        <f t="shared" si="13"/>
        <v>0</v>
      </c>
      <c r="K47" s="41">
        <f>COUNTIF(Vertices[Betweenness Centrality],"&gt;= "&amp;J47)-COUNTIF(Vertices[Betweenness Centrality],"&gt;="&amp;J48)</f>
        <v>0</v>
      </c>
      <c r="L47" s="40">
        <f t="shared" si="14"/>
        <v>0</v>
      </c>
      <c r="M47" s="41">
        <f>COUNTIF(Vertices[Closeness Centrality],"&gt;= "&amp;L47)-COUNTIF(Vertices[Closeness Centrality],"&gt;="&amp;L48)</f>
        <v>0</v>
      </c>
      <c r="N47" s="40">
        <f t="shared" si="15"/>
        <v>0</v>
      </c>
      <c r="O47" s="41">
        <f>COUNTIF(Vertices[Eigenvector Centrality],"&gt;= "&amp;N47)-COUNTIF(Vertices[Eigenvector Centrality],"&gt;="&amp;N48)</f>
        <v>0</v>
      </c>
      <c r="P47" s="40">
        <f t="shared" si="16"/>
        <v>0</v>
      </c>
      <c r="Q47" s="41">
        <f>COUNTIF(Vertices[PageRank],"&gt;= "&amp;P47)-COUNTIF(Vertices[PageRank],"&gt;="&amp;P48)</f>
        <v>0</v>
      </c>
      <c r="R47" s="40">
        <f t="shared" si="17"/>
        <v>0</v>
      </c>
      <c r="S47" s="45">
        <f>COUNTIF(Vertices[Clustering Coefficient],"&gt;= "&amp;R47)-COUNTIF(Vertices[Clustering Coefficient],"&gt;="&amp;R48)</f>
        <v>0</v>
      </c>
      <c r="T47" s="40" t="e">
        <f ca="1" t="shared" si="18"/>
        <v>#REF!</v>
      </c>
      <c r="U47" s="41" t="e">
        <f ca="1" t="shared" si="0"/>
        <v>#REF!</v>
      </c>
    </row>
    <row r="48" spans="1:21" ht="15">
      <c r="A48" s="35"/>
      <c r="B48" s="35"/>
      <c r="D48" s="33">
        <f t="shared" si="10"/>
        <v>0</v>
      </c>
      <c r="E48" s="3">
        <f>COUNTIF(Vertices[Degree],"&gt;= "&amp;D48)-COUNTIF(Vertices[Degree],"&gt;="&amp;D49)</f>
        <v>0</v>
      </c>
      <c r="F48" s="38">
        <f t="shared" si="11"/>
        <v>0</v>
      </c>
      <c r="G48" s="39">
        <f>COUNTIF(Vertices[In-Degree],"&gt;= "&amp;F48)-COUNTIF(Vertices[In-Degree],"&gt;="&amp;F49)</f>
        <v>0</v>
      </c>
      <c r="H48" s="38">
        <f t="shared" si="12"/>
        <v>0</v>
      </c>
      <c r="I48" s="39">
        <f>COUNTIF(Vertices[Out-Degree],"&gt;= "&amp;H48)-COUNTIF(Vertices[Out-Degree],"&gt;="&amp;H49)</f>
        <v>0</v>
      </c>
      <c r="J48" s="38">
        <f t="shared" si="13"/>
        <v>0</v>
      </c>
      <c r="K48" s="39">
        <f>COUNTIF(Vertices[Betweenness Centrality],"&gt;= "&amp;J48)-COUNTIF(Vertices[Betweenness Centrality],"&gt;="&amp;J49)</f>
        <v>0</v>
      </c>
      <c r="L48" s="38">
        <f t="shared" si="14"/>
        <v>0</v>
      </c>
      <c r="M48" s="39">
        <f>COUNTIF(Vertices[Closeness Centrality],"&gt;= "&amp;L48)-COUNTIF(Vertices[Closeness Centrality],"&gt;="&amp;L49)</f>
        <v>0</v>
      </c>
      <c r="N48" s="38">
        <f t="shared" si="15"/>
        <v>0</v>
      </c>
      <c r="O48" s="39">
        <f>COUNTIF(Vertices[Eigenvector Centrality],"&gt;= "&amp;N48)-COUNTIF(Vertices[Eigenvector Centrality],"&gt;="&amp;N49)</f>
        <v>0</v>
      </c>
      <c r="P48" s="38">
        <f t="shared" si="16"/>
        <v>0</v>
      </c>
      <c r="Q48" s="39">
        <f>COUNTIF(Vertices[PageRank],"&gt;= "&amp;P48)-COUNTIF(Vertices[PageRank],"&gt;="&amp;P49)</f>
        <v>0</v>
      </c>
      <c r="R48" s="38">
        <f t="shared" si="17"/>
        <v>0</v>
      </c>
      <c r="S48" s="44">
        <f>COUNTIF(Vertices[Clustering Coefficient],"&gt;= "&amp;R48)-COUNTIF(Vertices[Clustering Coefficient],"&gt;="&amp;R49)</f>
        <v>0</v>
      </c>
      <c r="T48" s="38" t="e">
        <f ca="1" t="shared" si="18"/>
        <v>#REF!</v>
      </c>
      <c r="U48" s="39" t="e">
        <f ca="1" t="shared" si="0"/>
        <v>#REF!</v>
      </c>
    </row>
    <row r="49" spans="1:21" ht="15">
      <c r="A49" s="35"/>
      <c r="B49" s="35"/>
      <c r="D49" s="33">
        <f t="shared" si="10"/>
        <v>0</v>
      </c>
      <c r="E49" s="3">
        <f>COUNTIF(Vertices[Degree],"&gt;= "&amp;D49)-COUNTIF(Vertices[Degree],"&gt;="&amp;#REF!)</f>
        <v>0</v>
      </c>
      <c r="F49" s="40">
        <f t="shared" si="11"/>
        <v>0</v>
      </c>
      <c r="G49" s="41">
        <f>COUNTIF(Vertices[In-Degree],"&gt;= "&amp;F49)-COUNTIF(Vertices[In-Degree],"&gt;="&amp;#REF!)</f>
        <v>0</v>
      </c>
      <c r="H49" s="40">
        <f t="shared" si="12"/>
        <v>0</v>
      </c>
      <c r="I49" s="41">
        <f>COUNTIF(Vertices[Out-Degree],"&gt;= "&amp;H49)-COUNTIF(Vertices[Out-Degree],"&gt;="&amp;#REF!)</f>
        <v>0</v>
      </c>
      <c r="J49" s="40">
        <f t="shared" si="13"/>
        <v>0</v>
      </c>
      <c r="K49" s="41">
        <f>COUNTIF(Vertices[Betweenness Centrality],"&gt;= "&amp;J49)-COUNTIF(Vertices[Betweenness Centrality],"&gt;="&amp;#REF!)</f>
        <v>0</v>
      </c>
      <c r="L49" s="40">
        <f t="shared" si="14"/>
        <v>0</v>
      </c>
      <c r="M49" s="41">
        <f>COUNTIF(Vertices[Closeness Centrality],"&gt;= "&amp;L49)-COUNTIF(Vertices[Closeness Centrality],"&gt;="&amp;#REF!)</f>
        <v>0</v>
      </c>
      <c r="N49" s="40">
        <f t="shared" si="15"/>
        <v>0</v>
      </c>
      <c r="O49" s="41">
        <f>COUNTIF(Vertices[Eigenvector Centrality],"&gt;= "&amp;N49)-COUNTIF(Vertices[Eigenvector Centrality],"&gt;="&amp;#REF!)</f>
        <v>0</v>
      </c>
      <c r="P49" s="40">
        <f t="shared" si="16"/>
        <v>0</v>
      </c>
      <c r="Q49" s="41">
        <f>COUNTIF(Vertices[PageRank],"&gt;= "&amp;P49)-COUNTIF(Vertices[PageRank],"&gt;="&amp;#REF!)</f>
        <v>0</v>
      </c>
      <c r="R49" s="40">
        <f t="shared" si="17"/>
        <v>0</v>
      </c>
      <c r="S49" s="45">
        <f>COUNTIF(Vertices[Clustering Coefficient],"&gt;= "&amp;R49)-COUNTIF(Vertices[Clustering Coefficient],"&gt;="&amp;#REF!)</f>
        <v>0</v>
      </c>
      <c r="T49" s="40" t="e">
        <f ca="1" t="shared" si="18"/>
        <v>#REF!</v>
      </c>
      <c r="U49" s="41" t="e">
        <f ca="1">COUNTIF(INDIRECT(DynamicFilterSourceColumnRange),"&gt;= "&amp;T49)-COUNTIF(INDIRECT(DynamicFilterSourceColumnRange),"&gt;="&amp;#REF!)</f>
        <v>#REF!</v>
      </c>
    </row>
    <row r="50" spans="4:21" ht="15">
      <c r="D50" s="33">
        <f>MAX(Vertices[Degree])</f>
        <v>0</v>
      </c>
      <c r="E50" s="3">
        <f>COUNTIF(Vertices[Degree],"&gt;= "&amp;D50)-COUNTIF(Vertices[Degree],"&gt;="&amp;#REF!)</f>
        <v>0</v>
      </c>
      <c r="F50" s="42">
        <f>MAX(Vertices[In-Degree])</f>
        <v>0</v>
      </c>
      <c r="G50" s="43">
        <f>COUNTIF(Vertices[In-Degree],"&gt;= "&amp;F50)-COUNTIF(Vertices[In-Degree],"&gt;="&amp;#REF!)</f>
        <v>0</v>
      </c>
      <c r="H50" s="42">
        <f>MAX(Vertices[Out-Degree])</f>
        <v>0</v>
      </c>
      <c r="I50" s="43">
        <f>COUNTIF(Vertices[Out-Degree],"&gt;= "&amp;H50)-COUNTIF(Vertices[Out-Degree],"&gt;="&amp;#REF!)</f>
        <v>0</v>
      </c>
      <c r="J50" s="42">
        <f>MAX(Vertices[Betweenness Centrality])</f>
        <v>0</v>
      </c>
      <c r="K50" s="43">
        <f>COUNTIF(Vertices[Betweenness Centrality],"&gt;= "&amp;J50)-COUNTIF(Vertices[Betweenness Centrality],"&gt;="&amp;#REF!)</f>
        <v>0</v>
      </c>
      <c r="L50" s="42">
        <f>MAX(Vertices[Closeness Centrality])</f>
        <v>0</v>
      </c>
      <c r="M50" s="43">
        <f>COUNTIF(Vertices[Closeness Centrality],"&gt;= "&amp;L50)-COUNTIF(Vertices[Closeness Centrality],"&gt;="&amp;#REF!)</f>
        <v>0</v>
      </c>
      <c r="N50" s="42">
        <f>MAX(Vertices[Eigenvector Centrality])</f>
        <v>0</v>
      </c>
      <c r="O50" s="43">
        <f>COUNTIF(Vertices[Eigenvector Centrality],"&gt;= "&amp;N50)-COUNTIF(Vertices[Eigenvector Centrality],"&gt;="&amp;#REF!)</f>
        <v>0</v>
      </c>
      <c r="P50" s="42">
        <f>MAX(Vertices[PageRank])</f>
        <v>0</v>
      </c>
      <c r="Q50" s="43">
        <f>COUNTIF(Vertices[PageRank],"&gt;= "&amp;P50)-COUNTIF(Vertices[PageRank],"&gt;="&amp;#REF!)</f>
        <v>0</v>
      </c>
      <c r="R50" s="42">
        <f>MAX(Vertices[Clustering Coefficient])</f>
        <v>0</v>
      </c>
      <c r="S50" s="46">
        <f>COUNTIF(Vertices[Clustering Coefficient],"&gt;= "&amp;R50)-COUNTIF(Vertices[Clustering Coefficient],"&gt;="&amp;#REF!)</f>
        <v>0</v>
      </c>
      <c r="T50" s="42" t="e">
        <f ca="1">MAX(INDIRECT(DynamicFilterSourceColumnRange))</f>
        <v>#REF!</v>
      </c>
      <c r="U50" s="43" t="e">
        <f ca="1">COUNTIF(INDIRECT(DynamicFilterSourceColumnRange),"&gt;= "&amp;T50)-COUNTIF(INDIRECT(DynamicFilterSourceColumnRange),"&gt;="&amp;#REF!)</f>
        <v>#REF!</v>
      </c>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IF(COUNT(Vertices[Degree])&gt;0,D50,NoMetricMessage)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t="str">
        <f>IF(COUNT(Vertices[In-Degree])&gt;0,F2,NoMetricMessage)</f>
        <v>Not Available</v>
      </c>
    </row>
    <row r="81" spans="1:2" ht="15">
      <c r="A81" s="34" t="s">
        <v>89</v>
      </c>
      <c r="B81" s="47" t="str">
        <f>IF(COUNT(Vertices[In-Degree])&gt;0,F50,NoMetricMessage)</f>
        <v>Not Available</v>
      </c>
    </row>
    <row r="82" spans="1:2" ht="15">
      <c r="A82" s="34" t="s">
        <v>90</v>
      </c>
      <c r="B82" s="48" t="str">
        <f>_xlfn.IFERROR(AVERAGE(Vertices[In-Degree]),NoMetricMessage)</f>
        <v>Not Available</v>
      </c>
    </row>
    <row r="83" spans="1:2" ht="15">
      <c r="A83" s="34" t="s">
        <v>91</v>
      </c>
      <c r="B83" s="48" t="str">
        <f>_xlfn.IFERROR(MEDIAN(Vertices[In-Degree]),NoMetricMessage)</f>
        <v>Not Available</v>
      </c>
    </row>
    <row r="94" spans="1:2" ht="15">
      <c r="A94" s="34" t="s">
        <v>94</v>
      </c>
      <c r="B94" s="47" t="str">
        <f>IF(COUNT(Vertices[Out-Degree])&gt;0,H2,NoMetricMessage)</f>
        <v>Not Available</v>
      </c>
    </row>
    <row r="95" spans="1:2" ht="15">
      <c r="A95" s="34" t="s">
        <v>95</v>
      </c>
      <c r="B95" s="47" t="str">
        <f>IF(COUNT(Vertices[Out-Degree])&gt;0,H50,NoMetricMessage)</f>
        <v>Not Available</v>
      </c>
    </row>
    <row r="96" spans="1:2" ht="15">
      <c r="A96" s="34" t="s">
        <v>96</v>
      </c>
      <c r="B96" s="48" t="str">
        <f>_xlfn.IFERROR(AVERAGE(Vertices[Out-Degree]),NoMetricMessage)</f>
        <v>Not Available</v>
      </c>
    </row>
    <row r="97" spans="1:2" ht="15">
      <c r="A97" s="34" t="s">
        <v>97</v>
      </c>
      <c r="B97" s="48" t="str">
        <f>_xlfn.IFERROR(MEDIAN(Vertices[Out-Degree]),NoMetricMessage)</f>
        <v>Not Available</v>
      </c>
    </row>
    <row r="108" spans="1:2" ht="15">
      <c r="A108" s="34" t="s">
        <v>100</v>
      </c>
      <c r="B108" s="48" t="str">
        <f>IF(COUNT(Vertices[Betweenness Centrality])&gt;0,J2,NoMetricMessage)</f>
        <v>Not Available</v>
      </c>
    </row>
    <row r="109" spans="1:2" ht="15">
      <c r="A109" s="34" t="s">
        <v>101</v>
      </c>
      <c r="B109" s="48" t="str">
        <f>IF(COUNT(Vertices[Betweenness Centrality])&gt;0,J50,NoMetricMessage)</f>
        <v>Not Available</v>
      </c>
    </row>
    <row r="110" spans="1:2" ht="15">
      <c r="A110" s="34" t="s">
        <v>102</v>
      </c>
      <c r="B110" s="48" t="str">
        <f>_xlfn.IFERROR(AVERAGE(Vertices[Betweenness Centrality]),NoMetricMessage)</f>
        <v>Not Available</v>
      </c>
    </row>
    <row r="111" spans="1:2" ht="15">
      <c r="A111" s="34" t="s">
        <v>103</v>
      </c>
      <c r="B111" s="48" t="str">
        <f>_xlfn.IFERROR(MEDIAN(Vertices[Betweenness Centrality]),NoMetricMessage)</f>
        <v>Not Available</v>
      </c>
    </row>
    <row r="122" spans="1:2" ht="15">
      <c r="A122" s="34" t="s">
        <v>106</v>
      </c>
      <c r="B122" s="48" t="str">
        <f>IF(COUNT(Vertices[Closeness Centrality])&gt;0,L2,NoMetricMessage)</f>
        <v>Not Available</v>
      </c>
    </row>
    <row r="123" spans="1:2" ht="15">
      <c r="A123" s="34" t="s">
        <v>107</v>
      </c>
      <c r="B123" s="48" t="str">
        <f>IF(COUNT(Vertices[Closeness Centrality])&gt;0,L50,NoMetricMessage)</f>
        <v>Not Available</v>
      </c>
    </row>
    <row r="124" spans="1:2" ht="15">
      <c r="A124" s="34" t="s">
        <v>108</v>
      </c>
      <c r="B124" s="48" t="str">
        <f>_xlfn.IFERROR(AVERAGE(Vertices[Closeness Centrality]),NoMetricMessage)</f>
        <v>Not Available</v>
      </c>
    </row>
    <row r="125" spans="1:2" ht="15">
      <c r="A125" s="34" t="s">
        <v>109</v>
      </c>
      <c r="B125" s="48" t="str">
        <f>_xlfn.IFERROR(MEDIAN(Vertices[Closeness Centrality]),NoMetricMessage)</f>
        <v>Not Available</v>
      </c>
    </row>
    <row r="136" spans="1:2" ht="15">
      <c r="A136" s="34" t="s">
        <v>112</v>
      </c>
      <c r="B136" s="48" t="str">
        <f>IF(COUNT(Vertices[Eigenvector Centrality])&gt;0,N2,NoMetricMessage)</f>
        <v>Not Available</v>
      </c>
    </row>
    <row r="137" spans="1:2" ht="15">
      <c r="A137" s="34" t="s">
        <v>113</v>
      </c>
      <c r="B137" s="48" t="str">
        <f>IF(COUNT(Vertices[Eigenvector Centrality])&gt;0,N50,NoMetricMessage)</f>
        <v>Not Available</v>
      </c>
    </row>
    <row r="138" spans="1:2" ht="15">
      <c r="A138" s="34" t="s">
        <v>114</v>
      </c>
      <c r="B138" s="48" t="str">
        <f>_xlfn.IFERROR(AVERAGE(Vertices[Eigenvector Centrality]),NoMetricMessage)</f>
        <v>Not Available</v>
      </c>
    </row>
    <row r="139" spans="1:2" ht="15">
      <c r="A139" s="34" t="s">
        <v>115</v>
      </c>
      <c r="B139" s="48" t="str">
        <f>_xlfn.IFERROR(MEDIAN(Vertices[Eigenvector Centrality]),NoMetricMessage)</f>
        <v>Not Available</v>
      </c>
    </row>
    <row r="150" spans="1:2" ht="15">
      <c r="A150" s="34" t="s">
        <v>140</v>
      </c>
      <c r="B150" s="48" t="str">
        <f>IF(COUNT(Vertices[PageRank])&gt;0,P2,NoMetricMessage)</f>
        <v>Not Available</v>
      </c>
    </row>
    <row r="151" spans="1:2" ht="15">
      <c r="A151" s="34" t="s">
        <v>141</v>
      </c>
      <c r="B151" s="48" t="str">
        <f>IF(COUNT(Vertices[PageRank])&gt;0,P50,NoMetricMessage)</f>
        <v>Not Available</v>
      </c>
    </row>
    <row r="152" spans="1:2" ht="15">
      <c r="A152" s="34" t="s">
        <v>142</v>
      </c>
      <c r="B152" s="48" t="str">
        <f>_xlfn.IFERROR(AVERAGE(Vertices[PageRank]),NoMetricMessage)</f>
        <v>Not Available</v>
      </c>
    </row>
    <row r="153" spans="1:2" ht="15">
      <c r="A153" s="34" t="s">
        <v>143</v>
      </c>
      <c r="B153" s="48" t="str">
        <f>_xlfn.IFERROR(MEDIAN(Vertices[PageRank]),NoMetricMessage)</f>
        <v>Not Available</v>
      </c>
    </row>
    <row r="164" spans="1:2" ht="15">
      <c r="A164" s="34" t="s">
        <v>118</v>
      </c>
      <c r="B164" s="48" t="str">
        <f>IF(COUNT(Vertices[Clustering Coefficient])&gt;0,R2,NoMetricMessage)</f>
        <v>Not Available</v>
      </c>
    </row>
    <row r="165" spans="1:2" ht="15">
      <c r="A165" s="34" t="s">
        <v>119</v>
      </c>
      <c r="B165" s="48" t="str">
        <f>IF(COUNT(Vertices[Clustering Coefficient])&gt;0,R50,NoMetricMessage)</f>
        <v>Not Available</v>
      </c>
    </row>
    <row r="166" spans="1:2" ht="15">
      <c r="A166" s="34" t="s">
        <v>120</v>
      </c>
      <c r="B166" s="48" t="str">
        <f>_xlfn.IFERROR(AVERAGE(Vertices[Clustering Coefficient]),NoMetricMessage)</f>
        <v>Not Available</v>
      </c>
    </row>
    <row r="167" spans="1:2" ht="15">
      <c r="A167" s="34" t="s">
        <v>121</v>
      </c>
      <c r="B167" s="48"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6"/>
    <tablePart r:id="rId5"/>
    <tablePart r:id="rId3"/>
    <tablePart r:id="rId4"/>
  </tablePar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customWidth="1"/>
    <col min="4" max="4" width="8.7109375" style="2" customWidth="1"/>
    <col min="5" max="5" width="7.7109375" style="2" customWidth="1"/>
    <col min="6" max="6" width="9.8515625" style="2" customWidth="1"/>
    <col min="7" max="7" width="11.00390625" style="3" customWidth="1"/>
    <col min="8" max="8" width="8.00390625" style="1" customWidth="1"/>
    <col min="9" max="9" width="12.28125" style="3" customWidth="1"/>
    <col min="10" max="10" width="12.421875" style="3" customWidth="1"/>
    <col min="11" max="11" width="15.57421875" style="3" customWidth="1"/>
    <col min="12" max="12" width="11.00390625" style="0" customWidth="1"/>
    <col min="13" max="13" width="10.8515625" style="0"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s>
  <sheetData>
    <row r="1" spans="3:14" ht="15">
      <c r="C1" s="17" t="s">
        <v>39</v>
      </c>
      <c r="D1" s="18"/>
      <c r="E1" s="18"/>
      <c r="F1" s="18"/>
      <c r="G1" s="17"/>
      <c r="H1" s="15" t="s">
        <v>43</v>
      </c>
      <c r="I1" s="65"/>
      <c r="J1" s="65"/>
      <c r="K1" s="34" t="s">
        <v>42</v>
      </c>
      <c r="L1" s="19" t="s">
        <v>40</v>
      </c>
      <c r="M1" s="19"/>
      <c r="N1" s="16" t="s">
        <v>41</v>
      </c>
    </row>
    <row r="2" spans="1:57"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315</v>
      </c>
      <c r="BD2" s="13" t="s">
        <v>319</v>
      </c>
      <c r="BE2" s="13" t="s">
        <v>320</v>
      </c>
    </row>
    <row r="3" spans="1:57" ht="15" customHeight="1">
      <c r="A3" s="83" t="s">
        <v>214</v>
      </c>
      <c r="B3" s="83" t="s">
        <v>214</v>
      </c>
      <c r="C3" s="53"/>
      <c r="D3" s="54"/>
      <c r="E3" s="66"/>
      <c r="F3" s="55"/>
      <c r="G3" s="53"/>
      <c r="H3" s="57"/>
      <c r="I3" s="56"/>
      <c r="J3" s="56"/>
      <c r="K3" s="35" t="s">
        <v>65</v>
      </c>
      <c r="L3" s="62">
        <v>3</v>
      </c>
      <c r="M3" s="62"/>
      <c r="N3" s="63"/>
      <c r="O3" s="84" t="s">
        <v>176</v>
      </c>
      <c r="P3" s="86">
        <v>44036.789930555555</v>
      </c>
      <c r="Q3" s="84" t="s">
        <v>221</v>
      </c>
      <c r="R3" s="84"/>
      <c r="S3" s="84"/>
      <c r="T3" s="84" t="s">
        <v>231</v>
      </c>
      <c r="U3" s="84"/>
      <c r="V3" s="89" t="str">
        <f>HYPERLINK("http://pbs.twimg.com/profile_images/919346511/0017_KP_normal.jpg")</f>
        <v>http://pbs.twimg.com/profile_images/919346511/0017_KP_normal.jpg</v>
      </c>
      <c r="W3" s="86">
        <v>44036.789930555555</v>
      </c>
      <c r="X3" s="90">
        <v>44036</v>
      </c>
      <c r="Y3" s="92" t="s">
        <v>238</v>
      </c>
      <c r="Z3" s="89" t="str">
        <f>HYPERLINK("https://twitter.com/#!/queenofmetrics/status/1286737289582915585")</f>
        <v>https://twitter.com/#!/queenofmetrics/status/1286737289582915585</v>
      </c>
      <c r="AA3" s="84"/>
      <c r="AB3" s="84"/>
      <c r="AC3" s="92" t="s">
        <v>245</v>
      </c>
      <c r="AD3" s="84"/>
      <c r="AE3" s="84" t="b">
        <v>0</v>
      </c>
      <c r="AF3" s="84">
        <v>0</v>
      </c>
      <c r="AG3" s="92" t="s">
        <v>246</v>
      </c>
      <c r="AH3" s="84" t="b">
        <v>0</v>
      </c>
      <c r="AI3" s="84" t="s">
        <v>247</v>
      </c>
      <c r="AJ3" s="84"/>
      <c r="AK3" s="92" t="s">
        <v>246</v>
      </c>
      <c r="AL3" s="84" t="b">
        <v>0</v>
      </c>
      <c r="AM3" s="84">
        <v>0</v>
      </c>
      <c r="AN3" s="92" t="s">
        <v>246</v>
      </c>
      <c r="AO3" s="84" t="s">
        <v>249</v>
      </c>
      <c r="AP3" s="84" t="b">
        <v>0</v>
      </c>
      <c r="AQ3" s="92" t="s">
        <v>245</v>
      </c>
      <c r="AR3" s="84" t="s">
        <v>176</v>
      </c>
      <c r="AS3" s="84">
        <v>0</v>
      </c>
      <c r="AT3" s="84">
        <v>0</v>
      </c>
      <c r="AU3" s="84"/>
      <c r="AV3" s="84"/>
      <c r="AW3" s="84"/>
      <c r="AX3" s="84"/>
      <c r="AY3" s="84"/>
      <c r="AZ3" s="84"/>
      <c r="BA3" s="84"/>
      <c r="BB3" s="84"/>
      <c r="BC3">
        <v>7</v>
      </c>
      <c r="BD3" s="84" t="str">
        <f>REPLACE(INDEX(GroupVertices[Group],MATCH(Edges11[[#This Row],[Vertex 1]],GroupVertices[Vertex],0)),1,1,"")</f>
        <v>1</v>
      </c>
      <c r="BE3" s="84" t="str">
        <f>REPLACE(INDEX(GroupVertices[Group],MATCH(Edges11[[#This Row],[Vertex 2]],GroupVertices[Vertex],0)),1,1,"")</f>
        <v>1</v>
      </c>
    </row>
    <row r="4" spans="1:57" ht="15" customHeight="1">
      <c r="A4" s="83" t="s">
        <v>214</v>
      </c>
      <c r="B4" s="83" t="s">
        <v>214</v>
      </c>
      <c r="C4" s="53"/>
      <c r="D4" s="54"/>
      <c r="E4" s="66"/>
      <c r="F4" s="55"/>
      <c r="G4" s="53"/>
      <c r="H4" s="57"/>
      <c r="I4" s="56"/>
      <c r="J4" s="56"/>
      <c r="K4" s="35" t="s">
        <v>65</v>
      </c>
      <c r="L4" s="82">
        <v>4</v>
      </c>
      <c r="M4" s="82"/>
      <c r="N4" s="63"/>
      <c r="O4" s="85" t="s">
        <v>176</v>
      </c>
      <c r="P4" s="87">
        <v>44075.62079861111</v>
      </c>
      <c r="Q4" s="85" t="s">
        <v>215</v>
      </c>
      <c r="R4" s="88" t="str">
        <f>HYPERLINK("http://painepublishing.com/measurementadvisor/re-imagining-communications-for-the-next-decade/")</f>
        <v>http://painepublishing.com/measurementadvisor/re-imagining-communications-for-the-next-decade/</v>
      </c>
      <c r="S4" s="85" t="s">
        <v>223</v>
      </c>
      <c r="T4" s="85" t="s">
        <v>226</v>
      </c>
      <c r="U4" s="85"/>
      <c r="V4" s="88" t="str">
        <f>HYPERLINK("http://pbs.twimg.com/profile_images/919346511/0017_KP_normal.jpg")</f>
        <v>http://pbs.twimg.com/profile_images/919346511/0017_KP_normal.jpg</v>
      </c>
      <c r="W4" s="87">
        <v>44075.62079861111</v>
      </c>
      <c r="X4" s="91">
        <v>44075</v>
      </c>
      <c r="Y4" s="93" t="s">
        <v>232</v>
      </c>
      <c r="Z4" s="88" t="str">
        <f>HYPERLINK("https://twitter.com/#!/queenofmetrics/status/1300809123957821443")</f>
        <v>https://twitter.com/#!/queenofmetrics/status/1300809123957821443</v>
      </c>
      <c r="AA4" s="85"/>
      <c r="AB4" s="85"/>
      <c r="AC4" s="93" t="s">
        <v>239</v>
      </c>
      <c r="AD4" s="85"/>
      <c r="AE4" s="85" t="b">
        <v>0</v>
      </c>
      <c r="AF4" s="85">
        <v>0</v>
      </c>
      <c r="AG4" s="93" t="s">
        <v>246</v>
      </c>
      <c r="AH4" s="85" t="b">
        <v>0</v>
      </c>
      <c r="AI4" s="85" t="s">
        <v>247</v>
      </c>
      <c r="AJ4" s="85"/>
      <c r="AK4" s="93" t="s">
        <v>246</v>
      </c>
      <c r="AL4" s="85" t="b">
        <v>0</v>
      </c>
      <c r="AM4" s="85">
        <v>0</v>
      </c>
      <c r="AN4" s="93" t="s">
        <v>246</v>
      </c>
      <c r="AO4" s="85" t="s">
        <v>248</v>
      </c>
      <c r="AP4" s="85" t="b">
        <v>0</v>
      </c>
      <c r="AQ4" s="93" t="s">
        <v>239</v>
      </c>
      <c r="AR4" s="85" t="s">
        <v>176</v>
      </c>
      <c r="AS4" s="85">
        <v>0</v>
      </c>
      <c r="AT4" s="85">
        <v>0</v>
      </c>
      <c r="AU4" s="85"/>
      <c r="AV4" s="85"/>
      <c r="AW4" s="85"/>
      <c r="AX4" s="85"/>
      <c r="AY4" s="85"/>
      <c r="AZ4" s="85"/>
      <c r="BA4" s="85"/>
      <c r="BB4" s="85"/>
      <c r="BC4">
        <v>7</v>
      </c>
      <c r="BD4" s="84" t="str">
        <f>REPLACE(INDEX(GroupVertices[Group],MATCH(Edges11[[#This Row],[Vertex 1]],GroupVertices[Vertex],0)),1,1,"")</f>
        <v>1</v>
      </c>
      <c r="BE4" s="84" t="str">
        <f>REPLACE(INDEX(GroupVertices[Group],MATCH(Edges11[[#This Row],[Vertex 2]],GroupVertices[Vertex],0)),1,1,"")</f>
        <v>1</v>
      </c>
    </row>
    <row r="5" spans="1:57" ht="15">
      <c r="A5" s="83" t="s">
        <v>214</v>
      </c>
      <c r="B5" s="83" t="s">
        <v>214</v>
      </c>
      <c r="C5" s="53"/>
      <c r="D5" s="54"/>
      <c r="E5" s="66"/>
      <c r="F5" s="55"/>
      <c r="G5" s="53"/>
      <c r="H5" s="57"/>
      <c r="I5" s="56"/>
      <c r="J5" s="56"/>
      <c r="K5" s="35" t="s">
        <v>65</v>
      </c>
      <c r="L5" s="82">
        <v>5</v>
      </c>
      <c r="M5" s="82"/>
      <c r="N5" s="63"/>
      <c r="O5" s="85" t="s">
        <v>176</v>
      </c>
      <c r="P5" s="87">
        <v>44075.85766203704</v>
      </c>
      <c r="Q5" s="85" t="s">
        <v>216</v>
      </c>
      <c r="R5" s="88" t="str">
        <f>HYPERLINK("http://painepublishing.com/measurementadvisor/visualize-your-communications-measurement-dream-job/")</f>
        <v>http://painepublishing.com/measurementadvisor/visualize-your-communications-measurement-dream-job/</v>
      </c>
      <c r="S5" s="85" t="s">
        <v>223</v>
      </c>
      <c r="T5" s="85" t="s">
        <v>227</v>
      </c>
      <c r="U5" s="85"/>
      <c r="V5" s="88" t="str">
        <f>HYPERLINK("http://pbs.twimg.com/profile_images/919346511/0017_KP_normal.jpg")</f>
        <v>http://pbs.twimg.com/profile_images/919346511/0017_KP_normal.jpg</v>
      </c>
      <c r="W5" s="87">
        <v>44075.85766203704</v>
      </c>
      <c r="X5" s="91">
        <v>44075</v>
      </c>
      <c r="Y5" s="93" t="s">
        <v>233</v>
      </c>
      <c r="Z5" s="88" t="str">
        <f>HYPERLINK("https://twitter.com/#!/queenofmetrics/status/1300894960703725578")</f>
        <v>https://twitter.com/#!/queenofmetrics/status/1300894960703725578</v>
      </c>
      <c r="AA5" s="85"/>
      <c r="AB5" s="85"/>
      <c r="AC5" s="93" t="s">
        <v>240</v>
      </c>
      <c r="AD5" s="85"/>
      <c r="AE5" s="85" t="b">
        <v>0</v>
      </c>
      <c r="AF5" s="85">
        <v>1</v>
      </c>
      <c r="AG5" s="93" t="s">
        <v>246</v>
      </c>
      <c r="AH5" s="85" t="b">
        <v>0</v>
      </c>
      <c r="AI5" s="85" t="s">
        <v>247</v>
      </c>
      <c r="AJ5" s="85"/>
      <c r="AK5" s="93" t="s">
        <v>246</v>
      </c>
      <c r="AL5" s="85" t="b">
        <v>0</v>
      </c>
      <c r="AM5" s="85">
        <v>0</v>
      </c>
      <c r="AN5" s="93" t="s">
        <v>246</v>
      </c>
      <c r="AO5" s="85" t="s">
        <v>249</v>
      </c>
      <c r="AP5" s="85" t="b">
        <v>0</v>
      </c>
      <c r="AQ5" s="93" t="s">
        <v>240</v>
      </c>
      <c r="AR5" s="85" t="s">
        <v>176</v>
      </c>
      <c r="AS5" s="85">
        <v>0</v>
      </c>
      <c r="AT5" s="85">
        <v>0</v>
      </c>
      <c r="AU5" s="85"/>
      <c r="AV5" s="85"/>
      <c r="AW5" s="85"/>
      <c r="AX5" s="85"/>
      <c r="AY5" s="85"/>
      <c r="AZ5" s="85"/>
      <c r="BA5" s="85"/>
      <c r="BB5" s="85"/>
      <c r="BC5">
        <v>7</v>
      </c>
      <c r="BD5" s="84" t="str">
        <f>REPLACE(INDEX(GroupVertices[Group],MATCH(Edges11[[#This Row],[Vertex 1]],GroupVertices[Vertex],0)),1,1,"")</f>
        <v>1</v>
      </c>
      <c r="BE5" s="84" t="str">
        <f>REPLACE(INDEX(GroupVertices[Group],MATCH(Edges11[[#This Row],[Vertex 2]],GroupVertices[Vertex],0)),1,1,"")</f>
        <v>1</v>
      </c>
    </row>
    <row r="6" spans="1:57" ht="15">
      <c r="A6" s="83" t="s">
        <v>214</v>
      </c>
      <c r="B6" s="83" t="s">
        <v>214</v>
      </c>
      <c r="C6" s="53"/>
      <c r="D6" s="54"/>
      <c r="E6" s="66"/>
      <c r="F6" s="55"/>
      <c r="G6" s="53"/>
      <c r="H6" s="57"/>
      <c r="I6" s="56"/>
      <c r="J6" s="56"/>
      <c r="K6" s="35" t="s">
        <v>65</v>
      </c>
      <c r="L6" s="82">
        <v>6</v>
      </c>
      <c r="M6" s="82"/>
      <c r="N6" s="63"/>
      <c r="O6" s="85" t="s">
        <v>176</v>
      </c>
      <c r="P6" s="87">
        <v>44076.704375</v>
      </c>
      <c r="Q6" s="85" t="s">
        <v>217</v>
      </c>
      <c r="R6" s="85" t="s">
        <v>222</v>
      </c>
      <c r="S6" s="85" t="s">
        <v>224</v>
      </c>
      <c r="T6" s="85" t="s">
        <v>228</v>
      </c>
      <c r="U6" s="85"/>
      <c r="V6" s="88" t="str">
        <f>HYPERLINK("http://pbs.twimg.com/profile_images/919346511/0017_KP_normal.jpg")</f>
        <v>http://pbs.twimg.com/profile_images/919346511/0017_KP_normal.jpg</v>
      </c>
      <c r="W6" s="87">
        <v>44076.704375</v>
      </c>
      <c r="X6" s="91">
        <v>44076</v>
      </c>
      <c r="Y6" s="93" t="s">
        <v>234</v>
      </c>
      <c r="Z6" s="88" t="str">
        <f>HYPERLINK("https://twitter.com/#!/queenofmetrics/status/1301201798879940609")</f>
        <v>https://twitter.com/#!/queenofmetrics/status/1301201798879940609</v>
      </c>
      <c r="AA6" s="85"/>
      <c r="AB6" s="85"/>
      <c r="AC6" s="93" t="s">
        <v>241</v>
      </c>
      <c r="AD6" s="85"/>
      <c r="AE6" s="85" t="b">
        <v>0</v>
      </c>
      <c r="AF6" s="85">
        <v>0</v>
      </c>
      <c r="AG6" s="93" t="s">
        <v>246</v>
      </c>
      <c r="AH6" s="85" t="b">
        <v>0</v>
      </c>
      <c r="AI6" s="85" t="s">
        <v>247</v>
      </c>
      <c r="AJ6" s="85"/>
      <c r="AK6" s="93" t="s">
        <v>246</v>
      </c>
      <c r="AL6" s="85" t="b">
        <v>0</v>
      </c>
      <c r="AM6" s="85">
        <v>0</v>
      </c>
      <c r="AN6" s="93" t="s">
        <v>246</v>
      </c>
      <c r="AO6" s="85" t="s">
        <v>249</v>
      </c>
      <c r="AP6" s="85" t="b">
        <v>0</v>
      </c>
      <c r="AQ6" s="93" t="s">
        <v>241</v>
      </c>
      <c r="AR6" s="85" t="s">
        <v>176</v>
      </c>
      <c r="AS6" s="85">
        <v>0</v>
      </c>
      <c r="AT6" s="85">
        <v>0</v>
      </c>
      <c r="AU6" s="85"/>
      <c r="AV6" s="85"/>
      <c r="AW6" s="85"/>
      <c r="AX6" s="85"/>
      <c r="AY6" s="85"/>
      <c r="AZ6" s="85"/>
      <c r="BA6" s="85"/>
      <c r="BB6" s="85"/>
      <c r="BC6">
        <v>7</v>
      </c>
      <c r="BD6" s="84" t="str">
        <f>REPLACE(INDEX(GroupVertices[Group],MATCH(Edges11[[#This Row],[Vertex 1]],GroupVertices[Vertex],0)),1,1,"")</f>
        <v>1</v>
      </c>
      <c r="BE6" s="84" t="str">
        <f>REPLACE(INDEX(GroupVertices[Group],MATCH(Edges11[[#This Row],[Vertex 2]],GroupVertices[Vertex],0)),1,1,"")</f>
        <v>1</v>
      </c>
    </row>
    <row r="7" spans="1:57" ht="15">
      <c r="A7" s="83" t="s">
        <v>214</v>
      </c>
      <c r="B7" s="83" t="s">
        <v>214</v>
      </c>
      <c r="C7" s="53"/>
      <c r="D7" s="54"/>
      <c r="E7" s="66"/>
      <c r="F7" s="55"/>
      <c r="G7" s="53"/>
      <c r="H7" s="57"/>
      <c r="I7" s="56"/>
      <c r="J7" s="56"/>
      <c r="K7" s="35" t="s">
        <v>65</v>
      </c>
      <c r="L7" s="82">
        <v>7</v>
      </c>
      <c r="M7" s="82"/>
      <c r="N7" s="63"/>
      <c r="O7" s="85" t="s">
        <v>176</v>
      </c>
      <c r="P7" s="87">
        <v>44076.712696759256</v>
      </c>
      <c r="Q7" s="85" t="s">
        <v>218</v>
      </c>
      <c r="R7" s="88" t="str">
        <f>HYPERLINK("http://painepublishing.com/measurementadvisor/8-easy-steps-to-make-sure-your-data-is-accurate/")</f>
        <v>http://painepublishing.com/measurementadvisor/8-easy-steps-to-make-sure-your-data-is-accurate/</v>
      </c>
      <c r="S7" s="85" t="s">
        <v>223</v>
      </c>
      <c r="T7" s="85" t="s">
        <v>229</v>
      </c>
      <c r="U7" s="88" t="str">
        <f>HYPERLINK("https://pbs.twimg.com/media/Eg7O4ZiXcAAUXCq.jpg")</f>
        <v>https://pbs.twimg.com/media/Eg7O4ZiXcAAUXCq.jpg</v>
      </c>
      <c r="V7" s="88" t="str">
        <f>HYPERLINK("https://pbs.twimg.com/media/Eg7O4ZiXcAAUXCq.jpg")</f>
        <v>https://pbs.twimg.com/media/Eg7O4ZiXcAAUXCq.jpg</v>
      </c>
      <c r="W7" s="87">
        <v>44076.712696759256</v>
      </c>
      <c r="X7" s="91">
        <v>44076</v>
      </c>
      <c r="Y7" s="93" t="s">
        <v>235</v>
      </c>
      <c r="Z7" s="88" t="str">
        <f>HYPERLINK("https://twitter.com/#!/queenofmetrics/status/1301204812801994752")</f>
        <v>https://twitter.com/#!/queenofmetrics/status/1301204812801994752</v>
      </c>
      <c r="AA7" s="85"/>
      <c r="AB7" s="85"/>
      <c r="AC7" s="93" t="s">
        <v>242</v>
      </c>
      <c r="AD7" s="85"/>
      <c r="AE7" s="85" t="b">
        <v>0</v>
      </c>
      <c r="AF7" s="85">
        <v>0</v>
      </c>
      <c r="AG7" s="93" t="s">
        <v>246</v>
      </c>
      <c r="AH7" s="85" t="b">
        <v>0</v>
      </c>
      <c r="AI7" s="85" t="s">
        <v>247</v>
      </c>
      <c r="AJ7" s="85"/>
      <c r="AK7" s="93" t="s">
        <v>246</v>
      </c>
      <c r="AL7" s="85" t="b">
        <v>0</v>
      </c>
      <c r="AM7" s="85">
        <v>0</v>
      </c>
      <c r="AN7" s="93" t="s">
        <v>246</v>
      </c>
      <c r="AO7" s="85" t="s">
        <v>249</v>
      </c>
      <c r="AP7" s="85" t="b">
        <v>0</v>
      </c>
      <c r="AQ7" s="93" t="s">
        <v>242</v>
      </c>
      <c r="AR7" s="85" t="s">
        <v>176</v>
      </c>
      <c r="AS7" s="85">
        <v>0</v>
      </c>
      <c r="AT7" s="85">
        <v>0</v>
      </c>
      <c r="AU7" s="85"/>
      <c r="AV7" s="85"/>
      <c r="AW7" s="85"/>
      <c r="AX7" s="85"/>
      <c r="AY7" s="85"/>
      <c r="AZ7" s="85"/>
      <c r="BA7" s="85"/>
      <c r="BB7" s="85"/>
      <c r="BC7">
        <v>7</v>
      </c>
      <c r="BD7" s="84" t="str">
        <f>REPLACE(INDEX(GroupVertices[Group],MATCH(Edges11[[#This Row],[Vertex 1]],GroupVertices[Vertex],0)),1,1,"")</f>
        <v>1</v>
      </c>
      <c r="BE7" s="84" t="str">
        <f>REPLACE(INDEX(GroupVertices[Group],MATCH(Edges11[[#This Row],[Vertex 2]],GroupVertices[Vertex],0)),1,1,"")</f>
        <v>1</v>
      </c>
    </row>
    <row r="8" spans="1:57" ht="15">
      <c r="A8" s="83" t="s">
        <v>214</v>
      </c>
      <c r="B8" s="83" t="s">
        <v>214</v>
      </c>
      <c r="C8" s="53"/>
      <c r="D8" s="54"/>
      <c r="E8" s="66"/>
      <c r="F8" s="55"/>
      <c r="G8" s="53"/>
      <c r="H8" s="57"/>
      <c r="I8" s="56"/>
      <c r="J8" s="56"/>
      <c r="K8" s="35" t="s">
        <v>65</v>
      </c>
      <c r="L8" s="82">
        <v>8</v>
      </c>
      <c r="M8" s="82"/>
      <c r="N8" s="63"/>
      <c r="O8" s="85" t="s">
        <v>176</v>
      </c>
      <c r="P8" s="87">
        <v>44077.663506944446</v>
      </c>
      <c r="Q8" s="85" t="s">
        <v>219</v>
      </c>
      <c r="R8" s="88" t="str">
        <f>HYPERLINK("https://www.prnewswire.com/news-releases/cision-launches-the-2020-state-of-the-election-a-new-series-analyzing-media-coverage-of-the-us-presidential-election-301123147.html")</f>
        <v>https://www.prnewswire.com/news-releases/cision-launches-the-2020-state-of-the-election-a-new-series-analyzing-media-coverage-of-the-us-presidential-election-301123147.html</v>
      </c>
      <c r="S8" s="85" t="s">
        <v>225</v>
      </c>
      <c r="T8" s="85" t="s">
        <v>227</v>
      </c>
      <c r="U8" s="85"/>
      <c r="V8" s="88" t="str">
        <f>HYPERLINK("http://pbs.twimg.com/profile_images/919346511/0017_KP_normal.jpg")</f>
        <v>http://pbs.twimg.com/profile_images/919346511/0017_KP_normal.jpg</v>
      </c>
      <c r="W8" s="87">
        <v>44077.663506944446</v>
      </c>
      <c r="X8" s="91">
        <v>44077</v>
      </c>
      <c r="Y8" s="93" t="s">
        <v>236</v>
      </c>
      <c r="Z8" s="88" t="str">
        <f>HYPERLINK("https://twitter.com/#!/queenofmetrics/status/1301549375894814724")</f>
        <v>https://twitter.com/#!/queenofmetrics/status/1301549375894814724</v>
      </c>
      <c r="AA8" s="85"/>
      <c r="AB8" s="85"/>
      <c r="AC8" s="93" t="s">
        <v>243</v>
      </c>
      <c r="AD8" s="85"/>
      <c r="AE8" s="85" t="b">
        <v>0</v>
      </c>
      <c r="AF8" s="85">
        <v>2</v>
      </c>
      <c r="AG8" s="93" t="s">
        <v>246</v>
      </c>
      <c r="AH8" s="85" t="b">
        <v>0</v>
      </c>
      <c r="AI8" s="85" t="s">
        <v>247</v>
      </c>
      <c r="AJ8" s="85"/>
      <c r="AK8" s="93" t="s">
        <v>246</v>
      </c>
      <c r="AL8" s="85" t="b">
        <v>0</v>
      </c>
      <c r="AM8" s="85">
        <v>0</v>
      </c>
      <c r="AN8" s="93" t="s">
        <v>246</v>
      </c>
      <c r="AO8" s="85" t="s">
        <v>249</v>
      </c>
      <c r="AP8" s="85" t="b">
        <v>0</v>
      </c>
      <c r="AQ8" s="93" t="s">
        <v>243</v>
      </c>
      <c r="AR8" s="85" t="s">
        <v>176</v>
      </c>
      <c r="AS8" s="85">
        <v>0</v>
      </c>
      <c r="AT8" s="85">
        <v>0</v>
      </c>
      <c r="AU8" s="85"/>
      <c r="AV8" s="85"/>
      <c r="AW8" s="85"/>
      <c r="AX8" s="85"/>
      <c r="AY8" s="85"/>
      <c r="AZ8" s="85"/>
      <c r="BA8" s="85"/>
      <c r="BB8" s="85"/>
      <c r="BC8">
        <v>7</v>
      </c>
      <c r="BD8" s="84" t="str">
        <f>REPLACE(INDEX(GroupVertices[Group],MATCH(Edges11[[#This Row],[Vertex 1]],GroupVertices[Vertex],0)),1,1,"")</f>
        <v>1</v>
      </c>
      <c r="BE8" s="84" t="str">
        <f>REPLACE(INDEX(GroupVertices[Group],MATCH(Edges11[[#This Row],[Vertex 2]],GroupVertices[Vertex],0)),1,1,"")</f>
        <v>1</v>
      </c>
    </row>
    <row r="9" spans="1:57" ht="15">
      <c r="A9" s="83" t="s">
        <v>214</v>
      </c>
      <c r="B9" s="83" t="s">
        <v>214</v>
      </c>
      <c r="C9" s="53"/>
      <c r="D9" s="54"/>
      <c r="E9" s="66"/>
      <c r="F9" s="55"/>
      <c r="G9" s="53"/>
      <c r="H9" s="57"/>
      <c r="I9" s="56"/>
      <c r="J9" s="56"/>
      <c r="K9" s="35" t="s">
        <v>65</v>
      </c>
      <c r="L9" s="82">
        <v>9</v>
      </c>
      <c r="M9" s="82"/>
      <c r="N9" s="63"/>
      <c r="O9" s="85" t="s">
        <v>176</v>
      </c>
      <c r="P9" s="87">
        <v>44077.67365740741</v>
      </c>
      <c r="Q9" s="85" t="s">
        <v>220</v>
      </c>
      <c r="R9" s="88" t="str">
        <f>HYPERLINK("http://painepublishing.com/measurementadvisor/re-imagining-the-skill-set-of-a-professional-communicator/")</f>
        <v>http://painepublishing.com/measurementadvisor/re-imagining-the-skill-set-of-a-professional-communicator/</v>
      </c>
      <c r="S9" s="85" t="s">
        <v>223</v>
      </c>
      <c r="T9" s="85" t="s">
        <v>230</v>
      </c>
      <c r="U9" s="88" t="str">
        <f>HYPERLINK("https://pbs.twimg.com/media/EhALmxTXYAIYSk7.jpg")</f>
        <v>https://pbs.twimg.com/media/EhALmxTXYAIYSk7.jpg</v>
      </c>
      <c r="V9" s="88" t="str">
        <f>HYPERLINK("https://pbs.twimg.com/media/EhALmxTXYAIYSk7.jpg")</f>
        <v>https://pbs.twimg.com/media/EhALmxTXYAIYSk7.jpg</v>
      </c>
      <c r="W9" s="87">
        <v>44077.67365740741</v>
      </c>
      <c r="X9" s="91">
        <v>44077</v>
      </c>
      <c r="Y9" s="93" t="s">
        <v>237</v>
      </c>
      <c r="Z9" s="88" t="str">
        <f>HYPERLINK("https://twitter.com/#!/queenofmetrics/status/1301553054492299269")</f>
        <v>https://twitter.com/#!/queenofmetrics/status/1301553054492299269</v>
      </c>
      <c r="AA9" s="85"/>
      <c r="AB9" s="85"/>
      <c r="AC9" s="93" t="s">
        <v>244</v>
      </c>
      <c r="AD9" s="85"/>
      <c r="AE9" s="85" t="b">
        <v>0</v>
      </c>
      <c r="AF9" s="85">
        <v>0</v>
      </c>
      <c r="AG9" s="93" t="s">
        <v>246</v>
      </c>
      <c r="AH9" s="85" t="b">
        <v>0</v>
      </c>
      <c r="AI9" s="85" t="s">
        <v>247</v>
      </c>
      <c r="AJ9" s="85"/>
      <c r="AK9" s="93" t="s">
        <v>246</v>
      </c>
      <c r="AL9" s="85" t="b">
        <v>0</v>
      </c>
      <c r="AM9" s="85">
        <v>0</v>
      </c>
      <c r="AN9" s="93" t="s">
        <v>246</v>
      </c>
      <c r="AO9" s="85" t="s">
        <v>249</v>
      </c>
      <c r="AP9" s="85" t="b">
        <v>0</v>
      </c>
      <c r="AQ9" s="93" t="s">
        <v>244</v>
      </c>
      <c r="AR9" s="85" t="s">
        <v>176</v>
      </c>
      <c r="AS9" s="85">
        <v>0</v>
      </c>
      <c r="AT9" s="85">
        <v>0</v>
      </c>
      <c r="AU9" s="85"/>
      <c r="AV9" s="85"/>
      <c r="AW9" s="85"/>
      <c r="AX9" s="85"/>
      <c r="AY9" s="85"/>
      <c r="AZ9" s="85"/>
      <c r="BA9" s="85"/>
      <c r="BB9" s="85"/>
      <c r="BC9">
        <v>7</v>
      </c>
      <c r="BD9" s="84" t="str">
        <f>REPLACE(INDEX(GroupVertices[Group],MATCH(Edges11[[#This Row],[Vertex 1]],GroupVertices[Vertex],0)),1,1,"")</f>
        <v>1</v>
      </c>
      <c r="BE9" s="84" t="str">
        <f>REPLACE(INDEX(GroupVertices[Group],MATCH(Edges11[[#This Row],[Vertex 2]],GroupVertices[Vertex],0)),1,1,"")</f>
        <v>1</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9"/>
    <dataValidation allowBlank="1" showInputMessage="1" showErrorMessage="1" promptTitle="Vertex 2 Name" prompt="Enter the name of the edge's second vertex." sqref="B3:B9"/>
    <dataValidation allowBlank="1" showInputMessage="1" showErrorMessage="1" promptTitle="Vertex 1 Name" prompt="Enter the name of the edge's first vertex." sqref="A3:A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9"/>
    <dataValidation allowBlank="1" showInputMessage="1" promptTitle="Edge Width" prompt="Enter an optional edge width between 1 and 10." errorTitle="Invalid Edge Width" error="The optional edge width must be a whole number between 1 and 10." sqref="D3:D9"/>
    <dataValidation allowBlank="1" showInputMessage="1" promptTitle="Edge Color" prompt="To select an optional edge color, right-click and select Select Color on the right-click menu." sqref="C3:C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9"/>
    <dataValidation allowBlank="1" showErrorMessage="1" sqref="N2:N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9"/>
  </dataValidations>
  <printOptions/>
  <pageMargins left="0.7" right="0.7" top="0.75" bottom="0.75" header="0.3" footer="0.3"/>
  <pageSetup horizontalDpi="600" verticalDpi="600" orientation="portrait" r:id="rId4"/>
  <legacyDrawing r:id="rId2"/>
  <tableParts>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278</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279</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280</v>
      </c>
      <c r="K7" s="13" t="s">
        <v>281</v>
      </c>
    </row>
    <row r="8" spans="1:11" ht="409.5">
      <c r="A8"/>
      <c r="B8">
        <v>2</v>
      </c>
      <c r="C8">
        <v>2</v>
      </c>
      <c r="D8" t="s">
        <v>61</v>
      </c>
      <c r="E8" t="s">
        <v>61</v>
      </c>
      <c r="H8" t="s">
        <v>73</v>
      </c>
      <c r="J8" t="s">
        <v>282</v>
      </c>
      <c r="K8" s="13" t="s">
        <v>283</v>
      </c>
    </row>
    <row r="9" spans="1:11" ht="409.5">
      <c r="A9"/>
      <c r="B9">
        <v>3</v>
      </c>
      <c r="C9">
        <v>4</v>
      </c>
      <c r="D9" t="s">
        <v>62</v>
      </c>
      <c r="E9" t="s">
        <v>62</v>
      </c>
      <c r="H9" t="s">
        <v>74</v>
      </c>
      <c r="J9" t="s">
        <v>284</v>
      </c>
      <c r="K9" s="13" t="s">
        <v>285</v>
      </c>
    </row>
    <row r="10" spans="1:11" ht="409.5">
      <c r="A10"/>
      <c r="B10">
        <v>4</v>
      </c>
      <c r="D10" t="s">
        <v>63</v>
      </c>
      <c r="E10" t="s">
        <v>63</v>
      </c>
      <c r="H10" t="s">
        <v>75</v>
      </c>
      <c r="J10" t="s">
        <v>286</v>
      </c>
      <c r="K10" s="13" t="s">
        <v>287</v>
      </c>
    </row>
    <row r="11" spans="1:11" ht="15">
      <c r="A11"/>
      <c r="B11">
        <v>5</v>
      </c>
      <c r="D11" t="s">
        <v>46</v>
      </c>
      <c r="E11">
        <v>1</v>
      </c>
      <c r="H11" t="s">
        <v>76</v>
      </c>
      <c r="J11" t="s">
        <v>288</v>
      </c>
      <c r="K11" t="s">
        <v>289</v>
      </c>
    </row>
    <row r="12" spans="1:11" ht="15">
      <c r="A12"/>
      <c r="B12"/>
      <c r="D12" t="s">
        <v>64</v>
      </c>
      <c r="E12">
        <v>2</v>
      </c>
      <c r="H12">
        <v>0</v>
      </c>
      <c r="J12" t="s">
        <v>290</v>
      </c>
      <c r="K12" t="s">
        <v>291</v>
      </c>
    </row>
    <row r="13" spans="1:11" ht="15">
      <c r="A13"/>
      <c r="B13"/>
      <c r="D13">
        <v>1</v>
      </c>
      <c r="E13">
        <v>3</v>
      </c>
      <c r="H13">
        <v>1</v>
      </c>
      <c r="J13" t="s">
        <v>292</v>
      </c>
      <c r="K13" t="s">
        <v>293</v>
      </c>
    </row>
    <row r="14" spans="4:11" ht="15">
      <c r="D14">
        <v>2</v>
      </c>
      <c r="E14">
        <v>4</v>
      </c>
      <c r="H14">
        <v>2</v>
      </c>
      <c r="J14" t="s">
        <v>294</v>
      </c>
      <c r="K14" t="s">
        <v>295</v>
      </c>
    </row>
    <row r="15" spans="4:11" ht="15">
      <c r="D15">
        <v>3</v>
      </c>
      <c r="E15">
        <v>5</v>
      </c>
      <c r="H15">
        <v>3</v>
      </c>
      <c r="J15" t="s">
        <v>296</v>
      </c>
      <c r="K15" t="s">
        <v>297</v>
      </c>
    </row>
    <row r="16" spans="4:11" ht="15">
      <c r="D16">
        <v>4</v>
      </c>
      <c r="E16">
        <v>6</v>
      </c>
      <c r="H16">
        <v>4</v>
      </c>
      <c r="J16" t="s">
        <v>298</v>
      </c>
      <c r="K16" t="s">
        <v>299</v>
      </c>
    </row>
    <row r="17" spans="4:11" ht="15">
      <c r="D17">
        <v>5</v>
      </c>
      <c r="E17">
        <v>7</v>
      </c>
      <c r="H17">
        <v>5</v>
      </c>
      <c r="J17" t="s">
        <v>300</v>
      </c>
      <c r="K17" t="s">
        <v>301</v>
      </c>
    </row>
    <row r="18" spans="4:11" ht="15">
      <c r="D18">
        <v>6</v>
      </c>
      <c r="E18">
        <v>8</v>
      </c>
      <c r="H18">
        <v>6</v>
      </c>
      <c r="J18" t="s">
        <v>302</v>
      </c>
      <c r="K18" t="s">
        <v>303</v>
      </c>
    </row>
    <row r="19" spans="4:11" ht="15">
      <c r="D19">
        <v>7</v>
      </c>
      <c r="E19">
        <v>9</v>
      </c>
      <c r="H19">
        <v>7</v>
      </c>
      <c r="J19" t="s">
        <v>304</v>
      </c>
      <c r="K19" t="s">
        <v>305</v>
      </c>
    </row>
    <row r="20" spans="4:11" ht="15">
      <c r="D20">
        <v>8</v>
      </c>
      <c r="H20">
        <v>8</v>
      </c>
      <c r="J20" t="s">
        <v>306</v>
      </c>
      <c r="K20" t="s">
        <v>307</v>
      </c>
    </row>
    <row r="21" spans="4:11" ht="409.5">
      <c r="D21">
        <v>9</v>
      </c>
      <c r="H21">
        <v>9</v>
      </c>
      <c r="J21" t="s">
        <v>308</v>
      </c>
      <c r="K21" s="13" t="s">
        <v>309</v>
      </c>
    </row>
    <row r="22" spans="4:11" ht="409.5">
      <c r="D22">
        <v>10</v>
      </c>
      <c r="J22" t="s">
        <v>310</v>
      </c>
      <c r="K22" s="13" t="s">
        <v>311</v>
      </c>
    </row>
    <row r="23" spans="4:11" ht="409.5">
      <c r="D23">
        <v>11</v>
      </c>
      <c r="J23" t="s">
        <v>312</v>
      </c>
      <c r="K23" s="13" t="s">
        <v>331</v>
      </c>
    </row>
    <row r="24" spans="10:11" ht="409.5">
      <c r="J24" t="s">
        <v>313</v>
      </c>
      <c r="K24" s="13" t="s">
        <v>330</v>
      </c>
    </row>
    <row r="25" spans="10:11" ht="15">
      <c r="J25" t="s">
        <v>314</v>
      </c>
      <c r="K25" t="b">
        <v>0</v>
      </c>
    </row>
    <row r="26" spans="10:11" ht="15">
      <c r="J26" t="s">
        <v>328</v>
      </c>
      <c r="K26" t="s">
        <v>329</v>
      </c>
    </row>
  </sheetData>
  <printOptions/>
  <pageMargins left="0.7" right="0.7" top="0.75" bottom="0.75" header="0.3" footer="0.3"/>
  <pageSetup horizontalDpi="600" verticalDpi="600" orientation="portrait" r:id="rId4"/>
  <drawing r:id="rId3"/>
  <tableParts>
    <tablePart r:id="rId2"/>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3"/>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97" t="s">
        <v>325</v>
      </c>
      <c r="B25" t="s">
        <v>324</v>
      </c>
    </row>
    <row r="26" spans="1:2" ht="15">
      <c r="A26" s="98">
        <v>44036.789930555555</v>
      </c>
      <c r="B26" s="3">
        <v>1</v>
      </c>
    </row>
    <row r="27" spans="1:2" ht="15">
      <c r="A27" s="98">
        <v>44075.62079861111</v>
      </c>
      <c r="B27" s="3">
        <v>1</v>
      </c>
    </row>
    <row r="28" spans="1:2" ht="15">
      <c r="A28" s="98">
        <v>44075.85766203704</v>
      </c>
      <c r="B28" s="3">
        <v>1</v>
      </c>
    </row>
    <row r="29" spans="1:2" ht="15">
      <c r="A29" s="98">
        <v>44076.704375</v>
      </c>
      <c r="B29" s="3">
        <v>1</v>
      </c>
    </row>
    <row r="30" spans="1:2" ht="15">
      <c r="A30" s="98">
        <v>44076.712696759256</v>
      </c>
      <c r="B30" s="3">
        <v>1</v>
      </c>
    </row>
    <row r="31" spans="1:2" ht="15">
      <c r="A31" s="98">
        <v>44077.663506944446</v>
      </c>
      <c r="B31" s="3">
        <v>1</v>
      </c>
    </row>
    <row r="32" spans="1:2" ht="15">
      <c r="A32" s="98">
        <v>44077.67365740741</v>
      </c>
      <c r="B32" s="3">
        <v>1</v>
      </c>
    </row>
    <row r="33" spans="1:2" ht="15">
      <c r="A33" s="98" t="s">
        <v>326</v>
      </c>
      <c r="B33" s="3">
        <v>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099A75B-F7F4-4698-8634-1FF67B56262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2020-09-17T20:39:58Z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