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<sst xmlns="http://schemas.openxmlformats.org/spreadsheetml/2006/main" count="789" uniqueCount="351">
  <si>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</si>
  <si>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</si>
  <si>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</si>
  <si>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</si>
  <si>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</si>
  <si>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</si>
  <si>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</si>
  <si>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</si>
  <si>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</si>
  <si>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</si>
  <si>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</si>
  <si>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</si>
  <si>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</si>
  <si>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</si>
  <si>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</si>
  <si>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</si>
  <si>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</si>
  <si>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</si>
  <si>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</si>
  <si>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</si>
  <si>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</si>
  <si>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</si>
  <si>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</si>
  <si>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</si>
  <si>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</si>
  <si>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</si>
  <si>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</si>
  <si>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</si>
  <si>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</si>
  <si>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</si>
  <si>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</si>
  <si>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</si>
  <si>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</si>
  <si>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</si>
  <si>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</si>
  <si>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</si>
  <si>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</si>
  <si>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</si>
  <si>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</si>
  <si>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</si>
  <si>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</si>
  <si>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</si>
  <si>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</si>
  <si>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</si>
  <si>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</si>
  <si>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</si>
  <si>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</si>
  <si>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</si>
  <si>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</si>
  <si>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</si>
  <si>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</si>
  <si>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</si>
  <si>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</si>
  <si>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</si>
  <si>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</si>
  <si>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</si>
  <si>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</si>
  <si>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</si>
  <si>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</si>
  <si>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</si>
  <si>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</si>
  <si>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</si>
  <si>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</si>
  <si>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</si>
  <si>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</si>
  <si>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</si>
  <si>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</si>
  <si>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</si>
  <si>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</si>
  <si>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</si>
  <si>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</si>
  <si>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</si>
  <si>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</si>
  <si>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</si>
  <si>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</si>
  <si>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</si>
  <si>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</si>
  <si>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</si>
  <si>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</si>
  <si>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</si>
  <si>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</si>
  <si>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</si>
  <si>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</si>
  <si>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</si>
  <si>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</si>
  <si>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</si>
  <si>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</si>
  <si>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</si>
  <si>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</si>
  <si>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</si>
  <si>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</si>
  <si>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</si>
  <si>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</si>
  <si>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</si>
  <si>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</si>
  <si>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</si>
  <si>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</si>
  <si>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</si>
  <si>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</si>
  <si>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</si>
  <si>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</si>
  <si>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</si>
  <si>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</si>
  <si>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</si>
  <si>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</si>
  <si>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</si>
  <si>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</si>
  <si>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</si>
  <si>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</si>
  <si>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</si>
  <si>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</si>
  <si>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</si>
  <si>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</si>
  <si>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</si>
  <si>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</si>
  <si>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</si>
  <si>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</si>
  <si>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</si>
  <si>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</si>
  <si>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</si>
  <si>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</si>
  <si>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</si>
  <si>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</si>
  <si>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</si>
  <si>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</si>
  <si>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</si>
  <si>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</si>
  <si>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</si>
  <si>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</si>
  <si>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</si>
  <si>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</si>
  <si>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</si>
  <si>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</si>
  <si>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</si>
  <si>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</si>
  <si>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</si>
  <si>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</si>
  <si>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</si>
  <si>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</si>
  <si>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</si>
  <si>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</si>
  <si>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</si>
  <si>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</si>
  <si>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</si>
  <si>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</si>
  <si>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</si>
  <si>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</si>
  <si>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</si>
  <si>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</si>
  <si>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</si>
  <si>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</si>
  <si>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</si>
  <si>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</si>
  <si>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</si>
  <si>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</si>
  <si>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</si>
  <si>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</si>
  <si>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</si>
  <si>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</si>
  <si>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</si>
  <si>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</si>
  <si>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</si>
  <si>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</si>
  <si>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</si>
  <si>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</si>
  <si>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</si>
  <si>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</si>
  <si>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</si>
  <si>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</si>
  <si>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</si>
  <si>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</si>
  <si>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</si>
  <si>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</si>
  <si>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</si>
  <si>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</si>
  <si>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</si>
  <si>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</si>
  <si>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</si>
  <si>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</si>
  <si>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</si>
  <si>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</si>
  <si>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</si>
  <si>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</si>
  <si>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</si>
  <si>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</si>
  <si>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</si>
  <si>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</si>
  <si>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</si>
  <si>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</si>
  <si>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</si>
  <si>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</si>
  <si>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</si>
  <si>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</si>
  <si>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</si>
  <si>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</si>
  <si>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</si>
  <si>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</si>
  <si>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</si>
  <si>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</si>
  <si>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</si>
  <si>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</si>
  <si>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</si>
  <si>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</si>
  <si>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</si>
  <si>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</si>
  <si>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</si>
  <si>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</si>
  <si>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</si>
  <si>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</si>
  <si>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</si>
  <si>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</si>
  <si>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</si>
  <si>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</si>
  <si>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</si>
  <si>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clair13</t>
  </si>
  <si>
    <t>patricia_energy</t>
  </si>
  <si>
    <t>baker004</t>
  </si>
  <si>
    <t>mmc_global</t>
  </si>
  <si>
    <t>MentionsInRetweet</t>
  </si>
  <si>
    <t>Retweet</t>
  </si>
  <si>
    <t>Replies to</t>
  </si>
  <si>
    <t>RT @baker004: @MMC_Global A8 We need to make development inclusive. We are 7.6B people, we need to find ways to make e/o productive, earnin…</t>
  </si>
  <si>
    <t>Improving resilience across physical, social, economic, and environmental domains means adopting an integrative, long-term strategy. Means expanding assistance network &amp;amp; a suite of temporally-defined strategies to include those engaged in understanding changing climate #MMChat https://t.co/q873oTgYZC</t>
  </si>
  <si>
    <t>Absolutely Sydney - good point - Developing clear linkages between pre- and post-disaster recovery funding allocations and the incorporation of adaptation measures during the recovery process provide a unique “opportunity” that merits increased attention.#MMChat https://t.co/HOqnXUthHu</t>
  </si>
  <si>
    <t>RT @Patricia_Energy: Improving resilience across physical, social, economic, and environmental domains means adopting an integrative, long-…</t>
  </si>
  <si>
    <t>RT @Patricia_Energy: Absolutely Sydney - good point - Developing clear linkages between pre- and post-disaster recovery funding allocations…</t>
  </si>
  <si>
    <t>@Patricia_Energy Yes, physical and psychological health and #healthcare during #natrualdisasters need more focus. We are seeing the long-term results of the lockdown and now an extended fire season in CA. #psychologicalhealth #natcat #MMChat</t>
  </si>
  <si>
    <t>@MMC_Global A8 We need to make development inclusive. We are 7.6B people, we need to find ways to make e/o productive, earning their daily bread! There is no development if we leave behind people, nature, societies, governments, even competitors out of the equation. #MMChat #FutureOfWork</t>
  </si>
  <si>
    <t>twitter.com</t>
  </si>
  <si>
    <t>mmchat</t>
  </si>
  <si>
    <t>healthcare natrualdisasters psychologicalhealth natcat mmchat</t>
  </si>
  <si>
    <t>mmchat futureofwork</t>
  </si>
  <si>
    <t>14:31:45</t>
  </si>
  <si>
    <t>14:21:25</t>
  </si>
  <si>
    <t>14:22:40</t>
  </si>
  <si>
    <t>14:22:51</t>
  </si>
  <si>
    <t>14:28:39</t>
  </si>
  <si>
    <t>14:38:59</t>
  </si>
  <si>
    <t>15:06:13</t>
  </si>
  <si>
    <t>1306239355120316417</t>
  </si>
  <si>
    <t>1306236755956379649</t>
  </si>
  <si>
    <t>1306237069363236868</t>
  </si>
  <si>
    <t>1306237115412275210</t>
  </si>
  <si>
    <t>1306238575407587334</t>
  </si>
  <si>
    <t>1306241174978482178</t>
  </si>
  <si>
    <t>1260587156931837953</t>
  </si>
  <si>
    <t>1306240098187579398</t>
  </si>
  <si>
    <t>1260584348090327041</t>
  </si>
  <si>
    <t/>
  </si>
  <si>
    <t>1622604644</t>
  </si>
  <si>
    <t>2904112697</t>
  </si>
  <si>
    <t>en</t>
  </si>
  <si>
    <t>1306236161246015488</t>
  </si>
  <si>
    <t>1306236648187998208</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</si>
  <si>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</si>
  <si>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</si>
  <si>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</si>
  <si>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</si>
  <si>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</si>
  <si>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</si>
  <si>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</si>
  <si>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</si>
  <si>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</si>
  <si>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</si>
  <si>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</si>
  <si>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</si>
  <si>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</si>
  <si>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</si>
  <si>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</si>
  <si>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</si>
  <si>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</si>
  <si>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</si>
  <si>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</si>
  <si>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</si>
  <si>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</si>
  <si>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</si>
  <si>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</si>
  <si>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Marsh &amp; McLennan</t>
  </si>
  <si>
    <t>Clair Olson</t>
  </si>
  <si>
    <t>Patricia Schouker</t>
  </si>
  <si>
    <t>Sergio I Vazquez</t>
  </si>
  <si>
    <t>54268262</t>
  </si>
  <si>
    <t>19448598</t>
  </si>
  <si>
    <t>Marsh &amp; McLennan Companies (NYSE: MMC) brings together nearly 75,000 experts in risk, strategy and people across Marsh, Guy Carpenter, Mercer, and Oliver Wyman.</t>
  </si>
  <si>
    <t>“He is dangerous who has nothing to lose”  - Goethe</t>
  </si>
  <si>
    <t>Energy &amp; Security Analyst| Non-Resident Fellow @payneinstitute &amp; @UniofOxford &amp; @FletcherSchool | #Energy #Geopolitics, #Security, #CyberSecurity, #OOTT |RT≠E_xD83D__xDCA1_</t>
  </si>
  <si>
    <t>Husband | Father | Beagle friend |Food Eng. | HR VP | Pursuing my MHD | Guitar and K-board player</t>
  </si>
  <si>
    <t>Worldwide</t>
  </si>
  <si>
    <t>Los Angeles, CA</t>
  </si>
  <si>
    <t>Europe &amp; Washington D.C. ⛳️</t>
  </si>
  <si>
    <t>Mexico</t>
  </si>
  <si>
    <t>Open Twitter Page for This Person</t>
  </si>
  <si>
    <t xml:space="preserve">mmc_global
</t>
  </si>
  <si>
    <t>clair13
@Patricia_Energy Yes, physical
and psychological health and #healthcare
during #natrualdisasters need more
focus. We are seeing the long-term
results of the lockdown and now
an extended fire season in CA.
#psychologicalhealth #natcat #MMChat</t>
  </si>
  <si>
    <t>patricia_energy
Absolutely Sydney - good point
- Developing clear linkages between
pre- and post-disaster recovery
funding allocations and the incorporation
of adaptation measures during the
recovery process provide a unique
“opportunity” that merits increased
attention.#MMChat https://t.co/HOqnXUthHu</t>
  </si>
  <si>
    <t>baker004
@MMC_Global A8 We need to make
development inclusive. We are 7.6B
people, we need to find ways to
make e/o productive, earning their
daily bread! There is no development
if we leave behind people, nature,
societies, governments, even competitors
out of the equation. #MMChat #FutureOfWork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</si>
  <si>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</si>
  <si>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</si>
  <si>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</si>
  <si>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</si>
  <si>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</si>
  <si>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</si>
  <si>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</si>
  <si>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</si>
  <si>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</si>
  <si>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</si>
  <si>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</si>
  <si>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</si>
  <si>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</si>
  <si>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</si>
  <si>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</si>
  <si>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</si>
  <si>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</si>
  <si>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</si>
  <si>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</si>
  <si>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</si>
  <si>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</si>
  <si>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</si>
  <si>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</si>
  <si>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</si>
  <si>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</si>
  <si>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</si>
  <si>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</si>
  <si>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</si>
  <si>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</si>
  <si>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</si>
  <si>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</si>
  <si>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</si>
  <si>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</si>
  <si>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</si>
  <si>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</si>
  <si>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</si>
  <si>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</si>
  <si>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</si>
  <si>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</si>
  <si>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</si>
  <si>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</si>
  <si>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</si>
  <si>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</si>
  <si>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</si>
  <si>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</si>
  <si>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Top URLs in Tweet</t>
  </si>
  <si>
    <t>https://twitter.com/SydneyHedberg/status/1306236648187998208 https://twitter.com/MMC_Global/status/1306236161246015488</t>
  </si>
  <si>
    <t>Count of Tweet Date (UTC)</t>
  </si>
  <si>
    <t>Row Labels</t>
  </si>
  <si>
    <t>Grand Total</t>
  </si>
  <si>
    <t>128, 128, 128</t>
  </si>
  <si>
    <t>Autofill Workbook Results</t>
  </si>
  <si>
    <t>Edge Weight▓2▓2▓0▓True▓Gray▓Red▓▓Edge Weight▓2▓2▓0▓3▓10▓False▓Edge Weight▓2▓2▓0▓35▓12▓False▓▓0▓0▓0▓True▓Black▓Black▓▓▓0▓0▓0▓0▓0▓False▓▓0▓0▓0▓0▓0▓False▓▓0▓0▓0▓0▓0▓False▓▓0▓0▓0▓0▓0▓False</t>
  </si>
  <si>
    <t>GraphSource░GraphServerTwitterSearch▓GraphTerm░#mmchat▓ImportDescription░The graph represents a network of 4 Twitter users whose tweets in the requested range contained "#mmchat", or who were replied to or mentioned in those tweets.  The network was obtained from the NodeXL Graph Server on Thursday, 17 September 2020 at 12:55 UTC.
The requested start date was Thursday, 17 September 2020 at 00:01 UTC and the maximum number of days (going backward) was 14.
The maximum number of tweets collected was 7,500.
The tweets in the network were tweeted over the 17-minute period from Wednesday, 16 September 2020 at 14:21 UTC to Wednesday, 16 September 2020 at 14:38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</si>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</sst>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396704"/>
        <c:axId val="17461473"/>
      </c:barChart>
      <c:catAx>
        <c:axId val="9396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461473"/>
        <c:crosses val="autoZero"/>
        <c:auto val="1"/>
        <c:lblOffset val="100"/>
        <c:noMultiLvlLbl val="0"/>
      </c:catAx>
      <c:valAx>
        <c:axId val="17461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5/13/2020 15:06</c:v>
                </c:pt>
                <c:pt idx="1">
                  <c:v>9/16/2020 14:21</c:v>
                </c:pt>
                <c:pt idx="2">
                  <c:v>9/16/2020 14:22</c:v>
                </c:pt>
                <c:pt idx="3">
                  <c:v>9/16/2020 14:22</c:v>
                </c:pt>
                <c:pt idx="4">
                  <c:v>9/16/2020 14:28</c:v>
                </c:pt>
                <c:pt idx="5">
                  <c:v>9/16/2020 14:31</c:v>
                </c:pt>
                <c:pt idx="6">
                  <c:v>9/16/2020 14:38</c:v>
                </c:pt>
              </c:strCache>
            </c:strRef>
          </c:cat>
          <c:val>
            <c:numRef>
              <c:f>'Time Series'!$B$26:$B$33</c:f>
              <c:numCache>
                <c:formatCode>General</c:formatCode>
                <c:ptCount val="7"/>
                <c:pt idx="0">
                  <c:v>1</c:v>
                </c:pt>
                <c:pt idx="1">
                  <c:v>1</c:v>
                </c:pt>
                <c:pt idx="2">
                  <c:v>1</c:v>
                </c:pt>
                <c:pt idx="3">
                  <c:v>2</c:v>
                </c:pt>
                <c:pt idx="4">
                  <c:v>2</c:v>
                </c:pt>
                <c:pt idx="5">
                  <c:v>3</c:v>
                </c:pt>
                <c:pt idx="6">
                  <c:v>1</c:v>
                </c:pt>
              </c:numCache>
            </c:numRef>
          </c:val>
        </c:ser>
        <c:axId val="1335482"/>
        <c:axId val="12019339"/>
      </c:barChart>
      <c:catAx>
        <c:axId val="1335482"/>
        <c:scaling>
          <c:orientation val="minMax"/>
        </c:scaling>
        <c:axPos val="b"/>
        <c:delete val="0"/>
        <c:numFmt formatCode="General" sourceLinked="1"/>
        <c:majorTickMark val="out"/>
        <c:minorTickMark val="none"/>
        <c:tickLblPos val="nextTo"/>
        <c:crossAx val="12019339"/>
        <c:crosses val="autoZero"/>
        <c:auto val="1"/>
        <c:lblOffset val="100"/>
        <c:noMultiLvlLbl val="0"/>
      </c:catAx>
      <c:valAx>
        <c:axId val="12019339"/>
        <c:scaling>
          <c:orientation val="minMax"/>
        </c:scaling>
        <c:axPos val="l"/>
        <c:majorGridlines/>
        <c:delete val="0"/>
        <c:numFmt formatCode="General" sourceLinked="1"/>
        <c:majorTickMark val="out"/>
        <c:minorTickMark val="none"/>
        <c:tickLblPos val="nextTo"/>
        <c:crossAx val="13354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2935530"/>
        <c:axId val="5093179"/>
      </c:barChart>
      <c:catAx>
        <c:axId val="229355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93179"/>
        <c:crosses val="autoZero"/>
        <c:auto val="1"/>
        <c:lblOffset val="100"/>
        <c:noMultiLvlLbl val="0"/>
      </c:catAx>
      <c:valAx>
        <c:axId val="5093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5838612"/>
        <c:axId val="9894325"/>
      </c:barChart>
      <c:catAx>
        <c:axId val="458386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94325"/>
        <c:crosses val="autoZero"/>
        <c:auto val="1"/>
        <c:lblOffset val="100"/>
        <c:noMultiLvlLbl val="0"/>
      </c:catAx>
      <c:valAx>
        <c:axId val="989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940062"/>
        <c:axId val="63242831"/>
      </c:barChart>
      <c:catAx>
        <c:axId val="219400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42831"/>
        <c:crosses val="autoZero"/>
        <c:auto val="1"/>
        <c:lblOffset val="100"/>
        <c:noMultiLvlLbl val="0"/>
      </c:catAx>
      <c:valAx>
        <c:axId val="6324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0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314568"/>
        <c:axId val="22395657"/>
      </c:barChart>
      <c:catAx>
        <c:axId val="323145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95657"/>
        <c:crosses val="autoZero"/>
        <c:auto val="1"/>
        <c:lblOffset val="100"/>
        <c:noMultiLvlLbl val="0"/>
      </c:catAx>
      <c:valAx>
        <c:axId val="22395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4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34322"/>
        <c:axId val="2108899"/>
      </c:barChart>
      <c:catAx>
        <c:axId val="2343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08899"/>
        <c:crosses val="autoZero"/>
        <c:auto val="1"/>
        <c:lblOffset val="100"/>
        <c:noMultiLvlLbl val="0"/>
      </c:catAx>
      <c:valAx>
        <c:axId val="2108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980092"/>
        <c:axId val="36603101"/>
      </c:barChart>
      <c:catAx>
        <c:axId val="189800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603101"/>
        <c:crosses val="autoZero"/>
        <c:auto val="1"/>
        <c:lblOffset val="100"/>
        <c:noMultiLvlLbl val="0"/>
      </c:catAx>
      <c:valAx>
        <c:axId val="3660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0992454"/>
        <c:axId val="12061175"/>
      </c:barChart>
      <c:catAx>
        <c:axId val="60992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061175"/>
        <c:crosses val="autoZero"/>
        <c:auto val="1"/>
        <c:lblOffset val="100"/>
        <c:noMultiLvlLbl val="0"/>
      </c:catAx>
      <c:valAx>
        <c:axId val="1206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92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1441712"/>
        <c:axId val="37431089"/>
      </c:barChart>
      <c:catAx>
        <c:axId val="41441712"/>
        <c:scaling>
          <c:orientation val="minMax"/>
        </c:scaling>
        <c:axPos val="b"/>
        <c:delete val="1"/>
        <c:majorTickMark val="out"/>
        <c:minorTickMark val="none"/>
        <c:tickLblPos val="none"/>
        <c:crossAx val="37431089"/>
        <c:crosses val="autoZero"/>
        <c:auto val="1"/>
        <c:lblOffset val="100"/>
        <c:noMultiLvlLbl val="0"/>
      </c:catAx>
      <c:valAx>
        <c:axId val="37431089"/>
        <c:scaling>
          <c:orientation val="minMax"/>
        </c:scaling>
        <c:axPos val="l"/>
        <c:delete val="1"/>
        <c:majorTickMark val="out"/>
        <c:minorTickMark val="none"/>
        <c:tickLblPos val="none"/>
        <c:crossAx val="414417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E13"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mmchat futureofwork"/>
        <m/>
        <s v="mmchat"/>
        <s v="healthcare natrualdisasters psychologicalhealth natcat mmcha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7">
        <d v="2020-05-13T15:06:13.000"/>
        <d v="2020-09-16T14:31:45.000"/>
        <d v="2020-09-16T14:21:25.000"/>
        <d v="2020-09-16T14:22:40.000"/>
        <d v="2020-09-16T14:22:51.000"/>
        <d v="2020-09-16T14:28:39.000"/>
        <d v="2020-09-16T14:38: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baker004"/>
    <s v="mmc_global"/>
    <m/>
    <m/>
    <m/>
    <m/>
    <m/>
    <m/>
    <m/>
    <m/>
    <s v="No"/>
    <n v="3"/>
    <m/>
    <m/>
    <x v="0"/>
    <d v="2020-05-13T15:06:13.000"/>
    <s v="@MMC_Global A8 We need to make development inclusive. We are 7.6B people, we need to find ways to make e/o productive, earning their daily bread! There is no development if we leave behind people, nature, societies, governments, even competitors out of the equation. #MMChat #FutureOfWork"/>
    <m/>
    <m/>
    <x v="0"/>
    <m/>
    <s v="http://pbs.twimg.com/profile_images/256525774/sivmEPSON_normal.JPG"/>
    <x v="0"/>
    <d v="2020-05-13T00:00:00.000"/>
    <s v="15:06:13"/>
    <s v="https://twitter.com/#!/baker004/status/1260587156931837953"/>
    <m/>
    <m/>
    <s v="1260587156931837953"/>
    <s v="1260584348090327041"/>
    <b v="0"/>
    <n v="1"/>
    <s v="2904112697"/>
    <b v="0"/>
    <s v="en"/>
    <m/>
    <s v=""/>
    <b v="0"/>
    <n v="1"/>
    <s v=""/>
    <s v="Twitter Web App"/>
    <b v="0"/>
    <s v="1260584348090327041"/>
    <s v="Retweet"/>
    <n v="0"/>
    <n v="0"/>
    <m/>
    <m/>
    <m/>
    <m/>
    <m/>
    <m/>
    <m/>
    <m/>
    <n v="1"/>
    <s v="2"/>
    <s v="2"/>
  </r>
  <r>
    <s v="clair13"/>
    <s v="mmc_global"/>
    <m/>
    <m/>
    <m/>
    <m/>
    <m/>
    <m/>
    <m/>
    <m/>
    <s v="No"/>
    <n v="4"/>
    <m/>
    <m/>
    <x v="1"/>
    <d v="2020-09-16T14:31:45.000"/>
    <s v="RT @baker004: @MMC_Global A8 We need to make development inclusive. We are 7.6B people, we need to find ways to make e/o productive, earnin…"/>
    <m/>
    <m/>
    <x v="1"/>
    <m/>
    <s v="http://pbs.twimg.com/profile_images/1304544534836150272/uQjalUtR_normal.jpg"/>
    <x v="1"/>
    <d v="2020-09-16T00:00:00.000"/>
    <s v="14:31:45"/>
    <s v="https://twitter.com/#!/clair13/status/1306239355120316417"/>
    <m/>
    <m/>
    <s v="1306239355120316417"/>
    <m/>
    <b v="0"/>
    <n v="0"/>
    <s v=""/>
    <b v="0"/>
    <s v="en"/>
    <m/>
    <s v=""/>
    <b v="0"/>
    <n v="1"/>
    <s v="1260587156931837953"/>
    <s v="Twitter Web App"/>
    <b v="0"/>
    <s v="1260587156931837953"/>
    <s v="Tweet"/>
    <n v="0"/>
    <n v="0"/>
    <m/>
    <m/>
    <m/>
    <m/>
    <m/>
    <m/>
    <m/>
    <m/>
    <n v="1"/>
    <s v="1"/>
    <s v="2"/>
  </r>
  <r>
    <s v="clair13"/>
    <s v="baker004"/>
    <m/>
    <m/>
    <m/>
    <m/>
    <m/>
    <m/>
    <m/>
    <m/>
    <s v="No"/>
    <n v="5"/>
    <m/>
    <m/>
    <x v="1"/>
    <d v="2020-09-16T14:31:45.000"/>
    <s v="RT @baker004: @MMC_Global A8 We need to make development inclusive. We are 7.6B people, we need to find ways to make e/o productive, earnin…"/>
    <m/>
    <m/>
    <x v="1"/>
    <m/>
    <s v="http://pbs.twimg.com/profile_images/1304544534836150272/uQjalUtR_normal.jpg"/>
    <x v="1"/>
    <d v="2020-09-16T00:00:00.000"/>
    <s v="14:31:45"/>
    <s v="https://twitter.com/#!/clair13/status/1306239355120316417"/>
    <m/>
    <m/>
    <s v="1306239355120316417"/>
    <m/>
    <b v="0"/>
    <n v="0"/>
    <s v=""/>
    <b v="0"/>
    <s v="en"/>
    <m/>
    <s v=""/>
    <b v="0"/>
    <n v="1"/>
    <s v="1260587156931837953"/>
    <s v="Twitter Web App"/>
    <b v="0"/>
    <s v="1260587156931837953"/>
    <s v="Tweet"/>
    <n v="0"/>
    <n v="0"/>
    <m/>
    <m/>
    <m/>
    <m/>
    <m/>
    <m/>
    <m/>
    <m/>
    <n v="1"/>
    <s v="1"/>
    <s v="2"/>
  </r>
  <r>
    <s v="clair13"/>
    <s v="baker004"/>
    <m/>
    <m/>
    <m/>
    <m/>
    <m/>
    <m/>
    <m/>
    <m/>
    <s v="No"/>
    <n v="6"/>
    <m/>
    <m/>
    <x v="2"/>
    <d v="2020-09-16T14:31:45.000"/>
    <s v="RT @baker004: @MMC_Global A8 We need to make development inclusive. We are 7.6B people, we need to find ways to make e/o productive, earnin…"/>
    <m/>
    <m/>
    <x v="1"/>
    <m/>
    <s v="http://pbs.twimg.com/profile_images/1304544534836150272/uQjalUtR_normal.jpg"/>
    <x v="1"/>
    <d v="2020-09-16T00:00:00.000"/>
    <s v="14:31:45"/>
    <s v="https://twitter.com/#!/clair13/status/1306239355120316417"/>
    <m/>
    <m/>
    <s v="1306239355120316417"/>
    <m/>
    <b v="0"/>
    <n v="0"/>
    <s v=""/>
    <b v="0"/>
    <s v="en"/>
    <m/>
    <s v=""/>
    <b v="0"/>
    <n v="1"/>
    <s v="1260587156931837953"/>
    <s v="Twitter Web App"/>
    <b v="0"/>
    <s v="1260587156931837953"/>
    <s v="Tweet"/>
    <n v="0"/>
    <n v="0"/>
    <m/>
    <m/>
    <m/>
    <m/>
    <m/>
    <m/>
    <m/>
    <m/>
    <n v="1"/>
    <s v="1"/>
    <s v="2"/>
  </r>
  <r>
    <s v="patricia_energy"/>
    <s v="patricia_energy"/>
    <m/>
    <m/>
    <m/>
    <m/>
    <m/>
    <m/>
    <m/>
    <m/>
    <s v="No"/>
    <n v="7"/>
    <m/>
    <m/>
    <x v="3"/>
    <d v="2020-09-16T14:21:25.000"/>
    <s v="Improving resilience across physical, social, economic, and environmental domains means adopting an integrative, long-term strategy. Means expanding assistance network &amp;amp; a suite of temporally-defined strategies to include those engaged in understanding changing climate #MMChat https://t.co/q873oTgYZC"/>
    <s v="https://twitter.com/MMC_Global/status/1306236161246015488"/>
    <s v="twitter.com"/>
    <x v="2"/>
    <m/>
    <s v="http://pbs.twimg.com/profile_images/1129324312152944640/Gq_X0FZk_normal.jpg"/>
    <x v="2"/>
    <d v="2020-09-16T00:00:00.000"/>
    <s v="14:21:25"/>
    <s v="https://twitter.com/#!/patricia_energy/status/1306236755956379649"/>
    <m/>
    <m/>
    <s v="1306236755956379649"/>
    <m/>
    <b v="0"/>
    <n v="1"/>
    <s v=""/>
    <b v="1"/>
    <s v="en"/>
    <m/>
    <s v="1306236161246015488"/>
    <b v="0"/>
    <n v="1"/>
    <s v=""/>
    <s v="Twitter Web App"/>
    <b v="0"/>
    <s v="1306236755956379649"/>
    <s v="Tweet"/>
    <n v="0"/>
    <n v="0"/>
    <m/>
    <m/>
    <m/>
    <m/>
    <m/>
    <m/>
    <m/>
    <m/>
    <n v="2"/>
    <s v="1"/>
    <s v="1"/>
  </r>
  <r>
    <s v="patricia_energy"/>
    <s v="patricia_energy"/>
    <m/>
    <m/>
    <m/>
    <m/>
    <m/>
    <m/>
    <m/>
    <m/>
    <s v="No"/>
    <n v="8"/>
    <m/>
    <m/>
    <x v="3"/>
    <d v="2020-09-16T14:22:40.000"/>
    <s v="Absolutely Sydney - good point - Developing clear linkages between pre- and post-disaster recovery funding allocations and the incorporation of adaptation measures during the recovery process provide a unique “opportunity” that merits increased attention.#MMChat https://t.co/HOqnXUthHu"/>
    <s v="https://twitter.com/SydneyHedberg/status/1306236648187998208"/>
    <s v="twitter.com"/>
    <x v="2"/>
    <m/>
    <s v="http://pbs.twimg.com/profile_images/1129324312152944640/Gq_X0FZk_normal.jpg"/>
    <x v="3"/>
    <d v="2020-09-16T00:00:00.000"/>
    <s v="14:22:40"/>
    <s v="https://twitter.com/#!/patricia_energy/status/1306237069363236868"/>
    <m/>
    <m/>
    <s v="1306237069363236868"/>
    <m/>
    <b v="0"/>
    <n v="2"/>
    <s v=""/>
    <b v="1"/>
    <s v="en"/>
    <m/>
    <s v="1306236648187998208"/>
    <b v="0"/>
    <n v="1"/>
    <s v=""/>
    <s v="Twitter Web App"/>
    <b v="0"/>
    <s v="1306237069363236868"/>
    <s v="Tweet"/>
    <n v="0"/>
    <n v="0"/>
    <m/>
    <m/>
    <m/>
    <m/>
    <m/>
    <m/>
    <m/>
    <m/>
    <n v="2"/>
    <s v="1"/>
    <s v="1"/>
  </r>
  <r>
    <s v="clair13"/>
    <s v="patricia_energy"/>
    <m/>
    <m/>
    <m/>
    <m/>
    <m/>
    <m/>
    <m/>
    <m/>
    <s v="No"/>
    <n v="9"/>
    <m/>
    <m/>
    <x v="1"/>
    <d v="2020-09-16T14:22:51.000"/>
    <s v="RT @Patricia_Energy: Improving resilience across physical, social, economic, and environmental domains means adopting an integrative, long-…"/>
    <m/>
    <m/>
    <x v="1"/>
    <m/>
    <s v="http://pbs.twimg.com/profile_images/1304544534836150272/uQjalUtR_normal.jpg"/>
    <x v="4"/>
    <d v="2020-09-16T00:00:00.000"/>
    <s v="14:22:51"/>
    <s v="https://twitter.com/#!/clair13/status/1306237115412275210"/>
    <m/>
    <m/>
    <s v="1306237115412275210"/>
    <m/>
    <b v="0"/>
    <n v="0"/>
    <s v=""/>
    <b v="1"/>
    <s v="en"/>
    <m/>
    <s v="1306236161246015488"/>
    <b v="0"/>
    <n v="1"/>
    <s v="1306236755956379649"/>
    <s v="Twitter Web App"/>
    <b v="0"/>
    <s v="1306236755956379649"/>
    <s v="Tweet"/>
    <n v="0"/>
    <n v="0"/>
    <m/>
    <m/>
    <m/>
    <m/>
    <m/>
    <m/>
    <m/>
    <m/>
    <n v="2"/>
    <s v="1"/>
    <s v="1"/>
  </r>
  <r>
    <s v="clair13"/>
    <s v="patricia_energy"/>
    <m/>
    <m/>
    <m/>
    <m/>
    <m/>
    <m/>
    <m/>
    <m/>
    <s v="No"/>
    <n v="10"/>
    <m/>
    <m/>
    <x v="2"/>
    <d v="2020-09-16T14:22:51.000"/>
    <s v="RT @Patricia_Energy: Improving resilience across physical, social, economic, and environmental domains means adopting an integrative, long-…"/>
    <m/>
    <m/>
    <x v="1"/>
    <m/>
    <s v="http://pbs.twimg.com/profile_images/1304544534836150272/uQjalUtR_normal.jpg"/>
    <x v="4"/>
    <d v="2020-09-16T00:00:00.000"/>
    <s v="14:22:51"/>
    <s v="https://twitter.com/#!/clair13/status/1306237115412275210"/>
    <m/>
    <m/>
    <s v="1306237115412275210"/>
    <m/>
    <b v="0"/>
    <n v="0"/>
    <s v=""/>
    <b v="1"/>
    <s v="en"/>
    <m/>
    <s v="1306236161246015488"/>
    <b v="0"/>
    <n v="1"/>
    <s v="1306236755956379649"/>
    <s v="Twitter Web App"/>
    <b v="0"/>
    <s v="1306236755956379649"/>
    <s v="Tweet"/>
    <n v="0"/>
    <n v="0"/>
    <m/>
    <m/>
    <m/>
    <m/>
    <m/>
    <m/>
    <m/>
    <m/>
    <n v="2"/>
    <s v="1"/>
    <s v="1"/>
  </r>
  <r>
    <s v="clair13"/>
    <s v="patricia_energy"/>
    <m/>
    <m/>
    <m/>
    <m/>
    <m/>
    <m/>
    <m/>
    <m/>
    <s v="No"/>
    <n v="11"/>
    <m/>
    <m/>
    <x v="1"/>
    <d v="2020-09-16T14:28:39.000"/>
    <s v="RT @Patricia_Energy: Absolutely Sydney - good point - Developing clear linkages between pre- and post-disaster recovery funding allocations…"/>
    <m/>
    <m/>
    <x v="1"/>
    <m/>
    <s v="http://pbs.twimg.com/profile_images/1304544534836150272/uQjalUtR_normal.jpg"/>
    <x v="5"/>
    <d v="2020-09-16T00:00:00.000"/>
    <s v="14:28:39"/>
    <s v="https://twitter.com/#!/clair13/status/1306238575407587334"/>
    <m/>
    <m/>
    <s v="1306238575407587334"/>
    <m/>
    <b v="0"/>
    <n v="0"/>
    <s v=""/>
    <b v="1"/>
    <s v="en"/>
    <m/>
    <s v="1306236648187998208"/>
    <b v="0"/>
    <n v="1"/>
    <s v="1306237069363236868"/>
    <s v="Twitter Web App"/>
    <b v="0"/>
    <s v="1306237069363236868"/>
    <s v="Tweet"/>
    <n v="0"/>
    <n v="0"/>
    <m/>
    <m/>
    <m/>
    <m/>
    <m/>
    <m/>
    <m/>
    <m/>
    <n v="2"/>
    <s v="1"/>
    <s v="1"/>
  </r>
  <r>
    <s v="clair13"/>
    <s v="patricia_energy"/>
    <m/>
    <m/>
    <m/>
    <m/>
    <m/>
    <m/>
    <m/>
    <m/>
    <s v="No"/>
    <n v="12"/>
    <m/>
    <m/>
    <x v="2"/>
    <d v="2020-09-16T14:28:39.000"/>
    <s v="RT @Patricia_Energy: Absolutely Sydney - good point - Developing clear linkages between pre- and post-disaster recovery funding allocations…"/>
    <m/>
    <m/>
    <x v="1"/>
    <m/>
    <s v="http://pbs.twimg.com/profile_images/1304544534836150272/uQjalUtR_normal.jpg"/>
    <x v="5"/>
    <d v="2020-09-16T00:00:00.000"/>
    <s v="14:28:39"/>
    <s v="https://twitter.com/#!/clair13/status/1306238575407587334"/>
    <m/>
    <m/>
    <s v="1306238575407587334"/>
    <m/>
    <b v="0"/>
    <n v="0"/>
    <s v=""/>
    <b v="1"/>
    <s v="en"/>
    <m/>
    <s v="1306236648187998208"/>
    <b v="0"/>
    <n v="1"/>
    <s v="1306237069363236868"/>
    <s v="Twitter Web App"/>
    <b v="0"/>
    <s v="1306237069363236868"/>
    <s v="Tweet"/>
    <n v="0"/>
    <n v="0"/>
    <m/>
    <m/>
    <m/>
    <m/>
    <m/>
    <m/>
    <m/>
    <m/>
    <n v="2"/>
    <s v="1"/>
    <s v="1"/>
  </r>
  <r>
    <s v="clair13"/>
    <s v="patricia_energy"/>
    <m/>
    <m/>
    <m/>
    <m/>
    <m/>
    <m/>
    <m/>
    <m/>
    <s v="No"/>
    <n v="13"/>
    <m/>
    <m/>
    <x v="0"/>
    <d v="2020-09-16T14:38:59.000"/>
    <s v="@Patricia_Energy Yes, physical and psychological health and #healthcare during #natrualdisasters need more focus. We are seeing the long-term results of the lockdown and now an extended fire season in CA. #psychologicalhealth #natcat #MMChat"/>
    <m/>
    <m/>
    <x v="3"/>
    <m/>
    <s v="http://pbs.twimg.com/profile_images/1304544534836150272/uQjalUtR_normal.jpg"/>
    <x v="6"/>
    <d v="2020-09-16T00:00:00.000"/>
    <s v="14:38:59"/>
    <s v="https://twitter.com/#!/clair13/status/1306241174978482178"/>
    <m/>
    <m/>
    <s v="1306241174978482178"/>
    <s v="1306240098187579398"/>
    <b v="0"/>
    <n v="0"/>
    <s v="1622604644"/>
    <b v="0"/>
    <s v="en"/>
    <m/>
    <s v=""/>
    <b v="0"/>
    <n v="0"/>
    <s v=""/>
    <s v="Twitter Web App"/>
    <b v="0"/>
    <s v="130624009818757939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2"/>
        <item x="3"/>
        <item x="4"/>
        <item x="5"/>
        <item x="1"/>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4">
        <i x="3" s="1"/>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3" totalsRowShown="0" headerRowDxfId="220" dataDxfId="219">
  <autoFilter ref="A2:BE1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6" totalsRowShown="0" headerRowDxfId="165" dataDxfId="164">
  <autoFilter ref="A2:BA6"/>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4" totalsRowShown="0" headerRowDxfId="112">
  <autoFilter ref="A2:Y4"/>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3" totalsRowShown="0" headerRowDxfId="57" dataDxfId="56">
  <autoFilter ref="A2:BE1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333</v>
      </c>
      <c r="BD2" s="13" t="s">
        <v>339</v>
      </c>
      <c r="BE2" s="13" t="s">
        <v>340</v>
      </c>
    </row>
    <row r="3" spans="1:57" ht="15" customHeight="1">
      <c r="A3" s="86" t="s">
        <v>216</v>
      </c>
      <c r="B3" s="86" t="s">
        <v>217</v>
      </c>
      <c r="C3" s="54" t="s">
        <v>346</v>
      </c>
      <c r="D3" s="55">
        <v>3</v>
      </c>
      <c r="E3" s="67" t="s">
        <v>132</v>
      </c>
      <c r="F3" s="56">
        <v>35</v>
      </c>
      <c r="G3" s="54"/>
      <c r="H3" s="58"/>
      <c r="I3" s="57"/>
      <c r="J3" s="57"/>
      <c r="K3" s="36" t="s">
        <v>65</v>
      </c>
      <c r="L3" s="63">
        <v>3</v>
      </c>
      <c r="M3" s="63"/>
      <c r="N3" s="64"/>
      <c r="O3" s="87" t="s">
        <v>220</v>
      </c>
      <c r="P3" s="89">
        <v>43964.62931712963</v>
      </c>
      <c r="Q3" s="87" t="s">
        <v>227</v>
      </c>
      <c r="R3" s="87"/>
      <c r="S3" s="87"/>
      <c r="T3" s="87" t="s">
        <v>231</v>
      </c>
      <c r="U3" s="87"/>
      <c r="V3" s="92" t="str">
        <f>HYPERLINK("http://pbs.twimg.com/profile_images/256525774/sivmEPSON_normal.JPG")</f>
        <v>http://pbs.twimg.com/profile_images/256525774/sivmEPSON_normal.JPG</v>
      </c>
      <c r="W3" s="89">
        <v>43964.62931712963</v>
      </c>
      <c r="X3" s="93">
        <v>43964</v>
      </c>
      <c r="Y3" s="95" t="s">
        <v>238</v>
      </c>
      <c r="Z3" s="92" t="str">
        <f>HYPERLINK("https://twitter.com/#!/baker004/status/1260587156931837953")</f>
        <v>https://twitter.com/#!/baker004/status/1260587156931837953</v>
      </c>
      <c r="AA3" s="87"/>
      <c r="AB3" s="87"/>
      <c r="AC3" s="95" t="s">
        <v>245</v>
      </c>
      <c r="AD3" s="95" t="s">
        <v>247</v>
      </c>
      <c r="AE3" s="87" t="b">
        <v>0</v>
      </c>
      <c r="AF3" s="87">
        <v>1</v>
      </c>
      <c r="AG3" s="95" t="s">
        <v>250</v>
      </c>
      <c r="AH3" s="87" t="b">
        <v>0</v>
      </c>
      <c r="AI3" s="87" t="s">
        <v>251</v>
      </c>
      <c r="AJ3" s="87"/>
      <c r="AK3" s="95" t="s">
        <v>248</v>
      </c>
      <c r="AL3" s="87" t="b">
        <v>0</v>
      </c>
      <c r="AM3" s="87">
        <v>1</v>
      </c>
      <c r="AN3" s="95" t="s">
        <v>248</v>
      </c>
      <c r="AO3" s="87" t="s">
        <v>254</v>
      </c>
      <c r="AP3" s="87" t="b">
        <v>0</v>
      </c>
      <c r="AQ3" s="95" t="s">
        <v>247</v>
      </c>
      <c r="AR3" s="87" t="s">
        <v>219</v>
      </c>
      <c r="AS3" s="87">
        <v>0</v>
      </c>
      <c r="AT3" s="87">
        <v>0</v>
      </c>
      <c r="AU3" s="87"/>
      <c r="AV3" s="87"/>
      <c r="AW3" s="87"/>
      <c r="AX3" s="87"/>
      <c r="AY3" s="87"/>
      <c r="AZ3" s="87"/>
      <c r="BA3" s="87"/>
      <c r="BB3" s="87"/>
      <c r="BC3">
        <v>1</v>
      </c>
      <c r="BD3" s="87" t="str">
        <f>REPLACE(INDEX(GroupVertices[Group],MATCH(Edges[[#This Row],[Vertex 1]],GroupVertices[Vertex],0)),1,1,"")</f>
        <v>2</v>
      </c>
      <c r="BE3" s="87" t="str">
        <f>REPLACE(INDEX(GroupVertices[Group],MATCH(Edges[[#This Row],[Vertex 2]],GroupVertices[Vertex],0)),1,1,"")</f>
        <v>2</v>
      </c>
    </row>
    <row r="4" spans="1:57" ht="15" customHeight="1">
      <c r="A4" s="86" t="s">
        <v>214</v>
      </c>
      <c r="B4" s="86" t="s">
        <v>217</v>
      </c>
      <c r="C4" s="54" t="s">
        <v>346</v>
      </c>
      <c r="D4" s="55">
        <v>3</v>
      </c>
      <c r="E4" s="67" t="s">
        <v>132</v>
      </c>
      <c r="F4" s="56">
        <v>35</v>
      </c>
      <c r="G4" s="54"/>
      <c r="H4" s="58"/>
      <c r="I4" s="57"/>
      <c r="J4" s="57"/>
      <c r="K4" s="36" t="s">
        <v>65</v>
      </c>
      <c r="L4" s="85">
        <v>4</v>
      </c>
      <c r="M4" s="85"/>
      <c r="N4" s="64"/>
      <c r="O4" s="88" t="s">
        <v>218</v>
      </c>
      <c r="P4" s="90">
        <v>44090.60538194444</v>
      </c>
      <c r="Q4" s="88" t="s">
        <v>221</v>
      </c>
      <c r="R4" s="88"/>
      <c r="S4" s="88"/>
      <c r="T4" s="88"/>
      <c r="U4" s="88"/>
      <c r="V4" s="91" t="str">
        <f>HYPERLINK("http://pbs.twimg.com/profile_images/1304544534836150272/uQjalUtR_normal.jpg")</f>
        <v>http://pbs.twimg.com/profile_images/1304544534836150272/uQjalUtR_normal.jpg</v>
      </c>
      <c r="W4" s="90">
        <v>44090.60538194444</v>
      </c>
      <c r="X4" s="94">
        <v>44090</v>
      </c>
      <c r="Y4" s="96" t="s">
        <v>232</v>
      </c>
      <c r="Z4" s="91" t="str">
        <f>HYPERLINK("https://twitter.com/#!/clair13/status/1306239355120316417")</f>
        <v>https://twitter.com/#!/clair13/status/1306239355120316417</v>
      </c>
      <c r="AA4" s="88"/>
      <c r="AB4" s="88"/>
      <c r="AC4" s="96" t="s">
        <v>239</v>
      </c>
      <c r="AD4" s="88"/>
      <c r="AE4" s="88" t="b">
        <v>0</v>
      </c>
      <c r="AF4" s="88">
        <v>0</v>
      </c>
      <c r="AG4" s="96" t="s">
        <v>248</v>
      </c>
      <c r="AH4" s="88" t="b">
        <v>0</v>
      </c>
      <c r="AI4" s="88" t="s">
        <v>251</v>
      </c>
      <c r="AJ4" s="88"/>
      <c r="AK4" s="96" t="s">
        <v>248</v>
      </c>
      <c r="AL4" s="88" t="b">
        <v>0</v>
      </c>
      <c r="AM4" s="88">
        <v>1</v>
      </c>
      <c r="AN4" s="96" t="s">
        <v>245</v>
      </c>
      <c r="AO4" s="88" t="s">
        <v>254</v>
      </c>
      <c r="AP4" s="88" t="b">
        <v>0</v>
      </c>
      <c r="AQ4" s="96" t="s">
        <v>245</v>
      </c>
      <c r="AR4" s="88" t="s">
        <v>176</v>
      </c>
      <c r="AS4" s="88">
        <v>0</v>
      </c>
      <c r="AT4" s="88">
        <v>0</v>
      </c>
      <c r="AU4" s="88"/>
      <c r="AV4" s="88"/>
      <c r="AW4" s="88"/>
      <c r="AX4" s="88"/>
      <c r="AY4" s="88"/>
      <c r="AZ4" s="88"/>
      <c r="BA4" s="88"/>
      <c r="BB4" s="88"/>
      <c r="BC4">
        <v>1</v>
      </c>
      <c r="BD4" s="87" t="str">
        <f>REPLACE(INDEX(GroupVertices[Group],MATCH(Edges[[#This Row],[Vertex 1]],GroupVertices[Vertex],0)),1,1,"")</f>
        <v>1</v>
      </c>
      <c r="BE4" s="87" t="str">
        <f>REPLACE(INDEX(GroupVertices[Group],MATCH(Edges[[#This Row],[Vertex 2]],GroupVertices[Vertex],0)),1,1,"")</f>
        <v>2</v>
      </c>
    </row>
    <row r="5" spans="1:57" ht="45">
      <c r="A5" s="86" t="s">
        <v>214</v>
      </c>
      <c r="B5" s="86" t="s">
        <v>216</v>
      </c>
      <c r="C5" s="54" t="s">
        <v>346</v>
      </c>
      <c r="D5" s="55">
        <v>3</v>
      </c>
      <c r="E5" s="67" t="s">
        <v>132</v>
      </c>
      <c r="F5" s="56">
        <v>35</v>
      </c>
      <c r="G5" s="54"/>
      <c r="H5" s="58"/>
      <c r="I5" s="57"/>
      <c r="J5" s="57"/>
      <c r="K5" s="36" t="s">
        <v>65</v>
      </c>
      <c r="L5" s="85">
        <v>5</v>
      </c>
      <c r="M5" s="85"/>
      <c r="N5" s="64"/>
      <c r="O5" s="88" t="s">
        <v>218</v>
      </c>
      <c r="P5" s="90">
        <v>44090.60538194444</v>
      </c>
      <c r="Q5" s="88" t="s">
        <v>221</v>
      </c>
      <c r="R5" s="88"/>
      <c r="S5" s="88"/>
      <c r="T5" s="88"/>
      <c r="U5" s="88"/>
      <c r="V5" s="91" t="str">
        <f>HYPERLINK("http://pbs.twimg.com/profile_images/1304544534836150272/uQjalUtR_normal.jpg")</f>
        <v>http://pbs.twimg.com/profile_images/1304544534836150272/uQjalUtR_normal.jpg</v>
      </c>
      <c r="W5" s="90">
        <v>44090.60538194444</v>
      </c>
      <c r="X5" s="94">
        <v>44090</v>
      </c>
      <c r="Y5" s="96" t="s">
        <v>232</v>
      </c>
      <c r="Z5" s="91" t="str">
        <f>HYPERLINK("https://twitter.com/#!/clair13/status/1306239355120316417")</f>
        <v>https://twitter.com/#!/clair13/status/1306239355120316417</v>
      </c>
      <c r="AA5" s="88"/>
      <c r="AB5" s="88"/>
      <c r="AC5" s="96" t="s">
        <v>239</v>
      </c>
      <c r="AD5" s="88"/>
      <c r="AE5" s="88" t="b">
        <v>0</v>
      </c>
      <c r="AF5" s="88">
        <v>0</v>
      </c>
      <c r="AG5" s="96" t="s">
        <v>248</v>
      </c>
      <c r="AH5" s="88" t="b">
        <v>0</v>
      </c>
      <c r="AI5" s="88" t="s">
        <v>251</v>
      </c>
      <c r="AJ5" s="88"/>
      <c r="AK5" s="96" t="s">
        <v>248</v>
      </c>
      <c r="AL5" s="88" t="b">
        <v>0</v>
      </c>
      <c r="AM5" s="88">
        <v>1</v>
      </c>
      <c r="AN5" s="96" t="s">
        <v>245</v>
      </c>
      <c r="AO5" s="88" t="s">
        <v>254</v>
      </c>
      <c r="AP5" s="88" t="b">
        <v>0</v>
      </c>
      <c r="AQ5" s="96" t="s">
        <v>245</v>
      </c>
      <c r="AR5" s="88" t="s">
        <v>176</v>
      </c>
      <c r="AS5" s="88">
        <v>0</v>
      </c>
      <c r="AT5" s="88">
        <v>0</v>
      </c>
      <c r="AU5" s="88"/>
      <c r="AV5" s="88"/>
      <c r="AW5" s="88"/>
      <c r="AX5" s="88"/>
      <c r="AY5" s="88"/>
      <c r="AZ5" s="88"/>
      <c r="BA5" s="88"/>
      <c r="BB5" s="88"/>
      <c r="BC5">
        <v>1</v>
      </c>
      <c r="BD5" s="87" t="str">
        <f>REPLACE(INDEX(GroupVertices[Group],MATCH(Edges[[#This Row],[Vertex 1]],GroupVertices[Vertex],0)),1,1,"")</f>
        <v>1</v>
      </c>
      <c r="BE5" s="87" t="str">
        <f>REPLACE(INDEX(GroupVertices[Group],MATCH(Edges[[#This Row],[Vertex 2]],GroupVertices[Vertex],0)),1,1,"")</f>
        <v>2</v>
      </c>
    </row>
    <row r="6" spans="1:57" ht="45">
      <c r="A6" s="86" t="s">
        <v>214</v>
      </c>
      <c r="B6" s="86" t="s">
        <v>216</v>
      </c>
      <c r="C6" s="54" t="s">
        <v>346</v>
      </c>
      <c r="D6" s="55">
        <v>3</v>
      </c>
      <c r="E6" s="67" t="s">
        <v>132</v>
      </c>
      <c r="F6" s="56">
        <v>35</v>
      </c>
      <c r="G6" s="54"/>
      <c r="H6" s="58"/>
      <c r="I6" s="57"/>
      <c r="J6" s="57"/>
      <c r="K6" s="36" t="s">
        <v>65</v>
      </c>
      <c r="L6" s="85">
        <v>6</v>
      </c>
      <c r="M6" s="85"/>
      <c r="N6" s="64"/>
      <c r="O6" s="88" t="s">
        <v>219</v>
      </c>
      <c r="P6" s="90">
        <v>44090.60538194444</v>
      </c>
      <c r="Q6" s="88" t="s">
        <v>221</v>
      </c>
      <c r="R6" s="88"/>
      <c r="S6" s="88"/>
      <c r="T6" s="88"/>
      <c r="U6" s="88"/>
      <c r="V6" s="91" t="str">
        <f>HYPERLINK("http://pbs.twimg.com/profile_images/1304544534836150272/uQjalUtR_normal.jpg")</f>
        <v>http://pbs.twimg.com/profile_images/1304544534836150272/uQjalUtR_normal.jpg</v>
      </c>
      <c r="W6" s="90">
        <v>44090.60538194444</v>
      </c>
      <c r="X6" s="94">
        <v>44090</v>
      </c>
      <c r="Y6" s="96" t="s">
        <v>232</v>
      </c>
      <c r="Z6" s="91" t="str">
        <f>HYPERLINK("https://twitter.com/#!/clair13/status/1306239355120316417")</f>
        <v>https://twitter.com/#!/clair13/status/1306239355120316417</v>
      </c>
      <c r="AA6" s="88"/>
      <c r="AB6" s="88"/>
      <c r="AC6" s="96" t="s">
        <v>239</v>
      </c>
      <c r="AD6" s="88"/>
      <c r="AE6" s="88" t="b">
        <v>0</v>
      </c>
      <c r="AF6" s="88">
        <v>0</v>
      </c>
      <c r="AG6" s="96" t="s">
        <v>248</v>
      </c>
      <c r="AH6" s="88" t="b">
        <v>0</v>
      </c>
      <c r="AI6" s="88" t="s">
        <v>251</v>
      </c>
      <c r="AJ6" s="88"/>
      <c r="AK6" s="96" t="s">
        <v>248</v>
      </c>
      <c r="AL6" s="88" t="b">
        <v>0</v>
      </c>
      <c r="AM6" s="88">
        <v>1</v>
      </c>
      <c r="AN6" s="96" t="s">
        <v>245</v>
      </c>
      <c r="AO6" s="88" t="s">
        <v>254</v>
      </c>
      <c r="AP6" s="88" t="b">
        <v>0</v>
      </c>
      <c r="AQ6" s="96" t="s">
        <v>245</v>
      </c>
      <c r="AR6" s="88" t="s">
        <v>176</v>
      </c>
      <c r="AS6" s="88">
        <v>0</v>
      </c>
      <c r="AT6" s="88">
        <v>0</v>
      </c>
      <c r="AU6" s="88"/>
      <c r="AV6" s="88"/>
      <c r="AW6" s="88"/>
      <c r="AX6" s="88"/>
      <c r="AY6" s="88"/>
      <c r="AZ6" s="88"/>
      <c r="BA6" s="88"/>
      <c r="BB6" s="88"/>
      <c r="BC6">
        <v>1</v>
      </c>
      <c r="BD6" s="87" t="str">
        <f>REPLACE(INDEX(GroupVertices[Group],MATCH(Edges[[#This Row],[Vertex 1]],GroupVertices[Vertex],0)),1,1,"")</f>
        <v>1</v>
      </c>
      <c r="BE6" s="87" t="str">
        <f>REPLACE(INDEX(GroupVertices[Group],MATCH(Edges[[#This Row],[Vertex 2]],GroupVertices[Vertex],0)),1,1,"")</f>
        <v>2</v>
      </c>
    </row>
    <row r="7" spans="1:57" ht="45">
      <c r="A7" s="86" t="s">
        <v>215</v>
      </c>
      <c r="B7" s="86" t="s">
        <v>215</v>
      </c>
      <c r="C7" s="54" t="s">
        <v>346</v>
      </c>
      <c r="D7" s="55">
        <v>3</v>
      </c>
      <c r="E7" s="67" t="s">
        <v>132</v>
      </c>
      <c r="F7" s="56">
        <v>35</v>
      </c>
      <c r="G7" s="54"/>
      <c r="H7" s="58"/>
      <c r="I7" s="57"/>
      <c r="J7" s="57"/>
      <c r="K7" s="36" t="s">
        <v>65</v>
      </c>
      <c r="L7" s="85">
        <v>7</v>
      </c>
      <c r="M7" s="85"/>
      <c r="N7" s="64"/>
      <c r="O7" s="88" t="s">
        <v>176</v>
      </c>
      <c r="P7" s="90">
        <v>44090.59820601852</v>
      </c>
      <c r="Q7" s="88" t="s">
        <v>222</v>
      </c>
      <c r="R7" s="91" t="str">
        <f>HYPERLINK("https://twitter.com/MMC_Global/status/1306236161246015488")</f>
        <v>https://twitter.com/MMC_Global/status/1306236161246015488</v>
      </c>
      <c r="S7" s="88" t="s">
        <v>228</v>
      </c>
      <c r="T7" s="88" t="s">
        <v>229</v>
      </c>
      <c r="U7" s="88"/>
      <c r="V7" s="91" t="str">
        <f>HYPERLINK("http://pbs.twimg.com/profile_images/1129324312152944640/Gq_X0FZk_normal.jpg")</f>
        <v>http://pbs.twimg.com/profile_images/1129324312152944640/Gq_X0FZk_normal.jpg</v>
      </c>
      <c r="W7" s="90">
        <v>44090.59820601852</v>
      </c>
      <c r="X7" s="94">
        <v>44090</v>
      </c>
      <c r="Y7" s="96" t="s">
        <v>233</v>
      </c>
      <c r="Z7" s="91" t="str">
        <f>HYPERLINK("https://twitter.com/#!/patricia_energy/status/1306236755956379649")</f>
        <v>https://twitter.com/#!/patricia_energy/status/1306236755956379649</v>
      </c>
      <c r="AA7" s="88"/>
      <c r="AB7" s="88"/>
      <c r="AC7" s="96" t="s">
        <v>240</v>
      </c>
      <c r="AD7" s="88"/>
      <c r="AE7" s="88" t="b">
        <v>0</v>
      </c>
      <c r="AF7" s="88">
        <v>1</v>
      </c>
      <c r="AG7" s="96" t="s">
        <v>248</v>
      </c>
      <c r="AH7" s="88" t="b">
        <v>1</v>
      </c>
      <c r="AI7" s="88" t="s">
        <v>251</v>
      </c>
      <c r="AJ7" s="88"/>
      <c r="AK7" s="96" t="s">
        <v>252</v>
      </c>
      <c r="AL7" s="88" t="b">
        <v>0</v>
      </c>
      <c r="AM7" s="88">
        <v>1</v>
      </c>
      <c r="AN7" s="96" t="s">
        <v>248</v>
      </c>
      <c r="AO7" s="88" t="s">
        <v>254</v>
      </c>
      <c r="AP7" s="88" t="b">
        <v>0</v>
      </c>
      <c r="AQ7" s="96" t="s">
        <v>240</v>
      </c>
      <c r="AR7" s="88" t="s">
        <v>176</v>
      </c>
      <c r="AS7" s="88">
        <v>0</v>
      </c>
      <c r="AT7" s="88">
        <v>0</v>
      </c>
      <c r="AU7" s="88"/>
      <c r="AV7" s="88"/>
      <c r="AW7" s="88"/>
      <c r="AX7" s="88"/>
      <c r="AY7" s="88"/>
      <c r="AZ7" s="88"/>
      <c r="BA7" s="88"/>
      <c r="BB7" s="88"/>
      <c r="BC7">
        <v>2</v>
      </c>
      <c r="BD7" s="87" t="str">
        <f>REPLACE(INDEX(GroupVertices[Group],MATCH(Edges[[#This Row],[Vertex 1]],GroupVertices[Vertex],0)),1,1,"")</f>
        <v>1</v>
      </c>
      <c r="BE7" s="87" t="str">
        <f>REPLACE(INDEX(GroupVertices[Group],MATCH(Edges[[#This Row],[Vertex 2]],GroupVertices[Vertex],0)),1,1,"")</f>
        <v>1</v>
      </c>
    </row>
    <row r="8" spans="1:57" ht="45">
      <c r="A8" s="86" t="s">
        <v>215</v>
      </c>
      <c r="B8" s="86" t="s">
        <v>215</v>
      </c>
      <c r="C8" s="54" t="s">
        <v>346</v>
      </c>
      <c r="D8" s="55">
        <v>3</v>
      </c>
      <c r="E8" s="67" t="s">
        <v>132</v>
      </c>
      <c r="F8" s="56">
        <v>35</v>
      </c>
      <c r="G8" s="54"/>
      <c r="H8" s="58"/>
      <c r="I8" s="57"/>
      <c r="J8" s="57"/>
      <c r="K8" s="36" t="s">
        <v>65</v>
      </c>
      <c r="L8" s="85">
        <v>8</v>
      </c>
      <c r="M8" s="85"/>
      <c r="N8" s="64"/>
      <c r="O8" s="88" t="s">
        <v>176</v>
      </c>
      <c r="P8" s="90">
        <v>44090.599074074074</v>
      </c>
      <c r="Q8" s="88" t="s">
        <v>223</v>
      </c>
      <c r="R8" s="91" t="str">
        <f>HYPERLINK("https://twitter.com/SydneyHedberg/status/1306236648187998208")</f>
        <v>https://twitter.com/SydneyHedberg/status/1306236648187998208</v>
      </c>
      <c r="S8" s="88" t="s">
        <v>228</v>
      </c>
      <c r="T8" s="88" t="s">
        <v>229</v>
      </c>
      <c r="U8" s="88"/>
      <c r="V8" s="91" t="str">
        <f>HYPERLINK("http://pbs.twimg.com/profile_images/1129324312152944640/Gq_X0FZk_normal.jpg")</f>
        <v>http://pbs.twimg.com/profile_images/1129324312152944640/Gq_X0FZk_normal.jpg</v>
      </c>
      <c r="W8" s="90">
        <v>44090.599074074074</v>
      </c>
      <c r="X8" s="94">
        <v>44090</v>
      </c>
      <c r="Y8" s="96" t="s">
        <v>234</v>
      </c>
      <c r="Z8" s="91" t="str">
        <f>HYPERLINK("https://twitter.com/#!/patricia_energy/status/1306237069363236868")</f>
        <v>https://twitter.com/#!/patricia_energy/status/1306237069363236868</v>
      </c>
      <c r="AA8" s="88"/>
      <c r="AB8" s="88"/>
      <c r="AC8" s="96" t="s">
        <v>241</v>
      </c>
      <c r="AD8" s="88"/>
      <c r="AE8" s="88" t="b">
        <v>0</v>
      </c>
      <c r="AF8" s="88">
        <v>2</v>
      </c>
      <c r="AG8" s="96" t="s">
        <v>248</v>
      </c>
      <c r="AH8" s="88" t="b">
        <v>1</v>
      </c>
      <c r="AI8" s="88" t="s">
        <v>251</v>
      </c>
      <c r="AJ8" s="88"/>
      <c r="AK8" s="96" t="s">
        <v>253</v>
      </c>
      <c r="AL8" s="88" t="b">
        <v>0</v>
      </c>
      <c r="AM8" s="88">
        <v>1</v>
      </c>
      <c r="AN8" s="96" t="s">
        <v>248</v>
      </c>
      <c r="AO8" s="88" t="s">
        <v>254</v>
      </c>
      <c r="AP8" s="88" t="b">
        <v>0</v>
      </c>
      <c r="AQ8" s="96" t="s">
        <v>241</v>
      </c>
      <c r="AR8" s="88" t="s">
        <v>176</v>
      </c>
      <c r="AS8" s="88">
        <v>0</v>
      </c>
      <c r="AT8" s="88">
        <v>0</v>
      </c>
      <c r="AU8" s="88"/>
      <c r="AV8" s="88"/>
      <c r="AW8" s="88"/>
      <c r="AX8" s="88"/>
      <c r="AY8" s="88"/>
      <c r="AZ8" s="88"/>
      <c r="BA8" s="88"/>
      <c r="BB8" s="88"/>
      <c r="BC8">
        <v>2</v>
      </c>
      <c r="BD8" s="87" t="str">
        <f>REPLACE(INDEX(GroupVertices[Group],MATCH(Edges[[#This Row],[Vertex 1]],GroupVertices[Vertex],0)),1,1,"")</f>
        <v>1</v>
      </c>
      <c r="BE8" s="87" t="str">
        <f>REPLACE(INDEX(GroupVertices[Group],MATCH(Edges[[#This Row],[Vertex 2]],GroupVertices[Vertex],0)),1,1,"")</f>
        <v>1</v>
      </c>
    </row>
    <row r="9" spans="1:57" ht="45">
      <c r="A9" s="86" t="s">
        <v>214</v>
      </c>
      <c r="B9" s="86" t="s">
        <v>215</v>
      </c>
      <c r="C9" s="54" t="s">
        <v>346</v>
      </c>
      <c r="D9" s="55">
        <v>3</v>
      </c>
      <c r="E9" s="67" t="s">
        <v>132</v>
      </c>
      <c r="F9" s="56">
        <v>35</v>
      </c>
      <c r="G9" s="54"/>
      <c r="H9" s="58"/>
      <c r="I9" s="57"/>
      <c r="J9" s="57"/>
      <c r="K9" s="36" t="s">
        <v>65</v>
      </c>
      <c r="L9" s="85">
        <v>9</v>
      </c>
      <c r="M9" s="85"/>
      <c r="N9" s="64"/>
      <c r="O9" s="88" t="s">
        <v>218</v>
      </c>
      <c r="P9" s="90">
        <v>44090.59920138889</v>
      </c>
      <c r="Q9" s="88" t="s">
        <v>224</v>
      </c>
      <c r="R9" s="88"/>
      <c r="S9" s="88"/>
      <c r="T9" s="88"/>
      <c r="U9" s="88"/>
      <c r="V9" s="91" t="str">
        <f>HYPERLINK("http://pbs.twimg.com/profile_images/1304544534836150272/uQjalUtR_normal.jpg")</f>
        <v>http://pbs.twimg.com/profile_images/1304544534836150272/uQjalUtR_normal.jpg</v>
      </c>
      <c r="W9" s="90">
        <v>44090.59920138889</v>
      </c>
      <c r="X9" s="94">
        <v>44090</v>
      </c>
      <c r="Y9" s="96" t="s">
        <v>235</v>
      </c>
      <c r="Z9" s="91" t="str">
        <f>HYPERLINK("https://twitter.com/#!/clair13/status/1306237115412275210")</f>
        <v>https://twitter.com/#!/clair13/status/1306237115412275210</v>
      </c>
      <c r="AA9" s="88"/>
      <c r="AB9" s="88"/>
      <c r="AC9" s="96" t="s">
        <v>242</v>
      </c>
      <c r="AD9" s="88"/>
      <c r="AE9" s="88" t="b">
        <v>0</v>
      </c>
      <c r="AF9" s="88">
        <v>0</v>
      </c>
      <c r="AG9" s="96" t="s">
        <v>248</v>
      </c>
      <c r="AH9" s="88" t="b">
        <v>1</v>
      </c>
      <c r="AI9" s="88" t="s">
        <v>251</v>
      </c>
      <c r="AJ9" s="88"/>
      <c r="AK9" s="96" t="s">
        <v>252</v>
      </c>
      <c r="AL9" s="88" t="b">
        <v>0</v>
      </c>
      <c r="AM9" s="88">
        <v>1</v>
      </c>
      <c r="AN9" s="96" t="s">
        <v>240</v>
      </c>
      <c r="AO9" s="88" t="s">
        <v>254</v>
      </c>
      <c r="AP9" s="88" t="b">
        <v>0</v>
      </c>
      <c r="AQ9" s="96" t="s">
        <v>240</v>
      </c>
      <c r="AR9" s="88" t="s">
        <v>176</v>
      </c>
      <c r="AS9" s="88">
        <v>0</v>
      </c>
      <c r="AT9" s="88">
        <v>0</v>
      </c>
      <c r="AU9" s="88"/>
      <c r="AV9" s="88"/>
      <c r="AW9" s="88"/>
      <c r="AX9" s="88"/>
      <c r="AY9" s="88"/>
      <c r="AZ9" s="88"/>
      <c r="BA9" s="88"/>
      <c r="BB9" s="88"/>
      <c r="BC9">
        <v>2</v>
      </c>
      <c r="BD9" s="87" t="str">
        <f>REPLACE(INDEX(GroupVertices[Group],MATCH(Edges[[#This Row],[Vertex 1]],GroupVertices[Vertex],0)),1,1,"")</f>
        <v>1</v>
      </c>
      <c r="BE9" s="87" t="str">
        <f>REPLACE(INDEX(GroupVertices[Group],MATCH(Edges[[#This Row],[Vertex 2]],GroupVertices[Vertex],0)),1,1,"")</f>
        <v>1</v>
      </c>
    </row>
    <row r="10" spans="1:57" ht="45">
      <c r="A10" s="86" t="s">
        <v>214</v>
      </c>
      <c r="B10" s="86" t="s">
        <v>215</v>
      </c>
      <c r="C10" s="54" t="s">
        <v>346</v>
      </c>
      <c r="D10" s="55">
        <v>3</v>
      </c>
      <c r="E10" s="67" t="s">
        <v>132</v>
      </c>
      <c r="F10" s="56">
        <v>35</v>
      </c>
      <c r="G10" s="54"/>
      <c r="H10" s="58"/>
      <c r="I10" s="57"/>
      <c r="J10" s="57"/>
      <c r="K10" s="36" t="s">
        <v>65</v>
      </c>
      <c r="L10" s="85">
        <v>10</v>
      </c>
      <c r="M10" s="85"/>
      <c r="N10" s="64"/>
      <c r="O10" s="88" t="s">
        <v>219</v>
      </c>
      <c r="P10" s="90">
        <v>44090.59920138889</v>
      </c>
      <c r="Q10" s="88" t="s">
        <v>224</v>
      </c>
      <c r="R10" s="88"/>
      <c r="S10" s="88"/>
      <c r="T10" s="88"/>
      <c r="U10" s="88"/>
      <c r="V10" s="91" t="str">
        <f>HYPERLINK("http://pbs.twimg.com/profile_images/1304544534836150272/uQjalUtR_normal.jpg")</f>
        <v>http://pbs.twimg.com/profile_images/1304544534836150272/uQjalUtR_normal.jpg</v>
      </c>
      <c r="W10" s="90">
        <v>44090.59920138889</v>
      </c>
      <c r="X10" s="94">
        <v>44090</v>
      </c>
      <c r="Y10" s="96" t="s">
        <v>235</v>
      </c>
      <c r="Z10" s="91" t="str">
        <f>HYPERLINK("https://twitter.com/#!/clair13/status/1306237115412275210")</f>
        <v>https://twitter.com/#!/clair13/status/1306237115412275210</v>
      </c>
      <c r="AA10" s="88"/>
      <c r="AB10" s="88"/>
      <c r="AC10" s="96" t="s">
        <v>242</v>
      </c>
      <c r="AD10" s="88"/>
      <c r="AE10" s="88" t="b">
        <v>0</v>
      </c>
      <c r="AF10" s="88">
        <v>0</v>
      </c>
      <c r="AG10" s="96" t="s">
        <v>248</v>
      </c>
      <c r="AH10" s="88" t="b">
        <v>1</v>
      </c>
      <c r="AI10" s="88" t="s">
        <v>251</v>
      </c>
      <c r="AJ10" s="88"/>
      <c r="AK10" s="96" t="s">
        <v>252</v>
      </c>
      <c r="AL10" s="88" t="b">
        <v>0</v>
      </c>
      <c r="AM10" s="88">
        <v>1</v>
      </c>
      <c r="AN10" s="96" t="s">
        <v>240</v>
      </c>
      <c r="AO10" s="88" t="s">
        <v>254</v>
      </c>
      <c r="AP10" s="88" t="b">
        <v>0</v>
      </c>
      <c r="AQ10" s="96" t="s">
        <v>240</v>
      </c>
      <c r="AR10" s="88" t="s">
        <v>176</v>
      </c>
      <c r="AS10" s="88">
        <v>0</v>
      </c>
      <c r="AT10" s="88">
        <v>0</v>
      </c>
      <c r="AU10" s="88"/>
      <c r="AV10" s="88"/>
      <c r="AW10" s="88"/>
      <c r="AX10" s="88"/>
      <c r="AY10" s="88"/>
      <c r="AZ10" s="88"/>
      <c r="BA10" s="88"/>
      <c r="BB10" s="88"/>
      <c r="BC10">
        <v>2</v>
      </c>
      <c r="BD10" s="87" t="str">
        <f>REPLACE(INDEX(GroupVertices[Group],MATCH(Edges[[#This Row],[Vertex 1]],GroupVertices[Vertex],0)),1,1,"")</f>
        <v>1</v>
      </c>
      <c r="BE10" s="87" t="str">
        <f>REPLACE(INDEX(GroupVertices[Group],MATCH(Edges[[#This Row],[Vertex 2]],GroupVertices[Vertex],0)),1,1,"")</f>
        <v>1</v>
      </c>
    </row>
    <row r="11" spans="1:57" ht="45">
      <c r="A11" s="86" t="s">
        <v>214</v>
      </c>
      <c r="B11" s="86" t="s">
        <v>215</v>
      </c>
      <c r="C11" s="54" t="s">
        <v>346</v>
      </c>
      <c r="D11" s="55">
        <v>3</v>
      </c>
      <c r="E11" s="67" t="s">
        <v>132</v>
      </c>
      <c r="F11" s="56">
        <v>35</v>
      </c>
      <c r="G11" s="54"/>
      <c r="H11" s="58"/>
      <c r="I11" s="57"/>
      <c r="J11" s="57"/>
      <c r="K11" s="36" t="s">
        <v>65</v>
      </c>
      <c r="L11" s="85">
        <v>11</v>
      </c>
      <c r="M11" s="85"/>
      <c r="N11" s="64"/>
      <c r="O11" s="88" t="s">
        <v>218</v>
      </c>
      <c r="P11" s="90">
        <v>44090.60322916666</v>
      </c>
      <c r="Q11" s="88" t="s">
        <v>225</v>
      </c>
      <c r="R11" s="88"/>
      <c r="S11" s="88"/>
      <c r="T11" s="88"/>
      <c r="U11" s="88"/>
      <c r="V11" s="91" t="str">
        <f>HYPERLINK("http://pbs.twimg.com/profile_images/1304544534836150272/uQjalUtR_normal.jpg")</f>
        <v>http://pbs.twimg.com/profile_images/1304544534836150272/uQjalUtR_normal.jpg</v>
      </c>
      <c r="W11" s="90">
        <v>44090.60322916666</v>
      </c>
      <c r="X11" s="94">
        <v>44090</v>
      </c>
      <c r="Y11" s="96" t="s">
        <v>236</v>
      </c>
      <c r="Z11" s="91" t="str">
        <f>HYPERLINK("https://twitter.com/#!/clair13/status/1306238575407587334")</f>
        <v>https://twitter.com/#!/clair13/status/1306238575407587334</v>
      </c>
      <c r="AA11" s="88"/>
      <c r="AB11" s="88"/>
      <c r="AC11" s="96" t="s">
        <v>243</v>
      </c>
      <c r="AD11" s="88"/>
      <c r="AE11" s="88" t="b">
        <v>0</v>
      </c>
      <c r="AF11" s="88">
        <v>0</v>
      </c>
      <c r="AG11" s="96" t="s">
        <v>248</v>
      </c>
      <c r="AH11" s="88" t="b">
        <v>1</v>
      </c>
      <c r="AI11" s="88" t="s">
        <v>251</v>
      </c>
      <c r="AJ11" s="88"/>
      <c r="AK11" s="96" t="s">
        <v>253</v>
      </c>
      <c r="AL11" s="88" t="b">
        <v>0</v>
      </c>
      <c r="AM11" s="88">
        <v>1</v>
      </c>
      <c r="AN11" s="96" t="s">
        <v>241</v>
      </c>
      <c r="AO11" s="88" t="s">
        <v>254</v>
      </c>
      <c r="AP11" s="88" t="b">
        <v>0</v>
      </c>
      <c r="AQ11" s="96" t="s">
        <v>241</v>
      </c>
      <c r="AR11" s="88" t="s">
        <v>176</v>
      </c>
      <c r="AS11" s="88">
        <v>0</v>
      </c>
      <c r="AT11" s="88">
        <v>0</v>
      </c>
      <c r="AU11" s="88"/>
      <c r="AV11" s="88"/>
      <c r="AW11" s="88"/>
      <c r="AX11" s="88"/>
      <c r="AY11" s="88"/>
      <c r="AZ11" s="88"/>
      <c r="BA11" s="88"/>
      <c r="BB11" s="88"/>
      <c r="BC11">
        <v>2</v>
      </c>
      <c r="BD11" s="87" t="str">
        <f>REPLACE(INDEX(GroupVertices[Group],MATCH(Edges[[#This Row],[Vertex 1]],GroupVertices[Vertex],0)),1,1,"")</f>
        <v>1</v>
      </c>
      <c r="BE11" s="87" t="str">
        <f>REPLACE(INDEX(GroupVertices[Group],MATCH(Edges[[#This Row],[Vertex 2]],GroupVertices[Vertex],0)),1,1,"")</f>
        <v>1</v>
      </c>
    </row>
    <row r="12" spans="1:57" ht="45">
      <c r="A12" s="86" t="s">
        <v>214</v>
      </c>
      <c r="B12" s="86" t="s">
        <v>215</v>
      </c>
      <c r="C12" s="54" t="s">
        <v>346</v>
      </c>
      <c r="D12" s="55">
        <v>3</v>
      </c>
      <c r="E12" s="67" t="s">
        <v>132</v>
      </c>
      <c r="F12" s="56">
        <v>35</v>
      </c>
      <c r="G12" s="54"/>
      <c r="H12" s="58"/>
      <c r="I12" s="57"/>
      <c r="J12" s="57"/>
      <c r="K12" s="36" t="s">
        <v>65</v>
      </c>
      <c r="L12" s="85">
        <v>12</v>
      </c>
      <c r="M12" s="85"/>
      <c r="N12" s="64"/>
      <c r="O12" s="88" t="s">
        <v>219</v>
      </c>
      <c r="P12" s="90">
        <v>44090.60322916666</v>
      </c>
      <c r="Q12" s="88" t="s">
        <v>225</v>
      </c>
      <c r="R12" s="88"/>
      <c r="S12" s="88"/>
      <c r="T12" s="88"/>
      <c r="U12" s="88"/>
      <c r="V12" s="91" t="str">
        <f>HYPERLINK("http://pbs.twimg.com/profile_images/1304544534836150272/uQjalUtR_normal.jpg")</f>
        <v>http://pbs.twimg.com/profile_images/1304544534836150272/uQjalUtR_normal.jpg</v>
      </c>
      <c r="W12" s="90">
        <v>44090.60322916666</v>
      </c>
      <c r="X12" s="94">
        <v>44090</v>
      </c>
      <c r="Y12" s="96" t="s">
        <v>236</v>
      </c>
      <c r="Z12" s="91" t="str">
        <f>HYPERLINK("https://twitter.com/#!/clair13/status/1306238575407587334")</f>
        <v>https://twitter.com/#!/clair13/status/1306238575407587334</v>
      </c>
      <c r="AA12" s="88"/>
      <c r="AB12" s="88"/>
      <c r="AC12" s="96" t="s">
        <v>243</v>
      </c>
      <c r="AD12" s="88"/>
      <c r="AE12" s="88" t="b">
        <v>0</v>
      </c>
      <c r="AF12" s="88">
        <v>0</v>
      </c>
      <c r="AG12" s="96" t="s">
        <v>248</v>
      </c>
      <c r="AH12" s="88" t="b">
        <v>1</v>
      </c>
      <c r="AI12" s="88" t="s">
        <v>251</v>
      </c>
      <c r="AJ12" s="88"/>
      <c r="AK12" s="96" t="s">
        <v>253</v>
      </c>
      <c r="AL12" s="88" t="b">
        <v>0</v>
      </c>
      <c r="AM12" s="88">
        <v>1</v>
      </c>
      <c r="AN12" s="96" t="s">
        <v>241</v>
      </c>
      <c r="AO12" s="88" t="s">
        <v>254</v>
      </c>
      <c r="AP12" s="88" t="b">
        <v>0</v>
      </c>
      <c r="AQ12" s="96" t="s">
        <v>241</v>
      </c>
      <c r="AR12" s="88" t="s">
        <v>176</v>
      </c>
      <c r="AS12" s="88">
        <v>0</v>
      </c>
      <c r="AT12" s="88">
        <v>0</v>
      </c>
      <c r="AU12" s="88"/>
      <c r="AV12" s="88"/>
      <c r="AW12" s="88"/>
      <c r="AX12" s="88"/>
      <c r="AY12" s="88"/>
      <c r="AZ12" s="88"/>
      <c r="BA12" s="88"/>
      <c r="BB12" s="88"/>
      <c r="BC12">
        <v>2</v>
      </c>
      <c r="BD12" s="87" t="str">
        <f>REPLACE(INDEX(GroupVertices[Group],MATCH(Edges[[#This Row],[Vertex 1]],GroupVertices[Vertex],0)),1,1,"")</f>
        <v>1</v>
      </c>
      <c r="BE12" s="87" t="str">
        <f>REPLACE(INDEX(GroupVertices[Group],MATCH(Edges[[#This Row],[Vertex 2]],GroupVertices[Vertex],0)),1,1,"")</f>
        <v>1</v>
      </c>
    </row>
    <row r="13" spans="1:57" ht="45">
      <c r="A13" s="86" t="s">
        <v>214</v>
      </c>
      <c r="B13" s="86" t="s">
        <v>215</v>
      </c>
      <c r="C13" s="54" t="s">
        <v>346</v>
      </c>
      <c r="D13" s="55">
        <v>3</v>
      </c>
      <c r="E13" s="67" t="s">
        <v>132</v>
      </c>
      <c r="F13" s="56">
        <v>35</v>
      </c>
      <c r="G13" s="54"/>
      <c r="H13" s="58"/>
      <c r="I13" s="57"/>
      <c r="J13" s="57"/>
      <c r="K13" s="36" t="s">
        <v>65</v>
      </c>
      <c r="L13" s="85">
        <v>13</v>
      </c>
      <c r="M13" s="85"/>
      <c r="N13" s="64"/>
      <c r="O13" s="88" t="s">
        <v>220</v>
      </c>
      <c r="P13" s="90">
        <v>44090.61040509259</v>
      </c>
      <c r="Q13" s="88" t="s">
        <v>226</v>
      </c>
      <c r="R13" s="88"/>
      <c r="S13" s="88"/>
      <c r="T13" s="88" t="s">
        <v>230</v>
      </c>
      <c r="U13" s="88"/>
      <c r="V13" s="91" t="str">
        <f>HYPERLINK("http://pbs.twimg.com/profile_images/1304544534836150272/uQjalUtR_normal.jpg")</f>
        <v>http://pbs.twimg.com/profile_images/1304544534836150272/uQjalUtR_normal.jpg</v>
      </c>
      <c r="W13" s="90">
        <v>44090.61040509259</v>
      </c>
      <c r="X13" s="94">
        <v>44090</v>
      </c>
      <c r="Y13" s="96" t="s">
        <v>237</v>
      </c>
      <c r="Z13" s="91" t="str">
        <f>HYPERLINK("https://twitter.com/#!/clair13/status/1306241174978482178")</f>
        <v>https://twitter.com/#!/clair13/status/1306241174978482178</v>
      </c>
      <c r="AA13" s="88"/>
      <c r="AB13" s="88"/>
      <c r="AC13" s="96" t="s">
        <v>244</v>
      </c>
      <c r="AD13" s="96" t="s">
        <v>246</v>
      </c>
      <c r="AE13" s="88" t="b">
        <v>0</v>
      </c>
      <c r="AF13" s="88">
        <v>0</v>
      </c>
      <c r="AG13" s="96" t="s">
        <v>249</v>
      </c>
      <c r="AH13" s="88" t="b">
        <v>0</v>
      </c>
      <c r="AI13" s="88" t="s">
        <v>251</v>
      </c>
      <c r="AJ13" s="88"/>
      <c r="AK13" s="96" t="s">
        <v>248</v>
      </c>
      <c r="AL13" s="88" t="b">
        <v>0</v>
      </c>
      <c r="AM13" s="88">
        <v>0</v>
      </c>
      <c r="AN13" s="96" t="s">
        <v>248</v>
      </c>
      <c r="AO13" s="88" t="s">
        <v>254</v>
      </c>
      <c r="AP13" s="88" t="b">
        <v>0</v>
      </c>
      <c r="AQ13" s="96" t="s">
        <v>246</v>
      </c>
      <c r="AR13" s="88" t="s">
        <v>176</v>
      </c>
      <c r="AS13" s="88">
        <v>0</v>
      </c>
      <c r="AT13" s="88">
        <v>0</v>
      </c>
      <c r="AU13" s="88"/>
      <c r="AV13" s="88"/>
      <c r="AW13" s="88"/>
      <c r="AX13" s="88"/>
      <c r="AY13" s="88"/>
      <c r="AZ13" s="88"/>
      <c r="BA13" s="88"/>
      <c r="BB13" s="88"/>
      <c r="BC13">
        <v>1</v>
      </c>
      <c r="BD13" s="87" t="str">
        <f>REPLACE(INDEX(GroupVertices[Group],MATCH(Edges[[#This Row],[Vertex 1]],GroupVertices[Vertex],0)),1,1,"")</f>
        <v>1</v>
      </c>
      <c r="BE13" s="87"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338</v>
      </c>
      <c r="BB2" s="3"/>
      <c r="BC2" s="3"/>
    </row>
    <row r="3" spans="1:55" ht="15" customHeight="1">
      <c r="A3" s="50" t="s">
        <v>216</v>
      </c>
      <c r="B3" s="54"/>
      <c r="C3" s="54"/>
      <c r="D3" s="55"/>
      <c r="E3" s="56"/>
      <c r="F3" s="118" t="str">
        <f>HYPERLINK("http://pbs.twimg.com/profile_images/256525774/sivmEPSON_normal.JPG")</f>
        <v>http://pbs.twimg.com/profile_images/256525774/sivmEPSON_normal.JPG</v>
      </c>
      <c r="G3" s="54"/>
      <c r="H3" s="58" t="s">
        <v>216</v>
      </c>
      <c r="I3" s="57"/>
      <c r="J3" s="57"/>
      <c r="K3" s="120" t="s">
        <v>295</v>
      </c>
      <c r="L3" s="60"/>
      <c r="M3" s="61">
        <v>2531.6123046875</v>
      </c>
      <c r="N3" s="61">
        <v>7417.021484375</v>
      </c>
      <c r="O3" s="59"/>
      <c r="P3" s="62"/>
      <c r="Q3" s="62"/>
      <c r="R3" s="51"/>
      <c r="S3" s="51"/>
      <c r="T3" s="51"/>
      <c r="U3" s="51"/>
      <c r="V3" s="52"/>
      <c r="W3" s="52"/>
      <c r="X3" s="53"/>
      <c r="Y3" s="52"/>
      <c r="Z3" s="52"/>
      <c r="AA3" s="63">
        <v>3</v>
      </c>
      <c r="AB3" s="63"/>
      <c r="AC3" s="64"/>
      <c r="AD3" s="87" t="s">
        <v>280</v>
      </c>
      <c r="AE3" s="95" t="s">
        <v>282</v>
      </c>
      <c r="AF3" s="87">
        <v>965</v>
      </c>
      <c r="AG3" s="87">
        <v>274</v>
      </c>
      <c r="AH3" s="87">
        <v>2418</v>
      </c>
      <c r="AI3" s="87">
        <v>2151</v>
      </c>
      <c r="AJ3" s="87"/>
      <c r="AK3" s="87" t="s">
        <v>286</v>
      </c>
      <c r="AL3" s="87" t="s">
        <v>290</v>
      </c>
      <c r="AM3" s="87"/>
      <c r="AN3" s="87"/>
      <c r="AO3" s="89">
        <v>39837.61913194445</v>
      </c>
      <c r="AP3" s="92" t="str">
        <f>HYPERLINK("https://pbs.twimg.com/profile_banners/19448598/1536986847")</f>
        <v>https://pbs.twimg.com/profile_banners/19448598/1536986847</v>
      </c>
      <c r="AQ3" s="87" t="b">
        <v>1</v>
      </c>
      <c r="AR3" s="87" t="b">
        <v>0</v>
      </c>
      <c r="AS3" s="87" t="b">
        <v>1</v>
      </c>
      <c r="AT3" s="87"/>
      <c r="AU3" s="87">
        <v>10</v>
      </c>
      <c r="AV3" s="92" t="str">
        <f>HYPERLINK("http://abs.twimg.com/images/themes/theme1/bg.png")</f>
        <v>http://abs.twimg.com/images/themes/theme1/bg.png</v>
      </c>
      <c r="AW3" s="87" t="b">
        <v>0</v>
      </c>
      <c r="AX3" s="87" t="s">
        <v>291</v>
      </c>
      <c r="AY3" s="92" t="str">
        <f>HYPERLINK("https://twitter.com/baker004")</f>
        <v>https://twitter.com/baker004</v>
      </c>
      <c r="AZ3" s="87" t="s">
        <v>66</v>
      </c>
      <c r="BA3" s="87" t="str">
        <f>REPLACE(INDEX(GroupVertices[Group],MATCH(Vertices[[#This Row],[Vertex]],GroupVertices[Vertex],0)),1,1,"")</f>
        <v>2</v>
      </c>
      <c r="BB3" s="3"/>
      <c r="BC3" s="3"/>
    </row>
    <row r="4" spans="1:58" ht="15">
      <c r="A4" s="14" t="s">
        <v>217</v>
      </c>
      <c r="B4" s="15"/>
      <c r="C4" s="15"/>
      <c r="D4" s="97"/>
      <c r="E4" s="83"/>
      <c r="F4" s="118" t="str">
        <f>HYPERLINK("http://pbs.twimg.com/profile_images/553578776584388610/72scE9F9_normal.jpeg")</f>
        <v>http://pbs.twimg.com/profile_images/553578776584388610/72scE9F9_normal.jpeg</v>
      </c>
      <c r="G4" s="15"/>
      <c r="H4" s="16" t="s">
        <v>217</v>
      </c>
      <c r="I4" s="68"/>
      <c r="J4" s="68"/>
      <c r="K4" s="120" t="s">
        <v>292</v>
      </c>
      <c r="L4" s="98"/>
      <c r="M4" s="99">
        <v>2531.6123046875</v>
      </c>
      <c r="N4" s="99">
        <v>2581.978515625</v>
      </c>
      <c r="O4" s="78"/>
      <c r="P4" s="100"/>
      <c r="Q4" s="100"/>
      <c r="R4" s="101"/>
      <c r="S4" s="101"/>
      <c r="T4" s="101"/>
      <c r="U4" s="101"/>
      <c r="V4" s="53"/>
      <c r="W4" s="53"/>
      <c r="X4" s="53"/>
      <c r="Y4" s="53"/>
      <c r="Z4" s="52"/>
      <c r="AA4" s="84">
        <v>4</v>
      </c>
      <c r="AB4" s="84"/>
      <c r="AC4" s="102"/>
      <c r="AD4" s="87" t="s">
        <v>277</v>
      </c>
      <c r="AE4" s="95" t="s">
        <v>250</v>
      </c>
      <c r="AF4" s="87">
        <v>2417</v>
      </c>
      <c r="AG4" s="87">
        <v>7695</v>
      </c>
      <c r="AH4" s="87">
        <v>17724</v>
      </c>
      <c r="AI4" s="87">
        <v>7814</v>
      </c>
      <c r="AJ4" s="87"/>
      <c r="AK4" s="87" t="s">
        <v>283</v>
      </c>
      <c r="AL4" s="87" t="s">
        <v>287</v>
      </c>
      <c r="AM4" s="92" t="str">
        <f>HYPERLINK("http://mmc.com")</f>
        <v>http://mmc.com</v>
      </c>
      <c r="AN4" s="87"/>
      <c r="AO4" s="89">
        <v>41976.77921296296</v>
      </c>
      <c r="AP4" s="92" t="str">
        <f>HYPERLINK("https://pbs.twimg.com/profile_banners/2904112697/1587569308")</f>
        <v>https://pbs.twimg.com/profile_banners/2904112697/1587569308</v>
      </c>
      <c r="AQ4" s="87" t="b">
        <v>1</v>
      </c>
      <c r="AR4" s="87" t="b">
        <v>0</v>
      </c>
      <c r="AS4" s="87" t="b">
        <v>0</v>
      </c>
      <c r="AT4" s="87"/>
      <c r="AU4" s="87">
        <v>424</v>
      </c>
      <c r="AV4" s="92" t="str">
        <f>HYPERLINK("http://abs.twimg.com/images/themes/theme1/bg.png")</f>
        <v>http://abs.twimg.com/images/themes/theme1/bg.png</v>
      </c>
      <c r="AW4" s="87" t="b">
        <v>0</v>
      </c>
      <c r="AX4" s="87" t="s">
        <v>291</v>
      </c>
      <c r="AY4" s="92" t="str">
        <f>HYPERLINK("https://twitter.com/mmc_global")</f>
        <v>https://twitter.com/mmc_global</v>
      </c>
      <c r="AZ4" s="87" t="s">
        <v>65</v>
      </c>
      <c r="BA4" s="87" t="str">
        <f>REPLACE(INDEX(GroupVertices[Group],MATCH(Vertices[[#This Row],[Vertex]],GroupVertices[Vertex],0)),1,1,"")</f>
        <v>2</v>
      </c>
      <c r="BB4" s="2"/>
      <c r="BC4" s="3"/>
      <c r="BD4" s="3"/>
      <c r="BE4" s="3"/>
      <c r="BF4" s="3"/>
    </row>
    <row r="5" spans="1:58" ht="15">
      <c r="A5" s="14" t="s">
        <v>214</v>
      </c>
      <c r="B5" s="15"/>
      <c r="C5" s="15"/>
      <c r="D5" s="97"/>
      <c r="E5" s="83"/>
      <c r="F5" s="118" t="str">
        <f>HYPERLINK("http://pbs.twimg.com/profile_images/1304544534836150272/uQjalUtR_normal.jpg")</f>
        <v>http://pbs.twimg.com/profile_images/1304544534836150272/uQjalUtR_normal.jpg</v>
      </c>
      <c r="G5" s="15"/>
      <c r="H5" s="16" t="s">
        <v>214</v>
      </c>
      <c r="I5" s="68"/>
      <c r="J5" s="68"/>
      <c r="K5" s="120" t="s">
        <v>293</v>
      </c>
      <c r="L5" s="98"/>
      <c r="M5" s="99">
        <v>9883.13671875</v>
      </c>
      <c r="N5" s="99">
        <v>9834.54296875</v>
      </c>
      <c r="O5" s="78"/>
      <c r="P5" s="100"/>
      <c r="Q5" s="100"/>
      <c r="R5" s="101"/>
      <c r="S5" s="101"/>
      <c r="T5" s="101"/>
      <c r="U5" s="101"/>
      <c r="V5" s="53"/>
      <c r="W5" s="53"/>
      <c r="X5" s="53"/>
      <c r="Y5" s="53"/>
      <c r="Z5" s="52"/>
      <c r="AA5" s="84">
        <v>5</v>
      </c>
      <c r="AB5" s="84"/>
      <c r="AC5" s="102"/>
      <c r="AD5" s="87" t="s">
        <v>278</v>
      </c>
      <c r="AE5" s="95" t="s">
        <v>281</v>
      </c>
      <c r="AF5" s="87">
        <v>795</v>
      </c>
      <c r="AG5" s="87">
        <v>243</v>
      </c>
      <c r="AH5" s="87">
        <v>1267</v>
      </c>
      <c r="AI5" s="87">
        <v>1324</v>
      </c>
      <c r="AJ5" s="87"/>
      <c r="AK5" s="87" t="s">
        <v>284</v>
      </c>
      <c r="AL5" s="87" t="s">
        <v>288</v>
      </c>
      <c r="AM5" s="92" t="str">
        <f>HYPERLINK("https://www.linkedin.com/in/claircharlesolson")</f>
        <v>https://www.linkedin.com/in/claircharlesolson</v>
      </c>
      <c r="AN5" s="87"/>
      <c r="AO5" s="89">
        <v>40000.721087962964</v>
      </c>
      <c r="AP5" s="92" t="str">
        <f>HYPERLINK("https://pbs.twimg.com/profile_banners/54268262/1427642251")</f>
        <v>https://pbs.twimg.com/profile_banners/54268262/1427642251</v>
      </c>
      <c r="AQ5" s="87" t="b">
        <v>0</v>
      </c>
      <c r="AR5" s="87" t="b">
        <v>0</v>
      </c>
      <c r="AS5" s="87" t="b">
        <v>0</v>
      </c>
      <c r="AT5" s="87"/>
      <c r="AU5" s="87">
        <v>4</v>
      </c>
      <c r="AV5" s="92" t="str">
        <f>HYPERLINK("http://abs.twimg.com/images/themes/theme18/bg.gif")</f>
        <v>http://abs.twimg.com/images/themes/theme18/bg.gif</v>
      </c>
      <c r="AW5" s="87" t="b">
        <v>0</v>
      </c>
      <c r="AX5" s="87" t="s">
        <v>291</v>
      </c>
      <c r="AY5" s="92" t="str">
        <f>HYPERLINK("https://twitter.com/clair13")</f>
        <v>https://twitter.com/clair13</v>
      </c>
      <c r="AZ5" s="87" t="s">
        <v>66</v>
      </c>
      <c r="BA5" s="87" t="str">
        <f>REPLACE(INDEX(GroupVertices[Group],MATCH(Vertices[[#This Row],[Vertex]],GroupVertices[Vertex],0)),1,1,"")</f>
        <v>1</v>
      </c>
      <c r="BB5" s="2"/>
      <c r="BC5" s="3"/>
      <c r="BD5" s="3"/>
      <c r="BE5" s="3"/>
      <c r="BF5" s="3"/>
    </row>
    <row r="6" spans="1:58" ht="15">
      <c r="A6" s="103" t="s">
        <v>215</v>
      </c>
      <c r="B6" s="104"/>
      <c r="C6" s="104"/>
      <c r="D6" s="105"/>
      <c r="E6" s="106"/>
      <c r="F6" s="119" t="str">
        <f>HYPERLINK("http://pbs.twimg.com/profile_images/1129324312152944640/Gq_X0FZk_normal.jpg")</f>
        <v>http://pbs.twimg.com/profile_images/1129324312152944640/Gq_X0FZk_normal.jpg</v>
      </c>
      <c r="G6" s="104"/>
      <c r="H6" s="107" t="s">
        <v>215</v>
      </c>
      <c r="I6" s="108"/>
      <c r="J6" s="108"/>
      <c r="K6" s="121" t="s">
        <v>294</v>
      </c>
      <c r="L6" s="109"/>
      <c r="M6" s="110">
        <v>5063.224609375</v>
      </c>
      <c r="N6" s="110">
        <v>164.4572296142578</v>
      </c>
      <c r="O6" s="111"/>
      <c r="P6" s="112"/>
      <c r="Q6" s="112"/>
      <c r="R6" s="113"/>
      <c r="S6" s="113"/>
      <c r="T6" s="113"/>
      <c r="U6" s="113"/>
      <c r="V6" s="114"/>
      <c r="W6" s="114"/>
      <c r="X6" s="114"/>
      <c r="Y6" s="114"/>
      <c r="Z6" s="115"/>
      <c r="AA6" s="116">
        <v>6</v>
      </c>
      <c r="AB6" s="116"/>
      <c r="AC6" s="117"/>
      <c r="AD6" s="87" t="s">
        <v>279</v>
      </c>
      <c r="AE6" s="95" t="s">
        <v>249</v>
      </c>
      <c r="AF6" s="87">
        <v>1691</v>
      </c>
      <c r="AG6" s="87">
        <v>6998</v>
      </c>
      <c r="AH6" s="87">
        <v>26367</v>
      </c>
      <c r="AI6" s="87">
        <v>35520</v>
      </c>
      <c r="AJ6" s="87"/>
      <c r="AK6" s="87" t="s">
        <v>285</v>
      </c>
      <c r="AL6" s="87" t="s">
        <v>289</v>
      </c>
      <c r="AM6" s="92" t="str">
        <f>HYPERLINK("https://t.co/SxuiNdGEAm")</f>
        <v>https://t.co/SxuiNdGEAm</v>
      </c>
      <c r="AN6" s="87"/>
      <c r="AO6" s="89">
        <v>41481.425578703704</v>
      </c>
      <c r="AP6" s="92" t="str">
        <f>HYPERLINK("https://pbs.twimg.com/profile_banners/1622604644/1573526663")</f>
        <v>https://pbs.twimg.com/profile_banners/1622604644/1573526663</v>
      </c>
      <c r="AQ6" s="87" t="b">
        <v>0</v>
      </c>
      <c r="AR6" s="87" t="b">
        <v>0</v>
      </c>
      <c r="AS6" s="87" t="b">
        <v>1</v>
      </c>
      <c r="AT6" s="87"/>
      <c r="AU6" s="87">
        <v>225</v>
      </c>
      <c r="AV6" s="92" t="str">
        <f>HYPERLINK("http://abs.twimg.com/images/themes/theme1/bg.png")</f>
        <v>http://abs.twimg.com/images/themes/theme1/bg.png</v>
      </c>
      <c r="AW6" s="87" t="b">
        <v>0</v>
      </c>
      <c r="AX6" s="87" t="s">
        <v>291</v>
      </c>
      <c r="AY6" s="92" t="str">
        <f>HYPERLINK("https://twitter.com/patricia_energy")</f>
        <v>https://twitter.com/patricia_energy</v>
      </c>
      <c r="AZ6" s="87" t="s">
        <v>66</v>
      </c>
      <c r="BA6" s="87" t="str">
        <f>REPLACE(INDEX(GroupVertices[Group],MATCH(Vertices[[#This Row],[Vertex]],GroupVertices[Vertex],0)),1,1,"")</f>
        <v>1</v>
      </c>
      <c r="BB6" s="2"/>
      <c r="BC6" s="3"/>
      <c r="BD6" s="3"/>
      <c r="BE6" s="3"/>
      <c r="BF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341</v>
      </c>
    </row>
    <row r="3" spans="1:25" ht="15">
      <c r="A3" s="86" t="s">
        <v>334</v>
      </c>
      <c r="B3" s="124" t="s">
        <v>336</v>
      </c>
      <c r="C3" s="124" t="s">
        <v>56</v>
      </c>
      <c r="D3" s="122"/>
      <c r="E3" s="15"/>
      <c r="F3" s="16" t="s">
        <v>334</v>
      </c>
      <c r="G3" s="78"/>
      <c r="H3" s="78"/>
      <c r="I3" s="123">
        <v>3</v>
      </c>
      <c r="J3" s="65"/>
      <c r="K3" s="51">
        <v>2</v>
      </c>
      <c r="L3" s="51">
        <v>0</v>
      </c>
      <c r="M3" s="51">
        <v>7</v>
      </c>
      <c r="N3" s="51">
        <v>7</v>
      </c>
      <c r="O3" s="51">
        <v>2</v>
      </c>
      <c r="P3" s="52">
        <v>0</v>
      </c>
      <c r="Q3" s="52">
        <v>0</v>
      </c>
      <c r="R3" s="51">
        <v>1</v>
      </c>
      <c r="S3" s="51">
        <v>0</v>
      </c>
      <c r="T3" s="51">
        <v>2</v>
      </c>
      <c r="U3" s="51">
        <v>7</v>
      </c>
      <c r="V3" s="51">
        <v>1</v>
      </c>
      <c r="W3" s="52">
        <v>0.5</v>
      </c>
      <c r="X3" s="52">
        <v>0.5</v>
      </c>
      <c r="Y3" s="87" t="s">
        <v>342</v>
      </c>
    </row>
    <row r="4" spans="1:25" ht="15">
      <c r="A4" s="86" t="s">
        <v>335</v>
      </c>
      <c r="B4" s="124" t="s">
        <v>337</v>
      </c>
      <c r="C4" s="124" t="s">
        <v>56</v>
      </c>
      <c r="D4" s="122"/>
      <c r="E4" s="15"/>
      <c r="F4" s="16" t="s">
        <v>335</v>
      </c>
      <c r="G4" s="78"/>
      <c r="H4" s="78"/>
      <c r="I4" s="123">
        <v>4</v>
      </c>
      <c r="J4" s="84"/>
      <c r="K4" s="51">
        <v>2</v>
      </c>
      <c r="L4" s="51">
        <v>1</v>
      </c>
      <c r="M4" s="51">
        <v>0</v>
      </c>
      <c r="N4" s="51">
        <v>1</v>
      </c>
      <c r="O4" s="51">
        <v>0</v>
      </c>
      <c r="P4" s="52">
        <v>0</v>
      </c>
      <c r="Q4" s="52">
        <v>0</v>
      </c>
      <c r="R4" s="51">
        <v>1</v>
      </c>
      <c r="S4" s="51">
        <v>0</v>
      </c>
      <c r="T4" s="51">
        <v>2</v>
      </c>
      <c r="U4" s="51">
        <v>1</v>
      </c>
      <c r="V4" s="51">
        <v>1</v>
      </c>
      <c r="W4" s="52">
        <v>0.5</v>
      </c>
      <c r="X4" s="52">
        <v>0.5</v>
      </c>
      <c r="Y4" s="87"/>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7" t="s">
        <v>334</v>
      </c>
      <c r="B2" s="95" t="s">
        <v>214</v>
      </c>
      <c r="C2" s="87">
        <f>VLOOKUP(GroupVertices[[#This Row],[Vertex]],Vertices[],MATCH("ID",Vertices[[#Headers],[Vertex]:[Vertex Group]],0),FALSE)</f>
        <v>5</v>
      </c>
    </row>
    <row r="3" spans="1:3" ht="15">
      <c r="A3" s="88" t="s">
        <v>334</v>
      </c>
      <c r="B3" s="95" t="s">
        <v>215</v>
      </c>
      <c r="C3" s="87">
        <f>VLOOKUP(GroupVertices[[#This Row],[Vertex]],Vertices[],MATCH("ID",Vertices[[#Headers],[Vertex]:[Vertex Group]],0),FALSE)</f>
        <v>6</v>
      </c>
    </row>
    <row r="4" spans="1:3" ht="15">
      <c r="A4" s="88" t="s">
        <v>335</v>
      </c>
      <c r="B4" s="95" t="s">
        <v>216</v>
      </c>
      <c r="C4" s="87">
        <f>VLOOKUP(GroupVertices[[#This Row],[Vertex]],Vertices[],MATCH("ID",Vertices[[#Headers],[Vertex]:[Vertex Group]],0),FALSE)</f>
        <v>3</v>
      </c>
    </row>
    <row r="5" spans="1:3" ht="15">
      <c r="A5" s="88" t="s">
        <v>335</v>
      </c>
      <c r="B5" s="95" t="s">
        <v>217</v>
      </c>
      <c r="C5" s="87">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36"/>
      <c r="B3" s="36"/>
      <c r="D3" s="34">
        <f aca="true" t="shared" si="1" ref="D3:D26">D2+($D$50-$D$2)/BinDivisor</f>
        <v>0</v>
      </c>
      <c r="E3" s="3">
        <f>COUNTIF(Vertices[Degree],"&gt;= "&amp;D3)-COUNTIF(Vertices[Degree],"&gt;="&amp;D4)</f>
        <v>0</v>
      </c>
      <c r="F3" s="41">
        <f aca="true" t="shared" si="2" ref="F3:F26">F2+($F$50-$F$2)/BinDivisor</f>
        <v>0</v>
      </c>
      <c r="G3" s="42">
        <f>COUNTIF(Vertices[In-Degree],"&gt;= "&amp;F3)-COUNTIF(Vertices[In-Degree],"&gt;="&amp;F4)</f>
        <v>0</v>
      </c>
      <c r="H3" s="41">
        <f aca="true" t="shared" si="3" ref="H3:H26">H2+($H$50-$H$2)/BinDivisor</f>
        <v>0</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v>
      </c>
      <c r="M3" s="42">
        <f>COUNTIF(Vertices[Closeness Centrality],"&gt;= "&amp;L3)-COUNTIF(Vertices[Closeness Centrality],"&gt;="&amp;L4)</f>
        <v>0</v>
      </c>
      <c r="N3" s="41">
        <f aca="true" t="shared" si="6" ref="N3:N26">N2+($N$50-$N$2)/BinDivisor</f>
        <v>0</v>
      </c>
      <c r="O3" s="42">
        <f>COUNTIF(Vertices[Eigenvector Centrality],"&gt;= "&amp;N3)-COUNTIF(Vertices[Eigenvector Centrality],"&gt;="&amp;N4)</f>
        <v>0</v>
      </c>
      <c r="P3" s="41">
        <f aca="true" t="shared" si="7" ref="P3:P26">P2+($P$50-$P$2)/BinDivisor</f>
        <v>0</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82"/>
      <c r="B27" s="82"/>
      <c r="D27" s="34"/>
      <c r="E27" s="3">
        <f>COUNTIF(Vertices[Degree],"&gt;= "&amp;D27)-COUNTIF(Vertices[Degree],"&gt;="&amp;D28)</f>
        <v>0</v>
      </c>
      <c r="F27" s="79"/>
      <c r="G27" s="80">
        <f>COUNTIF(Vertices[In-Degree],"&gt;= "&amp;F27)-COUNTIF(Vertices[In-Degree],"&gt;="&amp;F28)</f>
        <v>0</v>
      </c>
      <c r="H27" s="79"/>
      <c r="I27" s="80">
        <f>COUNTIF(Vertices[Out-Degree],"&gt;= "&amp;H27)-COUNTIF(Vertices[Out-Degree],"&gt;="&amp;H28)</f>
        <v>0</v>
      </c>
      <c r="J27" s="79"/>
      <c r="K27" s="80">
        <f>COUNTIF(Vertices[Betweenness Centrality],"&gt;= "&amp;J27)-COUNTIF(Vertices[Betweenness Centrality],"&gt;="&amp;J28)</f>
        <v>0</v>
      </c>
      <c r="L27" s="79"/>
      <c r="M27" s="80">
        <f>COUNTIF(Vertices[Closeness Centrality],"&gt;= "&amp;L27)-COUNTIF(Vertices[Closeness Centrality],"&gt;="&amp;L28)</f>
        <v>0</v>
      </c>
      <c r="N27" s="79"/>
      <c r="O27" s="80">
        <f>COUNTIF(Vertices[Eigenvector Centrality],"&gt;= "&amp;N27)-COUNTIF(Vertices[Eigenvector Centrality],"&gt;="&amp;N28)</f>
        <v>0</v>
      </c>
      <c r="P27" s="79"/>
      <c r="Q27" s="80">
        <f>COUNTIF(Vertices[Eigenvector Centrality],"&gt;= "&amp;P27)-COUNTIF(Vertices[Eigenvector Centrality],"&gt;="&amp;P28)</f>
        <v>0</v>
      </c>
      <c r="R27" s="79"/>
      <c r="S27" s="81">
        <f>COUNTIF(Vertices[Clustering Coefficient],"&gt;= "&amp;R27)-COUNTIF(Vertices[Clustering Coefficient],"&gt;="&amp;R28)</f>
        <v>0</v>
      </c>
      <c r="T27" s="79"/>
      <c r="U27" s="80">
        <f ca="1">COUNTIF(Vertices[Clustering Coefficient],"&gt;= "&amp;T27)-COUNTIF(Vertices[Clustering Coefficient],"&gt;="&amp;T28)</f>
        <v>0</v>
      </c>
    </row>
    <row r="28" spans="1:21" ht="15">
      <c r="A28" s="36"/>
      <c r="B28" s="36"/>
      <c r="D28" s="34">
        <f>D26+($D$50-$D$2)/BinDivisor</f>
        <v>0</v>
      </c>
      <c r="E28" s="3">
        <f>COUNTIF(Vertices[Degree],"&gt;= "&amp;D28)-COUNTIF(Vertices[Degree],"&gt;="&amp;D42)</f>
        <v>0</v>
      </c>
      <c r="F28" s="41">
        <f>F26+($F$50-$F$2)/BinDivisor</f>
        <v>0</v>
      </c>
      <c r="G28" s="42">
        <f>COUNTIF(Vertices[In-Degree],"&gt;= "&amp;F28)-COUNTIF(Vertices[In-Degree],"&gt;="&amp;F42)</f>
        <v>0</v>
      </c>
      <c r="H28" s="41">
        <f>H26+($H$50-$H$2)/BinDivisor</f>
        <v>0</v>
      </c>
      <c r="I28" s="42">
        <f>COUNTIF(Vertices[Out-Degree],"&gt;= "&amp;H28)-COUNTIF(Vertices[Out-Degree],"&gt;="&amp;H42)</f>
        <v>0</v>
      </c>
      <c r="J28" s="41">
        <f>J26+($J$50-$J$2)/BinDivisor</f>
        <v>0</v>
      </c>
      <c r="K28" s="42">
        <f>COUNTIF(Vertices[Betweenness Centrality],"&gt;= "&amp;J28)-COUNTIF(Vertices[Betweenness Centrality],"&gt;="&amp;J42)</f>
        <v>0</v>
      </c>
      <c r="L28" s="41">
        <f>L26+($L$50-$L$2)/BinDivisor</f>
        <v>0</v>
      </c>
      <c r="M28" s="42">
        <f>COUNTIF(Vertices[Closeness Centrality],"&gt;= "&amp;L28)-COUNTIF(Vertices[Closeness Centrality],"&gt;="&amp;L42)</f>
        <v>0</v>
      </c>
      <c r="N28" s="41">
        <f>N26+($N$50-$N$2)/BinDivisor</f>
        <v>0</v>
      </c>
      <c r="O28" s="42">
        <f>COUNTIF(Vertices[Eigenvector Centrality],"&gt;= "&amp;N28)-COUNTIF(Vertices[Eigenvector Centrality],"&gt;="&amp;N42)</f>
        <v>0</v>
      </c>
      <c r="P28" s="41">
        <f>P26+($P$50-$P$2)/BinDivisor</f>
        <v>0</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c r="B29" s="36"/>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c r="B30" s="3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c r="B31" s="36"/>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c r="B32" s="36"/>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82"/>
      <c r="B33" s="82"/>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c r="B34" s="36"/>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c r="B35" s="36"/>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c r="B36" s="36"/>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82"/>
      <c r="B37" s="82"/>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82"/>
      <c r="B38" s="82"/>
      <c r="D38" s="34"/>
      <c r="E38" s="3">
        <f>COUNTIF(Vertices[Degree],"&gt;= "&amp;D38)-COUNTIF(Vertices[Degree],"&gt;="&amp;D42)</f>
        <v>0</v>
      </c>
      <c r="F38" s="79"/>
      <c r="G38" s="80">
        <f>COUNTIF(Vertices[In-Degree],"&gt;= "&amp;F38)-COUNTIF(Vertices[In-Degree],"&gt;="&amp;F42)</f>
        <v>0</v>
      </c>
      <c r="H38" s="79"/>
      <c r="I38" s="80">
        <f>COUNTIF(Vertices[Out-Degree],"&gt;= "&amp;H38)-COUNTIF(Vertices[Out-Degree],"&gt;="&amp;H42)</f>
        <v>0</v>
      </c>
      <c r="J38" s="79"/>
      <c r="K38" s="80">
        <f>COUNTIF(Vertices[Betweenness Centrality],"&gt;= "&amp;J38)-COUNTIF(Vertices[Betweenness Centrality],"&gt;="&amp;J42)</f>
        <v>0</v>
      </c>
      <c r="L38" s="79"/>
      <c r="M38" s="80">
        <f>COUNTIF(Vertices[Closeness Centrality],"&gt;= "&amp;L38)-COUNTIF(Vertices[Closeness Centrality],"&gt;="&amp;L42)</f>
        <v>0</v>
      </c>
      <c r="N38" s="79"/>
      <c r="O38" s="80">
        <f>COUNTIF(Vertices[Eigenvector Centrality],"&gt;= "&amp;N38)-COUNTIF(Vertices[Eigenvector Centrality],"&gt;="&amp;N42)</f>
        <v>0</v>
      </c>
      <c r="P38" s="79"/>
      <c r="Q38" s="80">
        <f>COUNTIF(Vertices[Eigenvector Centrality],"&gt;= "&amp;P38)-COUNTIF(Vertices[Eigenvector Centrality],"&gt;="&amp;P42)</f>
        <v>0</v>
      </c>
      <c r="R38" s="79"/>
      <c r="S38" s="81">
        <f>COUNTIF(Vertices[Clustering Coefficient],"&gt;= "&amp;R38)-COUNTIF(Vertices[Clustering Coefficient],"&gt;="&amp;R42)</f>
        <v>0</v>
      </c>
      <c r="T38" s="79"/>
      <c r="U38" s="80">
        <f ca="1">COUNTIF(Vertices[Clustering Coefficient],"&gt;= "&amp;T38)-COUNTIF(Vertices[Clustering Coefficient],"&gt;="&amp;T42)</f>
        <v>0</v>
      </c>
    </row>
    <row r="39" spans="1:21" ht="15">
      <c r="A39" s="82"/>
      <c r="B39" s="82"/>
      <c r="D39" s="34"/>
      <c r="E39" s="3">
        <f>COUNTIF(Vertices[Degree],"&gt;= "&amp;D39)-COUNTIF(Vertices[Degree],"&gt;="&amp;D42)</f>
        <v>0</v>
      </c>
      <c r="F39" s="79"/>
      <c r="G39" s="80">
        <f>COUNTIF(Vertices[In-Degree],"&gt;= "&amp;F39)-COUNTIF(Vertices[In-Degree],"&gt;="&amp;F42)</f>
        <v>0</v>
      </c>
      <c r="H39" s="79"/>
      <c r="I39" s="80">
        <f>COUNTIF(Vertices[Out-Degree],"&gt;= "&amp;H39)-COUNTIF(Vertices[Out-Degree],"&gt;="&amp;H42)</f>
        <v>0</v>
      </c>
      <c r="J39" s="79"/>
      <c r="K39" s="80">
        <f>COUNTIF(Vertices[Betweenness Centrality],"&gt;= "&amp;J39)-COUNTIF(Vertices[Betweenness Centrality],"&gt;="&amp;J42)</f>
        <v>0</v>
      </c>
      <c r="L39" s="79"/>
      <c r="M39" s="80">
        <f>COUNTIF(Vertices[Closeness Centrality],"&gt;= "&amp;L39)-COUNTIF(Vertices[Closeness Centrality],"&gt;="&amp;L42)</f>
        <v>0</v>
      </c>
      <c r="N39" s="79"/>
      <c r="O39" s="80">
        <f>COUNTIF(Vertices[Eigenvector Centrality],"&gt;= "&amp;N39)-COUNTIF(Vertices[Eigenvector Centrality],"&gt;="&amp;N42)</f>
        <v>0</v>
      </c>
      <c r="P39" s="79"/>
      <c r="Q39" s="80">
        <f>COUNTIF(Vertices[Eigenvector Centrality],"&gt;= "&amp;P39)-COUNTIF(Vertices[Eigenvector Centrality],"&gt;="&amp;P42)</f>
        <v>0</v>
      </c>
      <c r="R39" s="79"/>
      <c r="S39" s="81">
        <f>COUNTIF(Vertices[Clustering Coefficient],"&gt;= "&amp;R39)-COUNTIF(Vertices[Clustering Coefficient],"&gt;="&amp;R42)</f>
        <v>0</v>
      </c>
      <c r="T39" s="79"/>
      <c r="U39" s="80">
        <f ca="1">COUNTIF(Vertices[Clustering Coefficient],"&gt;= "&amp;T39)-COUNTIF(Vertices[Clustering Coefficient],"&gt;="&amp;T42)</f>
        <v>0</v>
      </c>
    </row>
    <row r="40" spans="1:21" ht="15">
      <c r="A40" s="82"/>
      <c r="B40" s="82"/>
      <c r="D40" s="34"/>
      <c r="E40" s="3">
        <f>COUNTIF(Vertices[Degree],"&gt;= "&amp;D40)-COUNTIF(Vertices[Degree],"&gt;="&amp;D42)</f>
        <v>0</v>
      </c>
      <c r="F40" s="79"/>
      <c r="G40" s="80">
        <f>COUNTIF(Vertices[In-Degree],"&gt;= "&amp;F40)-COUNTIF(Vertices[In-Degree],"&gt;="&amp;F42)</f>
        <v>0</v>
      </c>
      <c r="H40" s="79"/>
      <c r="I40" s="80">
        <f>COUNTIF(Vertices[Out-Degree],"&gt;= "&amp;H40)-COUNTIF(Vertices[Out-Degree],"&gt;="&amp;H42)</f>
        <v>0</v>
      </c>
      <c r="J40" s="79"/>
      <c r="K40" s="80">
        <f>COUNTIF(Vertices[Betweenness Centrality],"&gt;= "&amp;J40)-COUNTIF(Vertices[Betweenness Centrality],"&gt;="&amp;J42)</f>
        <v>0</v>
      </c>
      <c r="L40" s="79"/>
      <c r="M40" s="80">
        <f>COUNTIF(Vertices[Closeness Centrality],"&gt;= "&amp;L40)-COUNTIF(Vertices[Closeness Centrality],"&gt;="&amp;L42)</f>
        <v>0</v>
      </c>
      <c r="N40" s="79"/>
      <c r="O40" s="80">
        <f>COUNTIF(Vertices[Eigenvector Centrality],"&gt;= "&amp;N40)-COUNTIF(Vertices[Eigenvector Centrality],"&gt;="&amp;N42)</f>
        <v>0</v>
      </c>
      <c r="P40" s="79"/>
      <c r="Q40" s="80">
        <f>COUNTIF(Vertices[Eigenvector Centrality],"&gt;= "&amp;P40)-COUNTIF(Vertices[Eigenvector Centrality],"&gt;="&amp;P42)</f>
        <v>0</v>
      </c>
      <c r="R40" s="79"/>
      <c r="S40" s="81">
        <f>COUNTIF(Vertices[Clustering Coefficient],"&gt;= "&amp;R40)-COUNTIF(Vertices[Clustering Coefficient],"&gt;="&amp;R42)</f>
        <v>0</v>
      </c>
      <c r="T40" s="79"/>
      <c r="U40" s="80">
        <f ca="1">COUNTIF(Vertices[Clustering Coefficient],"&gt;= "&amp;T40)-COUNTIF(Vertices[Clustering Coefficient],"&gt;="&amp;T42)</f>
        <v>0</v>
      </c>
    </row>
    <row r="41" spans="1:21" ht="15">
      <c r="A41" s="82"/>
      <c r="B41" s="82"/>
      <c r="D41" s="34"/>
      <c r="E41" s="3">
        <f>COUNTIF(Vertices[Degree],"&gt;= "&amp;D41)-COUNTIF(Vertices[Degree],"&gt;="&amp;D42)</f>
        <v>0</v>
      </c>
      <c r="F41" s="79"/>
      <c r="G41" s="80">
        <f>COUNTIF(Vertices[In-Degree],"&gt;= "&amp;F41)-COUNTIF(Vertices[In-Degree],"&gt;="&amp;F42)</f>
        <v>0</v>
      </c>
      <c r="H41" s="79"/>
      <c r="I41" s="80">
        <f>COUNTIF(Vertices[Out-Degree],"&gt;= "&amp;H41)-COUNTIF(Vertices[Out-Degree],"&gt;="&amp;H42)</f>
        <v>0</v>
      </c>
      <c r="J41" s="79"/>
      <c r="K41" s="80">
        <f>COUNTIF(Vertices[Betweenness Centrality],"&gt;= "&amp;J41)-COUNTIF(Vertices[Betweenness Centrality],"&gt;="&amp;J42)</f>
        <v>0</v>
      </c>
      <c r="L41" s="79"/>
      <c r="M41" s="80">
        <f>COUNTIF(Vertices[Closeness Centrality],"&gt;= "&amp;L41)-COUNTIF(Vertices[Closeness Centrality],"&gt;="&amp;L42)</f>
        <v>0</v>
      </c>
      <c r="N41" s="79"/>
      <c r="O41" s="80">
        <f>COUNTIF(Vertices[Eigenvector Centrality],"&gt;= "&amp;N41)-COUNTIF(Vertices[Eigenvector Centrality],"&gt;="&amp;N42)</f>
        <v>0</v>
      </c>
      <c r="P41" s="79"/>
      <c r="Q41" s="80">
        <f>COUNTIF(Vertices[Eigenvector Centrality],"&gt;= "&amp;P41)-COUNTIF(Vertices[Eigenvector Centrality],"&gt;="&amp;P42)</f>
        <v>0</v>
      </c>
      <c r="R41" s="79"/>
      <c r="S41" s="81">
        <f>COUNTIF(Vertices[Clustering Coefficient],"&gt;= "&amp;R41)-COUNTIF(Vertices[Clustering Coefficient],"&gt;="&amp;R42)</f>
        <v>0</v>
      </c>
      <c r="T41" s="79"/>
      <c r="U41" s="80">
        <f ca="1">COUNTIF(Vertices[Clustering Coefficient],"&gt;= "&amp;T41)-COUNTIF(Vertices[Clustering Coefficient],"&gt;="&amp;T42)</f>
        <v>0</v>
      </c>
    </row>
    <row r="42" spans="1:21" ht="15">
      <c r="A42" s="36"/>
      <c r="B42" s="36"/>
      <c r="D42" s="34">
        <f>D28+($D$50-$D$2)/BinDivisor</f>
        <v>0</v>
      </c>
      <c r="E42" s="3">
        <f>COUNTIF(Vertices[Degree],"&gt;= "&amp;D42)-COUNTIF(Vertices[Degree],"&gt;="&amp;D43)</f>
        <v>0</v>
      </c>
      <c r="F42" s="39">
        <f>F28+($F$50-$F$2)/BinDivisor</f>
        <v>0</v>
      </c>
      <c r="G42" s="40">
        <f>COUNTIF(Vertices[In-Degree],"&gt;= "&amp;F42)-COUNTIF(Vertices[In-Degree],"&gt;="&amp;F43)</f>
        <v>0</v>
      </c>
      <c r="H42" s="39">
        <f>H28+($H$50-$H$2)/BinDivisor</f>
        <v>0</v>
      </c>
      <c r="I42" s="40">
        <f>COUNTIF(Vertices[Out-Degree],"&gt;= "&amp;H42)-COUNTIF(Vertices[Out-Degree],"&gt;="&amp;H43)</f>
        <v>0</v>
      </c>
      <c r="J42" s="39">
        <f>J28+($J$50-$J$2)/BinDivisor</f>
        <v>0</v>
      </c>
      <c r="K42" s="40">
        <f>COUNTIF(Vertices[Betweenness Centrality],"&gt;= "&amp;J42)-COUNTIF(Vertices[Betweenness Centrality],"&gt;="&amp;J43)</f>
        <v>0</v>
      </c>
      <c r="L42" s="39">
        <f>L28+($L$50-$L$2)/BinDivisor</f>
        <v>0</v>
      </c>
      <c r="M42" s="40">
        <f>COUNTIF(Vertices[Closeness Centrality],"&gt;= "&amp;L42)-COUNTIF(Vertices[Closeness Centrality],"&gt;="&amp;L43)</f>
        <v>0</v>
      </c>
      <c r="N42" s="39">
        <f>N28+($N$50-$N$2)/BinDivisor</f>
        <v>0</v>
      </c>
      <c r="O42" s="40">
        <f>COUNTIF(Vertices[Eigenvector Centrality],"&gt;= "&amp;N42)-COUNTIF(Vertices[Eigenvector Centrality],"&gt;="&amp;N43)</f>
        <v>0</v>
      </c>
      <c r="P42" s="39">
        <f>P28+($P$50-$P$2)/BinDivisor</f>
        <v>0</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c r="B43" s="36"/>
      <c r="D43" s="34">
        <f aca="true" t="shared" si="10" ref="D43:D49">D42+($D$50-$D$2)/BinDivisor</f>
        <v>0</v>
      </c>
      <c r="E43" s="3">
        <f>COUNTIF(Vertices[Degree],"&gt;= "&amp;D43)-COUNTIF(Vertices[Degree],"&gt;="&amp;D44)</f>
        <v>0</v>
      </c>
      <c r="F43" s="41">
        <f aca="true" t="shared" si="11" ref="F43:F49">F42+($F$50-$F$2)/BinDivisor</f>
        <v>0</v>
      </c>
      <c r="G43" s="42">
        <f>COUNTIF(Vertices[In-Degree],"&gt;= "&amp;F43)-COUNTIF(Vertices[In-Degree],"&gt;="&amp;F44)</f>
        <v>0</v>
      </c>
      <c r="H43" s="41">
        <f aca="true" t="shared" si="12" ref="H43:H49">H42+($H$50-$H$2)/BinDivisor</f>
        <v>0</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v>
      </c>
      <c r="M43" s="42">
        <f>COUNTIF(Vertices[Closeness Centrality],"&gt;= "&amp;L43)-COUNTIF(Vertices[Closeness Centrality],"&gt;="&amp;L44)</f>
        <v>0</v>
      </c>
      <c r="N43" s="41">
        <f aca="true" t="shared" si="15" ref="N43:N49">N42+($N$50-$N$2)/BinDivisor</f>
        <v>0</v>
      </c>
      <c r="O43" s="42">
        <f>COUNTIF(Vertices[Eigenvector Centrality],"&gt;= "&amp;N43)-COUNTIF(Vertices[Eigenvector Centrality],"&gt;="&amp;N44)</f>
        <v>0</v>
      </c>
      <c r="P43" s="41">
        <f aca="true" t="shared" si="16" ref="P43:P49">P42+($P$50-$P$2)/BinDivisor</f>
        <v>0</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c r="B44" s="36"/>
      <c r="D44" s="34">
        <f t="shared" si="10"/>
        <v>0</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c r="B45" s="36"/>
      <c r="D45" s="34">
        <f t="shared" si="10"/>
        <v>0</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c r="B46" s="36"/>
      <c r="D46" s="34">
        <f t="shared" si="10"/>
        <v>0</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c r="B47" s="36"/>
      <c r="D47" s="34">
        <f t="shared" si="10"/>
        <v>0</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c r="B48" s="36"/>
      <c r="D48" s="34">
        <f t="shared" si="10"/>
        <v>0</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c r="B49" s="36"/>
      <c r="D49" s="34">
        <f t="shared" si="10"/>
        <v>0</v>
      </c>
      <c r="E49" s="3">
        <f>COUNTIF(Vertices[Degree],"&gt;= "&amp;D49)-COUNTIF(Vertices[Degree],"&gt;="&amp;#REF!)</f>
        <v>0</v>
      </c>
      <c r="F49" s="41">
        <f t="shared" si="11"/>
        <v>0</v>
      </c>
      <c r="G49" s="42">
        <f>COUNTIF(Vertices[In-Degree],"&gt;= "&amp;F49)-COUNTIF(Vertices[In-Degree],"&gt;="&amp;#REF!)</f>
        <v>0</v>
      </c>
      <c r="H49" s="41">
        <f t="shared" si="12"/>
        <v>0</v>
      </c>
      <c r="I49" s="42">
        <f>COUNTIF(Vertices[Out-Degree],"&gt;= "&amp;H49)-COUNTIF(Vertices[Out-Degree],"&gt;="&amp;#REF!)</f>
        <v>0</v>
      </c>
      <c r="J49" s="41">
        <f t="shared" si="13"/>
        <v>0</v>
      </c>
      <c r="K49" s="42">
        <f>COUNTIF(Vertices[Betweenness Centrality],"&gt;= "&amp;J49)-COUNTIF(Vertices[Betweenness Centrality],"&gt;="&amp;#REF!)</f>
        <v>0</v>
      </c>
      <c r="L49" s="41">
        <f t="shared" si="14"/>
        <v>0</v>
      </c>
      <c r="M49" s="42">
        <f>COUNTIF(Vertices[Closeness Centrality],"&gt;= "&amp;L49)-COUNTIF(Vertices[Closeness Centrality],"&gt;="&amp;#REF!)</f>
        <v>0</v>
      </c>
      <c r="N49" s="41">
        <f t="shared" si="15"/>
        <v>0</v>
      </c>
      <c r="O49" s="42">
        <f>COUNTIF(Vertices[Eigenvector Centrality],"&gt;= "&amp;N49)-COUNTIF(Vertices[Eigenvector Centrality],"&gt;="&amp;#REF!)</f>
        <v>0</v>
      </c>
      <c r="P49" s="41">
        <f t="shared" si="16"/>
        <v>0</v>
      </c>
      <c r="Q49" s="42">
        <f>COUNTIF(Vertices[PageRank],"&gt;= "&amp;P49)-COUNTIF(Vertices[PageRank],"&gt;="&amp;#REF!)</f>
        <v>0</v>
      </c>
      <c r="R49" s="41">
        <f t="shared" si="17"/>
        <v>0</v>
      </c>
      <c r="S49" s="46">
        <f>COUNTIF(Vertices[Clustering Coefficient],"&gt;= "&amp;R49)-COUNTIF(Vertices[Clustering Coefficient],"&gt;="&amp;#REF!)</f>
        <v>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0</v>
      </c>
      <c r="G50" s="44">
        <f>COUNTIF(Vertices[In-Degree],"&gt;= "&amp;F50)-COUNTIF(Vertices[In-Degree],"&gt;="&amp;#REF!)</f>
        <v>0</v>
      </c>
      <c r="H50" s="43">
        <f>MAX(Vertices[Out-Degree])</f>
        <v>0</v>
      </c>
      <c r="I50" s="44">
        <f>COUNTIF(Vertices[Out-Degree],"&gt;= "&amp;H50)-COUNTIF(Vertices[Out-Degree],"&gt;="&amp;#REF!)</f>
        <v>0</v>
      </c>
      <c r="J50" s="43">
        <f>MAX(Vertices[Betweenness Centrality])</f>
        <v>0</v>
      </c>
      <c r="K50" s="44">
        <f>COUNTIF(Vertices[Betweenness Centrality],"&gt;= "&amp;J50)-COUNTIF(Vertices[Betweenness Centrality],"&gt;="&amp;#REF!)</f>
        <v>0</v>
      </c>
      <c r="L50" s="43">
        <f>MAX(Vertices[Closeness Centrality])</f>
        <v>0</v>
      </c>
      <c r="M50" s="44">
        <f>COUNTIF(Vertices[Closeness Centrality],"&gt;= "&amp;L50)-COUNTIF(Vertices[Closeness Centrality],"&gt;="&amp;#REF!)</f>
        <v>0</v>
      </c>
      <c r="N50" s="43">
        <f>MAX(Vertices[Eigenvector Centrality])</f>
        <v>0</v>
      </c>
      <c r="O50" s="44">
        <f>COUNTIF(Vertices[Eigenvector Centrality],"&gt;= "&amp;N50)-COUNTIF(Vertices[Eigenvector Centrality],"&gt;="&amp;#REF!)</f>
        <v>0</v>
      </c>
      <c r="P50" s="43">
        <f>MAX(Vertices[PageRank])</f>
        <v>0</v>
      </c>
      <c r="Q50" s="44">
        <f>COUNTIF(Vertices[PageRank],"&gt;= "&amp;P50)-COUNTIF(Vertices[PageRank],"&gt;="&amp;#REF!)</f>
        <v>0</v>
      </c>
      <c r="R50" s="43">
        <f>MAX(Vertices[Clustering Coefficient])</f>
        <v>0</v>
      </c>
      <c r="S50" s="47">
        <f>COUNTIF(Vertices[Clustering Coefficient],"&gt;= "&amp;R50)-COUNTIF(Vertices[Clustering Coefficient],"&gt;="&amp;#REF!)</f>
        <v>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t="str">
        <f>IF(COUNT(Vertices[In-Degree])&gt;0,F2,NoMetricMessage)</f>
        <v>Not Available</v>
      </c>
    </row>
    <row r="81" spans="1:2" ht="15">
      <c r="A81" s="35" t="s">
        <v>89</v>
      </c>
      <c r="B81" s="48" t="str">
        <f>IF(COUNT(Vertices[In-Degree])&gt;0,F50,NoMetricMessage)</f>
        <v>Not Available</v>
      </c>
    </row>
    <row r="82" spans="1:2" ht="15">
      <c r="A82" s="35" t="s">
        <v>90</v>
      </c>
      <c r="B82" s="49" t="str">
        <f>_xlfn.IFERROR(AVERAGE(Vertices[In-Degree]),NoMetricMessage)</f>
        <v>Not Available</v>
      </c>
    </row>
    <row r="83" spans="1:2" ht="15">
      <c r="A83" s="35" t="s">
        <v>91</v>
      </c>
      <c r="B83" s="49" t="str">
        <f>_xlfn.IFERROR(MEDIAN(Vertices[In-Degree]),NoMetricMessage)</f>
        <v>Not Available</v>
      </c>
    </row>
    <row r="94" spans="1:2" ht="15">
      <c r="A94" s="35" t="s">
        <v>94</v>
      </c>
      <c r="B94" s="48" t="str">
        <f>IF(COUNT(Vertices[Out-Degree])&gt;0,H2,NoMetricMessage)</f>
        <v>Not Available</v>
      </c>
    </row>
    <row r="95" spans="1:2" ht="15">
      <c r="A95" s="35" t="s">
        <v>95</v>
      </c>
      <c r="B95" s="48" t="str">
        <f>IF(COUNT(Vertices[Out-Degree])&gt;0,H50,NoMetricMessage)</f>
        <v>Not Available</v>
      </c>
    </row>
    <row r="96" spans="1:2" ht="15">
      <c r="A96" s="35" t="s">
        <v>96</v>
      </c>
      <c r="B96" s="49" t="str">
        <f>_xlfn.IFERROR(AVERAGE(Vertices[Out-Degree]),NoMetricMessage)</f>
        <v>Not Available</v>
      </c>
    </row>
    <row r="97" spans="1:2" ht="15">
      <c r="A97" s="35" t="s">
        <v>97</v>
      </c>
      <c r="B97" s="49" t="str">
        <f>_xlfn.IFERROR(MEDIAN(Vertices[Out-Degree]),NoMetricMessage)</f>
        <v>Not Available</v>
      </c>
    </row>
    <row r="108" spans="1:2" ht="15">
      <c r="A108" s="35" t="s">
        <v>100</v>
      </c>
      <c r="B108" s="49" t="str">
        <f>IF(COUNT(Vertices[Betweenness Centrality])&gt;0,J2,NoMetricMessage)</f>
        <v>Not Available</v>
      </c>
    </row>
    <row r="109" spans="1:2" ht="15">
      <c r="A109" s="35" t="s">
        <v>101</v>
      </c>
      <c r="B109" s="49" t="str">
        <f>IF(COUNT(Vertices[Betweenness Centrality])&gt;0,J50,NoMetricMessage)</f>
        <v>Not Available</v>
      </c>
    </row>
    <row r="110" spans="1:2" ht="15">
      <c r="A110" s="35" t="s">
        <v>102</v>
      </c>
      <c r="B110" s="49" t="str">
        <f>_xlfn.IFERROR(AVERAGE(Vertices[Betweenness Centrality]),NoMetricMessage)</f>
        <v>Not Available</v>
      </c>
    </row>
    <row r="111" spans="1:2" ht="15">
      <c r="A111" s="35" t="s">
        <v>103</v>
      </c>
      <c r="B111" s="49" t="str">
        <f>_xlfn.IFERROR(MEDIAN(Vertices[Betweenness Centrality]),NoMetricMessage)</f>
        <v>Not Available</v>
      </c>
    </row>
    <row r="122" spans="1:2" ht="15">
      <c r="A122" s="35" t="s">
        <v>106</v>
      </c>
      <c r="B122" s="49" t="str">
        <f>IF(COUNT(Vertices[Closeness Centrality])&gt;0,L2,NoMetricMessage)</f>
        <v>Not Available</v>
      </c>
    </row>
    <row r="123" spans="1:2" ht="15">
      <c r="A123" s="35" t="s">
        <v>107</v>
      </c>
      <c r="B123" s="49" t="str">
        <f>IF(COUNT(Vertices[Closeness Centrality])&gt;0,L50,NoMetricMessage)</f>
        <v>Not Available</v>
      </c>
    </row>
    <row r="124" spans="1:2" ht="15">
      <c r="A124" s="35" t="s">
        <v>108</v>
      </c>
      <c r="B124" s="49" t="str">
        <f>_xlfn.IFERROR(AVERAGE(Vertices[Closeness Centrality]),NoMetricMessage)</f>
        <v>Not Available</v>
      </c>
    </row>
    <row r="125" spans="1:2" ht="15">
      <c r="A125" s="35" t="s">
        <v>109</v>
      </c>
      <c r="B125" s="49" t="str">
        <f>_xlfn.IFERROR(MEDIAN(Vertices[Closeness Centrality]),NoMetricMessage)</f>
        <v>Not Available</v>
      </c>
    </row>
    <row r="136" spans="1:2" ht="15">
      <c r="A136" s="35" t="s">
        <v>112</v>
      </c>
      <c r="B136" s="49" t="str">
        <f>IF(COUNT(Vertices[Eigenvector Centrality])&gt;0,N2,NoMetricMessage)</f>
        <v>Not Available</v>
      </c>
    </row>
    <row r="137" spans="1:2" ht="15">
      <c r="A137" s="35" t="s">
        <v>113</v>
      </c>
      <c r="B137" s="49" t="str">
        <f>IF(COUNT(Vertices[Eigenvector Centrality])&gt;0,N50,NoMetricMessage)</f>
        <v>Not Available</v>
      </c>
    </row>
    <row r="138" spans="1:2" ht="15">
      <c r="A138" s="35" t="s">
        <v>114</v>
      </c>
      <c r="B138" s="49" t="str">
        <f>_xlfn.IFERROR(AVERAGE(Vertices[Eigenvector Centrality]),NoMetricMessage)</f>
        <v>Not Available</v>
      </c>
    </row>
    <row r="139" spans="1:2" ht="15">
      <c r="A139" s="35" t="s">
        <v>115</v>
      </c>
      <c r="B139" s="49" t="str">
        <f>_xlfn.IFERROR(MEDIAN(Vertices[Eigenvector Centrality]),NoMetricMessage)</f>
        <v>Not Available</v>
      </c>
    </row>
    <row r="150" spans="1:2" ht="15">
      <c r="A150" s="35" t="s">
        <v>140</v>
      </c>
      <c r="B150" s="49" t="str">
        <f>IF(COUNT(Vertices[PageRank])&gt;0,P2,NoMetricMessage)</f>
        <v>Not Available</v>
      </c>
    </row>
    <row r="151" spans="1:2" ht="15">
      <c r="A151" s="35" t="s">
        <v>141</v>
      </c>
      <c r="B151" s="49" t="str">
        <f>IF(COUNT(Vertices[PageRank])&gt;0,P50,NoMetricMessage)</f>
        <v>Not Available</v>
      </c>
    </row>
    <row r="152" spans="1:2" ht="15">
      <c r="A152" s="35" t="s">
        <v>142</v>
      </c>
      <c r="B152" s="49" t="str">
        <f>_xlfn.IFERROR(AVERAGE(Vertices[PageRank]),NoMetricMessage)</f>
        <v>Not Available</v>
      </c>
    </row>
    <row r="153" spans="1:2" ht="15">
      <c r="A153" s="35" t="s">
        <v>143</v>
      </c>
      <c r="B153" s="49" t="str">
        <f>_xlfn.IFERROR(MEDIAN(Vertices[PageRank]),NoMetricMessage)</f>
        <v>Not Available</v>
      </c>
    </row>
    <row r="164" spans="1:2" ht="15">
      <c r="A164" s="35" t="s">
        <v>118</v>
      </c>
      <c r="B164" s="49" t="str">
        <f>IF(COUNT(Vertices[Clustering Coefficient])&gt;0,R2,NoMetricMessage)</f>
        <v>Not Available</v>
      </c>
    </row>
    <row r="165" spans="1:2" ht="15">
      <c r="A165" s="35" t="s">
        <v>119</v>
      </c>
      <c r="B165" s="49" t="str">
        <f>IF(COUNT(Vertices[Clustering Coefficient])&gt;0,R50,NoMetricMessage)</f>
        <v>Not Available</v>
      </c>
    </row>
    <row r="166" spans="1:2" ht="15">
      <c r="A166" s="35" t="s">
        <v>120</v>
      </c>
      <c r="B166" s="49" t="str">
        <f>_xlfn.IFERROR(AVERAGE(Vertices[Clustering Coefficient]),NoMetricMessage)</f>
        <v>Not Available</v>
      </c>
    </row>
    <row r="167" spans="1:2" ht="15">
      <c r="A167" s="35" t="s">
        <v>121</v>
      </c>
      <c r="B167"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333</v>
      </c>
      <c r="BD2" s="13" t="s">
        <v>339</v>
      </c>
      <c r="BE2" s="13" t="s">
        <v>340</v>
      </c>
    </row>
    <row r="3" spans="1:57" ht="15" customHeight="1">
      <c r="A3" s="86" t="s">
        <v>216</v>
      </c>
      <c r="B3" s="86" t="s">
        <v>217</v>
      </c>
      <c r="C3" s="54"/>
      <c r="D3" s="55"/>
      <c r="E3" s="67"/>
      <c r="F3" s="56"/>
      <c r="G3" s="54"/>
      <c r="H3" s="58"/>
      <c r="I3" s="57"/>
      <c r="J3" s="57"/>
      <c r="K3" s="36" t="s">
        <v>65</v>
      </c>
      <c r="L3" s="63">
        <v>3</v>
      </c>
      <c r="M3" s="63"/>
      <c r="N3" s="64"/>
      <c r="O3" s="87" t="s">
        <v>220</v>
      </c>
      <c r="P3" s="89">
        <v>43964.62931712963</v>
      </c>
      <c r="Q3" s="87" t="s">
        <v>227</v>
      </c>
      <c r="R3" s="87"/>
      <c r="S3" s="87"/>
      <c r="T3" s="87" t="s">
        <v>231</v>
      </c>
      <c r="U3" s="87"/>
      <c r="V3" s="92" t="str">
        <f>HYPERLINK("http://pbs.twimg.com/profile_images/256525774/sivmEPSON_normal.JPG")</f>
        <v>http://pbs.twimg.com/profile_images/256525774/sivmEPSON_normal.JPG</v>
      </c>
      <c r="W3" s="89">
        <v>43964.62931712963</v>
      </c>
      <c r="X3" s="93">
        <v>43964</v>
      </c>
      <c r="Y3" s="95" t="s">
        <v>238</v>
      </c>
      <c r="Z3" s="92" t="str">
        <f>HYPERLINK("https://twitter.com/#!/baker004/status/1260587156931837953")</f>
        <v>https://twitter.com/#!/baker004/status/1260587156931837953</v>
      </c>
      <c r="AA3" s="87"/>
      <c r="AB3" s="87"/>
      <c r="AC3" s="95" t="s">
        <v>245</v>
      </c>
      <c r="AD3" s="95" t="s">
        <v>247</v>
      </c>
      <c r="AE3" s="87" t="b">
        <v>0</v>
      </c>
      <c r="AF3" s="87">
        <v>1</v>
      </c>
      <c r="AG3" s="95" t="s">
        <v>250</v>
      </c>
      <c r="AH3" s="87" t="b">
        <v>0</v>
      </c>
      <c r="AI3" s="87" t="s">
        <v>251</v>
      </c>
      <c r="AJ3" s="87"/>
      <c r="AK3" s="95" t="s">
        <v>248</v>
      </c>
      <c r="AL3" s="87" t="b">
        <v>0</v>
      </c>
      <c r="AM3" s="87">
        <v>1</v>
      </c>
      <c r="AN3" s="95" t="s">
        <v>248</v>
      </c>
      <c r="AO3" s="87" t="s">
        <v>254</v>
      </c>
      <c r="AP3" s="87" t="b">
        <v>0</v>
      </c>
      <c r="AQ3" s="95" t="s">
        <v>247</v>
      </c>
      <c r="AR3" s="87" t="s">
        <v>219</v>
      </c>
      <c r="AS3" s="87">
        <v>0</v>
      </c>
      <c r="AT3" s="87">
        <v>0</v>
      </c>
      <c r="AU3" s="87"/>
      <c r="AV3" s="87"/>
      <c r="AW3" s="87"/>
      <c r="AX3" s="87"/>
      <c r="AY3" s="87"/>
      <c r="AZ3" s="87"/>
      <c r="BA3" s="87"/>
      <c r="BB3" s="87"/>
      <c r="BC3">
        <v>1</v>
      </c>
      <c r="BD3" s="87" t="str">
        <f>REPLACE(INDEX(GroupVertices[Group],MATCH(Edges11[[#This Row],[Vertex 1]],GroupVertices[Vertex],0)),1,1,"")</f>
        <v>2</v>
      </c>
      <c r="BE3" s="87" t="str">
        <f>REPLACE(INDEX(GroupVertices[Group],MATCH(Edges11[[#This Row],[Vertex 2]],GroupVertices[Vertex],0)),1,1,"")</f>
        <v>2</v>
      </c>
    </row>
    <row r="4" spans="1:57" ht="15" customHeight="1">
      <c r="A4" s="86" t="s">
        <v>214</v>
      </c>
      <c r="B4" s="86" t="s">
        <v>217</v>
      </c>
      <c r="C4" s="54"/>
      <c r="D4" s="55"/>
      <c r="E4" s="67"/>
      <c r="F4" s="56"/>
      <c r="G4" s="54"/>
      <c r="H4" s="58"/>
      <c r="I4" s="57"/>
      <c r="J4" s="57"/>
      <c r="K4" s="36" t="s">
        <v>65</v>
      </c>
      <c r="L4" s="85">
        <v>4</v>
      </c>
      <c r="M4" s="85"/>
      <c r="N4" s="64"/>
      <c r="O4" s="88" t="s">
        <v>218</v>
      </c>
      <c r="P4" s="90">
        <v>44090.60538194444</v>
      </c>
      <c r="Q4" s="88" t="s">
        <v>221</v>
      </c>
      <c r="R4" s="88"/>
      <c r="S4" s="88"/>
      <c r="T4" s="88"/>
      <c r="U4" s="88"/>
      <c r="V4" s="91" t="str">
        <f>HYPERLINK("http://pbs.twimg.com/profile_images/1304544534836150272/uQjalUtR_normal.jpg")</f>
        <v>http://pbs.twimg.com/profile_images/1304544534836150272/uQjalUtR_normal.jpg</v>
      </c>
      <c r="W4" s="90">
        <v>44090.60538194444</v>
      </c>
      <c r="X4" s="94">
        <v>44090</v>
      </c>
      <c r="Y4" s="96" t="s">
        <v>232</v>
      </c>
      <c r="Z4" s="91" t="str">
        <f>HYPERLINK("https://twitter.com/#!/clair13/status/1306239355120316417")</f>
        <v>https://twitter.com/#!/clair13/status/1306239355120316417</v>
      </c>
      <c r="AA4" s="88"/>
      <c r="AB4" s="88"/>
      <c r="AC4" s="96" t="s">
        <v>239</v>
      </c>
      <c r="AD4" s="88"/>
      <c r="AE4" s="88" t="b">
        <v>0</v>
      </c>
      <c r="AF4" s="88">
        <v>0</v>
      </c>
      <c r="AG4" s="96" t="s">
        <v>248</v>
      </c>
      <c r="AH4" s="88" t="b">
        <v>0</v>
      </c>
      <c r="AI4" s="88" t="s">
        <v>251</v>
      </c>
      <c r="AJ4" s="88"/>
      <c r="AK4" s="96" t="s">
        <v>248</v>
      </c>
      <c r="AL4" s="88" t="b">
        <v>0</v>
      </c>
      <c r="AM4" s="88">
        <v>1</v>
      </c>
      <c r="AN4" s="96" t="s">
        <v>245</v>
      </c>
      <c r="AO4" s="88" t="s">
        <v>254</v>
      </c>
      <c r="AP4" s="88" t="b">
        <v>0</v>
      </c>
      <c r="AQ4" s="96" t="s">
        <v>245</v>
      </c>
      <c r="AR4" s="88" t="s">
        <v>176</v>
      </c>
      <c r="AS4" s="88">
        <v>0</v>
      </c>
      <c r="AT4" s="88">
        <v>0</v>
      </c>
      <c r="AU4" s="88"/>
      <c r="AV4" s="88"/>
      <c r="AW4" s="88"/>
      <c r="AX4" s="88"/>
      <c r="AY4" s="88"/>
      <c r="AZ4" s="88"/>
      <c r="BA4" s="88"/>
      <c r="BB4" s="88"/>
      <c r="BC4">
        <v>1</v>
      </c>
      <c r="BD4" s="87" t="str">
        <f>REPLACE(INDEX(GroupVertices[Group],MATCH(Edges11[[#This Row],[Vertex 1]],GroupVertices[Vertex],0)),1,1,"")</f>
        <v>1</v>
      </c>
      <c r="BE4" s="87" t="str">
        <f>REPLACE(INDEX(GroupVertices[Group],MATCH(Edges11[[#This Row],[Vertex 2]],GroupVertices[Vertex],0)),1,1,"")</f>
        <v>2</v>
      </c>
    </row>
    <row r="5" spans="1:57" ht="15">
      <c r="A5" s="86" t="s">
        <v>214</v>
      </c>
      <c r="B5" s="86" t="s">
        <v>216</v>
      </c>
      <c r="C5" s="54"/>
      <c r="D5" s="55"/>
      <c r="E5" s="67"/>
      <c r="F5" s="56"/>
      <c r="G5" s="54"/>
      <c r="H5" s="58"/>
      <c r="I5" s="57"/>
      <c r="J5" s="57"/>
      <c r="K5" s="36" t="s">
        <v>65</v>
      </c>
      <c r="L5" s="85">
        <v>5</v>
      </c>
      <c r="M5" s="85"/>
      <c r="N5" s="64"/>
      <c r="O5" s="88" t="s">
        <v>218</v>
      </c>
      <c r="P5" s="90">
        <v>44090.60538194444</v>
      </c>
      <c r="Q5" s="88" t="s">
        <v>221</v>
      </c>
      <c r="R5" s="88"/>
      <c r="S5" s="88"/>
      <c r="T5" s="88"/>
      <c r="U5" s="88"/>
      <c r="V5" s="91" t="str">
        <f>HYPERLINK("http://pbs.twimg.com/profile_images/1304544534836150272/uQjalUtR_normal.jpg")</f>
        <v>http://pbs.twimg.com/profile_images/1304544534836150272/uQjalUtR_normal.jpg</v>
      </c>
      <c r="W5" s="90">
        <v>44090.60538194444</v>
      </c>
      <c r="X5" s="94">
        <v>44090</v>
      </c>
      <c r="Y5" s="96" t="s">
        <v>232</v>
      </c>
      <c r="Z5" s="91" t="str">
        <f>HYPERLINK("https://twitter.com/#!/clair13/status/1306239355120316417")</f>
        <v>https://twitter.com/#!/clair13/status/1306239355120316417</v>
      </c>
      <c r="AA5" s="88"/>
      <c r="AB5" s="88"/>
      <c r="AC5" s="96" t="s">
        <v>239</v>
      </c>
      <c r="AD5" s="88"/>
      <c r="AE5" s="88" t="b">
        <v>0</v>
      </c>
      <c r="AF5" s="88">
        <v>0</v>
      </c>
      <c r="AG5" s="96" t="s">
        <v>248</v>
      </c>
      <c r="AH5" s="88" t="b">
        <v>0</v>
      </c>
      <c r="AI5" s="88" t="s">
        <v>251</v>
      </c>
      <c r="AJ5" s="88"/>
      <c r="AK5" s="96" t="s">
        <v>248</v>
      </c>
      <c r="AL5" s="88" t="b">
        <v>0</v>
      </c>
      <c r="AM5" s="88">
        <v>1</v>
      </c>
      <c r="AN5" s="96" t="s">
        <v>245</v>
      </c>
      <c r="AO5" s="88" t="s">
        <v>254</v>
      </c>
      <c r="AP5" s="88" t="b">
        <v>0</v>
      </c>
      <c r="AQ5" s="96" t="s">
        <v>245</v>
      </c>
      <c r="AR5" s="88" t="s">
        <v>176</v>
      </c>
      <c r="AS5" s="88">
        <v>0</v>
      </c>
      <c r="AT5" s="88">
        <v>0</v>
      </c>
      <c r="AU5" s="88"/>
      <c r="AV5" s="88"/>
      <c r="AW5" s="88"/>
      <c r="AX5" s="88"/>
      <c r="AY5" s="88"/>
      <c r="AZ5" s="88"/>
      <c r="BA5" s="88"/>
      <c r="BB5" s="88"/>
      <c r="BC5">
        <v>1</v>
      </c>
      <c r="BD5" s="87" t="str">
        <f>REPLACE(INDEX(GroupVertices[Group],MATCH(Edges11[[#This Row],[Vertex 1]],GroupVertices[Vertex],0)),1,1,"")</f>
        <v>1</v>
      </c>
      <c r="BE5" s="87" t="str">
        <f>REPLACE(INDEX(GroupVertices[Group],MATCH(Edges11[[#This Row],[Vertex 2]],GroupVertices[Vertex],0)),1,1,"")</f>
        <v>2</v>
      </c>
    </row>
    <row r="6" spans="1:57" ht="15">
      <c r="A6" s="86" t="s">
        <v>214</v>
      </c>
      <c r="B6" s="86" t="s">
        <v>216</v>
      </c>
      <c r="C6" s="54"/>
      <c r="D6" s="55"/>
      <c r="E6" s="67"/>
      <c r="F6" s="56"/>
      <c r="G6" s="54"/>
      <c r="H6" s="58"/>
      <c r="I6" s="57"/>
      <c r="J6" s="57"/>
      <c r="K6" s="36" t="s">
        <v>65</v>
      </c>
      <c r="L6" s="85">
        <v>6</v>
      </c>
      <c r="M6" s="85"/>
      <c r="N6" s="64"/>
      <c r="O6" s="88" t="s">
        <v>219</v>
      </c>
      <c r="P6" s="90">
        <v>44090.60538194444</v>
      </c>
      <c r="Q6" s="88" t="s">
        <v>221</v>
      </c>
      <c r="R6" s="88"/>
      <c r="S6" s="88"/>
      <c r="T6" s="88"/>
      <c r="U6" s="88"/>
      <c r="V6" s="91" t="str">
        <f>HYPERLINK("http://pbs.twimg.com/profile_images/1304544534836150272/uQjalUtR_normal.jpg")</f>
        <v>http://pbs.twimg.com/profile_images/1304544534836150272/uQjalUtR_normal.jpg</v>
      </c>
      <c r="W6" s="90">
        <v>44090.60538194444</v>
      </c>
      <c r="X6" s="94">
        <v>44090</v>
      </c>
      <c r="Y6" s="96" t="s">
        <v>232</v>
      </c>
      <c r="Z6" s="91" t="str">
        <f>HYPERLINK("https://twitter.com/#!/clair13/status/1306239355120316417")</f>
        <v>https://twitter.com/#!/clair13/status/1306239355120316417</v>
      </c>
      <c r="AA6" s="88"/>
      <c r="AB6" s="88"/>
      <c r="AC6" s="96" t="s">
        <v>239</v>
      </c>
      <c r="AD6" s="88"/>
      <c r="AE6" s="88" t="b">
        <v>0</v>
      </c>
      <c r="AF6" s="88">
        <v>0</v>
      </c>
      <c r="AG6" s="96" t="s">
        <v>248</v>
      </c>
      <c r="AH6" s="88" t="b">
        <v>0</v>
      </c>
      <c r="AI6" s="88" t="s">
        <v>251</v>
      </c>
      <c r="AJ6" s="88"/>
      <c r="AK6" s="96" t="s">
        <v>248</v>
      </c>
      <c r="AL6" s="88" t="b">
        <v>0</v>
      </c>
      <c r="AM6" s="88">
        <v>1</v>
      </c>
      <c r="AN6" s="96" t="s">
        <v>245</v>
      </c>
      <c r="AO6" s="88" t="s">
        <v>254</v>
      </c>
      <c r="AP6" s="88" t="b">
        <v>0</v>
      </c>
      <c r="AQ6" s="96" t="s">
        <v>245</v>
      </c>
      <c r="AR6" s="88" t="s">
        <v>176</v>
      </c>
      <c r="AS6" s="88">
        <v>0</v>
      </c>
      <c r="AT6" s="88">
        <v>0</v>
      </c>
      <c r="AU6" s="88"/>
      <c r="AV6" s="88"/>
      <c r="AW6" s="88"/>
      <c r="AX6" s="88"/>
      <c r="AY6" s="88"/>
      <c r="AZ6" s="88"/>
      <c r="BA6" s="88"/>
      <c r="BB6" s="88"/>
      <c r="BC6">
        <v>1</v>
      </c>
      <c r="BD6" s="87" t="str">
        <f>REPLACE(INDEX(GroupVertices[Group],MATCH(Edges11[[#This Row],[Vertex 1]],GroupVertices[Vertex],0)),1,1,"")</f>
        <v>1</v>
      </c>
      <c r="BE6" s="87" t="str">
        <f>REPLACE(INDEX(GroupVertices[Group],MATCH(Edges11[[#This Row],[Vertex 2]],GroupVertices[Vertex],0)),1,1,"")</f>
        <v>2</v>
      </c>
    </row>
    <row r="7" spans="1:57" ht="15">
      <c r="A7" s="86" t="s">
        <v>215</v>
      </c>
      <c r="B7" s="86" t="s">
        <v>215</v>
      </c>
      <c r="C7" s="54"/>
      <c r="D7" s="55"/>
      <c r="E7" s="67"/>
      <c r="F7" s="56"/>
      <c r="G7" s="54"/>
      <c r="H7" s="58"/>
      <c r="I7" s="57"/>
      <c r="J7" s="57"/>
      <c r="K7" s="36" t="s">
        <v>65</v>
      </c>
      <c r="L7" s="85">
        <v>7</v>
      </c>
      <c r="M7" s="85"/>
      <c r="N7" s="64"/>
      <c r="O7" s="88" t="s">
        <v>176</v>
      </c>
      <c r="P7" s="90">
        <v>44090.59820601852</v>
      </c>
      <c r="Q7" s="88" t="s">
        <v>222</v>
      </c>
      <c r="R7" s="91" t="str">
        <f>HYPERLINK("https://twitter.com/MMC_Global/status/1306236161246015488")</f>
        <v>https://twitter.com/MMC_Global/status/1306236161246015488</v>
      </c>
      <c r="S7" s="88" t="s">
        <v>228</v>
      </c>
      <c r="T7" s="88" t="s">
        <v>229</v>
      </c>
      <c r="U7" s="88"/>
      <c r="V7" s="91" t="str">
        <f>HYPERLINK("http://pbs.twimg.com/profile_images/1129324312152944640/Gq_X0FZk_normal.jpg")</f>
        <v>http://pbs.twimg.com/profile_images/1129324312152944640/Gq_X0FZk_normal.jpg</v>
      </c>
      <c r="W7" s="90">
        <v>44090.59820601852</v>
      </c>
      <c r="X7" s="94">
        <v>44090</v>
      </c>
      <c r="Y7" s="96" t="s">
        <v>233</v>
      </c>
      <c r="Z7" s="91" t="str">
        <f>HYPERLINK("https://twitter.com/#!/patricia_energy/status/1306236755956379649")</f>
        <v>https://twitter.com/#!/patricia_energy/status/1306236755956379649</v>
      </c>
      <c r="AA7" s="88"/>
      <c r="AB7" s="88"/>
      <c r="AC7" s="96" t="s">
        <v>240</v>
      </c>
      <c r="AD7" s="88"/>
      <c r="AE7" s="88" t="b">
        <v>0</v>
      </c>
      <c r="AF7" s="88">
        <v>1</v>
      </c>
      <c r="AG7" s="96" t="s">
        <v>248</v>
      </c>
      <c r="AH7" s="88" t="b">
        <v>1</v>
      </c>
      <c r="AI7" s="88" t="s">
        <v>251</v>
      </c>
      <c r="AJ7" s="88"/>
      <c r="AK7" s="96" t="s">
        <v>252</v>
      </c>
      <c r="AL7" s="88" t="b">
        <v>0</v>
      </c>
      <c r="AM7" s="88">
        <v>1</v>
      </c>
      <c r="AN7" s="96" t="s">
        <v>248</v>
      </c>
      <c r="AO7" s="88" t="s">
        <v>254</v>
      </c>
      <c r="AP7" s="88" t="b">
        <v>0</v>
      </c>
      <c r="AQ7" s="96" t="s">
        <v>240</v>
      </c>
      <c r="AR7" s="88" t="s">
        <v>176</v>
      </c>
      <c r="AS7" s="88">
        <v>0</v>
      </c>
      <c r="AT7" s="88">
        <v>0</v>
      </c>
      <c r="AU7" s="88"/>
      <c r="AV7" s="88"/>
      <c r="AW7" s="88"/>
      <c r="AX7" s="88"/>
      <c r="AY7" s="88"/>
      <c r="AZ7" s="88"/>
      <c r="BA7" s="88"/>
      <c r="BB7" s="88"/>
      <c r="BC7">
        <v>2</v>
      </c>
      <c r="BD7" s="87" t="str">
        <f>REPLACE(INDEX(GroupVertices[Group],MATCH(Edges11[[#This Row],[Vertex 1]],GroupVertices[Vertex],0)),1,1,"")</f>
        <v>1</v>
      </c>
      <c r="BE7" s="87" t="str">
        <f>REPLACE(INDEX(GroupVertices[Group],MATCH(Edges11[[#This Row],[Vertex 2]],GroupVertices[Vertex],0)),1,1,"")</f>
        <v>1</v>
      </c>
    </row>
    <row r="8" spans="1:57" ht="15">
      <c r="A8" s="86" t="s">
        <v>215</v>
      </c>
      <c r="B8" s="86" t="s">
        <v>215</v>
      </c>
      <c r="C8" s="54"/>
      <c r="D8" s="55"/>
      <c r="E8" s="67"/>
      <c r="F8" s="56"/>
      <c r="G8" s="54"/>
      <c r="H8" s="58"/>
      <c r="I8" s="57"/>
      <c r="J8" s="57"/>
      <c r="K8" s="36" t="s">
        <v>65</v>
      </c>
      <c r="L8" s="85">
        <v>8</v>
      </c>
      <c r="M8" s="85"/>
      <c r="N8" s="64"/>
      <c r="O8" s="88" t="s">
        <v>176</v>
      </c>
      <c r="P8" s="90">
        <v>44090.599074074074</v>
      </c>
      <c r="Q8" s="88" t="s">
        <v>223</v>
      </c>
      <c r="R8" s="91" t="str">
        <f>HYPERLINK("https://twitter.com/SydneyHedberg/status/1306236648187998208")</f>
        <v>https://twitter.com/SydneyHedberg/status/1306236648187998208</v>
      </c>
      <c r="S8" s="88" t="s">
        <v>228</v>
      </c>
      <c r="T8" s="88" t="s">
        <v>229</v>
      </c>
      <c r="U8" s="88"/>
      <c r="V8" s="91" t="str">
        <f>HYPERLINK("http://pbs.twimg.com/profile_images/1129324312152944640/Gq_X0FZk_normal.jpg")</f>
        <v>http://pbs.twimg.com/profile_images/1129324312152944640/Gq_X0FZk_normal.jpg</v>
      </c>
      <c r="W8" s="90">
        <v>44090.599074074074</v>
      </c>
      <c r="X8" s="94">
        <v>44090</v>
      </c>
      <c r="Y8" s="96" t="s">
        <v>234</v>
      </c>
      <c r="Z8" s="91" t="str">
        <f>HYPERLINK("https://twitter.com/#!/patricia_energy/status/1306237069363236868")</f>
        <v>https://twitter.com/#!/patricia_energy/status/1306237069363236868</v>
      </c>
      <c r="AA8" s="88"/>
      <c r="AB8" s="88"/>
      <c r="AC8" s="96" t="s">
        <v>241</v>
      </c>
      <c r="AD8" s="88"/>
      <c r="AE8" s="88" t="b">
        <v>0</v>
      </c>
      <c r="AF8" s="88">
        <v>2</v>
      </c>
      <c r="AG8" s="96" t="s">
        <v>248</v>
      </c>
      <c r="AH8" s="88" t="b">
        <v>1</v>
      </c>
      <c r="AI8" s="88" t="s">
        <v>251</v>
      </c>
      <c r="AJ8" s="88"/>
      <c r="AK8" s="96" t="s">
        <v>253</v>
      </c>
      <c r="AL8" s="88" t="b">
        <v>0</v>
      </c>
      <c r="AM8" s="88">
        <v>1</v>
      </c>
      <c r="AN8" s="96" t="s">
        <v>248</v>
      </c>
      <c r="AO8" s="88" t="s">
        <v>254</v>
      </c>
      <c r="AP8" s="88" t="b">
        <v>0</v>
      </c>
      <c r="AQ8" s="96" t="s">
        <v>241</v>
      </c>
      <c r="AR8" s="88" t="s">
        <v>176</v>
      </c>
      <c r="AS8" s="88">
        <v>0</v>
      </c>
      <c r="AT8" s="88">
        <v>0</v>
      </c>
      <c r="AU8" s="88"/>
      <c r="AV8" s="88"/>
      <c r="AW8" s="88"/>
      <c r="AX8" s="88"/>
      <c r="AY8" s="88"/>
      <c r="AZ8" s="88"/>
      <c r="BA8" s="88"/>
      <c r="BB8" s="88"/>
      <c r="BC8">
        <v>2</v>
      </c>
      <c r="BD8" s="87" t="str">
        <f>REPLACE(INDEX(GroupVertices[Group],MATCH(Edges11[[#This Row],[Vertex 1]],GroupVertices[Vertex],0)),1,1,"")</f>
        <v>1</v>
      </c>
      <c r="BE8" s="87" t="str">
        <f>REPLACE(INDEX(GroupVertices[Group],MATCH(Edges11[[#This Row],[Vertex 2]],GroupVertices[Vertex],0)),1,1,"")</f>
        <v>1</v>
      </c>
    </row>
    <row r="9" spans="1:57" ht="15">
      <c r="A9" s="86" t="s">
        <v>214</v>
      </c>
      <c r="B9" s="86" t="s">
        <v>215</v>
      </c>
      <c r="C9" s="54"/>
      <c r="D9" s="55"/>
      <c r="E9" s="67"/>
      <c r="F9" s="56"/>
      <c r="G9" s="54"/>
      <c r="H9" s="58"/>
      <c r="I9" s="57"/>
      <c r="J9" s="57"/>
      <c r="K9" s="36" t="s">
        <v>65</v>
      </c>
      <c r="L9" s="85">
        <v>9</v>
      </c>
      <c r="M9" s="85"/>
      <c r="N9" s="64"/>
      <c r="O9" s="88" t="s">
        <v>218</v>
      </c>
      <c r="P9" s="90">
        <v>44090.59920138889</v>
      </c>
      <c r="Q9" s="88" t="s">
        <v>224</v>
      </c>
      <c r="R9" s="88"/>
      <c r="S9" s="88"/>
      <c r="T9" s="88"/>
      <c r="U9" s="88"/>
      <c r="V9" s="91" t="str">
        <f>HYPERLINK("http://pbs.twimg.com/profile_images/1304544534836150272/uQjalUtR_normal.jpg")</f>
        <v>http://pbs.twimg.com/profile_images/1304544534836150272/uQjalUtR_normal.jpg</v>
      </c>
      <c r="W9" s="90">
        <v>44090.59920138889</v>
      </c>
      <c r="X9" s="94">
        <v>44090</v>
      </c>
      <c r="Y9" s="96" t="s">
        <v>235</v>
      </c>
      <c r="Z9" s="91" t="str">
        <f>HYPERLINK("https://twitter.com/#!/clair13/status/1306237115412275210")</f>
        <v>https://twitter.com/#!/clair13/status/1306237115412275210</v>
      </c>
      <c r="AA9" s="88"/>
      <c r="AB9" s="88"/>
      <c r="AC9" s="96" t="s">
        <v>242</v>
      </c>
      <c r="AD9" s="88"/>
      <c r="AE9" s="88" t="b">
        <v>0</v>
      </c>
      <c r="AF9" s="88">
        <v>0</v>
      </c>
      <c r="AG9" s="96" t="s">
        <v>248</v>
      </c>
      <c r="AH9" s="88" t="b">
        <v>1</v>
      </c>
      <c r="AI9" s="88" t="s">
        <v>251</v>
      </c>
      <c r="AJ9" s="88"/>
      <c r="AK9" s="96" t="s">
        <v>252</v>
      </c>
      <c r="AL9" s="88" t="b">
        <v>0</v>
      </c>
      <c r="AM9" s="88">
        <v>1</v>
      </c>
      <c r="AN9" s="96" t="s">
        <v>240</v>
      </c>
      <c r="AO9" s="88" t="s">
        <v>254</v>
      </c>
      <c r="AP9" s="88" t="b">
        <v>0</v>
      </c>
      <c r="AQ9" s="96" t="s">
        <v>240</v>
      </c>
      <c r="AR9" s="88" t="s">
        <v>176</v>
      </c>
      <c r="AS9" s="88">
        <v>0</v>
      </c>
      <c r="AT9" s="88">
        <v>0</v>
      </c>
      <c r="AU9" s="88"/>
      <c r="AV9" s="88"/>
      <c r="AW9" s="88"/>
      <c r="AX9" s="88"/>
      <c r="AY9" s="88"/>
      <c r="AZ9" s="88"/>
      <c r="BA9" s="88"/>
      <c r="BB9" s="88"/>
      <c r="BC9">
        <v>2</v>
      </c>
      <c r="BD9" s="87" t="str">
        <f>REPLACE(INDEX(GroupVertices[Group],MATCH(Edges11[[#This Row],[Vertex 1]],GroupVertices[Vertex],0)),1,1,"")</f>
        <v>1</v>
      </c>
      <c r="BE9" s="87" t="str">
        <f>REPLACE(INDEX(GroupVertices[Group],MATCH(Edges11[[#This Row],[Vertex 2]],GroupVertices[Vertex],0)),1,1,"")</f>
        <v>1</v>
      </c>
    </row>
    <row r="10" spans="1:57" ht="15">
      <c r="A10" s="86" t="s">
        <v>214</v>
      </c>
      <c r="B10" s="86" t="s">
        <v>215</v>
      </c>
      <c r="C10" s="54"/>
      <c r="D10" s="55"/>
      <c r="E10" s="67"/>
      <c r="F10" s="56"/>
      <c r="G10" s="54"/>
      <c r="H10" s="58"/>
      <c r="I10" s="57"/>
      <c r="J10" s="57"/>
      <c r="K10" s="36" t="s">
        <v>65</v>
      </c>
      <c r="L10" s="85">
        <v>10</v>
      </c>
      <c r="M10" s="85"/>
      <c r="N10" s="64"/>
      <c r="O10" s="88" t="s">
        <v>219</v>
      </c>
      <c r="P10" s="90">
        <v>44090.59920138889</v>
      </c>
      <c r="Q10" s="88" t="s">
        <v>224</v>
      </c>
      <c r="R10" s="88"/>
      <c r="S10" s="88"/>
      <c r="T10" s="88"/>
      <c r="U10" s="88"/>
      <c r="V10" s="91" t="str">
        <f>HYPERLINK("http://pbs.twimg.com/profile_images/1304544534836150272/uQjalUtR_normal.jpg")</f>
        <v>http://pbs.twimg.com/profile_images/1304544534836150272/uQjalUtR_normal.jpg</v>
      </c>
      <c r="W10" s="90">
        <v>44090.59920138889</v>
      </c>
      <c r="X10" s="94">
        <v>44090</v>
      </c>
      <c r="Y10" s="96" t="s">
        <v>235</v>
      </c>
      <c r="Z10" s="91" t="str">
        <f>HYPERLINK("https://twitter.com/#!/clair13/status/1306237115412275210")</f>
        <v>https://twitter.com/#!/clair13/status/1306237115412275210</v>
      </c>
      <c r="AA10" s="88"/>
      <c r="AB10" s="88"/>
      <c r="AC10" s="96" t="s">
        <v>242</v>
      </c>
      <c r="AD10" s="88"/>
      <c r="AE10" s="88" t="b">
        <v>0</v>
      </c>
      <c r="AF10" s="88">
        <v>0</v>
      </c>
      <c r="AG10" s="96" t="s">
        <v>248</v>
      </c>
      <c r="AH10" s="88" t="b">
        <v>1</v>
      </c>
      <c r="AI10" s="88" t="s">
        <v>251</v>
      </c>
      <c r="AJ10" s="88"/>
      <c r="AK10" s="96" t="s">
        <v>252</v>
      </c>
      <c r="AL10" s="88" t="b">
        <v>0</v>
      </c>
      <c r="AM10" s="88">
        <v>1</v>
      </c>
      <c r="AN10" s="96" t="s">
        <v>240</v>
      </c>
      <c r="AO10" s="88" t="s">
        <v>254</v>
      </c>
      <c r="AP10" s="88" t="b">
        <v>0</v>
      </c>
      <c r="AQ10" s="96" t="s">
        <v>240</v>
      </c>
      <c r="AR10" s="88" t="s">
        <v>176</v>
      </c>
      <c r="AS10" s="88">
        <v>0</v>
      </c>
      <c r="AT10" s="88">
        <v>0</v>
      </c>
      <c r="AU10" s="88"/>
      <c r="AV10" s="88"/>
      <c r="AW10" s="88"/>
      <c r="AX10" s="88"/>
      <c r="AY10" s="88"/>
      <c r="AZ10" s="88"/>
      <c r="BA10" s="88"/>
      <c r="BB10" s="88"/>
      <c r="BC10">
        <v>2</v>
      </c>
      <c r="BD10" s="87" t="str">
        <f>REPLACE(INDEX(GroupVertices[Group],MATCH(Edges11[[#This Row],[Vertex 1]],GroupVertices[Vertex],0)),1,1,"")</f>
        <v>1</v>
      </c>
      <c r="BE10" s="87" t="str">
        <f>REPLACE(INDEX(GroupVertices[Group],MATCH(Edges11[[#This Row],[Vertex 2]],GroupVertices[Vertex],0)),1,1,"")</f>
        <v>1</v>
      </c>
    </row>
    <row r="11" spans="1:57" ht="15">
      <c r="A11" s="86" t="s">
        <v>214</v>
      </c>
      <c r="B11" s="86" t="s">
        <v>215</v>
      </c>
      <c r="C11" s="54"/>
      <c r="D11" s="55"/>
      <c r="E11" s="67"/>
      <c r="F11" s="56"/>
      <c r="G11" s="54"/>
      <c r="H11" s="58"/>
      <c r="I11" s="57"/>
      <c r="J11" s="57"/>
      <c r="K11" s="36" t="s">
        <v>65</v>
      </c>
      <c r="L11" s="85">
        <v>11</v>
      </c>
      <c r="M11" s="85"/>
      <c r="N11" s="64"/>
      <c r="O11" s="88" t="s">
        <v>218</v>
      </c>
      <c r="P11" s="90">
        <v>44090.60322916666</v>
      </c>
      <c r="Q11" s="88" t="s">
        <v>225</v>
      </c>
      <c r="R11" s="88"/>
      <c r="S11" s="88"/>
      <c r="T11" s="88"/>
      <c r="U11" s="88"/>
      <c r="V11" s="91" t="str">
        <f>HYPERLINK("http://pbs.twimg.com/profile_images/1304544534836150272/uQjalUtR_normal.jpg")</f>
        <v>http://pbs.twimg.com/profile_images/1304544534836150272/uQjalUtR_normal.jpg</v>
      </c>
      <c r="W11" s="90">
        <v>44090.60322916666</v>
      </c>
      <c r="X11" s="94">
        <v>44090</v>
      </c>
      <c r="Y11" s="96" t="s">
        <v>236</v>
      </c>
      <c r="Z11" s="91" t="str">
        <f>HYPERLINK("https://twitter.com/#!/clair13/status/1306238575407587334")</f>
        <v>https://twitter.com/#!/clair13/status/1306238575407587334</v>
      </c>
      <c r="AA11" s="88"/>
      <c r="AB11" s="88"/>
      <c r="AC11" s="96" t="s">
        <v>243</v>
      </c>
      <c r="AD11" s="88"/>
      <c r="AE11" s="88" t="b">
        <v>0</v>
      </c>
      <c r="AF11" s="88">
        <v>0</v>
      </c>
      <c r="AG11" s="96" t="s">
        <v>248</v>
      </c>
      <c r="AH11" s="88" t="b">
        <v>1</v>
      </c>
      <c r="AI11" s="88" t="s">
        <v>251</v>
      </c>
      <c r="AJ11" s="88"/>
      <c r="AK11" s="96" t="s">
        <v>253</v>
      </c>
      <c r="AL11" s="88" t="b">
        <v>0</v>
      </c>
      <c r="AM11" s="88">
        <v>1</v>
      </c>
      <c r="AN11" s="96" t="s">
        <v>241</v>
      </c>
      <c r="AO11" s="88" t="s">
        <v>254</v>
      </c>
      <c r="AP11" s="88" t="b">
        <v>0</v>
      </c>
      <c r="AQ11" s="96" t="s">
        <v>241</v>
      </c>
      <c r="AR11" s="88" t="s">
        <v>176</v>
      </c>
      <c r="AS11" s="88">
        <v>0</v>
      </c>
      <c r="AT11" s="88">
        <v>0</v>
      </c>
      <c r="AU11" s="88"/>
      <c r="AV11" s="88"/>
      <c r="AW11" s="88"/>
      <c r="AX11" s="88"/>
      <c r="AY11" s="88"/>
      <c r="AZ11" s="88"/>
      <c r="BA11" s="88"/>
      <c r="BB11" s="88"/>
      <c r="BC11">
        <v>2</v>
      </c>
      <c r="BD11" s="87" t="str">
        <f>REPLACE(INDEX(GroupVertices[Group],MATCH(Edges11[[#This Row],[Vertex 1]],GroupVertices[Vertex],0)),1,1,"")</f>
        <v>1</v>
      </c>
      <c r="BE11" s="87" t="str">
        <f>REPLACE(INDEX(GroupVertices[Group],MATCH(Edges11[[#This Row],[Vertex 2]],GroupVertices[Vertex],0)),1,1,"")</f>
        <v>1</v>
      </c>
    </row>
    <row r="12" spans="1:57" ht="15">
      <c r="A12" s="86" t="s">
        <v>214</v>
      </c>
      <c r="B12" s="86" t="s">
        <v>215</v>
      </c>
      <c r="C12" s="54"/>
      <c r="D12" s="55"/>
      <c r="E12" s="67"/>
      <c r="F12" s="56"/>
      <c r="G12" s="54"/>
      <c r="H12" s="58"/>
      <c r="I12" s="57"/>
      <c r="J12" s="57"/>
      <c r="K12" s="36" t="s">
        <v>65</v>
      </c>
      <c r="L12" s="85">
        <v>12</v>
      </c>
      <c r="M12" s="85"/>
      <c r="N12" s="64"/>
      <c r="O12" s="88" t="s">
        <v>219</v>
      </c>
      <c r="P12" s="90">
        <v>44090.60322916666</v>
      </c>
      <c r="Q12" s="88" t="s">
        <v>225</v>
      </c>
      <c r="R12" s="88"/>
      <c r="S12" s="88"/>
      <c r="T12" s="88"/>
      <c r="U12" s="88"/>
      <c r="V12" s="91" t="str">
        <f>HYPERLINK("http://pbs.twimg.com/profile_images/1304544534836150272/uQjalUtR_normal.jpg")</f>
        <v>http://pbs.twimg.com/profile_images/1304544534836150272/uQjalUtR_normal.jpg</v>
      </c>
      <c r="W12" s="90">
        <v>44090.60322916666</v>
      </c>
      <c r="X12" s="94">
        <v>44090</v>
      </c>
      <c r="Y12" s="96" t="s">
        <v>236</v>
      </c>
      <c r="Z12" s="91" t="str">
        <f>HYPERLINK("https://twitter.com/#!/clair13/status/1306238575407587334")</f>
        <v>https://twitter.com/#!/clair13/status/1306238575407587334</v>
      </c>
      <c r="AA12" s="88"/>
      <c r="AB12" s="88"/>
      <c r="AC12" s="96" t="s">
        <v>243</v>
      </c>
      <c r="AD12" s="88"/>
      <c r="AE12" s="88" t="b">
        <v>0</v>
      </c>
      <c r="AF12" s="88">
        <v>0</v>
      </c>
      <c r="AG12" s="96" t="s">
        <v>248</v>
      </c>
      <c r="AH12" s="88" t="b">
        <v>1</v>
      </c>
      <c r="AI12" s="88" t="s">
        <v>251</v>
      </c>
      <c r="AJ12" s="88"/>
      <c r="AK12" s="96" t="s">
        <v>253</v>
      </c>
      <c r="AL12" s="88" t="b">
        <v>0</v>
      </c>
      <c r="AM12" s="88">
        <v>1</v>
      </c>
      <c r="AN12" s="96" t="s">
        <v>241</v>
      </c>
      <c r="AO12" s="88" t="s">
        <v>254</v>
      </c>
      <c r="AP12" s="88" t="b">
        <v>0</v>
      </c>
      <c r="AQ12" s="96" t="s">
        <v>241</v>
      </c>
      <c r="AR12" s="88" t="s">
        <v>176</v>
      </c>
      <c r="AS12" s="88">
        <v>0</v>
      </c>
      <c r="AT12" s="88">
        <v>0</v>
      </c>
      <c r="AU12" s="88"/>
      <c r="AV12" s="88"/>
      <c r="AW12" s="88"/>
      <c r="AX12" s="88"/>
      <c r="AY12" s="88"/>
      <c r="AZ12" s="88"/>
      <c r="BA12" s="88"/>
      <c r="BB12" s="88"/>
      <c r="BC12">
        <v>2</v>
      </c>
      <c r="BD12" s="87" t="str">
        <f>REPLACE(INDEX(GroupVertices[Group],MATCH(Edges11[[#This Row],[Vertex 1]],GroupVertices[Vertex],0)),1,1,"")</f>
        <v>1</v>
      </c>
      <c r="BE12" s="87" t="str">
        <f>REPLACE(INDEX(GroupVertices[Group],MATCH(Edges11[[#This Row],[Vertex 2]],GroupVertices[Vertex],0)),1,1,"")</f>
        <v>1</v>
      </c>
    </row>
    <row r="13" spans="1:57" ht="15">
      <c r="A13" s="86" t="s">
        <v>214</v>
      </c>
      <c r="B13" s="86" t="s">
        <v>215</v>
      </c>
      <c r="C13" s="54"/>
      <c r="D13" s="55"/>
      <c r="E13" s="67"/>
      <c r="F13" s="56"/>
      <c r="G13" s="54"/>
      <c r="H13" s="58"/>
      <c r="I13" s="57"/>
      <c r="J13" s="57"/>
      <c r="K13" s="36" t="s">
        <v>65</v>
      </c>
      <c r="L13" s="85">
        <v>13</v>
      </c>
      <c r="M13" s="85"/>
      <c r="N13" s="64"/>
      <c r="O13" s="88" t="s">
        <v>220</v>
      </c>
      <c r="P13" s="90">
        <v>44090.61040509259</v>
      </c>
      <c r="Q13" s="88" t="s">
        <v>226</v>
      </c>
      <c r="R13" s="88"/>
      <c r="S13" s="88"/>
      <c r="T13" s="88" t="s">
        <v>230</v>
      </c>
      <c r="U13" s="88"/>
      <c r="V13" s="91" t="str">
        <f>HYPERLINK("http://pbs.twimg.com/profile_images/1304544534836150272/uQjalUtR_normal.jpg")</f>
        <v>http://pbs.twimg.com/profile_images/1304544534836150272/uQjalUtR_normal.jpg</v>
      </c>
      <c r="W13" s="90">
        <v>44090.61040509259</v>
      </c>
      <c r="X13" s="94">
        <v>44090</v>
      </c>
      <c r="Y13" s="96" t="s">
        <v>237</v>
      </c>
      <c r="Z13" s="91" t="str">
        <f>HYPERLINK("https://twitter.com/#!/clair13/status/1306241174978482178")</f>
        <v>https://twitter.com/#!/clair13/status/1306241174978482178</v>
      </c>
      <c r="AA13" s="88"/>
      <c r="AB13" s="88"/>
      <c r="AC13" s="96" t="s">
        <v>244</v>
      </c>
      <c r="AD13" s="96" t="s">
        <v>246</v>
      </c>
      <c r="AE13" s="88" t="b">
        <v>0</v>
      </c>
      <c r="AF13" s="88">
        <v>0</v>
      </c>
      <c r="AG13" s="96" t="s">
        <v>249</v>
      </c>
      <c r="AH13" s="88" t="b">
        <v>0</v>
      </c>
      <c r="AI13" s="88" t="s">
        <v>251</v>
      </c>
      <c r="AJ13" s="88"/>
      <c r="AK13" s="96" t="s">
        <v>248</v>
      </c>
      <c r="AL13" s="88" t="b">
        <v>0</v>
      </c>
      <c r="AM13" s="88">
        <v>0</v>
      </c>
      <c r="AN13" s="96" t="s">
        <v>248</v>
      </c>
      <c r="AO13" s="88" t="s">
        <v>254</v>
      </c>
      <c r="AP13" s="88" t="b">
        <v>0</v>
      </c>
      <c r="AQ13" s="96" t="s">
        <v>246</v>
      </c>
      <c r="AR13" s="88" t="s">
        <v>176</v>
      </c>
      <c r="AS13" s="88">
        <v>0</v>
      </c>
      <c r="AT13" s="88">
        <v>0</v>
      </c>
      <c r="AU13" s="88"/>
      <c r="AV13" s="88"/>
      <c r="AW13" s="88"/>
      <c r="AX13" s="88"/>
      <c r="AY13" s="88"/>
      <c r="AZ13" s="88"/>
      <c r="BA13" s="88"/>
      <c r="BB13" s="88"/>
      <c r="BC13">
        <v>1</v>
      </c>
      <c r="BD13" s="87" t="str">
        <f>REPLACE(INDEX(GroupVertices[Group],MATCH(Edges11[[#This Row],[Vertex 1]],GroupVertices[Vertex],0)),1,1,"")</f>
        <v>1</v>
      </c>
      <c r="BE13" s="87"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298</v>
      </c>
      <c r="K7" s="13" t="s">
        <v>299</v>
      </c>
    </row>
    <row r="8" spans="1:11" ht="409.5">
      <c r="A8"/>
      <c r="B8">
        <v>2</v>
      </c>
      <c r="C8">
        <v>2</v>
      </c>
      <c r="D8" t="s">
        <v>61</v>
      </c>
      <c r="E8" t="s">
        <v>61</v>
      </c>
      <c r="H8" t="s">
        <v>73</v>
      </c>
      <c r="J8" t="s">
        <v>300</v>
      </c>
      <c r="K8" s="13" t="s">
        <v>301</v>
      </c>
    </row>
    <row r="9" spans="1:11" ht="409.5">
      <c r="A9"/>
      <c r="B9">
        <v>3</v>
      </c>
      <c r="C9">
        <v>4</v>
      </c>
      <c r="D9" t="s">
        <v>62</v>
      </c>
      <c r="E9" t="s">
        <v>62</v>
      </c>
      <c r="H9" t="s">
        <v>74</v>
      </c>
      <c r="J9" t="s">
        <v>302</v>
      </c>
      <c r="K9" s="13" t="s">
        <v>303</v>
      </c>
    </row>
    <row r="10" spans="1:11" ht="409.5">
      <c r="A10"/>
      <c r="B10">
        <v>4</v>
      </c>
      <c r="D10" t="s">
        <v>63</v>
      </c>
      <c r="E10" t="s">
        <v>63</v>
      </c>
      <c r="H10" t="s">
        <v>75</v>
      </c>
      <c r="J10" t="s">
        <v>304</v>
      </c>
      <c r="K10" s="13" t="s">
        <v>305</v>
      </c>
    </row>
    <row r="11" spans="1:11" ht="15">
      <c r="A11"/>
      <c r="B11">
        <v>5</v>
      </c>
      <c r="D11" t="s">
        <v>46</v>
      </c>
      <c r="E11">
        <v>1</v>
      </c>
      <c r="H11" t="s">
        <v>76</v>
      </c>
      <c r="J11" t="s">
        <v>306</v>
      </c>
      <c r="K11" t="s">
        <v>307</v>
      </c>
    </row>
    <row r="12" spans="1:11" ht="15">
      <c r="A12"/>
      <c r="B12"/>
      <c r="D12" t="s">
        <v>64</v>
      </c>
      <c r="E12">
        <v>2</v>
      </c>
      <c r="H12">
        <v>0</v>
      </c>
      <c r="J12" t="s">
        <v>308</v>
      </c>
      <c r="K12" t="s">
        <v>309</v>
      </c>
    </row>
    <row r="13" spans="1:11" ht="15">
      <c r="A13"/>
      <c r="B13"/>
      <c r="D13">
        <v>1</v>
      </c>
      <c r="E13">
        <v>3</v>
      </c>
      <c r="H13">
        <v>1</v>
      </c>
      <c r="J13" t="s">
        <v>310</v>
      </c>
      <c r="K13" t="s">
        <v>311</v>
      </c>
    </row>
    <row r="14" spans="4:11" ht="15">
      <c r="D14">
        <v>2</v>
      </c>
      <c r="E14">
        <v>4</v>
      </c>
      <c r="H14">
        <v>2</v>
      </c>
      <c r="J14" t="s">
        <v>312</v>
      </c>
      <c r="K14" t="s">
        <v>313</v>
      </c>
    </row>
    <row r="15" spans="4:11" ht="15">
      <c r="D15">
        <v>3</v>
      </c>
      <c r="E15">
        <v>5</v>
      </c>
      <c r="H15">
        <v>3</v>
      </c>
      <c r="J15" t="s">
        <v>314</v>
      </c>
      <c r="K15" t="s">
        <v>315</v>
      </c>
    </row>
    <row r="16" spans="4:11" ht="15">
      <c r="D16">
        <v>4</v>
      </c>
      <c r="E16">
        <v>6</v>
      </c>
      <c r="H16">
        <v>4</v>
      </c>
      <c r="J16" t="s">
        <v>316</v>
      </c>
      <c r="K16" t="s">
        <v>317</v>
      </c>
    </row>
    <row r="17" spans="4:11" ht="15">
      <c r="D17">
        <v>5</v>
      </c>
      <c r="E17">
        <v>7</v>
      </c>
      <c r="H17">
        <v>5</v>
      </c>
      <c r="J17" t="s">
        <v>318</v>
      </c>
      <c r="K17" t="s">
        <v>319</v>
      </c>
    </row>
    <row r="18" spans="4:11" ht="15">
      <c r="D18">
        <v>6</v>
      </c>
      <c r="E18">
        <v>8</v>
      </c>
      <c r="H18">
        <v>6</v>
      </c>
      <c r="J18" t="s">
        <v>320</v>
      </c>
      <c r="K18" t="s">
        <v>321</v>
      </c>
    </row>
    <row r="19" spans="4:11" ht="15">
      <c r="D19">
        <v>7</v>
      </c>
      <c r="E19">
        <v>9</v>
      </c>
      <c r="H19">
        <v>7</v>
      </c>
      <c r="J19" t="s">
        <v>322</v>
      </c>
      <c r="K19" t="s">
        <v>323</v>
      </c>
    </row>
    <row r="20" spans="4:11" ht="15">
      <c r="D20">
        <v>8</v>
      </c>
      <c r="H20">
        <v>8</v>
      </c>
      <c r="J20" t="s">
        <v>324</v>
      </c>
      <c r="K20" t="s">
        <v>325</v>
      </c>
    </row>
    <row r="21" spans="4:11" ht="409.5">
      <c r="D21">
        <v>9</v>
      </c>
      <c r="H21">
        <v>9</v>
      </c>
      <c r="J21" t="s">
        <v>326</v>
      </c>
      <c r="K21" s="13" t="s">
        <v>327</v>
      </c>
    </row>
    <row r="22" spans="4:11" ht="409.5">
      <c r="D22">
        <v>10</v>
      </c>
      <c r="J22" t="s">
        <v>328</v>
      </c>
      <c r="K22" s="13" t="s">
        <v>329</v>
      </c>
    </row>
    <row r="23" spans="4:11" ht="409.5">
      <c r="D23">
        <v>11</v>
      </c>
      <c r="J23" t="s">
        <v>330</v>
      </c>
      <c r="K23" s="13" t="s">
        <v>350</v>
      </c>
    </row>
    <row r="24" spans="10:11" ht="409.5">
      <c r="J24" t="s">
        <v>331</v>
      </c>
      <c r="K24" s="13" t="s">
        <v>349</v>
      </c>
    </row>
    <row r="25" spans="10:11" ht="15">
      <c r="J25" t="s">
        <v>332</v>
      </c>
      <c r="K25" t="b">
        <v>0</v>
      </c>
    </row>
    <row r="26" spans="10:11" ht="15">
      <c r="J26" t="s">
        <v>347</v>
      </c>
      <c r="K26" t="s">
        <v>348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5" t="s">
        <v>344</v>
      </c>
      <c r="B25" t="s">
        <v>343</v>
      </c>
    </row>
    <row r="26" spans="1:2" ht="15">
      <c r="A26" s="126">
        <v>43964.62931712963</v>
      </c>
      <c r="B26" s="3">
        <v>1</v>
      </c>
    </row>
    <row r="27" spans="1:2" ht="15">
      <c r="A27" s="126">
        <v>44090.59820601852</v>
      </c>
      <c r="B27" s="3">
        <v>1</v>
      </c>
    </row>
    <row r="28" spans="1:2" ht="15">
      <c r="A28" s="126">
        <v>44090.599074074074</v>
      </c>
      <c r="B28" s="3">
        <v>1</v>
      </c>
    </row>
    <row r="29" spans="1:2" ht="15">
      <c r="A29" s="126">
        <v>44090.59920138889</v>
      </c>
      <c r="B29" s="3">
        <v>2</v>
      </c>
    </row>
    <row r="30" spans="1:2" ht="15">
      <c r="A30" s="126">
        <v>44090.60322916666</v>
      </c>
      <c r="B30" s="3">
        <v>2</v>
      </c>
    </row>
    <row r="31" spans="1:2" ht="15">
      <c r="A31" s="126">
        <v>44090.60538194444</v>
      </c>
      <c r="B31" s="3">
        <v>3</v>
      </c>
    </row>
    <row r="32" spans="1:2" ht="15">
      <c r="A32" s="126">
        <v>44090.61040509259</v>
      </c>
      <c r="B32" s="3">
        <v>1</v>
      </c>
    </row>
    <row r="33" spans="1:2" ht="15">
      <c r="A33" s="126" t="s">
        <v>345</v>
      </c>
      <c r="B33"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2020-09-17T14:46:34Z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